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comments1.xml" ContentType="application/vnd.openxmlformats-officedocument.spreadsheetml.comments+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xl/drawings/drawing40.xml" ContentType="application/vnd.openxmlformats-officedocument.drawing+xml"/>
  <Override PartName="/xl/drawings/drawing41.xml" ContentType="application/vnd.openxmlformats-officedocument.drawing+xml"/>
  <Override PartName="/xl/drawings/drawing42.xml" ContentType="application/vnd.openxmlformats-officedocument.drawing+xml"/>
  <Override PartName="/xl/drawings/drawing4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C:\Users\ist_kaanc\Documents\"/>
    </mc:Choice>
  </mc:AlternateContent>
  <bookViews>
    <workbookView xWindow="-105" yWindow="-105" windowWidth="19425" windowHeight="10425" tabRatio="893" activeTab="3"/>
  </bookViews>
  <sheets>
    <sheet name=" " sheetId="3" r:id="rId1"/>
    <sheet name="Disclaimer" sheetId="13" r:id="rId2"/>
    <sheet name="Notes" sheetId="11" r:id="rId3"/>
    <sheet name="Occupancy_2024" sheetId="24" r:id="rId4"/>
    <sheet name="Traffic&gt;" sheetId="25" r:id="rId5"/>
    <sheet name="Oct-24" sheetId="54" r:id="rId6"/>
    <sheet name="Sep-24" sheetId="53" r:id="rId7"/>
    <sheet name="Aug-24" sheetId="52" r:id="rId8"/>
    <sheet name="July-24" sheetId="51" r:id="rId9"/>
    <sheet name="June-24" sheetId="50" r:id="rId10"/>
    <sheet name="May-24" sheetId="49" r:id="rId11"/>
    <sheet name="Apr-24" sheetId="48" r:id="rId12"/>
    <sheet name="Mar-24" sheetId="47" r:id="rId13"/>
    <sheet name="Feb-24" sheetId="46" r:id="rId14"/>
    <sheet name="Jan-24" sheetId="45" r:id="rId15"/>
    <sheet name="Dec-23" sheetId="44" r:id="rId16"/>
    <sheet name="Nov-23" sheetId="43" r:id="rId17"/>
    <sheet name="Oct-23" sheetId="41" r:id="rId18"/>
    <sheet name="Sep-23" sheetId="40" r:id="rId19"/>
    <sheet name="Aug-23" sheetId="38" r:id="rId20"/>
    <sheet name="July-23" sheetId="37" r:id="rId21"/>
    <sheet name="June-23" sheetId="36" r:id="rId22"/>
    <sheet name="May-23" sheetId="35" r:id="rId23"/>
    <sheet name="Apr-23" sheetId="34" r:id="rId24"/>
    <sheet name="Mar-23" sheetId="33" r:id="rId25"/>
    <sheet name="Mar-23_old structure" sheetId="32" r:id="rId26"/>
    <sheet name="Feb-23" sheetId="31" r:id="rId27"/>
    <sheet name="Jan-23" sheetId="30" r:id="rId28"/>
    <sheet name="Dec-22" sheetId="29" r:id="rId29"/>
    <sheet name="Nov-22" sheetId="28" r:id="rId30"/>
    <sheet name="Oct-22" sheetId="27" r:id="rId31"/>
    <sheet name="Sep-22" sheetId="26" r:id="rId32"/>
    <sheet name="Aug-22" sheetId="22" r:id="rId33"/>
    <sheet name="Jul-22" sheetId="21" r:id="rId34"/>
    <sheet name="Jun-22" sheetId="20" r:id="rId35"/>
    <sheet name="May-22" sheetId="19" r:id="rId36"/>
    <sheet name="Apr-22" sheetId="18" r:id="rId37"/>
    <sheet name="Mar-22" sheetId="17" r:id="rId38"/>
    <sheet name="Feb-22" sheetId="16" r:id="rId39"/>
    <sheet name="Jan-22" sheetId="15" r:id="rId40"/>
    <sheet name="Dec-21" sheetId="14" r:id="rId41"/>
    <sheet name="Nov-21" sheetId="10" r:id="rId42"/>
    <sheet name="Oct-21" sheetId="9" r:id="rId43"/>
    <sheet name="Sept-21" sheetId="1" r:id="rId44"/>
  </sheets>
  <externalReferences>
    <externalReference r:id="rId45"/>
  </externalReferences>
  <definedNames>
    <definedName name="_Order1" hidden="1">255</definedName>
    <definedName name="_Order2" hidden="1">255</definedName>
    <definedName name="AcqOppSwitch">[1]Inputs!$E$44</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42704.5898263889</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KalundborgSwitch">[1]Inputs!$E$49</definedName>
    <definedName name="LasPalmasSwitch" localSheetId="1">[1]Inputs!#REF!</definedName>
    <definedName name="LasPalmasSwitch" localSheetId="2">[1]Inputs!#REF!</definedName>
    <definedName name="LasPalmasSwitch" localSheetId="4">[1]Inputs!#REF!</definedName>
    <definedName name="LasPalmasSwitch">[1]Inputs!#REF!</definedName>
    <definedName name="_xlnm.Print_Area" localSheetId="1">Disclaimer!$A$1:$CA$35</definedName>
    <definedName name="_xlnm.Print_Area" localSheetId="2">Notes!$A$1:$CA$40</definedName>
    <definedName name="_xlnm.Print_Area" localSheetId="4">'Traffic&gt;'!$A$1:$CA$35</definedName>
    <definedName name="ProjectionsSwitch">[1]Inputs!$E$13</definedName>
    <definedName name="SanJuanSwitch">[1]Inputs!$E$51</definedName>
    <definedName name="ScenarioSwitch">[1]Inputs!$E$14</definedName>
    <definedName name="TortolaSwitch">[1]Inputs!$E$50</definedName>
    <definedName name="ValenciaSwitch">[1]Inputs!$E$48</definedName>
    <definedName name="z" localSheetId="1">[1]Inputs!#REF!</definedName>
    <definedName name="z" localSheetId="2">[1]Inputs!#REF!</definedName>
    <definedName name="z" localSheetId="4">[1]Inputs!#REF!</definedName>
    <definedName name="z">[1]Inputs!#REF!</definedName>
    <definedName name="Z_5F6D01E3_9E6F_4D7F_980F_63899AF95899_.wvu.Cols" localSheetId="0" hidden="1">' '!$M:$XFD</definedName>
    <definedName name="Z_5F6D01E3_9E6F_4D7F_980F_63899AF95899_.wvu.Cols" localSheetId="36" hidden="1">'Apr-22'!$X:$XFD</definedName>
    <definedName name="Z_5F6D01E3_9E6F_4D7F_980F_63899AF95899_.wvu.Cols" localSheetId="32" hidden="1">'Aug-22'!$X:$XFD</definedName>
    <definedName name="Z_5F6D01E3_9E6F_4D7F_980F_63899AF95899_.wvu.Cols" localSheetId="40" hidden="1">'Dec-21'!$S:$XFD</definedName>
    <definedName name="Z_5F6D01E3_9E6F_4D7F_980F_63899AF95899_.wvu.Cols" localSheetId="28" hidden="1">'Dec-22'!$X:$XFD</definedName>
    <definedName name="Z_5F6D01E3_9E6F_4D7F_980F_63899AF95899_.wvu.Cols" localSheetId="1" hidden="1">Disclaimer!$X:$XFD</definedName>
    <definedName name="Z_5F6D01E3_9E6F_4D7F_980F_63899AF95899_.wvu.Cols" localSheetId="38" hidden="1">'Feb-22'!$X:$XFD</definedName>
    <definedName name="Z_5F6D01E3_9E6F_4D7F_980F_63899AF95899_.wvu.Cols" localSheetId="39" hidden="1">'Jan-22'!$X:$XFD</definedName>
    <definedName name="Z_5F6D01E3_9E6F_4D7F_980F_63899AF95899_.wvu.Cols" localSheetId="27" hidden="1">'Jan-23'!$AC:$XFD</definedName>
    <definedName name="Z_5F6D01E3_9E6F_4D7F_980F_63899AF95899_.wvu.Cols" localSheetId="33" hidden="1">'Jul-22'!$X:$XFD</definedName>
    <definedName name="Z_5F6D01E3_9E6F_4D7F_980F_63899AF95899_.wvu.Cols" localSheetId="34" hidden="1">'Jun-22'!$X:$XFD</definedName>
    <definedName name="Z_5F6D01E3_9E6F_4D7F_980F_63899AF95899_.wvu.Cols" localSheetId="37" hidden="1">'Mar-22'!$X:$XFD</definedName>
    <definedName name="Z_5F6D01E3_9E6F_4D7F_980F_63899AF95899_.wvu.Cols" localSheetId="35" hidden="1">'May-22'!$X:$XFD</definedName>
    <definedName name="Z_5F6D01E3_9E6F_4D7F_980F_63899AF95899_.wvu.Cols" localSheetId="2" hidden="1">Notes!$S:$XFD</definedName>
    <definedName name="Z_5F6D01E3_9E6F_4D7F_980F_63899AF95899_.wvu.Cols" localSheetId="41" hidden="1">'Nov-21'!$S:$XFD</definedName>
    <definedName name="Z_5F6D01E3_9E6F_4D7F_980F_63899AF95899_.wvu.Cols" localSheetId="29" hidden="1">'Nov-22'!$X:$XFD</definedName>
    <definedName name="Z_5F6D01E3_9E6F_4D7F_980F_63899AF95899_.wvu.Cols" localSheetId="3" hidden="1">Occupancy_2024!$AM:$XFD</definedName>
    <definedName name="Z_5F6D01E3_9E6F_4D7F_980F_63899AF95899_.wvu.Cols" localSheetId="42" hidden="1">'Oct-21'!$S:$XFD</definedName>
    <definedName name="Z_5F6D01E3_9E6F_4D7F_980F_63899AF95899_.wvu.Cols" localSheetId="30" hidden="1">'Oct-22'!$X:$XFD</definedName>
    <definedName name="Z_5F6D01E3_9E6F_4D7F_980F_63899AF95899_.wvu.Cols" localSheetId="31" hidden="1">'Sep-22'!$X:$XFD</definedName>
    <definedName name="Z_5F6D01E3_9E6F_4D7F_980F_63899AF95899_.wvu.Cols" localSheetId="43" hidden="1">'Sept-21'!$S:$XFD</definedName>
    <definedName name="Z_5F6D01E3_9E6F_4D7F_980F_63899AF95899_.wvu.Cols" localSheetId="4" hidden="1">'Traffic&gt;'!$S:$XFD</definedName>
    <definedName name="Z_5F6D01E3_9E6F_4D7F_980F_63899AF95899_.wvu.PrintArea" localSheetId="1" hidden="1">Disclaimer!$A$1:$CA$35</definedName>
    <definedName name="Z_5F6D01E3_9E6F_4D7F_980F_63899AF95899_.wvu.PrintArea" localSheetId="2" hidden="1">Notes!$A$1:$CA$40</definedName>
    <definedName name="Z_5F6D01E3_9E6F_4D7F_980F_63899AF95899_.wvu.PrintArea" localSheetId="4" hidden="1">'Traffic&gt;'!$A$1:$CA$35</definedName>
    <definedName name="Z_5F6D01E3_9E6F_4D7F_980F_63899AF95899_.wvu.Rows" localSheetId="0" hidden="1">' '!$44:$1048576,' '!$29:$43</definedName>
    <definedName name="Z_5F6D01E3_9E6F_4D7F_980F_63899AF95899_.wvu.Rows" localSheetId="36" hidden="1">'Apr-22'!$49:$1048576,'Apr-22'!$30:$48</definedName>
    <definedName name="Z_5F6D01E3_9E6F_4D7F_980F_63899AF95899_.wvu.Rows" localSheetId="40" hidden="1">'Dec-21'!$49:$1048576,'Dec-21'!$30:$48</definedName>
    <definedName name="Z_5F6D01E3_9E6F_4D7F_980F_63899AF95899_.wvu.Rows" localSheetId="1" hidden="1">Disclaimer!$45:$1048576,Disclaimer!$30:$44</definedName>
    <definedName name="Z_5F6D01E3_9E6F_4D7F_980F_63899AF95899_.wvu.Rows" localSheetId="38" hidden="1">'Feb-22'!$49:$1048576,'Feb-22'!$30:$48</definedName>
    <definedName name="Z_5F6D01E3_9E6F_4D7F_980F_63899AF95899_.wvu.Rows" localSheetId="39" hidden="1">'Jan-22'!$49:$1048576,'Jan-22'!$30:$48</definedName>
    <definedName name="Z_5F6D01E3_9E6F_4D7F_980F_63899AF95899_.wvu.Rows" localSheetId="34" hidden="1">'Jun-22'!$49:$1048576,'Jun-22'!$30:$48</definedName>
    <definedName name="Z_5F6D01E3_9E6F_4D7F_980F_63899AF95899_.wvu.Rows" localSheetId="37" hidden="1">'Mar-22'!$49:$1048576,'Mar-22'!$30:$48</definedName>
    <definedName name="Z_5F6D01E3_9E6F_4D7F_980F_63899AF95899_.wvu.Rows" localSheetId="35" hidden="1">'May-22'!$49:$1048576,'May-22'!$30:$48</definedName>
    <definedName name="Z_5F6D01E3_9E6F_4D7F_980F_63899AF95899_.wvu.Rows" localSheetId="2" hidden="1">Notes!$50:$1048576,Notes!$32:$49</definedName>
    <definedName name="Z_5F6D01E3_9E6F_4D7F_980F_63899AF95899_.wvu.Rows" localSheetId="41" hidden="1">'Nov-21'!$49:$1048576,'Nov-21'!$30:$48</definedName>
    <definedName name="Z_5F6D01E3_9E6F_4D7F_980F_63899AF95899_.wvu.Rows" localSheetId="42" hidden="1">'Oct-21'!$49:$1048576,'Oct-21'!$30:$48</definedName>
    <definedName name="Z_5F6D01E3_9E6F_4D7F_980F_63899AF95899_.wvu.Rows" localSheetId="43" hidden="1">'Sept-21'!$49:$1048576,'Sept-21'!$30:$48</definedName>
    <definedName name="Z_5F6D01E3_9E6F_4D7F_980F_63899AF95899_.wvu.Rows" localSheetId="4" hidden="1">'Traffic&gt;'!$45:$1048576,'Traffic&gt;'!$27:$44</definedName>
  </definedNames>
  <calcPr calcId="162913"/>
  <customWorkbookViews>
    <customWorkbookView name="custom" guid="{5F6D01E3-9E6F-4D7F-980F-63899AF95899}" maximized="1" xWindow="1912" yWindow="-8" windowWidth="1936" windowHeight="1066" activeSheetId="2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13" i="54" l="1"/>
  <c r="V50" i="54"/>
  <c r="U50" i="54"/>
  <c r="T50" i="54"/>
  <c r="S50" i="54"/>
  <c r="R50" i="54"/>
  <c r="V49" i="54"/>
  <c r="U49" i="54"/>
  <c r="T49" i="54"/>
  <c r="S49" i="54"/>
  <c r="R49" i="54"/>
  <c r="V47" i="54"/>
  <c r="U47" i="54"/>
  <c r="T47" i="54"/>
  <c r="S47" i="54"/>
  <c r="R47" i="54"/>
  <c r="V46" i="54"/>
  <c r="U46" i="54"/>
  <c r="T46" i="54"/>
  <c r="S46" i="54"/>
  <c r="R46" i="54"/>
  <c r="V44" i="54"/>
  <c r="U44" i="54"/>
  <c r="T44" i="54"/>
  <c r="S44" i="54"/>
  <c r="R44" i="54"/>
  <c r="V43" i="54"/>
  <c r="U43" i="54"/>
  <c r="T43" i="54"/>
  <c r="S43" i="54"/>
  <c r="R43" i="54"/>
  <c r="V41" i="54"/>
  <c r="U41" i="54"/>
  <c r="T41" i="54"/>
  <c r="S41" i="54"/>
  <c r="R41" i="54"/>
  <c r="V40" i="54"/>
  <c r="U40" i="54"/>
  <c r="T40" i="54"/>
  <c r="S40" i="54"/>
  <c r="R40" i="54"/>
  <c r="V38" i="54"/>
  <c r="U38" i="54"/>
  <c r="T38" i="54"/>
  <c r="S38" i="54"/>
  <c r="R38" i="54"/>
  <c r="V37" i="54"/>
  <c r="U37" i="54"/>
  <c r="T37" i="54"/>
  <c r="S37" i="54"/>
  <c r="R37" i="54"/>
  <c r="V26" i="54"/>
  <c r="U26" i="54"/>
  <c r="T26" i="54"/>
  <c r="S26" i="54"/>
  <c r="R26" i="54"/>
  <c r="Q26" i="54"/>
  <c r="V25" i="54"/>
  <c r="U25" i="54"/>
  <c r="T25" i="54"/>
  <c r="S25" i="54"/>
  <c r="R25" i="54"/>
  <c r="Q25" i="54"/>
  <c r="V23" i="54"/>
  <c r="U23" i="54"/>
  <c r="T23" i="54"/>
  <c r="S23" i="54"/>
  <c r="R23" i="54"/>
  <c r="V22" i="54"/>
  <c r="U22" i="54"/>
  <c r="T22" i="54"/>
  <c r="S22" i="54"/>
  <c r="R22" i="54"/>
  <c r="V20" i="54"/>
  <c r="U20" i="54"/>
  <c r="T20" i="54"/>
  <c r="S20" i="54"/>
  <c r="R20" i="54"/>
  <c r="Q20" i="54"/>
  <c r="V19" i="54"/>
  <c r="U19" i="54"/>
  <c r="T19" i="54"/>
  <c r="S19" i="54"/>
  <c r="R19" i="54"/>
  <c r="Q19" i="54"/>
  <c r="V17" i="54"/>
  <c r="U17" i="54"/>
  <c r="T17" i="54"/>
  <c r="S17" i="54"/>
  <c r="R17" i="54"/>
  <c r="Q17" i="54"/>
  <c r="V16" i="54"/>
  <c r="U16" i="54"/>
  <c r="T16" i="54"/>
  <c r="S16" i="54"/>
  <c r="R16" i="54"/>
  <c r="Q16" i="54"/>
  <c r="V14" i="54"/>
  <c r="U14" i="54"/>
  <c r="T14" i="54"/>
  <c r="S14" i="54"/>
  <c r="R14" i="54"/>
  <c r="Q14" i="54"/>
  <c r="V13" i="54"/>
  <c r="U13" i="54"/>
  <c r="T13" i="54"/>
  <c r="S13" i="54"/>
  <c r="R13" i="54"/>
  <c r="AF52" i="54" l="1"/>
  <c r="AE52" i="54"/>
  <c r="AD52" i="54"/>
  <c r="AC52" i="54"/>
  <c r="AF51" i="54"/>
  <c r="AE51" i="54"/>
  <c r="AD51" i="54"/>
  <c r="AC51" i="54"/>
  <c r="K50" i="54"/>
  <c r="J50" i="54"/>
  <c r="I50" i="54"/>
  <c r="H50" i="54"/>
  <c r="G50" i="54"/>
  <c r="F50" i="54"/>
  <c r="Q50" i="54" s="1"/>
  <c r="K49" i="54"/>
  <c r="J49" i="54"/>
  <c r="I49" i="54"/>
  <c r="H49" i="54"/>
  <c r="G49" i="54"/>
  <c r="F49" i="54"/>
  <c r="Q49" i="54" s="1"/>
  <c r="K47" i="54"/>
  <c r="J47" i="54"/>
  <c r="I47" i="54"/>
  <c r="H47" i="54"/>
  <c r="G47" i="54"/>
  <c r="K46" i="54"/>
  <c r="J46" i="54"/>
  <c r="I46" i="54"/>
  <c r="H46" i="54"/>
  <c r="G46" i="54"/>
  <c r="K44" i="54"/>
  <c r="J44" i="54"/>
  <c r="I44" i="54"/>
  <c r="H44" i="54"/>
  <c r="G44" i="54"/>
  <c r="F44" i="54"/>
  <c r="Q44" i="54" s="1"/>
  <c r="K43" i="54"/>
  <c r="J43" i="54"/>
  <c r="I43" i="54"/>
  <c r="H43" i="54"/>
  <c r="G43" i="54"/>
  <c r="F43" i="54"/>
  <c r="Q43" i="54" s="1"/>
  <c r="K41" i="54"/>
  <c r="P41" i="54" s="1"/>
  <c r="J41" i="54"/>
  <c r="I41" i="54"/>
  <c r="H41" i="54"/>
  <c r="G41" i="54"/>
  <c r="F41" i="54"/>
  <c r="Q41" i="54" s="1"/>
  <c r="K40" i="54"/>
  <c r="J40" i="54"/>
  <c r="I40" i="54"/>
  <c r="H40" i="54"/>
  <c r="G40" i="54"/>
  <c r="F40" i="54"/>
  <c r="Q40" i="54" s="1"/>
  <c r="K38" i="54"/>
  <c r="J38" i="54"/>
  <c r="I38" i="54"/>
  <c r="H38" i="54"/>
  <c r="G38" i="54"/>
  <c r="F38" i="54"/>
  <c r="Q38" i="54" s="1"/>
  <c r="K37" i="54"/>
  <c r="J37" i="54"/>
  <c r="I37" i="54"/>
  <c r="H37" i="54"/>
  <c r="G37" i="54"/>
  <c r="F37" i="54"/>
  <c r="AF28" i="54"/>
  <c r="AE28" i="54"/>
  <c r="AD28" i="54"/>
  <c r="AC28" i="54"/>
  <c r="AB28" i="54"/>
  <c r="K28" i="54"/>
  <c r="J28" i="54"/>
  <c r="I28" i="54"/>
  <c r="H28" i="54"/>
  <c r="G28" i="54"/>
  <c r="AF27" i="54"/>
  <c r="AE27" i="54"/>
  <c r="AD27" i="54"/>
  <c r="AC27" i="54"/>
  <c r="AB27" i="54"/>
  <c r="K27" i="54"/>
  <c r="J27" i="54"/>
  <c r="I27" i="54"/>
  <c r="H27" i="54"/>
  <c r="G27" i="54"/>
  <c r="P26" i="54"/>
  <c r="O26" i="54"/>
  <c r="N26" i="54"/>
  <c r="M26" i="54"/>
  <c r="L26" i="54"/>
  <c r="X25" i="54"/>
  <c r="P25" i="54"/>
  <c r="O25" i="54"/>
  <c r="N25" i="54"/>
  <c r="M25" i="54"/>
  <c r="L25" i="54"/>
  <c r="X20" i="54"/>
  <c r="P20" i="54"/>
  <c r="O20" i="54"/>
  <c r="N20" i="54"/>
  <c r="M20" i="54"/>
  <c r="L20" i="54"/>
  <c r="P19" i="54"/>
  <c r="O19" i="54"/>
  <c r="N19" i="54"/>
  <c r="M19" i="54"/>
  <c r="L19" i="54"/>
  <c r="P17" i="54"/>
  <c r="O17" i="54"/>
  <c r="N17" i="54"/>
  <c r="M17" i="54"/>
  <c r="L17" i="54"/>
  <c r="P16" i="54"/>
  <c r="O16" i="54"/>
  <c r="N16" i="54"/>
  <c r="M16" i="54"/>
  <c r="L16" i="54"/>
  <c r="P14" i="54"/>
  <c r="O14" i="54"/>
  <c r="N14" i="54"/>
  <c r="M14" i="54"/>
  <c r="L14" i="54"/>
  <c r="S27" i="54"/>
  <c r="X13" i="54"/>
  <c r="P13" i="54"/>
  <c r="O13" i="54"/>
  <c r="N13" i="54"/>
  <c r="M13" i="54"/>
  <c r="L13" i="54"/>
  <c r="Q9" i="54"/>
  <c r="F9" i="54"/>
  <c r="F33" i="54" s="1"/>
  <c r="K50" i="53"/>
  <c r="J50" i="53"/>
  <c r="K49" i="53"/>
  <c r="H49" i="53"/>
  <c r="J47" i="53"/>
  <c r="I46" i="53"/>
  <c r="K44" i="53"/>
  <c r="J44" i="53"/>
  <c r="H44" i="53"/>
  <c r="G44" i="53"/>
  <c r="J43" i="53"/>
  <c r="G43" i="53"/>
  <c r="K41" i="53"/>
  <c r="J41" i="53"/>
  <c r="G41" i="53"/>
  <c r="K40" i="53"/>
  <c r="J40" i="53"/>
  <c r="G40" i="53"/>
  <c r="G38" i="53"/>
  <c r="K37" i="53"/>
  <c r="J37" i="53"/>
  <c r="G37" i="53"/>
  <c r="K47" i="53"/>
  <c r="K46" i="53"/>
  <c r="K43" i="53"/>
  <c r="K38" i="53"/>
  <c r="J49" i="53"/>
  <c r="J46" i="53"/>
  <c r="J38" i="53"/>
  <c r="I50" i="53"/>
  <c r="I49" i="53"/>
  <c r="I47" i="53"/>
  <c r="I44" i="53"/>
  <c r="I43" i="53"/>
  <c r="I41" i="53"/>
  <c r="I40" i="53"/>
  <c r="I38" i="53"/>
  <c r="I37" i="53"/>
  <c r="H50" i="53"/>
  <c r="H47" i="53"/>
  <c r="H46" i="53"/>
  <c r="H43" i="53"/>
  <c r="H41" i="53"/>
  <c r="H40" i="53"/>
  <c r="H38" i="53"/>
  <c r="H37" i="53"/>
  <c r="G50" i="53"/>
  <c r="G49" i="53"/>
  <c r="G47" i="53"/>
  <c r="G46" i="53"/>
  <c r="AJ3" i="24"/>
  <c r="P49" i="54" l="1"/>
  <c r="L43" i="54"/>
  <c r="Q37" i="54"/>
  <c r="Z49" i="54"/>
  <c r="M50" i="54"/>
  <c r="X49" i="54"/>
  <c r="W49" i="54"/>
  <c r="X26" i="54"/>
  <c r="Y47" i="54"/>
  <c r="I52" i="54"/>
  <c r="V28" i="54"/>
  <c r="T28" i="54"/>
  <c r="G51" i="54"/>
  <c r="W43" i="54"/>
  <c r="R27" i="54"/>
  <c r="X19" i="54"/>
  <c r="K52" i="54"/>
  <c r="M44" i="54"/>
  <c r="U27" i="54"/>
  <c r="R28" i="54"/>
  <c r="V27" i="54"/>
  <c r="S28" i="54"/>
  <c r="U52" i="54"/>
  <c r="T27" i="54"/>
  <c r="X16" i="54"/>
  <c r="U28" i="54"/>
  <c r="X17" i="54"/>
  <c r="P40" i="54"/>
  <c r="W40" i="54"/>
  <c r="J51" i="54"/>
  <c r="O40" i="54"/>
  <c r="K51" i="54"/>
  <c r="W41" i="54"/>
  <c r="H51" i="54"/>
  <c r="U51" i="54"/>
  <c r="Y38" i="54"/>
  <c r="AA38" i="54"/>
  <c r="X14" i="54"/>
  <c r="M38" i="54"/>
  <c r="L49" i="54"/>
  <c r="M49" i="54"/>
  <c r="M43" i="54"/>
  <c r="P43" i="54"/>
  <c r="P37" i="54"/>
  <c r="L37" i="54"/>
  <c r="M37" i="54"/>
  <c r="T51" i="54"/>
  <c r="AA44" i="54"/>
  <c r="Z44" i="54"/>
  <c r="Y44" i="54"/>
  <c r="X44" i="54"/>
  <c r="X46" i="54"/>
  <c r="AA46" i="54"/>
  <c r="Y46" i="54"/>
  <c r="Z46" i="54"/>
  <c r="Y41" i="54"/>
  <c r="R52" i="54"/>
  <c r="Z38" i="54"/>
  <c r="X38" i="54"/>
  <c r="Y40" i="54"/>
  <c r="AA40" i="54"/>
  <c r="Z40" i="54"/>
  <c r="AA50" i="54"/>
  <c r="Z50" i="54"/>
  <c r="Y50" i="54"/>
  <c r="X50" i="54"/>
  <c r="S52" i="54"/>
  <c r="AA43" i="54"/>
  <c r="Y17" i="54"/>
  <c r="Y20" i="54"/>
  <c r="N38" i="54"/>
  <c r="Z14" i="54"/>
  <c r="Z17" i="54"/>
  <c r="O38" i="54"/>
  <c r="AA13" i="54"/>
  <c r="AA14" i="54"/>
  <c r="AA16" i="54"/>
  <c r="AA17" i="54"/>
  <c r="AA19" i="54"/>
  <c r="AA20" i="54"/>
  <c r="AA25" i="54"/>
  <c r="AA26" i="54"/>
  <c r="N37" i="54"/>
  <c r="V51" i="54"/>
  <c r="P38" i="54"/>
  <c r="L41" i="54"/>
  <c r="N43" i="54"/>
  <c r="P44" i="54"/>
  <c r="N49" i="54"/>
  <c r="AA49" i="54"/>
  <c r="P50" i="54"/>
  <c r="R51" i="54"/>
  <c r="H52" i="54"/>
  <c r="O44" i="54"/>
  <c r="O37" i="54"/>
  <c r="S51" i="54"/>
  <c r="M41" i="54"/>
  <c r="O43" i="54"/>
  <c r="W44" i="54"/>
  <c r="O49" i="54"/>
  <c r="W50" i="54"/>
  <c r="Y16" i="54"/>
  <c r="Y19" i="54"/>
  <c r="Y25" i="54"/>
  <c r="Z13" i="54"/>
  <c r="Z16" i="54"/>
  <c r="Z20" i="54"/>
  <c r="Z25" i="54"/>
  <c r="O50" i="54"/>
  <c r="I51" i="54"/>
  <c r="G52" i="54"/>
  <c r="X37" i="54"/>
  <c r="L40" i="54"/>
  <c r="N41" i="54"/>
  <c r="X43" i="54"/>
  <c r="AA47" i="54"/>
  <c r="J52" i="54"/>
  <c r="Y14" i="54"/>
  <c r="Y26" i="54"/>
  <c r="Z19" i="54"/>
  <c r="Y37" i="54"/>
  <c r="M40" i="54"/>
  <c r="O41" i="54"/>
  <c r="Y43" i="54"/>
  <c r="Y49" i="54"/>
  <c r="W14" i="54"/>
  <c r="W16" i="54"/>
  <c r="W17" i="54"/>
  <c r="W20" i="54"/>
  <c r="W25" i="54"/>
  <c r="W26" i="54"/>
  <c r="Z37" i="54"/>
  <c r="L38" i="54"/>
  <c r="N40" i="54"/>
  <c r="X41" i="54"/>
  <c r="Z43" i="54"/>
  <c r="L44" i="54"/>
  <c r="X47" i="54"/>
  <c r="L50" i="54"/>
  <c r="Y13" i="54"/>
  <c r="Z41" i="54"/>
  <c r="N44" i="54"/>
  <c r="Z47" i="54"/>
  <c r="N50" i="54"/>
  <c r="Z26" i="54"/>
  <c r="W13" i="54"/>
  <c r="W19" i="54"/>
  <c r="V50" i="53"/>
  <c r="U50" i="53"/>
  <c r="T50" i="53"/>
  <c r="S50" i="53"/>
  <c r="R50" i="53"/>
  <c r="V49" i="53"/>
  <c r="U49" i="53"/>
  <c r="T49" i="53"/>
  <c r="S49" i="53"/>
  <c r="R49" i="53"/>
  <c r="V47" i="53"/>
  <c r="U47" i="53"/>
  <c r="T47" i="53"/>
  <c r="S47" i="53"/>
  <c r="R47" i="53"/>
  <c r="V46" i="53"/>
  <c r="U46" i="53"/>
  <c r="T46" i="53"/>
  <c r="S46" i="53"/>
  <c r="R46" i="53"/>
  <c r="AA46" i="53" s="1"/>
  <c r="V44" i="53"/>
  <c r="U44" i="53"/>
  <c r="T44" i="53"/>
  <c r="S44" i="53"/>
  <c r="R44" i="53"/>
  <c r="V43" i="53"/>
  <c r="U43" i="53"/>
  <c r="T43" i="53"/>
  <c r="S43" i="53"/>
  <c r="R43" i="53"/>
  <c r="Y43" i="53" s="1"/>
  <c r="V41" i="53"/>
  <c r="U41" i="53"/>
  <c r="T41" i="53"/>
  <c r="S41" i="53"/>
  <c r="R41" i="53"/>
  <c r="X41" i="53" s="1"/>
  <c r="V40" i="53"/>
  <c r="U40" i="53"/>
  <c r="T40" i="53"/>
  <c r="S40" i="53"/>
  <c r="R40" i="53"/>
  <c r="Z40" i="53" s="1"/>
  <c r="V38" i="53"/>
  <c r="U38" i="53"/>
  <c r="T38" i="53"/>
  <c r="S38" i="53"/>
  <c r="R38" i="53"/>
  <c r="V37" i="53"/>
  <c r="U37" i="53"/>
  <c r="T37" i="53"/>
  <c r="S37" i="53"/>
  <c r="R37" i="53"/>
  <c r="V26" i="53"/>
  <c r="U26" i="53"/>
  <c r="T26" i="53"/>
  <c r="S26" i="53"/>
  <c r="R26" i="53"/>
  <c r="Q26" i="53"/>
  <c r="V25" i="53"/>
  <c r="U25" i="53"/>
  <c r="T25" i="53"/>
  <c r="S25" i="53"/>
  <c r="R25" i="53"/>
  <c r="Q25" i="53"/>
  <c r="V23" i="53"/>
  <c r="U23" i="53"/>
  <c r="T23" i="53"/>
  <c r="S23" i="53"/>
  <c r="R23" i="53"/>
  <c r="Q23" i="53"/>
  <c r="V22" i="53"/>
  <c r="U22" i="53"/>
  <c r="T22" i="53"/>
  <c r="S22" i="53"/>
  <c r="X22" i="53" s="1"/>
  <c r="R22" i="53"/>
  <c r="R27" i="53" s="1"/>
  <c r="Q22" i="53"/>
  <c r="V20" i="53"/>
  <c r="U20" i="53"/>
  <c r="T20" i="53"/>
  <c r="S20" i="53"/>
  <c r="R20" i="53"/>
  <c r="Q20" i="53"/>
  <c r="AA20" i="53" s="1"/>
  <c r="V19" i="53"/>
  <c r="U19" i="53"/>
  <c r="T19" i="53"/>
  <c r="S19" i="53"/>
  <c r="R19" i="53"/>
  <c r="Q19" i="53"/>
  <c r="V17" i="53"/>
  <c r="U17" i="53"/>
  <c r="T17" i="53"/>
  <c r="S17" i="53"/>
  <c r="R17" i="53"/>
  <c r="Q17" i="53"/>
  <c r="V16" i="53"/>
  <c r="U16" i="53"/>
  <c r="T16" i="53"/>
  <c r="S16" i="53"/>
  <c r="X16" i="53" s="1"/>
  <c r="R16" i="53"/>
  <c r="Q16" i="53"/>
  <c r="U14" i="53"/>
  <c r="S14" i="53"/>
  <c r="R14" i="53"/>
  <c r="Q14" i="53"/>
  <c r="U13" i="53"/>
  <c r="S13" i="53"/>
  <c r="R13" i="53"/>
  <c r="Q13" i="53"/>
  <c r="AF52" i="53"/>
  <c r="AE52" i="53"/>
  <c r="AD52" i="53"/>
  <c r="AC52" i="53"/>
  <c r="K52" i="53"/>
  <c r="J52" i="53"/>
  <c r="I52" i="53"/>
  <c r="H52" i="53"/>
  <c r="G52" i="53"/>
  <c r="AF51" i="53"/>
  <c r="AE51" i="53"/>
  <c r="AD51" i="53"/>
  <c r="AC51" i="53"/>
  <c r="K51" i="53"/>
  <c r="J51" i="53"/>
  <c r="I51" i="53"/>
  <c r="H51" i="53"/>
  <c r="G51" i="53"/>
  <c r="F50" i="53"/>
  <c r="Q50" i="53" s="1"/>
  <c r="F49" i="53"/>
  <c r="L49" i="53" s="1"/>
  <c r="F47" i="53"/>
  <c r="O47" i="53" s="1"/>
  <c r="F46" i="53"/>
  <c r="Q46" i="53" s="1"/>
  <c r="F44" i="53"/>
  <c r="L44" i="53" s="1"/>
  <c r="F43" i="53"/>
  <c r="N43" i="53" s="1"/>
  <c r="F41" i="53"/>
  <c r="Q41" i="53" s="1"/>
  <c r="F40" i="53"/>
  <c r="Q40" i="53" s="1"/>
  <c r="F38" i="53"/>
  <c r="L38" i="53" s="1"/>
  <c r="F37" i="53"/>
  <c r="M37" i="53" s="1"/>
  <c r="AF28" i="53"/>
  <c r="AE28" i="53"/>
  <c r="AD28" i="53"/>
  <c r="AC28" i="53"/>
  <c r="AB28" i="53"/>
  <c r="K28" i="53"/>
  <c r="J28" i="53"/>
  <c r="I28" i="53"/>
  <c r="H28" i="53"/>
  <c r="G28" i="53"/>
  <c r="F28" i="53"/>
  <c r="AF27" i="53"/>
  <c r="AE27" i="53"/>
  <c r="AD27" i="53"/>
  <c r="AC27" i="53"/>
  <c r="AB27" i="53"/>
  <c r="K27" i="53"/>
  <c r="J27" i="53"/>
  <c r="I27" i="53"/>
  <c r="H27" i="53"/>
  <c r="G27" i="53"/>
  <c r="F27" i="53"/>
  <c r="P26" i="53"/>
  <c r="O26" i="53"/>
  <c r="N26" i="53"/>
  <c r="M26" i="53"/>
  <c r="L26" i="53"/>
  <c r="P25" i="53"/>
  <c r="O25" i="53"/>
  <c r="N25" i="53"/>
  <c r="M25" i="53"/>
  <c r="L25" i="53"/>
  <c r="P23" i="53"/>
  <c r="O23" i="53"/>
  <c r="N23" i="53"/>
  <c r="M23" i="53"/>
  <c r="L23" i="53"/>
  <c r="AA22" i="53"/>
  <c r="P22" i="53"/>
  <c r="O22" i="53"/>
  <c r="N22" i="53"/>
  <c r="M22" i="53"/>
  <c r="L22" i="53"/>
  <c r="P20" i="53"/>
  <c r="O20" i="53"/>
  <c r="N20" i="53"/>
  <c r="M20" i="53"/>
  <c r="L20" i="53"/>
  <c r="P19" i="53"/>
  <c r="O19" i="53"/>
  <c r="N19" i="53"/>
  <c r="M19" i="53"/>
  <c r="L19" i="53"/>
  <c r="AA17" i="53"/>
  <c r="P17" i="53"/>
  <c r="O17" i="53"/>
  <c r="N17" i="53"/>
  <c r="M17" i="53"/>
  <c r="L17" i="53"/>
  <c r="AA16" i="53"/>
  <c r="P16" i="53"/>
  <c r="O16" i="53"/>
  <c r="N16" i="53"/>
  <c r="M16" i="53"/>
  <c r="L16" i="53"/>
  <c r="P14" i="53"/>
  <c r="O14" i="53"/>
  <c r="N14" i="53"/>
  <c r="M14" i="53"/>
  <c r="L14" i="53"/>
  <c r="P13" i="53"/>
  <c r="O13" i="53"/>
  <c r="N13" i="53"/>
  <c r="M13" i="53"/>
  <c r="L13" i="53"/>
  <c r="Q9" i="53"/>
  <c r="F9" i="53"/>
  <c r="F33" i="53" s="1"/>
  <c r="Q26" i="47"/>
  <c r="Q25" i="47"/>
  <c r="Q23" i="47"/>
  <c r="Q22" i="47"/>
  <c r="Q20" i="47"/>
  <c r="Q19" i="47"/>
  <c r="Q17" i="47"/>
  <c r="Q16" i="47"/>
  <c r="Q14" i="47"/>
  <c r="Q13" i="47"/>
  <c r="V52" i="54" l="1"/>
  <c r="X40" i="54"/>
  <c r="AA37" i="54"/>
  <c r="T52" i="54"/>
  <c r="Y52" i="54" s="1"/>
  <c r="AA51" i="54"/>
  <c r="Y51" i="54"/>
  <c r="X51" i="54"/>
  <c r="Z51" i="54"/>
  <c r="W37" i="54"/>
  <c r="AA52" i="54"/>
  <c r="Z52" i="54"/>
  <c r="X52" i="54"/>
  <c r="W38" i="54"/>
  <c r="AA41" i="54"/>
  <c r="X47" i="53"/>
  <c r="X25" i="53"/>
  <c r="W22" i="53"/>
  <c r="AA43" i="53"/>
  <c r="X43" i="53"/>
  <c r="AA38" i="53"/>
  <c r="W16" i="53"/>
  <c r="AA26" i="53"/>
  <c r="Z50" i="53"/>
  <c r="W46" i="53"/>
  <c r="T52" i="53"/>
  <c r="Y19" i="53"/>
  <c r="V51" i="53"/>
  <c r="AA37" i="53"/>
  <c r="AA49" i="53"/>
  <c r="U51" i="53"/>
  <c r="T51" i="53"/>
  <c r="Y46" i="53"/>
  <c r="Y44" i="53"/>
  <c r="AA50" i="53"/>
  <c r="X46" i="53"/>
  <c r="X40" i="53"/>
  <c r="Y40" i="53"/>
  <c r="Z37" i="53"/>
  <c r="S51" i="53"/>
  <c r="Z49" i="53"/>
  <c r="AA40" i="53"/>
  <c r="X44" i="53"/>
  <c r="AA44" i="53"/>
  <c r="AA41" i="53"/>
  <c r="S52" i="53"/>
  <c r="AA23" i="53"/>
  <c r="M27" i="53"/>
  <c r="P28" i="53"/>
  <c r="M38" i="53"/>
  <c r="Z17" i="53"/>
  <c r="X20" i="53"/>
  <c r="Y20" i="53"/>
  <c r="Z20" i="53"/>
  <c r="X26" i="53"/>
  <c r="Z26" i="53"/>
  <c r="Q38" i="53"/>
  <c r="W17" i="53"/>
  <c r="L47" i="53"/>
  <c r="Q43" i="53"/>
  <c r="W43" i="53" s="1"/>
  <c r="Z14" i="53"/>
  <c r="P47" i="53"/>
  <c r="Q28" i="53"/>
  <c r="Z22" i="53"/>
  <c r="W26" i="53"/>
  <c r="L28" i="53"/>
  <c r="Q49" i="53"/>
  <c r="W49" i="53" s="1"/>
  <c r="M49" i="53"/>
  <c r="Z25" i="53"/>
  <c r="N49" i="53"/>
  <c r="W25" i="53"/>
  <c r="W23" i="53"/>
  <c r="Q47" i="53"/>
  <c r="W47" i="53" s="1"/>
  <c r="M47" i="53"/>
  <c r="N47" i="53"/>
  <c r="L46" i="53"/>
  <c r="M46" i="53"/>
  <c r="N46" i="53"/>
  <c r="O46" i="53"/>
  <c r="P46" i="53"/>
  <c r="Q44" i="53"/>
  <c r="W44" i="53" s="1"/>
  <c r="M44" i="53"/>
  <c r="N44" i="53"/>
  <c r="O44" i="53"/>
  <c r="P44" i="53"/>
  <c r="W20" i="53"/>
  <c r="O43" i="53"/>
  <c r="P43" i="53"/>
  <c r="X19" i="53"/>
  <c r="Z19" i="53"/>
  <c r="Y16" i="53"/>
  <c r="Q27" i="53"/>
  <c r="W27" i="53" s="1"/>
  <c r="Z16" i="53"/>
  <c r="M28" i="53"/>
  <c r="W14" i="53"/>
  <c r="X14" i="53"/>
  <c r="L37" i="53"/>
  <c r="N37" i="53"/>
  <c r="N27" i="53"/>
  <c r="P27" i="53"/>
  <c r="Q37" i="53"/>
  <c r="Z13" i="53"/>
  <c r="AA25" i="53"/>
  <c r="Z47" i="53"/>
  <c r="W13" i="53"/>
  <c r="W19" i="53"/>
  <c r="Y47" i="53"/>
  <c r="Y23" i="53"/>
  <c r="R28" i="53"/>
  <c r="AA47" i="53"/>
  <c r="X23" i="53"/>
  <c r="X17" i="53"/>
  <c r="Z23" i="53"/>
  <c r="Y25" i="53"/>
  <c r="P40" i="53"/>
  <c r="O40" i="53"/>
  <c r="N40" i="53"/>
  <c r="M40" i="53"/>
  <c r="W50" i="53"/>
  <c r="P50" i="53"/>
  <c r="O50" i="53"/>
  <c r="N50" i="53"/>
  <c r="L40" i="53"/>
  <c r="AA19" i="53"/>
  <c r="W40" i="53"/>
  <c r="M50" i="53"/>
  <c r="O41" i="53"/>
  <c r="N41" i="53"/>
  <c r="M41" i="53"/>
  <c r="L41" i="53"/>
  <c r="Z43" i="53"/>
  <c r="Y50" i="53"/>
  <c r="X50" i="53"/>
  <c r="Y26" i="53"/>
  <c r="L27" i="53"/>
  <c r="O27" i="53"/>
  <c r="U28" i="53"/>
  <c r="P37" i="53"/>
  <c r="O37" i="53"/>
  <c r="U52" i="53"/>
  <c r="P41" i="53"/>
  <c r="Y41" i="53"/>
  <c r="S27" i="53"/>
  <c r="X13" i="53"/>
  <c r="Y38" i="53"/>
  <c r="X38" i="53"/>
  <c r="L50" i="53"/>
  <c r="S28" i="53"/>
  <c r="F51" i="53"/>
  <c r="R52" i="53"/>
  <c r="Y22" i="53"/>
  <c r="V52" i="53"/>
  <c r="W41" i="53"/>
  <c r="Z41" i="53"/>
  <c r="U27" i="53"/>
  <c r="Y17" i="53"/>
  <c r="P38" i="53"/>
  <c r="O38" i="53"/>
  <c r="F52" i="53"/>
  <c r="N38" i="53"/>
  <c r="Z38" i="53"/>
  <c r="P49" i="53"/>
  <c r="O49" i="53"/>
  <c r="N28" i="53"/>
  <c r="Z44" i="53"/>
  <c r="O28" i="53"/>
  <c r="X37" i="53"/>
  <c r="L43" i="53"/>
  <c r="Z46" i="53"/>
  <c r="X49" i="53"/>
  <c r="Y37" i="53"/>
  <c r="M43" i="53"/>
  <c r="Y49" i="53"/>
  <c r="R51" i="53"/>
  <c r="V50" i="52"/>
  <c r="U50" i="52"/>
  <c r="T50" i="52"/>
  <c r="S50" i="52"/>
  <c r="R50" i="52"/>
  <c r="V49" i="52"/>
  <c r="U49" i="52"/>
  <c r="T49" i="52"/>
  <c r="S49" i="52"/>
  <c r="R49" i="52"/>
  <c r="V47" i="52"/>
  <c r="U47" i="52"/>
  <c r="T47" i="52"/>
  <c r="S47" i="52"/>
  <c r="R47" i="52"/>
  <c r="V46" i="52"/>
  <c r="U46" i="52"/>
  <c r="T46" i="52"/>
  <c r="S46" i="52"/>
  <c r="R46" i="52"/>
  <c r="V44" i="52"/>
  <c r="U44" i="52"/>
  <c r="T44" i="52"/>
  <c r="S44" i="52"/>
  <c r="R44" i="52"/>
  <c r="V43" i="52"/>
  <c r="U43" i="52"/>
  <c r="T43" i="52"/>
  <c r="Y43" i="52" s="1"/>
  <c r="S43" i="52"/>
  <c r="R43" i="52"/>
  <c r="V41" i="52"/>
  <c r="U41" i="52"/>
  <c r="T41" i="52"/>
  <c r="S41" i="52"/>
  <c r="R41" i="52"/>
  <c r="V40" i="52"/>
  <c r="U40" i="52"/>
  <c r="T40" i="52"/>
  <c r="S40" i="52"/>
  <c r="R40" i="52"/>
  <c r="V38" i="52"/>
  <c r="U38" i="52"/>
  <c r="T38" i="52"/>
  <c r="S38" i="52"/>
  <c r="R38" i="52"/>
  <c r="V37" i="52"/>
  <c r="U37" i="52"/>
  <c r="T37" i="52"/>
  <c r="S37" i="52"/>
  <c r="R37" i="52"/>
  <c r="AF52" i="52"/>
  <c r="AE52" i="52"/>
  <c r="AD52" i="52"/>
  <c r="AC52" i="52"/>
  <c r="AF51" i="52"/>
  <c r="AE51" i="52"/>
  <c r="AD51" i="52"/>
  <c r="AC51" i="52"/>
  <c r="AA50" i="52"/>
  <c r="F50" i="52"/>
  <c r="L50" i="52" s="1"/>
  <c r="F49" i="52"/>
  <c r="N49" i="52" s="1"/>
  <c r="X47" i="52"/>
  <c r="F47" i="52"/>
  <c r="P47" i="52" s="1"/>
  <c r="F46" i="52"/>
  <c r="F44" i="52"/>
  <c r="M44" i="52" s="1"/>
  <c r="F43" i="52"/>
  <c r="L43" i="52" s="1"/>
  <c r="F41" i="52"/>
  <c r="N41" i="52" s="1"/>
  <c r="F40" i="52"/>
  <c r="N40" i="52" s="1"/>
  <c r="AA38" i="52"/>
  <c r="J52" i="52"/>
  <c r="G52" i="52"/>
  <c r="F38" i="52"/>
  <c r="F37" i="52"/>
  <c r="L37" i="52" s="1"/>
  <c r="AF28" i="52"/>
  <c r="AE28" i="52"/>
  <c r="AD28" i="52"/>
  <c r="AC28" i="52"/>
  <c r="AB28" i="52"/>
  <c r="K28" i="52"/>
  <c r="J28" i="52"/>
  <c r="I28" i="52"/>
  <c r="H28" i="52"/>
  <c r="G28" i="52"/>
  <c r="F28" i="52"/>
  <c r="AF27" i="52"/>
  <c r="AE27" i="52"/>
  <c r="AD27" i="52"/>
  <c r="AC27" i="52"/>
  <c r="AB27" i="52"/>
  <c r="K27" i="52"/>
  <c r="J27" i="52"/>
  <c r="I27" i="52"/>
  <c r="H27" i="52"/>
  <c r="G27" i="52"/>
  <c r="F27" i="52"/>
  <c r="P27" i="52" s="1"/>
  <c r="P26" i="52"/>
  <c r="O26" i="52"/>
  <c r="N26" i="52"/>
  <c r="M26" i="52"/>
  <c r="L26" i="52"/>
  <c r="P25" i="52"/>
  <c r="O25" i="52"/>
  <c r="N25" i="52"/>
  <c r="M25" i="52"/>
  <c r="L25" i="52"/>
  <c r="P23" i="52"/>
  <c r="O23" i="52"/>
  <c r="N23" i="52"/>
  <c r="M23" i="52"/>
  <c r="L23" i="52"/>
  <c r="P22" i="52"/>
  <c r="O22" i="52"/>
  <c r="N22" i="52"/>
  <c r="M22" i="52"/>
  <c r="L22" i="52"/>
  <c r="P20" i="52"/>
  <c r="O20" i="52"/>
  <c r="N20" i="52"/>
  <c r="M20" i="52"/>
  <c r="L20" i="52"/>
  <c r="P19" i="52"/>
  <c r="O19" i="52"/>
  <c r="N19" i="52"/>
  <c r="M19" i="52"/>
  <c r="L19" i="52"/>
  <c r="P17" i="52"/>
  <c r="O17" i="52"/>
  <c r="N17" i="52"/>
  <c r="M17" i="52"/>
  <c r="L17" i="52"/>
  <c r="P16" i="52"/>
  <c r="O16" i="52"/>
  <c r="N16" i="52"/>
  <c r="M16" i="52"/>
  <c r="L16" i="52"/>
  <c r="P14" i="52"/>
  <c r="O14" i="52"/>
  <c r="N14" i="52"/>
  <c r="M14" i="52"/>
  <c r="L14" i="52"/>
  <c r="P13" i="52"/>
  <c r="O13" i="52"/>
  <c r="N13" i="52"/>
  <c r="M13" i="52"/>
  <c r="L13" i="52"/>
  <c r="Q9" i="52"/>
  <c r="F9" i="52"/>
  <c r="F33" i="52" s="1"/>
  <c r="V50" i="51"/>
  <c r="U50" i="51"/>
  <c r="T50" i="51"/>
  <c r="S50" i="51"/>
  <c r="R50" i="51"/>
  <c r="V49" i="51"/>
  <c r="U49" i="51"/>
  <c r="T49" i="51"/>
  <c r="S49" i="51"/>
  <c r="R49" i="51"/>
  <c r="V47" i="51"/>
  <c r="U47" i="51"/>
  <c r="T47" i="51"/>
  <c r="S47" i="51"/>
  <c r="R47" i="51"/>
  <c r="V46" i="51"/>
  <c r="U46" i="51"/>
  <c r="T46" i="51"/>
  <c r="S46" i="51"/>
  <c r="R46" i="51"/>
  <c r="V44" i="51"/>
  <c r="U44" i="51"/>
  <c r="T44" i="51"/>
  <c r="S44" i="51"/>
  <c r="R44" i="51"/>
  <c r="V43" i="51"/>
  <c r="U43" i="51"/>
  <c r="T43" i="51"/>
  <c r="S43" i="51"/>
  <c r="R43" i="51"/>
  <c r="V41" i="51"/>
  <c r="U41" i="51"/>
  <c r="T41" i="51"/>
  <c r="S41" i="51"/>
  <c r="R41" i="51"/>
  <c r="V40" i="51"/>
  <c r="U40" i="51"/>
  <c r="T40" i="51"/>
  <c r="S40" i="51"/>
  <c r="R40" i="51"/>
  <c r="V38" i="51"/>
  <c r="U38" i="51"/>
  <c r="Z38" i="51" s="1"/>
  <c r="T38" i="51"/>
  <c r="S38" i="51"/>
  <c r="R38" i="51"/>
  <c r="V37" i="51"/>
  <c r="U37" i="51"/>
  <c r="T37" i="51"/>
  <c r="S37" i="51"/>
  <c r="R37" i="51"/>
  <c r="AF52" i="51"/>
  <c r="AE52" i="51"/>
  <c r="AD52" i="51"/>
  <c r="AC52" i="51"/>
  <c r="AF51" i="51"/>
  <c r="AE51" i="51"/>
  <c r="AD51" i="51"/>
  <c r="AC51" i="51"/>
  <c r="K50" i="51"/>
  <c r="J50" i="51"/>
  <c r="I50" i="51"/>
  <c r="H50" i="51"/>
  <c r="G50" i="51"/>
  <c r="F50" i="51"/>
  <c r="K49" i="51"/>
  <c r="J49" i="51"/>
  <c r="I49" i="51"/>
  <c r="H49" i="51"/>
  <c r="G49" i="51"/>
  <c r="F49" i="51"/>
  <c r="K47" i="51"/>
  <c r="J47" i="51"/>
  <c r="I47" i="51"/>
  <c r="H47" i="51"/>
  <c r="G47" i="51"/>
  <c r="AA47" i="51" s="1"/>
  <c r="F47" i="51"/>
  <c r="K46" i="51"/>
  <c r="J46" i="51"/>
  <c r="I46" i="51"/>
  <c r="H46" i="51"/>
  <c r="G46" i="51"/>
  <c r="F46" i="51"/>
  <c r="J44" i="51"/>
  <c r="I44" i="51"/>
  <c r="H44" i="51"/>
  <c r="F44" i="51"/>
  <c r="K43" i="51"/>
  <c r="J43" i="51"/>
  <c r="I43" i="51"/>
  <c r="H43" i="51"/>
  <c r="G43" i="51"/>
  <c r="F43" i="51"/>
  <c r="N43" i="51" s="1"/>
  <c r="K41" i="51"/>
  <c r="J41" i="51"/>
  <c r="I41" i="51"/>
  <c r="H41" i="51"/>
  <c r="G41" i="51"/>
  <c r="F41" i="51"/>
  <c r="K40" i="51"/>
  <c r="J40" i="51"/>
  <c r="I40" i="51"/>
  <c r="H40" i="51"/>
  <c r="M40" i="51" s="1"/>
  <c r="G40" i="51"/>
  <c r="F40" i="51"/>
  <c r="K38" i="51"/>
  <c r="J38" i="51"/>
  <c r="I38" i="51"/>
  <c r="H38" i="51"/>
  <c r="G38" i="51"/>
  <c r="F38" i="51"/>
  <c r="K37" i="51"/>
  <c r="J37" i="51"/>
  <c r="I37" i="51"/>
  <c r="H37" i="51"/>
  <c r="G37" i="51"/>
  <c r="F37" i="51"/>
  <c r="AF28" i="51"/>
  <c r="AE28" i="51"/>
  <c r="AD28" i="51"/>
  <c r="AC28" i="51"/>
  <c r="AB28" i="51"/>
  <c r="K28" i="51"/>
  <c r="J28" i="51"/>
  <c r="I28" i="51"/>
  <c r="H28" i="51"/>
  <c r="F28" i="51"/>
  <c r="AF27" i="51"/>
  <c r="AE27" i="51"/>
  <c r="AD27" i="51"/>
  <c r="AC27" i="51"/>
  <c r="AB27" i="51"/>
  <c r="K27" i="51"/>
  <c r="J27" i="51"/>
  <c r="I27" i="51"/>
  <c r="H27" i="51"/>
  <c r="G27" i="51"/>
  <c r="F27" i="51"/>
  <c r="P26" i="51"/>
  <c r="O26" i="51"/>
  <c r="N26" i="51"/>
  <c r="M26" i="51"/>
  <c r="L26" i="51"/>
  <c r="P25" i="51"/>
  <c r="O25" i="51"/>
  <c r="N25" i="51"/>
  <c r="M25" i="51"/>
  <c r="L25" i="51"/>
  <c r="P23" i="51"/>
  <c r="O23" i="51"/>
  <c r="N23" i="51"/>
  <c r="M23" i="51"/>
  <c r="L23" i="51"/>
  <c r="P22" i="51"/>
  <c r="O22" i="51"/>
  <c r="N22" i="51"/>
  <c r="M22" i="51"/>
  <c r="L22" i="51"/>
  <c r="P20" i="51"/>
  <c r="O20" i="51"/>
  <c r="N20" i="51"/>
  <c r="M20" i="51"/>
  <c r="L20" i="51"/>
  <c r="K44" i="51"/>
  <c r="G44" i="51"/>
  <c r="P19" i="51"/>
  <c r="O19" i="51"/>
  <c r="N19" i="51"/>
  <c r="M19" i="51"/>
  <c r="L19" i="51"/>
  <c r="P17" i="51"/>
  <c r="O17" i="51"/>
  <c r="N17" i="51"/>
  <c r="M17" i="51"/>
  <c r="L17" i="51"/>
  <c r="P16" i="51"/>
  <c r="O16" i="51"/>
  <c r="N16" i="51"/>
  <c r="M16" i="51"/>
  <c r="L16" i="51"/>
  <c r="P14" i="51"/>
  <c r="O14" i="51"/>
  <c r="N14" i="51"/>
  <c r="M14" i="51"/>
  <c r="L14" i="51"/>
  <c r="P13" i="51"/>
  <c r="O13" i="51"/>
  <c r="N13" i="51"/>
  <c r="M13" i="51"/>
  <c r="L13" i="51"/>
  <c r="Q9" i="51"/>
  <c r="F9" i="51"/>
  <c r="F33" i="51" s="1"/>
  <c r="K20" i="50"/>
  <c r="G20" i="50"/>
  <c r="W28" i="53" l="1"/>
  <c r="X27" i="53"/>
  <c r="X28" i="53"/>
  <c r="Z28" i="53"/>
  <c r="Z27" i="53"/>
  <c r="Q51" i="53"/>
  <c r="W51" i="53" s="1"/>
  <c r="W37" i="53"/>
  <c r="AA51" i="53"/>
  <c r="Z51" i="53"/>
  <c r="Y51" i="53"/>
  <c r="X51" i="53"/>
  <c r="Q52" i="53"/>
  <c r="W52" i="53" s="1"/>
  <c r="W38" i="53"/>
  <c r="P51" i="53"/>
  <c r="N51" i="53"/>
  <c r="M51" i="53"/>
  <c r="O51" i="53"/>
  <c r="L51" i="53"/>
  <c r="Y52" i="53"/>
  <c r="X52" i="53"/>
  <c r="AA52" i="53"/>
  <c r="Z52" i="53"/>
  <c r="M52" i="53"/>
  <c r="P52" i="53"/>
  <c r="O52" i="53"/>
  <c r="N52" i="53"/>
  <c r="L52" i="53"/>
  <c r="O47" i="52"/>
  <c r="M43" i="52"/>
  <c r="L49" i="52"/>
  <c r="M49" i="52"/>
  <c r="L44" i="52"/>
  <c r="N28" i="52"/>
  <c r="O27" i="52"/>
  <c r="M37" i="52"/>
  <c r="L27" i="52"/>
  <c r="Y47" i="52"/>
  <c r="H52" i="52"/>
  <c r="T52" i="52"/>
  <c r="X43" i="52"/>
  <c r="AA44" i="52"/>
  <c r="U52" i="52"/>
  <c r="M40" i="52"/>
  <c r="V52" i="52"/>
  <c r="N37" i="52"/>
  <c r="L38" i="52"/>
  <c r="O41" i="52"/>
  <c r="X49" i="52"/>
  <c r="M50" i="52"/>
  <c r="M38" i="52"/>
  <c r="P41" i="52"/>
  <c r="S52" i="52"/>
  <c r="N46" i="52"/>
  <c r="L28" i="52"/>
  <c r="P28" i="52"/>
  <c r="O28" i="52"/>
  <c r="P37" i="52"/>
  <c r="K51" i="52"/>
  <c r="R52" i="52"/>
  <c r="P49" i="52"/>
  <c r="AA49" i="52"/>
  <c r="Z50" i="52"/>
  <c r="K52" i="52"/>
  <c r="X37" i="52"/>
  <c r="R51" i="52"/>
  <c r="I52" i="52"/>
  <c r="AA41" i="52"/>
  <c r="Z41" i="52"/>
  <c r="O43" i="52"/>
  <c r="Z43" i="52"/>
  <c r="L46" i="52"/>
  <c r="P46" i="52"/>
  <c r="AA46" i="52"/>
  <c r="Y46" i="52"/>
  <c r="Z46" i="52"/>
  <c r="X46" i="52"/>
  <c r="S51" i="52"/>
  <c r="P43" i="52"/>
  <c r="AA43" i="52"/>
  <c r="Z44" i="52"/>
  <c r="O46" i="52"/>
  <c r="N27" i="52"/>
  <c r="L40" i="52"/>
  <c r="P40" i="52"/>
  <c r="O40" i="52"/>
  <c r="X41" i="52"/>
  <c r="Y49" i="52"/>
  <c r="F51" i="52"/>
  <c r="M28" i="52"/>
  <c r="I51" i="52"/>
  <c r="T51" i="52"/>
  <c r="AA40" i="52"/>
  <c r="Y40" i="52"/>
  <c r="X40" i="52"/>
  <c r="Z40" i="52"/>
  <c r="Y41" i="52"/>
  <c r="N47" i="52"/>
  <c r="G51" i="52"/>
  <c r="O37" i="52"/>
  <c r="J51" i="52"/>
  <c r="Z37" i="52"/>
  <c r="N43" i="52"/>
  <c r="M46" i="52"/>
  <c r="AA47" i="52"/>
  <c r="Z47" i="52"/>
  <c r="O49" i="52"/>
  <c r="Z49" i="52"/>
  <c r="N38" i="52"/>
  <c r="N44" i="52"/>
  <c r="N50" i="52"/>
  <c r="H51" i="52"/>
  <c r="F52" i="52"/>
  <c r="O38" i="52"/>
  <c r="O44" i="52"/>
  <c r="O50" i="52"/>
  <c r="M27" i="52"/>
  <c r="P38" i="52"/>
  <c r="X38" i="52"/>
  <c r="L41" i="52"/>
  <c r="P44" i="52"/>
  <c r="X44" i="52"/>
  <c r="L47" i="52"/>
  <c r="P50" i="52"/>
  <c r="X50" i="52"/>
  <c r="Y38" i="52"/>
  <c r="M41" i="52"/>
  <c r="Y44" i="52"/>
  <c r="M47" i="52"/>
  <c r="Y50" i="52"/>
  <c r="Z38" i="52"/>
  <c r="AA50" i="51"/>
  <c r="M49" i="51"/>
  <c r="L49" i="51"/>
  <c r="O49" i="51"/>
  <c r="M47" i="51"/>
  <c r="M46" i="51"/>
  <c r="O46" i="51"/>
  <c r="P46" i="51"/>
  <c r="M43" i="51"/>
  <c r="N41" i="51"/>
  <c r="M28" i="51"/>
  <c r="M41" i="51"/>
  <c r="F51" i="51"/>
  <c r="P51" i="51" s="1"/>
  <c r="P28" i="51"/>
  <c r="O37" i="51"/>
  <c r="P37" i="51"/>
  <c r="M37" i="51"/>
  <c r="S52" i="51"/>
  <c r="L27" i="51"/>
  <c r="G51" i="51"/>
  <c r="K51" i="51"/>
  <c r="Z41" i="51"/>
  <c r="O43" i="51"/>
  <c r="P49" i="51"/>
  <c r="I51" i="51"/>
  <c r="O38" i="51"/>
  <c r="L40" i="51"/>
  <c r="P43" i="51"/>
  <c r="L46" i="51"/>
  <c r="N49" i="51"/>
  <c r="AA41" i="51"/>
  <c r="O28" i="51"/>
  <c r="H52" i="51"/>
  <c r="O40" i="51"/>
  <c r="X40" i="51"/>
  <c r="N46" i="51"/>
  <c r="Y50" i="51"/>
  <c r="I52" i="51"/>
  <c r="O50" i="51"/>
  <c r="T51" i="51"/>
  <c r="J51" i="51"/>
  <c r="O44" i="51"/>
  <c r="U51" i="51"/>
  <c r="Y40" i="51"/>
  <c r="Z40" i="51"/>
  <c r="Y46" i="51"/>
  <c r="X46" i="51"/>
  <c r="U52" i="51"/>
  <c r="L51" i="51"/>
  <c r="K52" i="51"/>
  <c r="Y44" i="51"/>
  <c r="AA44" i="51"/>
  <c r="Z44" i="51"/>
  <c r="X44" i="51"/>
  <c r="G52" i="51"/>
  <c r="V52" i="51"/>
  <c r="AA43" i="51"/>
  <c r="Z43" i="51"/>
  <c r="Y43" i="51"/>
  <c r="L37" i="51"/>
  <c r="P40" i="51"/>
  <c r="L43" i="51"/>
  <c r="N50" i="51"/>
  <c r="M27" i="51"/>
  <c r="N37" i="51"/>
  <c r="P38" i="51"/>
  <c r="X38" i="51"/>
  <c r="L41" i="51"/>
  <c r="P44" i="51"/>
  <c r="L47" i="51"/>
  <c r="P50" i="51"/>
  <c r="X50" i="51"/>
  <c r="N47" i="51"/>
  <c r="Z50" i="51"/>
  <c r="J52" i="51"/>
  <c r="R52" i="51"/>
  <c r="O27" i="51"/>
  <c r="P27" i="51"/>
  <c r="AA38" i="51"/>
  <c r="O41" i="51"/>
  <c r="O47" i="51"/>
  <c r="N27" i="51"/>
  <c r="N28" i="51"/>
  <c r="L38" i="51"/>
  <c r="N40" i="51"/>
  <c r="AA40" i="51"/>
  <c r="P41" i="51"/>
  <c r="X41" i="51"/>
  <c r="L44" i="51"/>
  <c r="AA46" i="51"/>
  <c r="P47" i="51"/>
  <c r="L50" i="51"/>
  <c r="G28" i="51"/>
  <c r="L28" i="51" s="1"/>
  <c r="M38" i="51"/>
  <c r="Y41" i="51"/>
  <c r="X43" i="51"/>
  <c r="M44" i="51"/>
  <c r="Y47" i="51"/>
  <c r="M50" i="51"/>
  <c r="Z47" i="51"/>
  <c r="H51" i="51"/>
  <c r="F52" i="51"/>
  <c r="N38" i="51"/>
  <c r="N44" i="51"/>
  <c r="U50" i="50"/>
  <c r="T50" i="50"/>
  <c r="V47" i="50"/>
  <c r="T46" i="50"/>
  <c r="S46" i="50"/>
  <c r="V43" i="50"/>
  <c r="U43" i="50"/>
  <c r="S41" i="50"/>
  <c r="T38" i="50"/>
  <c r="S38" i="50"/>
  <c r="R37" i="50"/>
  <c r="AF52" i="50"/>
  <c r="AE52" i="50"/>
  <c r="AD52" i="50"/>
  <c r="AC52" i="50"/>
  <c r="AF51" i="50"/>
  <c r="AE51" i="50"/>
  <c r="AD51" i="50"/>
  <c r="AC51" i="50"/>
  <c r="K50" i="50"/>
  <c r="V50" i="50" s="1"/>
  <c r="J50" i="50"/>
  <c r="I50" i="50"/>
  <c r="H50" i="50"/>
  <c r="S50" i="50" s="1"/>
  <c r="G50" i="50"/>
  <c r="R50" i="50" s="1"/>
  <c r="F50" i="50"/>
  <c r="K49" i="50"/>
  <c r="V49" i="50" s="1"/>
  <c r="J49" i="50"/>
  <c r="U49" i="50" s="1"/>
  <c r="I49" i="50"/>
  <c r="T49" i="50" s="1"/>
  <c r="H49" i="50"/>
  <c r="S49" i="50" s="1"/>
  <c r="G49" i="50"/>
  <c r="R49" i="50" s="1"/>
  <c r="AA49" i="50" s="1"/>
  <c r="F49" i="50"/>
  <c r="M49" i="50" s="1"/>
  <c r="K47" i="50"/>
  <c r="J47" i="50"/>
  <c r="U47" i="50" s="1"/>
  <c r="I47" i="50"/>
  <c r="T47" i="50" s="1"/>
  <c r="H47" i="50"/>
  <c r="S47" i="50" s="1"/>
  <c r="G47" i="50"/>
  <c r="R47" i="50" s="1"/>
  <c r="F47" i="50"/>
  <c r="K46" i="50"/>
  <c r="V46" i="50" s="1"/>
  <c r="J46" i="50"/>
  <c r="U46" i="50" s="1"/>
  <c r="I46" i="50"/>
  <c r="H46" i="50"/>
  <c r="G46" i="50"/>
  <c r="R46" i="50" s="1"/>
  <c r="F46" i="50"/>
  <c r="K44" i="50"/>
  <c r="V44" i="50" s="1"/>
  <c r="J44" i="50"/>
  <c r="U44" i="50" s="1"/>
  <c r="I44" i="50"/>
  <c r="T44" i="50" s="1"/>
  <c r="H44" i="50"/>
  <c r="S44" i="50" s="1"/>
  <c r="G44" i="50"/>
  <c r="F44" i="50"/>
  <c r="K43" i="50"/>
  <c r="J43" i="50"/>
  <c r="I43" i="50"/>
  <c r="T43" i="50" s="1"/>
  <c r="H43" i="50"/>
  <c r="S43" i="50" s="1"/>
  <c r="G43" i="50"/>
  <c r="R43" i="50" s="1"/>
  <c r="AA43" i="50" s="1"/>
  <c r="F43" i="50"/>
  <c r="K41" i="50"/>
  <c r="V41" i="50" s="1"/>
  <c r="J41" i="50"/>
  <c r="U41" i="50" s="1"/>
  <c r="I41" i="50"/>
  <c r="T41" i="50" s="1"/>
  <c r="H41" i="50"/>
  <c r="G41" i="50"/>
  <c r="F41" i="50"/>
  <c r="K40" i="50"/>
  <c r="V40" i="50" s="1"/>
  <c r="J40" i="50"/>
  <c r="U40" i="50" s="1"/>
  <c r="I40" i="50"/>
  <c r="T40" i="50" s="1"/>
  <c r="H40" i="50"/>
  <c r="S40" i="50" s="1"/>
  <c r="G40" i="50"/>
  <c r="R40" i="50" s="1"/>
  <c r="F40" i="50"/>
  <c r="M40" i="50" s="1"/>
  <c r="K38" i="50"/>
  <c r="V38" i="50" s="1"/>
  <c r="J38" i="50"/>
  <c r="U38" i="50" s="1"/>
  <c r="I38" i="50"/>
  <c r="H38" i="50"/>
  <c r="G38" i="50"/>
  <c r="R38" i="50" s="1"/>
  <c r="AA38" i="50" s="1"/>
  <c r="F38" i="50"/>
  <c r="O38" i="50" s="1"/>
  <c r="K37" i="50"/>
  <c r="K51" i="50" s="1"/>
  <c r="J37" i="50"/>
  <c r="U37" i="50" s="1"/>
  <c r="I37" i="50"/>
  <c r="T37" i="50" s="1"/>
  <c r="H37" i="50"/>
  <c r="S37" i="50" s="1"/>
  <c r="G37" i="50"/>
  <c r="F37" i="50"/>
  <c r="AF28" i="50"/>
  <c r="AE28" i="50"/>
  <c r="AD28" i="50"/>
  <c r="AC28" i="50"/>
  <c r="AB28" i="50"/>
  <c r="K28" i="50"/>
  <c r="J28" i="50"/>
  <c r="I28" i="50"/>
  <c r="H28" i="50"/>
  <c r="G28" i="50"/>
  <c r="F28" i="50"/>
  <c r="P28" i="50" s="1"/>
  <c r="AF27" i="50"/>
  <c r="AE27" i="50"/>
  <c r="AD27" i="50"/>
  <c r="AC27" i="50"/>
  <c r="AB27" i="50"/>
  <c r="K27" i="50"/>
  <c r="J27" i="50"/>
  <c r="I27" i="50"/>
  <c r="H27" i="50"/>
  <c r="G27" i="50"/>
  <c r="F27" i="50"/>
  <c r="P26" i="50"/>
  <c r="O26" i="50"/>
  <c r="N26" i="50"/>
  <c r="M26" i="50"/>
  <c r="L26" i="50"/>
  <c r="P25" i="50"/>
  <c r="O25" i="50"/>
  <c r="N25" i="50"/>
  <c r="M25" i="50"/>
  <c r="L25" i="50"/>
  <c r="P23" i="50"/>
  <c r="O23" i="50"/>
  <c r="N23" i="50"/>
  <c r="M23" i="50"/>
  <c r="L23" i="50"/>
  <c r="P22" i="50"/>
  <c r="O22" i="50"/>
  <c r="N22" i="50"/>
  <c r="M22" i="50"/>
  <c r="L22" i="50"/>
  <c r="P20" i="50"/>
  <c r="O20" i="50"/>
  <c r="N20" i="50"/>
  <c r="M20" i="50"/>
  <c r="L20" i="50"/>
  <c r="P19" i="50"/>
  <c r="O19" i="50"/>
  <c r="N19" i="50"/>
  <c r="M19" i="50"/>
  <c r="L19" i="50"/>
  <c r="P17" i="50"/>
  <c r="O17" i="50"/>
  <c r="N17" i="50"/>
  <c r="M17" i="50"/>
  <c r="L17" i="50"/>
  <c r="P16" i="50"/>
  <c r="O16" i="50"/>
  <c r="N16" i="50"/>
  <c r="M16" i="50"/>
  <c r="L16" i="50"/>
  <c r="P14" i="50"/>
  <c r="O14" i="50"/>
  <c r="N14" i="50"/>
  <c r="M14" i="50"/>
  <c r="L14" i="50"/>
  <c r="P13" i="50"/>
  <c r="O13" i="50"/>
  <c r="N13" i="50"/>
  <c r="M13" i="50"/>
  <c r="L13" i="50"/>
  <c r="Q9" i="50"/>
  <c r="F9" i="50"/>
  <c r="F33" i="50" s="1"/>
  <c r="Y37" i="52" l="1"/>
  <c r="V51" i="52"/>
  <c r="AA51" i="52" s="1"/>
  <c r="L51" i="52"/>
  <c r="P51" i="52"/>
  <c r="M51" i="52"/>
  <c r="O51" i="52"/>
  <c r="N51" i="52"/>
  <c r="AA52" i="52"/>
  <c r="Z52" i="52"/>
  <c r="Y52" i="52"/>
  <c r="X52" i="52"/>
  <c r="X51" i="52"/>
  <c r="Y51" i="52"/>
  <c r="O52" i="52"/>
  <c r="P52" i="52"/>
  <c r="N52" i="52"/>
  <c r="M52" i="52"/>
  <c r="L52" i="52"/>
  <c r="AA37" i="52"/>
  <c r="U51" i="52"/>
  <c r="Z51" i="52" s="1"/>
  <c r="N51" i="51"/>
  <c r="M51" i="51"/>
  <c r="O51" i="51"/>
  <c r="X47" i="51"/>
  <c r="S51" i="51"/>
  <c r="Z46" i="51"/>
  <c r="AA49" i="51"/>
  <c r="Z49" i="51"/>
  <c r="Y49" i="51"/>
  <c r="X49" i="51"/>
  <c r="AA37" i="51"/>
  <c r="X37" i="51"/>
  <c r="Z37" i="51"/>
  <c r="Y37" i="51"/>
  <c r="R51" i="51"/>
  <c r="AA52" i="51"/>
  <c r="Z52" i="51"/>
  <c r="X52" i="51"/>
  <c r="V51" i="51"/>
  <c r="T52" i="51"/>
  <c r="Y52" i="51" s="1"/>
  <c r="Y38" i="51"/>
  <c r="O52" i="51"/>
  <c r="N52" i="51"/>
  <c r="M52" i="51"/>
  <c r="L52" i="51"/>
  <c r="P52" i="51"/>
  <c r="L44" i="50"/>
  <c r="L41" i="50"/>
  <c r="T52" i="50"/>
  <c r="Y40" i="50"/>
  <c r="P44" i="50"/>
  <c r="M37" i="50"/>
  <c r="O44" i="50"/>
  <c r="Y46" i="50"/>
  <c r="V37" i="50"/>
  <c r="V51" i="50" s="1"/>
  <c r="H51" i="50"/>
  <c r="I52" i="50"/>
  <c r="O50" i="50"/>
  <c r="I51" i="50"/>
  <c r="M43" i="50"/>
  <c r="X50" i="50"/>
  <c r="L47" i="50"/>
  <c r="L46" i="50"/>
  <c r="R44" i="50"/>
  <c r="X44" i="50" s="1"/>
  <c r="X43" i="50"/>
  <c r="G52" i="50"/>
  <c r="R41" i="50"/>
  <c r="AA41" i="50" s="1"/>
  <c r="G51" i="50"/>
  <c r="L27" i="50"/>
  <c r="L40" i="50"/>
  <c r="L50" i="50"/>
  <c r="P50" i="50"/>
  <c r="M28" i="50"/>
  <c r="M27" i="50"/>
  <c r="L38" i="50"/>
  <c r="P38" i="50"/>
  <c r="L28" i="50"/>
  <c r="O27" i="50"/>
  <c r="P27" i="50"/>
  <c r="V52" i="50"/>
  <c r="Y41" i="50"/>
  <c r="X41" i="50"/>
  <c r="S52" i="50"/>
  <c r="X38" i="50"/>
  <c r="AA47" i="50"/>
  <c r="Z47" i="50"/>
  <c r="Y47" i="50"/>
  <c r="X47" i="50"/>
  <c r="AA50" i="50"/>
  <c r="U51" i="50"/>
  <c r="U52" i="50"/>
  <c r="N37" i="50"/>
  <c r="Z40" i="50"/>
  <c r="N43" i="50"/>
  <c r="Z46" i="50"/>
  <c r="N49" i="50"/>
  <c r="J51" i="50"/>
  <c r="R51" i="50"/>
  <c r="H52" i="50"/>
  <c r="N27" i="50"/>
  <c r="O37" i="50"/>
  <c r="Y38" i="50"/>
  <c r="AA40" i="50"/>
  <c r="M41" i="50"/>
  <c r="O43" i="50"/>
  <c r="AA46" i="50"/>
  <c r="M47" i="50"/>
  <c r="O49" i="50"/>
  <c r="Y50" i="50"/>
  <c r="P37" i="50"/>
  <c r="Z38" i="50"/>
  <c r="N41" i="50"/>
  <c r="P43" i="50"/>
  <c r="N47" i="50"/>
  <c r="P49" i="50"/>
  <c r="X49" i="50"/>
  <c r="Z50" i="50"/>
  <c r="J52" i="50"/>
  <c r="R52" i="50"/>
  <c r="O41" i="50"/>
  <c r="Y43" i="50"/>
  <c r="M46" i="50"/>
  <c r="O47" i="50"/>
  <c r="Y49" i="50"/>
  <c r="K52" i="50"/>
  <c r="N28" i="50"/>
  <c r="Z37" i="50"/>
  <c r="N40" i="50"/>
  <c r="P41" i="50"/>
  <c r="Z43" i="50"/>
  <c r="N46" i="50"/>
  <c r="P47" i="50"/>
  <c r="Z49" i="50"/>
  <c r="F51" i="50"/>
  <c r="O28" i="50"/>
  <c r="M38" i="50"/>
  <c r="O40" i="50"/>
  <c r="M44" i="50"/>
  <c r="O46" i="50"/>
  <c r="M50" i="50"/>
  <c r="L37" i="50"/>
  <c r="N38" i="50"/>
  <c r="P40" i="50"/>
  <c r="X40" i="50"/>
  <c r="L43" i="50"/>
  <c r="N44" i="50"/>
  <c r="P46" i="50"/>
  <c r="X46" i="50"/>
  <c r="L49" i="50"/>
  <c r="N50" i="50"/>
  <c r="F52" i="50"/>
  <c r="Y51" i="51" l="1"/>
  <c r="X51" i="51"/>
  <c r="AA51" i="51"/>
  <c r="Z51" i="51"/>
  <c r="AA44" i="50"/>
  <c r="Z41" i="50"/>
  <c r="Z44" i="50"/>
  <c r="AA37" i="50"/>
  <c r="Y44" i="50"/>
  <c r="X37" i="50"/>
  <c r="S51" i="50"/>
  <c r="X51" i="50" s="1"/>
  <c r="AA52" i="50"/>
  <c r="Z52" i="50"/>
  <c r="Y52" i="50"/>
  <c r="X52" i="50"/>
  <c r="AA51" i="50"/>
  <c r="Z51" i="50"/>
  <c r="O52" i="50"/>
  <c r="N52" i="50"/>
  <c r="M52" i="50"/>
  <c r="L52" i="50"/>
  <c r="P52" i="50"/>
  <c r="P51" i="50"/>
  <c r="O51" i="50"/>
  <c r="N51" i="50"/>
  <c r="M51" i="50"/>
  <c r="L51" i="50"/>
  <c r="Y37" i="50"/>
  <c r="T51" i="50"/>
  <c r="Y51" i="50" s="1"/>
  <c r="V50" i="49" l="1"/>
  <c r="V49" i="49"/>
  <c r="V47" i="49"/>
  <c r="V46" i="49"/>
  <c r="V44" i="49"/>
  <c r="V43" i="49"/>
  <c r="V41" i="49"/>
  <c r="V40" i="49"/>
  <c r="V38" i="49"/>
  <c r="V37" i="49"/>
  <c r="U50" i="49"/>
  <c r="U49" i="49"/>
  <c r="U47" i="49"/>
  <c r="U46" i="49"/>
  <c r="U44" i="49"/>
  <c r="U43" i="49"/>
  <c r="U41" i="49"/>
  <c r="U40" i="49"/>
  <c r="U38" i="49"/>
  <c r="U37" i="49"/>
  <c r="T50" i="49"/>
  <c r="T49" i="49"/>
  <c r="T47" i="49"/>
  <c r="T46" i="49"/>
  <c r="T44" i="49"/>
  <c r="T43" i="49"/>
  <c r="T41" i="49"/>
  <c r="T40" i="49"/>
  <c r="T38" i="49"/>
  <c r="T37" i="49"/>
  <c r="S50" i="49"/>
  <c r="S49" i="49"/>
  <c r="S47" i="49"/>
  <c r="S46" i="49"/>
  <c r="S44" i="49"/>
  <c r="S43" i="49"/>
  <c r="S41" i="49"/>
  <c r="S40" i="49"/>
  <c r="S38" i="49"/>
  <c r="S37" i="49"/>
  <c r="R50" i="49"/>
  <c r="R49" i="49"/>
  <c r="R47" i="49"/>
  <c r="R46" i="49"/>
  <c r="R44" i="49"/>
  <c r="R43" i="49"/>
  <c r="R41" i="49"/>
  <c r="R40" i="49"/>
  <c r="R38" i="49"/>
  <c r="R37" i="49"/>
  <c r="AF52" i="49" l="1"/>
  <c r="AE52" i="49"/>
  <c r="AD52" i="49"/>
  <c r="AC52" i="49"/>
  <c r="AF51" i="49"/>
  <c r="AE51" i="49"/>
  <c r="AD51" i="49"/>
  <c r="AC51" i="49"/>
  <c r="K50" i="49"/>
  <c r="J50" i="49"/>
  <c r="I50" i="49"/>
  <c r="H50" i="49"/>
  <c r="G50" i="49"/>
  <c r="F50" i="49"/>
  <c r="O50" i="49" s="1"/>
  <c r="AA49" i="49"/>
  <c r="K49" i="49"/>
  <c r="J49" i="49"/>
  <c r="I49" i="49"/>
  <c r="H49" i="49"/>
  <c r="G49" i="49"/>
  <c r="F49" i="49"/>
  <c r="M49" i="49" s="1"/>
  <c r="K47" i="49"/>
  <c r="J47" i="49"/>
  <c r="I47" i="49"/>
  <c r="H47" i="49"/>
  <c r="G47" i="49"/>
  <c r="F47" i="49"/>
  <c r="K46" i="49"/>
  <c r="J46" i="49"/>
  <c r="I46" i="49"/>
  <c r="H46" i="49"/>
  <c r="G46" i="49"/>
  <c r="F46" i="49"/>
  <c r="K44" i="49"/>
  <c r="J44" i="49"/>
  <c r="I44" i="49"/>
  <c r="H44" i="49"/>
  <c r="G44" i="49"/>
  <c r="F44" i="49"/>
  <c r="P44" i="49" s="1"/>
  <c r="K43" i="49"/>
  <c r="J43" i="49"/>
  <c r="I43" i="49"/>
  <c r="H43" i="49"/>
  <c r="G43" i="49"/>
  <c r="AA43" i="49" s="1"/>
  <c r="F43" i="49"/>
  <c r="M43" i="49" s="1"/>
  <c r="K41" i="49"/>
  <c r="J41" i="49"/>
  <c r="I41" i="49"/>
  <c r="H41" i="49"/>
  <c r="G41" i="49"/>
  <c r="F41" i="49"/>
  <c r="Y40" i="49"/>
  <c r="L40" i="49"/>
  <c r="K40" i="49"/>
  <c r="J40" i="49"/>
  <c r="I40" i="49"/>
  <c r="H40" i="49"/>
  <c r="G40" i="49"/>
  <c r="F40" i="49"/>
  <c r="AA38" i="49"/>
  <c r="K38" i="49"/>
  <c r="J38" i="49"/>
  <c r="I38" i="49"/>
  <c r="H38" i="49"/>
  <c r="G38" i="49"/>
  <c r="G52" i="49" s="1"/>
  <c r="F38" i="49"/>
  <c r="O38" i="49" s="1"/>
  <c r="K37" i="49"/>
  <c r="J37" i="49"/>
  <c r="I37" i="49"/>
  <c r="I51" i="49" s="1"/>
  <c r="H37" i="49"/>
  <c r="H51" i="49" s="1"/>
  <c r="G37" i="49"/>
  <c r="G51" i="49" s="1"/>
  <c r="F37" i="49"/>
  <c r="AF28" i="49"/>
  <c r="AE28" i="49"/>
  <c r="AD28" i="49"/>
  <c r="AC28" i="49"/>
  <c r="AB28" i="49"/>
  <c r="K28" i="49"/>
  <c r="J28" i="49"/>
  <c r="I28" i="49"/>
  <c r="H28" i="49"/>
  <c r="G28" i="49"/>
  <c r="F28" i="49"/>
  <c r="N28" i="49" s="1"/>
  <c r="AF27" i="49"/>
  <c r="AE27" i="49"/>
  <c r="AD27" i="49"/>
  <c r="AC27" i="49"/>
  <c r="AB27" i="49"/>
  <c r="K27" i="49"/>
  <c r="J27" i="49"/>
  <c r="I27" i="49"/>
  <c r="H27" i="49"/>
  <c r="G27" i="49"/>
  <c r="F27" i="49"/>
  <c r="L27" i="49" s="1"/>
  <c r="P26" i="49"/>
  <c r="O26" i="49"/>
  <c r="N26" i="49"/>
  <c r="M26" i="49"/>
  <c r="L26" i="49"/>
  <c r="P25" i="49"/>
  <c r="O25" i="49"/>
  <c r="N25" i="49"/>
  <c r="M25" i="49"/>
  <c r="L25" i="49"/>
  <c r="P23" i="49"/>
  <c r="O23" i="49"/>
  <c r="N23" i="49"/>
  <c r="M23" i="49"/>
  <c r="L23" i="49"/>
  <c r="P22" i="49"/>
  <c r="O22" i="49"/>
  <c r="N22" i="49"/>
  <c r="M22" i="49"/>
  <c r="L22" i="49"/>
  <c r="P20" i="49"/>
  <c r="O20" i="49"/>
  <c r="N20" i="49"/>
  <c r="M20" i="49"/>
  <c r="L20" i="49"/>
  <c r="P19" i="49"/>
  <c r="O19" i="49"/>
  <c r="N19" i="49"/>
  <c r="M19" i="49"/>
  <c r="L19" i="49"/>
  <c r="P17" i="49"/>
  <c r="O17" i="49"/>
  <c r="N17" i="49"/>
  <c r="M17" i="49"/>
  <c r="L17" i="49"/>
  <c r="P16" i="49"/>
  <c r="O16" i="49"/>
  <c r="N16" i="49"/>
  <c r="M16" i="49"/>
  <c r="L16" i="49"/>
  <c r="P14" i="49"/>
  <c r="O14" i="49"/>
  <c r="N14" i="49"/>
  <c r="M14" i="49"/>
  <c r="L14" i="49"/>
  <c r="P13" i="49"/>
  <c r="O13" i="49"/>
  <c r="N13" i="49"/>
  <c r="M13" i="49"/>
  <c r="L13" i="49"/>
  <c r="Q9" i="49"/>
  <c r="F9" i="49"/>
  <c r="F33" i="49" s="1"/>
  <c r="L50" i="49" l="1"/>
  <c r="P50" i="49"/>
  <c r="M27" i="49"/>
  <c r="V51" i="49"/>
  <c r="Y46" i="49"/>
  <c r="L28" i="49"/>
  <c r="M37" i="49"/>
  <c r="P38" i="49"/>
  <c r="P49" i="49"/>
  <c r="T52" i="49"/>
  <c r="P43" i="49"/>
  <c r="O27" i="49"/>
  <c r="I52" i="49"/>
  <c r="L44" i="49"/>
  <c r="X49" i="49"/>
  <c r="K51" i="49"/>
  <c r="U52" i="49"/>
  <c r="P37" i="49"/>
  <c r="O44" i="49"/>
  <c r="L46" i="49"/>
  <c r="Z37" i="49"/>
  <c r="L38" i="49"/>
  <c r="X43" i="49"/>
  <c r="V52" i="49"/>
  <c r="AA41" i="49"/>
  <c r="X41" i="49"/>
  <c r="Z41" i="49"/>
  <c r="Y41" i="49"/>
  <c r="AA44" i="49"/>
  <c r="S52" i="49"/>
  <c r="AA47" i="49"/>
  <c r="Z47" i="49"/>
  <c r="X47" i="49"/>
  <c r="Y47" i="49"/>
  <c r="AA50" i="49"/>
  <c r="U51" i="49"/>
  <c r="N37" i="49"/>
  <c r="X38" i="49"/>
  <c r="Z40" i="49"/>
  <c r="L41" i="49"/>
  <c r="N43" i="49"/>
  <c r="X44" i="49"/>
  <c r="Z46" i="49"/>
  <c r="L47" i="49"/>
  <c r="N49" i="49"/>
  <c r="X50" i="49"/>
  <c r="J51" i="49"/>
  <c r="R51" i="49"/>
  <c r="H52" i="49"/>
  <c r="P41" i="49"/>
  <c r="N27" i="49"/>
  <c r="O37" i="49"/>
  <c r="Y38" i="49"/>
  <c r="AA40" i="49"/>
  <c r="M41" i="49"/>
  <c r="O43" i="49"/>
  <c r="Y44" i="49"/>
  <c r="AA46" i="49"/>
  <c r="M47" i="49"/>
  <c r="O49" i="49"/>
  <c r="Y50" i="49"/>
  <c r="Z38" i="49"/>
  <c r="N41" i="49"/>
  <c r="Z44" i="49"/>
  <c r="N47" i="49"/>
  <c r="Z50" i="49"/>
  <c r="J52" i="49"/>
  <c r="R52" i="49"/>
  <c r="P27" i="49"/>
  <c r="M28" i="49"/>
  <c r="M40" i="49"/>
  <c r="O41" i="49"/>
  <c r="Y43" i="49"/>
  <c r="M46" i="49"/>
  <c r="O47" i="49"/>
  <c r="Y49" i="49"/>
  <c r="K52" i="49"/>
  <c r="Z43" i="49"/>
  <c r="P47" i="49"/>
  <c r="Z49" i="49"/>
  <c r="O28" i="49"/>
  <c r="M38" i="49"/>
  <c r="O40" i="49"/>
  <c r="M44" i="49"/>
  <c r="O46" i="49"/>
  <c r="M50" i="49"/>
  <c r="P28" i="49"/>
  <c r="L37" i="49"/>
  <c r="T51" i="49"/>
  <c r="N38" i="49"/>
  <c r="P40" i="49"/>
  <c r="X40" i="49"/>
  <c r="L43" i="49"/>
  <c r="N44" i="49"/>
  <c r="P46" i="49"/>
  <c r="X46" i="49"/>
  <c r="L49" i="49"/>
  <c r="N50" i="49"/>
  <c r="F52" i="49"/>
  <c r="N40" i="49"/>
  <c r="N46" i="49"/>
  <c r="F51" i="49"/>
  <c r="AA37" i="49" l="1"/>
  <c r="Y37" i="49"/>
  <c r="AA52" i="49"/>
  <c r="Z52" i="49"/>
  <c r="Y52" i="49"/>
  <c r="X52" i="49"/>
  <c r="N51" i="49"/>
  <c r="P51" i="49"/>
  <c r="O51" i="49"/>
  <c r="M51" i="49"/>
  <c r="L51" i="49"/>
  <c r="X37" i="49"/>
  <c r="S51" i="49"/>
  <c r="X51" i="49" s="1"/>
  <c r="O52" i="49"/>
  <c r="L52" i="49"/>
  <c r="N52" i="49"/>
  <c r="M52" i="49"/>
  <c r="P52" i="49"/>
  <c r="Y51" i="49"/>
  <c r="AA51" i="49"/>
  <c r="Z51" i="49"/>
  <c r="V50" i="45" l="1"/>
  <c r="V49" i="45"/>
  <c r="V47" i="45"/>
  <c r="V46" i="45"/>
  <c r="V44" i="45"/>
  <c r="V43" i="45"/>
  <c r="V41" i="45"/>
  <c r="V40" i="45"/>
  <c r="V38" i="45"/>
  <c r="V37" i="45"/>
  <c r="V50" i="46"/>
  <c r="V49" i="46"/>
  <c r="V47" i="46"/>
  <c r="V46" i="46"/>
  <c r="V44" i="46"/>
  <c r="V43" i="46"/>
  <c r="V41" i="46"/>
  <c r="V40" i="46"/>
  <c r="V38" i="46"/>
  <c r="V37" i="46"/>
  <c r="U37" i="46"/>
  <c r="U50" i="45"/>
  <c r="U49" i="45"/>
  <c r="U47" i="45"/>
  <c r="U46" i="45"/>
  <c r="U44" i="45"/>
  <c r="U43" i="45"/>
  <c r="U41" i="45"/>
  <c r="U40" i="45"/>
  <c r="U38" i="45"/>
  <c r="U37" i="45"/>
  <c r="U50" i="46"/>
  <c r="U49" i="46"/>
  <c r="U47" i="46"/>
  <c r="U46" i="46"/>
  <c r="U44" i="46"/>
  <c r="U43" i="46"/>
  <c r="U41" i="46"/>
  <c r="U40" i="46"/>
  <c r="U38" i="46"/>
  <c r="T47" i="45"/>
  <c r="T47" i="46" s="1"/>
  <c r="T46" i="45"/>
  <c r="T44" i="45"/>
  <c r="T44" i="46" s="1"/>
  <c r="T43" i="45"/>
  <c r="T43" i="46" s="1"/>
  <c r="T41" i="45"/>
  <c r="T41" i="46" s="1"/>
  <c r="T38" i="45"/>
  <c r="T38" i="46" s="1"/>
  <c r="T37" i="45"/>
  <c r="T50" i="46"/>
  <c r="T49" i="46"/>
  <c r="T46" i="46"/>
  <c r="T37" i="46"/>
  <c r="R37" i="48"/>
  <c r="S37" i="48"/>
  <c r="S50" i="46"/>
  <c r="S49" i="46"/>
  <c r="S47" i="46"/>
  <c r="S46" i="46"/>
  <c r="S44" i="46"/>
  <c r="S43" i="46"/>
  <c r="S41" i="46"/>
  <c r="S40" i="46"/>
  <c r="S38" i="46"/>
  <c r="S37" i="46"/>
  <c r="S50" i="45"/>
  <c r="S49" i="45"/>
  <c r="S47" i="45"/>
  <c r="S46" i="45"/>
  <c r="S44" i="45"/>
  <c r="S43" i="45"/>
  <c r="S41" i="45"/>
  <c r="S40" i="45"/>
  <c r="S38" i="45"/>
  <c r="S37" i="45"/>
  <c r="AF52" i="48"/>
  <c r="AE52" i="48"/>
  <c r="AD52" i="48"/>
  <c r="AF51" i="48"/>
  <c r="AE51" i="48"/>
  <c r="AD51" i="48"/>
  <c r="K50" i="48"/>
  <c r="V50" i="48" s="1"/>
  <c r="J50" i="48"/>
  <c r="U50" i="48" s="1"/>
  <c r="K49" i="48"/>
  <c r="V49" i="48" s="1"/>
  <c r="J49" i="48"/>
  <c r="U49" i="48" s="1"/>
  <c r="H49" i="48"/>
  <c r="S49" i="48" s="1"/>
  <c r="K47" i="48"/>
  <c r="V47" i="48" s="1"/>
  <c r="F46" i="48"/>
  <c r="Q46" i="48" s="1"/>
  <c r="Q46" i="49" s="1"/>
  <c r="F44" i="48"/>
  <c r="H43" i="48"/>
  <c r="S43" i="48" s="1"/>
  <c r="AC52" i="48"/>
  <c r="I41" i="48"/>
  <c r="T41" i="48" s="1"/>
  <c r="H41" i="48"/>
  <c r="S41" i="48" s="1"/>
  <c r="G41" i="48"/>
  <c r="R41" i="48" s="1"/>
  <c r="J40" i="48"/>
  <c r="U40" i="48" s="1"/>
  <c r="I38" i="48"/>
  <c r="T38" i="48" s="1"/>
  <c r="H38" i="48"/>
  <c r="S38" i="48" s="1"/>
  <c r="G38" i="48"/>
  <c r="AC51" i="48"/>
  <c r="H37" i="48"/>
  <c r="F33" i="48"/>
  <c r="AF27" i="48"/>
  <c r="AD27" i="48"/>
  <c r="N26" i="48"/>
  <c r="L26" i="48"/>
  <c r="I50" i="48"/>
  <c r="T50" i="48" s="1"/>
  <c r="H50" i="48"/>
  <c r="S50" i="48" s="1"/>
  <c r="G50" i="48"/>
  <c r="R50" i="48" s="1"/>
  <c r="M26" i="48"/>
  <c r="M25" i="48"/>
  <c r="I49" i="48"/>
  <c r="T49" i="48" s="1"/>
  <c r="G49" i="48"/>
  <c r="R49" i="48" s="1"/>
  <c r="AF28" i="48"/>
  <c r="J47" i="48"/>
  <c r="U47" i="48" s="1"/>
  <c r="I47" i="48"/>
  <c r="T47" i="48" s="1"/>
  <c r="G47" i="48"/>
  <c r="R47" i="48" s="1"/>
  <c r="N23" i="48"/>
  <c r="P22" i="48"/>
  <c r="J46" i="48"/>
  <c r="U46" i="48" s="1"/>
  <c r="I46" i="48"/>
  <c r="T46" i="48" s="1"/>
  <c r="H46" i="48"/>
  <c r="G46" i="48"/>
  <c r="R46" i="48" s="1"/>
  <c r="P20" i="48"/>
  <c r="L20" i="48"/>
  <c r="K44" i="48"/>
  <c r="V44" i="48" s="1"/>
  <c r="J44" i="48"/>
  <c r="I44" i="48"/>
  <c r="T44" i="48" s="1"/>
  <c r="H44" i="48"/>
  <c r="S44" i="48" s="1"/>
  <c r="G44" i="48"/>
  <c r="R44" i="48" s="1"/>
  <c r="K43" i="48"/>
  <c r="V43" i="48" s="1"/>
  <c r="J43" i="48"/>
  <c r="U43" i="48" s="1"/>
  <c r="G43" i="48"/>
  <c r="R43" i="48" s="1"/>
  <c r="M19" i="48"/>
  <c r="AC28" i="48"/>
  <c r="L17" i="48"/>
  <c r="K41" i="48"/>
  <c r="V41" i="48" s="1"/>
  <c r="J41" i="48"/>
  <c r="U41" i="48" s="1"/>
  <c r="O16" i="48"/>
  <c r="M16" i="48"/>
  <c r="L16" i="48"/>
  <c r="K40" i="48"/>
  <c r="I40" i="48"/>
  <c r="T40" i="48" s="1"/>
  <c r="H27" i="48"/>
  <c r="F40" i="48"/>
  <c r="AE28" i="48"/>
  <c r="AD28" i="48"/>
  <c r="AB28" i="48"/>
  <c r="N14" i="48"/>
  <c r="L14" i="48"/>
  <c r="K38" i="48"/>
  <c r="I28" i="48"/>
  <c r="H28" i="48"/>
  <c r="M14" i="48"/>
  <c r="AE27" i="48"/>
  <c r="AC27" i="48"/>
  <c r="AB27" i="48"/>
  <c r="M13" i="48"/>
  <c r="K37" i="48"/>
  <c r="V37" i="48" s="1"/>
  <c r="J37" i="48"/>
  <c r="I37" i="48"/>
  <c r="G37" i="48"/>
  <c r="P13" i="48"/>
  <c r="Q9" i="48"/>
  <c r="F9" i="48"/>
  <c r="Q46" i="50" l="1"/>
  <c r="W46" i="49"/>
  <c r="N46" i="48"/>
  <c r="Z43" i="48"/>
  <c r="O46" i="48"/>
  <c r="AA43" i="48"/>
  <c r="M44" i="48"/>
  <c r="N44" i="48"/>
  <c r="K52" i="48"/>
  <c r="V38" i="48"/>
  <c r="V52" i="48" s="1"/>
  <c r="J51" i="48"/>
  <c r="U37" i="48"/>
  <c r="U51" i="48" s="1"/>
  <c r="P40" i="48"/>
  <c r="O40" i="48"/>
  <c r="N40" i="48"/>
  <c r="Q40" i="48"/>
  <c r="Q40" i="49" s="1"/>
  <c r="T52" i="48"/>
  <c r="AA49" i="48"/>
  <c r="Z49" i="48"/>
  <c r="Y49" i="48"/>
  <c r="X49" i="48"/>
  <c r="U44" i="48"/>
  <c r="O44" i="48"/>
  <c r="AA47" i="48"/>
  <c r="Z47" i="48"/>
  <c r="Y47" i="48"/>
  <c r="T37" i="48"/>
  <c r="Z46" i="48"/>
  <c r="Y46" i="48"/>
  <c r="X46" i="48"/>
  <c r="W46" i="48"/>
  <c r="V40" i="48"/>
  <c r="Y44" i="48"/>
  <c r="X44" i="48"/>
  <c r="Z44" i="48"/>
  <c r="AA44" i="48"/>
  <c r="S46" i="48"/>
  <c r="M46" i="48"/>
  <c r="X50" i="48"/>
  <c r="AA50" i="48"/>
  <c r="Z50" i="48"/>
  <c r="Y50" i="48"/>
  <c r="X41" i="48"/>
  <c r="AA41" i="48"/>
  <c r="Z41" i="48"/>
  <c r="Y41" i="48"/>
  <c r="F49" i="48"/>
  <c r="P25" i="48"/>
  <c r="O13" i="48"/>
  <c r="P23" i="48"/>
  <c r="N19" i="48"/>
  <c r="P16" i="48"/>
  <c r="P19" i="48"/>
  <c r="N20" i="48"/>
  <c r="M22" i="48"/>
  <c r="L23" i="48"/>
  <c r="I27" i="48"/>
  <c r="J28" i="48"/>
  <c r="H40" i="48"/>
  <c r="X43" i="48"/>
  <c r="L44" i="48"/>
  <c r="K46" i="48"/>
  <c r="V46" i="48" s="1"/>
  <c r="AA46" i="48" s="1"/>
  <c r="F50" i="48"/>
  <c r="O14" i="48"/>
  <c r="F41" i="48"/>
  <c r="O17" i="48"/>
  <c r="P17" i="48"/>
  <c r="O19" i="48"/>
  <c r="L22" i="48"/>
  <c r="L13" i="48"/>
  <c r="O20" i="48"/>
  <c r="N22" i="48"/>
  <c r="O22" i="48"/>
  <c r="M23" i="48"/>
  <c r="L25" i="48"/>
  <c r="K27" i="48"/>
  <c r="K28" i="48"/>
  <c r="F38" i="48"/>
  <c r="L46" i="48"/>
  <c r="N25" i="48"/>
  <c r="O25" i="48"/>
  <c r="O26" i="48"/>
  <c r="G28" i="48"/>
  <c r="P14" i="48"/>
  <c r="N16" i="48"/>
  <c r="M17" i="48"/>
  <c r="P26" i="48"/>
  <c r="F27" i="48"/>
  <c r="F28" i="48"/>
  <c r="F37" i="48"/>
  <c r="J38" i="48"/>
  <c r="I43" i="48"/>
  <c r="T43" i="48" s="1"/>
  <c r="Y43" i="48" s="1"/>
  <c r="F47" i="48"/>
  <c r="I52" i="48"/>
  <c r="G52" i="48"/>
  <c r="N13" i="48"/>
  <c r="O23" i="48"/>
  <c r="Q44" i="48"/>
  <c r="P44" i="48"/>
  <c r="N17" i="48"/>
  <c r="G27" i="48"/>
  <c r="R38" i="48"/>
  <c r="J27" i="48"/>
  <c r="L19" i="48"/>
  <c r="F43" i="48"/>
  <c r="M20" i="48"/>
  <c r="G40" i="48"/>
  <c r="R40" i="48" s="1"/>
  <c r="H47" i="48"/>
  <c r="S47" i="48" s="1"/>
  <c r="S52" i="48" s="1"/>
  <c r="Q40" i="50" l="1"/>
  <c r="W40" i="49"/>
  <c r="Q46" i="51"/>
  <c r="W46" i="50"/>
  <c r="W44" i="48"/>
  <c r="Q44" i="49"/>
  <c r="L40" i="48"/>
  <c r="X47" i="48"/>
  <c r="R52" i="48"/>
  <c r="Y38" i="48"/>
  <c r="X38" i="48"/>
  <c r="AA38" i="48"/>
  <c r="P46" i="48"/>
  <c r="V51" i="48"/>
  <c r="Z40" i="48"/>
  <c r="Y40" i="48"/>
  <c r="X40" i="48"/>
  <c r="AA40" i="48"/>
  <c r="L47" i="48"/>
  <c r="Q47" i="48"/>
  <c r="N47" i="48"/>
  <c r="M47" i="48"/>
  <c r="P47" i="48"/>
  <c r="O47" i="48"/>
  <c r="Q37" i="48"/>
  <c r="Q37" i="49" s="1"/>
  <c r="N37" i="48"/>
  <c r="P37" i="48"/>
  <c r="O37" i="48"/>
  <c r="L37" i="48"/>
  <c r="F51" i="48"/>
  <c r="M37" i="48"/>
  <c r="O43" i="48"/>
  <c r="N43" i="48"/>
  <c r="M43" i="48"/>
  <c r="L43" i="48"/>
  <c r="Q43" i="48"/>
  <c r="P43" i="48"/>
  <c r="O28" i="48"/>
  <c r="L28" i="48"/>
  <c r="M28" i="48"/>
  <c r="P28" i="48"/>
  <c r="N28" i="48"/>
  <c r="I51" i="48"/>
  <c r="H52" i="48"/>
  <c r="N41" i="48"/>
  <c r="M41" i="48"/>
  <c r="L41" i="48"/>
  <c r="P41" i="48"/>
  <c r="O41" i="48"/>
  <c r="Q41" i="48"/>
  <c r="S40" i="48"/>
  <c r="S51" i="48" s="1"/>
  <c r="H51" i="48"/>
  <c r="T51" i="48"/>
  <c r="L38" i="48"/>
  <c r="M38" i="48"/>
  <c r="F52" i="48"/>
  <c r="P38" i="48"/>
  <c r="O38" i="48"/>
  <c r="N38" i="48"/>
  <c r="Q38" i="48"/>
  <c r="Q38" i="49" s="1"/>
  <c r="Q38" i="50" s="1"/>
  <c r="R51" i="48"/>
  <c r="AA37" i="48"/>
  <c r="Z37" i="48"/>
  <c r="Y37" i="48"/>
  <c r="X37" i="48"/>
  <c r="W40" i="48"/>
  <c r="J52" i="48"/>
  <c r="U38" i="48"/>
  <c r="U52" i="48" s="1"/>
  <c r="M40" i="48"/>
  <c r="N49" i="48"/>
  <c r="M49" i="48"/>
  <c r="Q49" i="48"/>
  <c r="P49" i="48"/>
  <c r="O49" i="48"/>
  <c r="L49" i="48"/>
  <c r="K51" i="48"/>
  <c r="P27" i="48"/>
  <c r="N27" i="48"/>
  <c r="L27" i="48"/>
  <c r="O27" i="48"/>
  <c r="M27" i="48"/>
  <c r="P50" i="48"/>
  <c r="O50" i="48"/>
  <c r="Q50" i="48"/>
  <c r="N50" i="48"/>
  <c r="M50" i="48"/>
  <c r="L50" i="48"/>
  <c r="G51" i="48"/>
  <c r="W44" i="49" l="1"/>
  <c r="Q44" i="50"/>
  <c r="W49" i="48"/>
  <c r="Q49" i="49"/>
  <c r="Q51" i="49" s="1"/>
  <c r="W51" i="49" s="1"/>
  <c r="W50" i="48"/>
  <c r="Q50" i="49"/>
  <c r="Q38" i="51"/>
  <c r="W38" i="50"/>
  <c r="W43" i="48"/>
  <c r="Q43" i="49"/>
  <c r="W47" i="48"/>
  <c r="Q47" i="49"/>
  <c r="W46" i="51"/>
  <c r="Q46" i="52"/>
  <c r="W46" i="52" s="1"/>
  <c r="W41" i="48"/>
  <c r="Q41" i="49"/>
  <c r="Q52" i="49" s="1"/>
  <c r="W52" i="49" s="1"/>
  <c r="Q37" i="50"/>
  <c r="W37" i="49"/>
  <c r="W40" i="50"/>
  <c r="Q40" i="51"/>
  <c r="W38" i="49"/>
  <c r="P52" i="48"/>
  <c r="O52" i="48"/>
  <c r="M52" i="48"/>
  <c r="L52" i="48"/>
  <c r="N52" i="48"/>
  <c r="O51" i="48"/>
  <c r="N51" i="48"/>
  <c r="M51" i="48"/>
  <c r="L51" i="48"/>
  <c r="P51" i="48"/>
  <c r="X52" i="48"/>
  <c r="AA52" i="48"/>
  <c r="Z52" i="48"/>
  <c r="Y52" i="48"/>
  <c r="Z51" i="48"/>
  <c r="Y51" i="48"/>
  <c r="AA51" i="48"/>
  <c r="X51" i="48"/>
  <c r="W38" i="48"/>
  <c r="Q52" i="48"/>
  <c r="W52" i="48" s="1"/>
  <c r="Z38" i="48"/>
  <c r="Q51" i="48"/>
  <c r="W51" i="48" s="1"/>
  <c r="W37" i="48"/>
  <c r="W38" i="51" l="1"/>
  <c r="Q38" i="52"/>
  <c r="Q50" i="50"/>
  <c r="W50" i="49"/>
  <c r="Q47" i="50"/>
  <c r="W47" i="49"/>
  <c r="Q49" i="50"/>
  <c r="Q51" i="50" s="1"/>
  <c r="W51" i="50" s="1"/>
  <c r="W49" i="49"/>
  <c r="Q43" i="50"/>
  <c r="W43" i="49"/>
  <c r="Q40" i="52"/>
  <c r="W40" i="52" s="1"/>
  <c r="W40" i="51"/>
  <c r="Q37" i="51"/>
  <c r="W37" i="50"/>
  <c r="Q44" i="51"/>
  <c r="W44" i="50"/>
  <c r="Q41" i="50"/>
  <c r="W41" i="49"/>
  <c r="AF52" i="47"/>
  <c r="AE52" i="47"/>
  <c r="AD52" i="47"/>
  <c r="AF51" i="47"/>
  <c r="AE51" i="47"/>
  <c r="AD51" i="47"/>
  <c r="AC44" i="47"/>
  <c r="AC52" i="47"/>
  <c r="Q33" i="47"/>
  <c r="K50" i="47"/>
  <c r="U26" i="48"/>
  <c r="U26" i="49" s="1"/>
  <c r="U26" i="50" s="1"/>
  <c r="U26" i="51" s="1"/>
  <c r="U26" i="52" s="1"/>
  <c r="I50" i="47"/>
  <c r="Q26" i="48"/>
  <c r="Q26" i="49" s="1"/>
  <c r="Q26" i="50" s="1"/>
  <c r="I49" i="47"/>
  <c r="H49" i="47"/>
  <c r="G49" i="47"/>
  <c r="S49" i="47" s="1"/>
  <c r="L25" i="47"/>
  <c r="K47" i="47"/>
  <c r="J47" i="47"/>
  <c r="V47" i="47" s="1"/>
  <c r="I47" i="47"/>
  <c r="U47" i="47" s="1"/>
  <c r="S23" i="48"/>
  <c r="S23" i="49" s="1"/>
  <c r="S23" i="50" s="1"/>
  <c r="S23" i="51" s="1"/>
  <c r="S23" i="52" s="1"/>
  <c r="R23" i="48"/>
  <c r="R23" i="49" s="1"/>
  <c r="R23" i="50" s="1"/>
  <c r="R23" i="51" s="1"/>
  <c r="R23" i="52" s="1"/>
  <c r="N23" i="47"/>
  <c r="V22" i="48"/>
  <c r="V22" i="49" s="1"/>
  <c r="V22" i="50" s="1"/>
  <c r="V22" i="51" s="1"/>
  <c r="V22" i="52" s="1"/>
  <c r="U22" i="48"/>
  <c r="U22" i="49" s="1"/>
  <c r="U22" i="50" s="1"/>
  <c r="U22" i="51" s="1"/>
  <c r="U22" i="52" s="1"/>
  <c r="G46" i="47"/>
  <c r="S46" i="47" s="1"/>
  <c r="Q22" i="48"/>
  <c r="Q22" i="49" s="1"/>
  <c r="Q22" i="50" s="1"/>
  <c r="J44" i="47"/>
  <c r="V44" i="47" s="1"/>
  <c r="I44" i="47"/>
  <c r="U44" i="47" s="1"/>
  <c r="H44" i="47"/>
  <c r="T44" i="47" s="1"/>
  <c r="G44" i="47"/>
  <c r="S44" i="47" s="1"/>
  <c r="Q20" i="48"/>
  <c r="Q20" i="49" s="1"/>
  <c r="Q20" i="50" s="1"/>
  <c r="K43" i="47"/>
  <c r="U19" i="48"/>
  <c r="U19" i="49" s="1"/>
  <c r="U19" i="50" s="1"/>
  <c r="U19" i="51" s="1"/>
  <c r="U19" i="52" s="1"/>
  <c r="T19" i="48"/>
  <c r="T19" i="49" s="1"/>
  <c r="T19" i="50" s="1"/>
  <c r="T19" i="51" s="1"/>
  <c r="T19" i="52" s="1"/>
  <c r="S19" i="48"/>
  <c r="S19" i="49" s="1"/>
  <c r="S19" i="50" s="1"/>
  <c r="S19" i="51" s="1"/>
  <c r="S19" i="52" s="1"/>
  <c r="K41" i="47"/>
  <c r="H41" i="47"/>
  <c r="T41" i="47" s="1"/>
  <c r="G41" i="47"/>
  <c r="S41" i="47" s="1"/>
  <c r="F41" i="47"/>
  <c r="V16" i="48"/>
  <c r="V16" i="49" s="1"/>
  <c r="V16" i="50" s="1"/>
  <c r="V16" i="51" s="1"/>
  <c r="V16" i="52" s="1"/>
  <c r="K40" i="47"/>
  <c r="J40" i="47"/>
  <c r="V40" i="47" s="1"/>
  <c r="I40" i="47"/>
  <c r="U40" i="47" s="1"/>
  <c r="H40" i="47"/>
  <c r="R16" i="48"/>
  <c r="R16" i="49" s="1"/>
  <c r="R16" i="50" s="1"/>
  <c r="R16" i="51" s="1"/>
  <c r="R16" i="52" s="1"/>
  <c r="F40" i="47"/>
  <c r="V14" i="48"/>
  <c r="V14" i="49" s="1"/>
  <c r="V14" i="50" s="1"/>
  <c r="V14" i="51" s="1"/>
  <c r="U14" i="48"/>
  <c r="U14" i="49" s="1"/>
  <c r="U14" i="50" s="1"/>
  <c r="U14" i="51" s="1"/>
  <c r="T14" i="48"/>
  <c r="T14" i="49" s="1"/>
  <c r="T14" i="50" s="1"/>
  <c r="I37" i="47"/>
  <c r="U37" i="47" s="1"/>
  <c r="H37" i="47"/>
  <c r="T37" i="47" s="1"/>
  <c r="G37" i="47"/>
  <c r="S37" i="47" s="1"/>
  <c r="F37" i="47"/>
  <c r="Q9" i="47"/>
  <c r="F9" i="47"/>
  <c r="F33" i="47" s="1"/>
  <c r="L22" i="47" l="1"/>
  <c r="U16" i="48"/>
  <c r="U16" i="49" s="1"/>
  <c r="U16" i="50" s="1"/>
  <c r="U16" i="51" s="1"/>
  <c r="U16" i="52" s="1"/>
  <c r="V14" i="52"/>
  <c r="V14" i="53" s="1"/>
  <c r="T14" i="51"/>
  <c r="L20" i="47"/>
  <c r="U23" i="48"/>
  <c r="U23" i="49" s="1"/>
  <c r="U23" i="50" s="1"/>
  <c r="U23" i="51" s="1"/>
  <c r="U23" i="52" s="1"/>
  <c r="U14" i="52"/>
  <c r="V23" i="48"/>
  <c r="V23" i="49" s="1"/>
  <c r="V23" i="50" s="1"/>
  <c r="V23" i="51" s="1"/>
  <c r="V23" i="52" s="1"/>
  <c r="Q37" i="52"/>
  <c r="W37" i="51"/>
  <c r="W47" i="50"/>
  <c r="Q47" i="51"/>
  <c r="W50" i="50"/>
  <c r="Q50" i="51"/>
  <c r="Q41" i="51"/>
  <c r="W41" i="50"/>
  <c r="Q52" i="50"/>
  <c r="W52" i="50" s="1"/>
  <c r="W43" i="50"/>
  <c r="Q43" i="51"/>
  <c r="W38" i="52"/>
  <c r="Q49" i="51"/>
  <c r="W49" i="50"/>
  <c r="Q44" i="52"/>
  <c r="W44" i="52" s="1"/>
  <c r="W44" i="51"/>
  <c r="Q26" i="51"/>
  <c r="Z26" i="50"/>
  <c r="Q20" i="51"/>
  <c r="AA22" i="50"/>
  <c r="Q22" i="51"/>
  <c r="Z22" i="50"/>
  <c r="P14" i="47"/>
  <c r="Z26" i="49"/>
  <c r="S17" i="48"/>
  <c r="S17" i="49" s="1"/>
  <c r="S17" i="50" s="1"/>
  <c r="S17" i="51" s="1"/>
  <c r="S17" i="52" s="1"/>
  <c r="M20" i="47"/>
  <c r="Z22" i="49"/>
  <c r="AA22" i="49"/>
  <c r="S25" i="48"/>
  <c r="S25" i="49" s="1"/>
  <c r="S25" i="50" s="1"/>
  <c r="S25" i="51" s="1"/>
  <c r="S25" i="52" s="1"/>
  <c r="AB27" i="47"/>
  <c r="L13" i="47"/>
  <c r="O14" i="47"/>
  <c r="S20" i="48"/>
  <c r="S20" i="49" s="1"/>
  <c r="T25" i="48"/>
  <c r="T25" i="49" s="1"/>
  <c r="T25" i="50" s="1"/>
  <c r="T25" i="51" s="1"/>
  <c r="T25" i="52" s="1"/>
  <c r="R13" i="48"/>
  <c r="R13" i="49" s="1"/>
  <c r="R13" i="50" s="1"/>
  <c r="U20" i="48"/>
  <c r="U20" i="49" s="1"/>
  <c r="U20" i="50" s="1"/>
  <c r="U20" i="51" s="1"/>
  <c r="U20" i="52" s="1"/>
  <c r="M23" i="47"/>
  <c r="S13" i="48"/>
  <c r="S13" i="49" s="1"/>
  <c r="S13" i="50" s="1"/>
  <c r="S13" i="51" s="1"/>
  <c r="AC51" i="47"/>
  <c r="O26" i="47"/>
  <c r="Z22" i="48"/>
  <c r="AA22" i="48"/>
  <c r="Z26" i="48"/>
  <c r="M37" i="47"/>
  <c r="Q14" i="48"/>
  <c r="Q14" i="49" s="1"/>
  <c r="Q14" i="50" s="1"/>
  <c r="X20" i="48"/>
  <c r="O20" i="47"/>
  <c r="P22" i="47"/>
  <c r="F44" i="47"/>
  <c r="M44" i="47" s="1"/>
  <c r="T13" i="48"/>
  <c r="T13" i="49" s="1"/>
  <c r="T13" i="50" s="1"/>
  <c r="AC27" i="47"/>
  <c r="AD28" i="47"/>
  <c r="AD27" i="47"/>
  <c r="V19" i="48"/>
  <c r="V19" i="49" s="1"/>
  <c r="V19" i="50" s="1"/>
  <c r="V19" i="51" s="1"/>
  <c r="V19" i="52" s="1"/>
  <c r="T20" i="48"/>
  <c r="R22" i="48"/>
  <c r="AE28" i="47"/>
  <c r="M17" i="47"/>
  <c r="AF28" i="47"/>
  <c r="M16" i="47"/>
  <c r="AF27" i="47"/>
  <c r="Q17" i="48"/>
  <c r="Q17" i="49" s="1"/>
  <c r="Q17" i="50" s="1"/>
  <c r="O19" i="47"/>
  <c r="P26" i="47"/>
  <c r="AC28" i="47"/>
  <c r="L16" i="47"/>
  <c r="AE27" i="47"/>
  <c r="T16" i="48"/>
  <c r="T16" i="49" s="1"/>
  <c r="T16" i="50" s="1"/>
  <c r="T16" i="51" s="1"/>
  <c r="T16" i="52" s="1"/>
  <c r="R17" i="48"/>
  <c r="R17" i="49" s="1"/>
  <c r="R17" i="50" s="1"/>
  <c r="R17" i="51" s="1"/>
  <c r="R17" i="52" s="1"/>
  <c r="R25" i="48"/>
  <c r="R25" i="49" s="1"/>
  <c r="R25" i="50" s="1"/>
  <c r="R25" i="51" s="1"/>
  <c r="R25" i="52" s="1"/>
  <c r="K46" i="47"/>
  <c r="I43" i="47"/>
  <c r="U43" i="47" s="1"/>
  <c r="J43" i="47"/>
  <c r="V43" i="47" s="1"/>
  <c r="I46" i="47"/>
  <c r="U46" i="47" s="1"/>
  <c r="K37" i="47"/>
  <c r="K27" i="47"/>
  <c r="J41" i="47"/>
  <c r="V41" i="47" s="1"/>
  <c r="U17" i="48"/>
  <c r="J28" i="47"/>
  <c r="M22" i="47"/>
  <c r="H46" i="47"/>
  <c r="T46" i="47" s="1"/>
  <c r="G50" i="47"/>
  <c r="S50" i="47" s="1"/>
  <c r="P41" i="47"/>
  <c r="K44" i="47"/>
  <c r="N19" i="47"/>
  <c r="K49" i="47"/>
  <c r="V25" i="48"/>
  <c r="V25" i="49" s="1"/>
  <c r="V25" i="50" s="1"/>
  <c r="V25" i="51" s="1"/>
  <c r="V25" i="52" s="1"/>
  <c r="L37" i="47"/>
  <c r="M14" i="47"/>
  <c r="P40" i="47"/>
  <c r="O40" i="47"/>
  <c r="M40" i="47"/>
  <c r="N40" i="47"/>
  <c r="O17" i="47"/>
  <c r="X20" i="47"/>
  <c r="Z20" i="47"/>
  <c r="J49" i="47"/>
  <c r="U25" i="48"/>
  <c r="U25" i="49" s="1"/>
  <c r="U25" i="50" s="1"/>
  <c r="U25" i="51" s="1"/>
  <c r="U25" i="52" s="1"/>
  <c r="P13" i="47"/>
  <c r="F43" i="47"/>
  <c r="L19" i="47"/>
  <c r="Q19" i="48"/>
  <c r="Q19" i="49" s="1"/>
  <c r="Q19" i="50" s="1"/>
  <c r="M19" i="47"/>
  <c r="P19" i="47"/>
  <c r="S14" i="48"/>
  <c r="S14" i="49" s="1"/>
  <c r="S14" i="50" s="1"/>
  <c r="H38" i="47"/>
  <c r="T38" i="47" s="1"/>
  <c r="H28" i="47"/>
  <c r="G43" i="47"/>
  <c r="S43" i="47" s="1"/>
  <c r="R19" i="48"/>
  <c r="R19" i="49" s="1"/>
  <c r="R19" i="50" s="1"/>
  <c r="R19" i="51" s="1"/>
  <c r="R19" i="52" s="1"/>
  <c r="N22" i="47"/>
  <c r="Z22" i="47"/>
  <c r="AA22" i="47"/>
  <c r="W22" i="47"/>
  <c r="P25" i="47"/>
  <c r="H50" i="47"/>
  <c r="G28" i="47"/>
  <c r="R14" i="48"/>
  <c r="R14" i="49" s="1"/>
  <c r="R14" i="50" s="1"/>
  <c r="G38" i="47"/>
  <c r="S38" i="47" s="1"/>
  <c r="L14" i="47"/>
  <c r="J37" i="47"/>
  <c r="V37" i="47" s="1"/>
  <c r="J27" i="47"/>
  <c r="AB28" i="47"/>
  <c r="I41" i="47"/>
  <c r="U41" i="47" s="1"/>
  <c r="Q23" i="48"/>
  <c r="Q23" i="49" s="1"/>
  <c r="Q23" i="50" s="1"/>
  <c r="O23" i="47"/>
  <c r="F47" i="47"/>
  <c r="P23" i="47"/>
  <c r="L23" i="47"/>
  <c r="M26" i="47"/>
  <c r="Z26" i="47"/>
  <c r="K28" i="47"/>
  <c r="AA14" i="47"/>
  <c r="P16" i="47"/>
  <c r="H27" i="47"/>
  <c r="K38" i="47"/>
  <c r="G47" i="47"/>
  <c r="S47" i="47" s="1"/>
  <c r="Q13" i="48"/>
  <c r="Q13" i="49" s="1"/>
  <c r="Q13" i="50" s="1"/>
  <c r="N14" i="47"/>
  <c r="P17" i="47"/>
  <c r="O22" i="47"/>
  <c r="T23" i="48"/>
  <c r="T23" i="49" s="1"/>
  <c r="T23" i="50" s="1"/>
  <c r="T23" i="51" s="1"/>
  <c r="T23" i="52" s="1"/>
  <c r="Q25" i="48"/>
  <c r="Q25" i="49" s="1"/>
  <c r="Q25" i="50" s="1"/>
  <c r="N26" i="47"/>
  <c r="F38" i="47"/>
  <c r="L41" i="47"/>
  <c r="F46" i="47"/>
  <c r="F49" i="47"/>
  <c r="J50" i="47"/>
  <c r="I28" i="47"/>
  <c r="M41" i="47"/>
  <c r="H43" i="47"/>
  <c r="T43" i="47" s="1"/>
  <c r="F27" i="47"/>
  <c r="N37" i="47"/>
  <c r="I38" i="47"/>
  <c r="U38" i="47" s="1"/>
  <c r="M13" i="47"/>
  <c r="Z14" i="47"/>
  <c r="O16" i="47"/>
  <c r="L17" i="47"/>
  <c r="N20" i="47"/>
  <c r="M25" i="47"/>
  <c r="G27" i="47"/>
  <c r="J38" i="47"/>
  <c r="V38" i="47" s="1"/>
  <c r="J46" i="47"/>
  <c r="V46" i="47" s="1"/>
  <c r="F50" i="47"/>
  <c r="O13" i="47"/>
  <c r="Q16" i="48"/>
  <c r="Q16" i="49" s="1"/>
  <c r="Q16" i="50" s="1"/>
  <c r="N17" i="47"/>
  <c r="P20" i="47"/>
  <c r="O25" i="47"/>
  <c r="L26" i="47"/>
  <c r="I27" i="47"/>
  <c r="F28" i="47"/>
  <c r="G40" i="47"/>
  <c r="S40" i="47" s="1"/>
  <c r="H47" i="47"/>
  <c r="T47" i="47" s="1"/>
  <c r="N16" i="47"/>
  <c r="N13" i="47"/>
  <c r="N25" i="47"/>
  <c r="V26" i="46"/>
  <c r="U26" i="46"/>
  <c r="T26" i="46"/>
  <c r="S26" i="46"/>
  <c r="R26" i="46"/>
  <c r="Q26" i="46"/>
  <c r="V25" i="46"/>
  <c r="U25" i="46"/>
  <c r="T25" i="46"/>
  <c r="S25" i="46"/>
  <c r="R25" i="46"/>
  <c r="Q25" i="46"/>
  <c r="V23" i="46"/>
  <c r="U23" i="46"/>
  <c r="T23" i="46"/>
  <c r="S23" i="46"/>
  <c r="R23" i="46"/>
  <c r="V22" i="46"/>
  <c r="U22" i="46"/>
  <c r="T22" i="46"/>
  <c r="S22" i="46"/>
  <c r="R22" i="46"/>
  <c r="V20" i="46"/>
  <c r="U20" i="46"/>
  <c r="T20" i="46"/>
  <c r="S20" i="46"/>
  <c r="R20" i="46"/>
  <c r="Q20" i="46"/>
  <c r="V19" i="46"/>
  <c r="U19" i="46"/>
  <c r="T19" i="46"/>
  <c r="S19" i="46"/>
  <c r="R19" i="46"/>
  <c r="Q19" i="46"/>
  <c r="W19" i="46" s="1"/>
  <c r="V17" i="46"/>
  <c r="U17" i="46"/>
  <c r="T17" i="46"/>
  <c r="S17" i="46"/>
  <c r="R17" i="46"/>
  <c r="V16" i="46"/>
  <c r="U16" i="46"/>
  <c r="T16" i="46"/>
  <c r="S16" i="46"/>
  <c r="R16" i="46"/>
  <c r="V14" i="46"/>
  <c r="U14" i="46"/>
  <c r="T14" i="46"/>
  <c r="S14" i="46"/>
  <c r="R14" i="46"/>
  <c r="V13" i="46"/>
  <c r="U13" i="46"/>
  <c r="T13" i="46"/>
  <c r="S13" i="46"/>
  <c r="R13" i="46"/>
  <c r="AF52" i="46"/>
  <c r="AE52" i="46"/>
  <c r="AD52" i="46"/>
  <c r="AF51" i="46"/>
  <c r="AE51" i="46"/>
  <c r="AD51" i="46"/>
  <c r="J50" i="46"/>
  <c r="I50" i="46"/>
  <c r="F49" i="46"/>
  <c r="J47" i="46"/>
  <c r="I47" i="46"/>
  <c r="H46" i="46"/>
  <c r="K44" i="46"/>
  <c r="I43" i="46"/>
  <c r="F43" i="46"/>
  <c r="N43" i="46" s="1"/>
  <c r="K41" i="46"/>
  <c r="F41" i="46"/>
  <c r="I40" i="46"/>
  <c r="H40" i="46"/>
  <c r="AC52" i="46"/>
  <c r="AC51" i="46"/>
  <c r="J37" i="46"/>
  <c r="Q33" i="46"/>
  <c r="K50" i="46"/>
  <c r="H50" i="46"/>
  <c r="G50" i="46"/>
  <c r="N26" i="46"/>
  <c r="P25" i="46"/>
  <c r="K49" i="46"/>
  <c r="J49" i="46"/>
  <c r="G49" i="46"/>
  <c r="O25" i="46"/>
  <c r="L23" i="46"/>
  <c r="H47" i="46"/>
  <c r="O22" i="46"/>
  <c r="N22" i="46"/>
  <c r="K46" i="46"/>
  <c r="L20" i="46"/>
  <c r="H44" i="46"/>
  <c r="G44" i="46"/>
  <c r="P20" i="46"/>
  <c r="O19" i="46"/>
  <c r="M19" i="46"/>
  <c r="L19" i="46"/>
  <c r="K43" i="46"/>
  <c r="J43" i="46"/>
  <c r="P19" i="46"/>
  <c r="AE28" i="46"/>
  <c r="P17" i="46"/>
  <c r="O17" i="46"/>
  <c r="J41" i="46"/>
  <c r="I41" i="46"/>
  <c r="G28" i="46"/>
  <c r="N17" i="46"/>
  <c r="AC27" i="46"/>
  <c r="M16" i="46"/>
  <c r="G40" i="46"/>
  <c r="AF28" i="46"/>
  <c r="AD28" i="46"/>
  <c r="AC28" i="46"/>
  <c r="K38" i="46"/>
  <c r="J38" i="46"/>
  <c r="G38" i="46"/>
  <c r="N14" i="46"/>
  <c r="AF27" i="46"/>
  <c r="AE27" i="46"/>
  <c r="AD27" i="46"/>
  <c r="P13" i="46"/>
  <c r="G37" i="46"/>
  <c r="O13" i="46"/>
  <c r="Q9" i="46"/>
  <c r="F9" i="46"/>
  <c r="F33" i="46" s="1"/>
  <c r="AF52" i="45"/>
  <c r="AE52" i="45"/>
  <c r="AD52" i="45"/>
  <c r="AF51" i="45"/>
  <c r="AE51" i="45"/>
  <c r="AD51" i="45"/>
  <c r="J50" i="45"/>
  <c r="G50" i="45"/>
  <c r="J47" i="45"/>
  <c r="I47" i="45"/>
  <c r="K46" i="45"/>
  <c r="H46" i="45"/>
  <c r="K44" i="45"/>
  <c r="H44" i="45"/>
  <c r="M44" i="45"/>
  <c r="J43" i="45"/>
  <c r="I43" i="45"/>
  <c r="I40" i="45"/>
  <c r="H40" i="45"/>
  <c r="AC51" i="45"/>
  <c r="J37" i="45"/>
  <c r="Q33" i="45"/>
  <c r="J27" i="45"/>
  <c r="V26" i="45"/>
  <c r="U26" i="45"/>
  <c r="K50" i="45"/>
  <c r="T26" i="45"/>
  <c r="R26" i="45"/>
  <c r="M26" i="45"/>
  <c r="R25" i="45"/>
  <c r="Q25" i="45"/>
  <c r="P25" i="45"/>
  <c r="L25" i="45"/>
  <c r="J49" i="45"/>
  <c r="I49" i="45"/>
  <c r="H49" i="45"/>
  <c r="G49" i="45"/>
  <c r="O25" i="45"/>
  <c r="V23" i="45"/>
  <c r="U23" i="45"/>
  <c r="T23" i="45"/>
  <c r="S23" i="45"/>
  <c r="N23" i="45"/>
  <c r="K47" i="45"/>
  <c r="H47" i="45"/>
  <c r="L23" i="45"/>
  <c r="AD27" i="45"/>
  <c r="V22" i="45"/>
  <c r="O22" i="45"/>
  <c r="N22" i="45"/>
  <c r="S22" i="45"/>
  <c r="G46" i="45"/>
  <c r="S20" i="45"/>
  <c r="R20" i="45"/>
  <c r="Q20" i="45"/>
  <c r="M20" i="45"/>
  <c r="L20" i="45"/>
  <c r="V20" i="45"/>
  <c r="O20" i="45"/>
  <c r="I44" i="45"/>
  <c r="G44" i="45"/>
  <c r="P20" i="45"/>
  <c r="V19" i="45"/>
  <c r="U19" i="45"/>
  <c r="T19" i="45"/>
  <c r="P19" i="45"/>
  <c r="O19" i="45"/>
  <c r="M19" i="45"/>
  <c r="L19" i="45"/>
  <c r="K43" i="45"/>
  <c r="Q19" i="45"/>
  <c r="AE28" i="45"/>
  <c r="Q17" i="45"/>
  <c r="Q17" i="46" s="1"/>
  <c r="P17" i="45"/>
  <c r="V17" i="45"/>
  <c r="O17" i="45"/>
  <c r="I41" i="45"/>
  <c r="G28" i="45"/>
  <c r="N17" i="45"/>
  <c r="AC27" i="45"/>
  <c r="U16" i="45"/>
  <c r="T16" i="45"/>
  <c r="S16" i="45"/>
  <c r="R16" i="45"/>
  <c r="M16" i="45"/>
  <c r="K40" i="45"/>
  <c r="J40" i="45"/>
  <c r="G40" i="45"/>
  <c r="N16" i="45"/>
  <c r="AF28" i="45"/>
  <c r="AD28" i="45"/>
  <c r="V14" i="45"/>
  <c r="U14" i="45"/>
  <c r="K38" i="45"/>
  <c r="J38" i="45"/>
  <c r="S14" i="45"/>
  <c r="R14" i="45"/>
  <c r="N14" i="45"/>
  <c r="R13" i="45"/>
  <c r="Q13" i="45"/>
  <c r="Q13" i="46" s="1"/>
  <c r="L13" i="45"/>
  <c r="V13" i="45"/>
  <c r="U13" i="45"/>
  <c r="S13" i="45"/>
  <c r="G37" i="45"/>
  <c r="O13" i="45"/>
  <c r="F9" i="45"/>
  <c r="AA52" i="44"/>
  <c r="Z52" i="44"/>
  <c r="Y52" i="44"/>
  <c r="AA51" i="44"/>
  <c r="Z51" i="44"/>
  <c r="Y51" i="44"/>
  <c r="X51" i="44"/>
  <c r="J50" i="44"/>
  <c r="F47" i="44"/>
  <c r="X52" i="44"/>
  <c r="F38" i="44"/>
  <c r="O33" i="44"/>
  <c r="M26" i="44"/>
  <c r="H50" i="44"/>
  <c r="G50" i="44"/>
  <c r="N26" i="44"/>
  <c r="M25" i="44"/>
  <c r="J49" i="44"/>
  <c r="H49" i="44"/>
  <c r="K25" i="44"/>
  <c r="L25" i="44"/>
  <c r="M23" i="44"/>
  <c r="H47" i="44"/>
  <c r="G47" i="44"/>
  <c r="I46" i="44"/>
  <c r="L22" i="44"/>
  <c r="K22" i="44"/>
  <c r="J44" i="44"/>
  <c r="M20" i="44"/>
  <c r="H44" i="44"/>
  <c r="G44" i="44"/>
  <c r="N20" i="44"/>
  <c r="M19" i="44"/>
  <c r="J43" i="44"/>
  <c r="I43" i="44"/>
  <c r="K19" i="44"/>
  <c r="F43" i="44"/>
  <c r="AA28" i="44"/>
  <c r="K17" i="44"/>
  <c r="I41" i="44"/>
  <c r="G41" i="44"/>
  <c r="F41" i="44"/>
  <c r="Y27" i="44"/>
  <c r="J40" i="44"/>
  <c r="I40" i="44"/>
  <c r="H40" i="44"/>
  <c r="K16" i="44"/>
  <c r="Z28" i="44"/>
  <c r="Y28" i="44"/>
  <c r="X28" i="44"/>
  <c r="J28" i="44"/>
  <c r="H28" i="44"/>
  <c r="G38" i="44"/>
  <c r="AA27" i="44"/>
  <c r="Z27" i="44"/>
  <c r="X27" i="44"/>
  <c r="M13" i="44"/>
  <c r="J37" i="44"/>
  <c r="I37" i="44"/>
  <c r="G27" i="44"/>
  <c r="O9" i="44"/>
  <c r="F9" i="44"/>
  <c r="F33" i="44" s="1"/>
  <c r="AA52" i="43"/>
  <c r="Z52" i="43"/>
  <c r="Y52" i="43"/>
  <c r="AA51" i="43"/>
  <c r="Z51" i="43"/>
  <c r="Y51" i="43"/>
  <c r="X51" i="43"/>
  <c r="F49" i="43"/>
  <c r="H47" i="43"/>
  <c r="J46" i="43"/>
  <c r="G43" i="43"/>
  <c r="J41" i="43"/>
  <c r="X52" i="43"/>
  <c r="H38" i="43"/>
  <c r="O33" i="43"/>
  <c r="J50" i="43"/>
  <c r="M26" i="43"/>
  <c r="H50" i="43"/>
  <c r="G50" i="43"/>
  <c r="N26" i="43"/>
  <c r="M25" i="43"/>
  <c r="J49" i="43"/>
  <c r="K25" i="43"/>
  <c r="L25" i="43"/>
  <c r="M23" i="43"/>
  <c r="K23" i="43"/>
  <c r="J47" i="43"/>
  <c r="G47" i="43"/>
  <c r="F47" i="43"/>
  <c r="K22" i="43"/>
  <c r="I46" i="43"/>
  <c r="H46" i="43"/>
  <c r="N22" i="43"/>
  <c r="J44" i="43"/>
  <c r="M20" i="43"/>
  <c r="H44" i="43"/>
  <c r="G44" i="43"/>
  <c r="N20" i="43"/>
  <c r="M19" i="43"/>
  <c r="J43" i="43"/>
  <c r="K19" i="43"/>
  <c r="F43" i="43"/>
  <c r="AA28" i="43"/>
  <c r="M17" i="43"/>
  <c r="K17" i="43"/>
  <c r="I41" i="43"/>
  <c r="H41" i="43"/>
  <c r="G41" i="43"/>
  <c r="F41" i="43"/>
  <c r="Y27" i="43"/>
  <c r="K16" i="43"/>
  <c r="J40" i="43"/>
  <c r="I40" i="43"/>
  <c r="H40" i="43"/>
  <c r="N16" i="43"/>
  <c r="Z28" i="43"/>
  <c r="Y28" i="43"/>
  <c r="X28" i="43"/>
  <c r="J28" i="43"/>
  <c r="I28" i="43"/>
  <c r="H28" i="43"/>
  <c r="G38" i="43"/>
  <c r="N14" i="43"/>
  <c r="AA27" i="43"/>
  <c r="Z27" i="43"/>
  <c r="X27" i="43"/>
  <c r="M13" i="43"/>
  <c r="J37" i="43"/>
  <c r="I37" i="43"/>
  <c r="H27" i="43"/>
  <c r="G27" i="43"/>
  <c r="L13" i="43"/>
  <c r="O9" i="43"/>
  <c r="F9" i="43"/>
  <c r="F33" i="43" s="1"/>
  <c r="AA14" i="53" l="1"/>
  <c r="V28" i="53"/>
  <c r="AA28" i="53" s="1"/>
  <c r="O41" i="47"/>
  <c r="S14" i="51"/>
  <c r="S13" i="52"/>
  <c r="Z20" i="50"/>
  <c r="T14" i="52"/>
  <c r="T14" i="53" s="1"/>
  <c r="R14" i="51"/>
  <c r="R13" i="51"/>
  <c r="T13" i="51"/>
  <c r="X20" i="49"/>
  <c r="S20" i="50"/>
  <c r="Z20" i="49"/>
  <c r="AA17" i="45"/>
  <c r="W41" i="51"/>
  <c r="Q41" i="52"/>
  <c r="Q52" i="51"/>
  <c r="W52" i="51" s="1"/>
  <c r="Q49" i="52"/>
  <c r="W49" i="52" s="1"/>
  <c r="W49" i="51"/>
  <c r="W50" i="51"/>
  <c r="Q50" i="52"/>
  <c r="W50" i="52" s="1"/>
  <c r="Q47" i="52"/>
  <c r="W47" i="52" s="1"/>
  <c r="W47" i="51"/>
  <c r="Q43" i="52"/>
  <c r="W43" i="52" s="1"/>
  <c r="W43" i="51"/>
  <c r="Q51" i="51"/>
  <c r="W51" i="51" s="1"/>
  <c r="W37" i="52"/>
  <c r="Q20" i="52"/>
  <c r="Z20" i="51"/>
  <c r="Q13" i="51"/>
  <c r="Q27" i="50"/>
  <c r="X13" i="50"/>
  <c r="Y13" i="50"/>
  <c r="W13" i="50"/>
  <c r="Z16" i="50"/>
  <c r="Q16" i="51"/>
  <c r="Y16" i="50"/>
  <c r="AA16" i="50"/>
  <c r="W16" i="50"/>
  <c r="Q25" i="51"/>
  <c r="X25" i="50"/>
  <c r="AA25" i="50"/>
  <c r="Z25" i="50"/>
  <c r="Y25" i="50"/>
  <c r="W25" i="50"/>
  <c r="Q22" i="52"/>
  <c r="Z22" i="51"/>
  <c r="AA22" i="51"/>
  <c r="Z25" i="49"/>
  <c r="Q17" i="51"/>
  <c r="W17" i="50"/>
  <c r="X17" i="50"/>
  <c r="X14" i="50"/>
  <c r="Q14" i="51"/>
  <c r="AA14" i="50"/>
  <c r="W14" i="50"/>
  <c r="Z14" i="50"/>
  <c r="Q28" i="50"/>
  <c r="Y14" i="50"/>
  <c r="Q23" i="51"/>
  <c r="AA23" i="50"/>
  <c r="W23" i="50"/>
  <c r="Z23" i="50"/>
  <c r="Y23" i="50"/>
  <c r="X23" i="50"/>
  <c r="AA25" i="49"/>
  <c r="X19" i="50"/>
  <c r="Q19" i="51"/>
  <c r="AA19" i="50"/>
  <c r="Z19" i="50"/>
  <c r="Y19" i="50"/>
  <c r="W19" i="50"/>
  <c r="Z19" i="49"/>
  <c r="Q26" i="52"/>
  <c r="Z26" i="51"/>
  <c r="W25" i="49"/>
  <c r="X25" i="49"/>
  <c r="Y25" i="49"/>
  <c r="R27" i="48"/>
  <c r="R22" i="49"/>
  <c r="W23" i="49"/>
  <c r="AA23" i="49"/>
  <c r="Z23" i="49"/>
  <c r="X23" i="49"/>
  <c r="Y23" i="49"/>
  <c r="U28" i="47"/>
  <c r="Y20" i="48"/>
  <c r="T20" i="49"/>
  <c r="Z16" i="49"/>
  <c r="Y16" i="49"/>
  <c r="W16" i="49"/>
  <c r="AA16" i="49"/>
  <c r="L44" i="47"/>
  <c r="Z17" i="47"/>
  <c r="W17" i="49"/>
  <c r="X17" i="49"/>
  <c r="AA19" i="49"/>
  <c r="Z20" i="48"/>
  <c r="W19" i="49"/>
  <c r="X19" i="49"/>
  <c r="Y19" i="49"/>
  <c r="U28" i="48"/>
  <c r="U17" i="49"/>
  <c r="W13" i="49"/>
  <c r="Q27" i="49"/>
  <c r="X13" i="49"/>
  <c r="Y13" i="49"/>
  <c r="T27" i="47"/>
  <c r="AA14" i="49"/>
  <c r="W14" i="49"/>
  <c r="Q28" i="49"/>
  <c r="Y14" i="49"/>
  <c r="Z14" i="49"/>
  <c r="X14" i="49"/>
  <c r="Y26" i="47"/>
  <c r="T26" i="48"/>
  <c r="W26" i="47"/>
  <c r="R26" i="48"/>
  <c r="S27" i="47"/>
  <c r="S16" i="48"/>
  <c r="Y13" i="48"/>
  <c r="X13" i="48"/>
  <c r="W13" i="48"/>
  <c r="Q27" i="48"/>
  <c r="T28" i="47"/>
  <c r="T17" i="48"/>
  <c r="X17" i="47"/>
  <c r="X22" i="47"/>
  <c r="S22" i="48"/>
  <c r="V27" i="47"/>
  <c r="V13" i="48"/>
  <c r="W22" i="48"/>
  <c r="N44" i="47"/>
  <c r="X25" i="48"/>
  <c r="AA25" i="48"/>
  <c r="Y25" i="48"/>
  <c r="W25" i="48"/>
  <c r="Z25" i="48"/>
  <c r="R27" i="47"/>
  <c r="W17" i="47"/>
  <c r="W14" i="48"/>
  <c r="AA14" i="48"/>
  <c r="Z14" i="48"/>
  <c r="Y14" i="48"/>
  <c r="Q28" i="48"/>
  <c r="X14" i="48"/>
  <c r="V28" i="47"/>
  <c r="V17" i="48"/>
  <c r="V17" i="49" s="1"/>
  <c r="V17" i="50" s="1"/>
  <c r="U27" i="47"/>
  <c r="U13" i="48"/>
  <c r="Y14" i="47"/>
  <c r="Y22" i="47"/>
  <c r="T22" i="48"/>
  <c r="AA23" i="48"/>
  <c r="W23" i="48"/>
  <c r="Y23" i="48"/>
  <c r="X23" i="48"/>
  <c r="Z23" i="48"/>
  <c r="X26" i="47"/>
  <c r="S26" i="48"/>
  <c r="Y17" i="47"/>
  <c r="W19" i="48"/>
  <c r="Y19" i="48"/>
  <c r="X19" i="48"/>
  <c r="AA19" i="48"/>
  <c r="Z19" i="48"/>
  <c r="Y20" i="47"/>
  <c r="AA20" i="47"/>
  <c r="V20" i="48"/>
  <c r="AA26" i="47"/>
  <c r="V26" i="48"/>
  <c r="X17" i="48"/>
  <c r="W17" i="48"/>
  <c r="AA17" i="48"/>
  <c r="Z17" i="48"/>
  <c r="O44" i="47"/>
  <c r="P44" i="47"/>
  <c r="Z16" i="48"/>
  <c r="W16" i="48"/>
  <c r="AA16" i="48"/>
  <c r="Y16" i="48"/>
  <c r="W20" i="47"/>
  <c r="R20" i="48"/>
  <c r="H51" i="47"/>
  <c r="S51" i="47"/>
  <c r="Z16" i="47"/>
  <c r="Y16" i="47"/>
  <c r="X16" i="47"/>
  <c r="W16" i="47"/>
  <c r="AA16" i="47"/>
  <c r="M38" i="47"/>
  <c r="P38" i="47"/>
  <c r="L38" i="47"/>
  <c r="O38" i="47"/>
  <c r="F52" i="47"/>
  <c r="N38" i="47"/>
  <c r="J51" i="47"/>
  <c r="U51" i="47"/>
  <c r="N43" i="47"/>
  <c r="M43" i="47"/>
  <c r="P43" i="47"/>
  <c r="O43" i="47"/>
  <c r="L43" i="47"/>
  <c r="X25" i="47"/>
  <c r="W25" i="47"/>
  <c r="Y25" i="47"/>
  <c r="AA25" i="47"/>
  <c r="Z25" i="47"/>
  <c r="O37" i="47"/>
  <c r="M46" i="47"/>
  <c r="L46" i="47"/>
  <c r="P46" i="47"/>
  <c r="O46" i="47"/>
  <c r="N46" i="47"/>
  <c r="O47" i="47"/>
  <c r="P47" i="47"/>
  <c r="N47" i="47"/>
  <c r="M47" i="47"/>
  <c r="L47" i="47"/>
  <c r="I51" i="47"/>
  <c r="AA19" i="47"/>
  <c r="X19" i="47"/>
  <c r="Y19" i="47"/>
  <c r="Z19" i="47"/>
  <c r="W19" i="47"/>
  <c r="G51" i="47"/>
  <c r="AA17" i="47"/>
  <c r="V51" i="47"/>
  <c r="K51" i="47"/>
  <c r="L40" i="47"/>
  <c r="F51" i="47"/>
  <c r="P50" i="47"/>
  <c r="N50" i="47"/>
  <c r="M50" i="47"/>
  <c r="L50" i="47"/>
  <c r="O50" i="47"/>
  <c r="X13" i="47"/>
  <c r="Q27" i="47"/>
  <c r="W13" i="47"/>
  <c r="Y13" i="47"/>
  <c r="AA13" i="47"/>
  <c r="Z13" i="47"/>
  <c r="N41" i="47"/>
  <c r="G52" i="47"/>
  <c r="AA23" i="47"/>
  <c r="Z23" i="47"/>
  <c r="Y23" i="47"/>
  <c r="X23" i="47"/>
  <c r="W23" i="47"/>
  <c r="P27" i="47"/>
  <c r="O27" i="47"/>
  <c r="L27" i="47"/>
  <c r="N27" i="47"/>
  <c r="M27" i="47"/>
  <c r="M49" i="47"/>
  <c r="L49" i="47"/>
  <c r="P49" i="47"/>
  <c r="O49" i="47"/>
  <c r="N49" i="47"/>
  <c r="V52" i="47"/>
  <c r="K52" i="47"/>
  <c r="S28" i="47"/>
  <c r="X14" i="47"/>
  <c r="O28" i="47"/>
  <c r="N28" i="47"/>
  <c r="M28" i="47"/>
  <c r="L28" i="47"/>
  <c r="P28" i="47"/>
  <c r="I52" i="47"/>
  <c r="R28" i="47"/>
  <c r="W14" i="47"/>
  <c r="S52" i="47"/>
  <c r="H52" i="47"/>
  <c r="U52" i="47"/>
  <c r="J52" i="47"/>
  <c r="Q28" i="47"/>
  <c r="P37" i="47"/>
  <c r="X13" i="46"/>
  <c r="K37" i="46"/>
  <c r="AB27" i="46"/>
  <c r="AB28" i="46"/>
  <c r="G46" i="46"/>
  <c r="S27" i="46"/>
  <c r="H49" i="46"/>
  <c r="O43" i="46"/>
  <c r="Z13" i="46"/>
  <c r="K40" i="46"/>
  <c r="J44" i="46"/>
  <c r="Z20" i="46"/>
  <c r="O16" i="46"/>
  <c r="J40" i="46"/>
  <c r="I49" i="46"/>
  <c r="Y25" i="46"/>
  <c r="K52" i="46"/>
  <c r="M14" i="46"/>
  <c r="K47" i="46"/>
  <c r="I44" i="46"/>
  <c r="Y20" i="46"/>
  <c r="M26" i="46"/>
  <c r="H37" i="46"/>
  <c r="H27" i="46"/>
  <c r="M13" i="46"/>
  <c r="F28" i="46"/>
  <c r="L14" i="46"/>
  <c r="P14" i="46"/>
  <c r="O14" i="46"/>
  <c r="F38" i="46"/>
  <c r="W20" i="46"/>
  <c r="AA20" i="46"/>
  <c r="W25" i="46"/>
  <c r="J27" i="46"/>
  <c r="N41" i="46"/>
  <c r="L17" i="46"/>
  <c r="G41" i="46"/>
  <c r="L26" i="46"/>
  <c r="P26" i="46"/>
  <c r="F50" i="46"/>
  <c r="O26" i="46"/>
  <c r="K27" i="46"/>
  <c r="I37" i="46"/>
  <c r="I27" i="46"/>
  <c r="AA19" i="46"/>
  <c r="AA13" i="46"/>
  <c r="H41" i="46"/>
  <c r="M22" i="46"/>
  <c r="L22" i="46"/>
  <c r="P22" i="46"/>
  <c r="F46" i="46"/>
  <c r="X25" i="46"/>
  <c r="M49" i="46"/>
  <c r="H28" i="46"/>
  <c r="G43" i="46"/>
  <c r="W13" i="46"/>
  <c r="L16" i="46"/>
  <c r="N19" i="46"/>
  <c r="X20" i="46"/>
  <c r="M23" i="46"/>
  <c r="I28" i="46"/>
  <c r="M41" i="46"/>
  <c r="H43" i="46"/>
  <c r="P43" i="46"/>
  <c r="O49" i="46"/>
  <c r="L13" i="46"/>
  <c r="N16" i="46"/>
  <c r="X19" i="46"/>
  <c r="M20" i="46"/>
  <c r="O23" i="46"/>
  <c r="L25" i="46"/>
  <c r="F27" i="46"/>
  <c r="K28" i="46"/>
  <c r="F37" i="46"/>
  <c r="I38" i="46"/>
  <c r="O41" i="46"/>
  <c r="F44" i="46"/>
  <c r="I46" i="46"/>
  <c r="Y19" i="46"/>
  <c r="N20" i="46"/>
  <c r="P23" i="46"/>
  <c r="M25" i="46"/>
  <c r="Z25" i="46"/>
  <c r="G27" i="46"/>
  <c r="P41" i="46"/>
  <c r="J46" i="46"/>
  <c r="F47" i="46"/>
  <c r="N23" i="46"/>
  <c r="H38" i="46"/>
  <c r="N13" i="46"/>
  <c r="P16" i="46"/>
  <c r="M17" i="46"/>
  <c r="U28" i="46"/>
  <c r="Z19" i="46"/>
  <c r="O20" i="46"/>
  <c r="N25" i="46"/>
  <c r="AA25" i="46"/>
  <c r="F40" i="46"/>
  <c r="L43" i="46"/>
  <c r="G47" i="46"/>
  <c r="J28" i="46"/>
  <c r="P49" i="46"/>
  <c r="L49" i="46"/>
  <c r="P44" i="45"/>
  <c r="X13" i="45"/>
  <c r="M49" i="45"/>
  <c r="T20" i="45"/>
  <c r="Y20" i="45" s="1"/>
  <c r="T14" i="45"/>
  <c r="I28" i="45"/>
  <c r="U20" i="45"/>
  <c r="Z20" i="45" s="1"/>
  <c r="M22" i="45"/>
  <c r="L22" i="45"/>
  <c r="P22" i="45"/>
  <c r="Q22" i="45"/>
  <c r="Q22" i="46" s="1"/>
  <c r="K27" i="45"/>
  <c r="P43" i="45"/>
  <c r="O43" i="45"/>
  <c r="W13" i="45"/>
  <c r="Z13" i="45"/>
  <c r="R19" i="45"/>
  <c r="W19" i="45" s="1"/>
  <c r="G43" i="45"/>
  <c r="R22" i="45"/>
  <c r="S25" i="45"/>
  <c r="J44" i="45"/>
  <c r="Q16" i="45"/>
  <c r="Q16" i="46" s="1"/>
  <c r="AA16" i="46" s="1"/>
  <c r="P16" i="45"/>
  <c r="O16" i="45"/>
  <c r="L16" i="45"/>
  <c r="M17" i="45"/>
  <c r="H41" i="45"/>
  <c r="AA13" i="45"/>
  <c r="Q9" i="45"/>
  <c r="F33" i="45"/>
  <c r="AB27" i="45"/>
  <c r="V28" i="45"/>
  <c r="AA19" i="45"/>
  <c r="Z19" i="45"/>
  <c r="Y19" i="45"/>
  <c r="S19" i="45"/>
  <c r="X19" i="45" s="1"/>
  <c r="H43" i="45"/>
  <c r="T25" i="45"/>
  <c r="Y25" i="45" s="1"/>
  <c r="N26" i="45"/>
  <c r="O37" i="45"/>
  <c r="L37" i="45"/>
  <c r="I50" i="45"/>
  <c r="M14" i="45"/>
  <c r="T22" i="45"/>
  <c r="I46" i="45"/>
  <c r="Q23" i="45"/>
  <c r="Q23" i="46" s="1"/>
  <c r="Y23" i="46" s="1"/>
  <c r="P23" i="45"/>
  <c r="M23" i="45"/>
  <c r="O23" i="45"/>
  <c r="X25" i="45"/>
  <c r="L26" i="45"/>
  <c r="O26" i="45"/>
  <c r="P26" i="45"/>
  <c r="K41" i="45"/>
  <c r="N43" i="45"/>
  <c r="L49" i="45"/>
  <c r="P13" i="45"/>
  <c r="J41" i="45"/>
  <c r="U17" i="45"/>
  <c r="Z17" i="45" s="1"/>
  <c r="AC52" i="45"/>
  <c r="M41" i="45"/>
  <c r="H37" i="45"/>
  <c r="H27" i="45"/>
  <c r="AE27" i="45"/>
  <c r="AB28" i="45"/>
  <c r="I37" i="45"/>
  <c r="I27" i="45"/>
  <c r="T13" i="45"/>
  <c r="AF27" i="45"/>
  <c r="AC28" i="45"/>
  <c r="V16" i="45"/>
  <c r="X20" i="45"/>
  <c r="W20" i="45"/>
  <c r="AA20" i="45"/>
  <c r="U22" i="45"/>
  <c r="J46" i="45"/>
  <c r="R23" i="45"/>
  <c r="G47" i="45"/>
  <c r="K49" i="45"/>
  <c r="V25" i="45"/>
  <c r="AA25" i="45" s="1"/>
  <c r="Q26" i="45"/>
  <c r="H28" i="45"/>
  <c r="K37" i="45"/>
  <c r="P37" i="45" s="1"/>
  <c r="H38" i="45"/>
  <c r="N41" i="45"/>
  <c r="F28" i="45"/>
  <c r="L14" i="45"/>
  <c r="O14" i="45"/>
  <c r="P14" i="45"/>
  <c r="L17" i="45"/>
  <c r="G41" i="45"/>
  <c r="R17" i="45"/>
  <c r="W17" i="45" s="1"/>
  <c r="H50" i="45"/>
  <c r="S26" i="45"/>
  <c r="J28" i="45"/>
  <c r="I38" i="45"/>
  <c r="Q14" i="45"/>
  <c r="Q14" i="46" s="1"/>
  <c r="S17" i="45"/>
  <c r="X17" i="45" s="1"/>
  <c r="F27" i="45"/>
  <c r="K28" i="45"/>
  <c r="W25" i="45"/>
  <c r="N49" i="45"/>
  <c r="N19" i="45"/>
  <c r="G38" i="45"/>
  <c r="L44" i="45"/>
  <c r="O49" i="45"/>
  <c r="N44" i="45"/>
  <c r="M13" i="45"/>
  <c r="T17" i="45"/>
  <c r="Y17" i="45" s="1"/>
  <c r="N20" i="45"/>
  <c r="M25" i="45"/>
  <c r="U25" i="45"/>
  <c r="U27" i="45" s="1"/>
  <c r="G27" i="45"/>
  <c r="O44" i="45"/>
  <c r="N13" i="45"/>
  <c r="N25" i="45"/>
  <c r="H46" i="44"/>
  <c r="M17" i="44"/>
  <c r="K23" i="44"/>
  <c r="H38" i="44"/>
  <c r="J46" i="44"/>
  <c r="J38" i="44"/>
  <c r="L13" i="44"/>
  <c r="N14" i="44"/>
  <c r="N16" i="44"/>
  <c r="H41" i="44"/>
  <c r="J47" i="44"/>
  <c r="H27" i="44"/>
  <c r="J41" i="44"/>
  <c r="F49" i="44"/>
  <c r="N22" i="44"/>
  <c r="G43" i="44"/>
  <c r="M14" i="44"/>
  <c r="F50" i="44"/>
  <c r="N43" i="44"/>
  <c r="M43" i="44"/>
  <c r="K43" i="44"/>
  <c r="N41" i="44"/>
  <c r="M41" i="44"/>
  <c r="L41" i="44"/>
  <c r="K41" i="44"/>
  <c r="G52" i="44"/>
  <c r="J52" i="44"/>
  <c r="I27" i="44"/>
  <c r="N13" i="44"/>
  <c r="L17" i="44"/>
  <c r="N19" i="44"/>
  <c r="L23" i="44"/>
  <c r="N25" i="44"/>
  <c r="J27" i="44"/>
  <c r="I38" i="44"/>
  <c r="F40" i="44"/>
  <c r="H43" i="44"/>
  <c r="F44" i="44"/>
  <c r="I47" i="44"/>
  <c r="G49" i="44"/>
  <c r="G40" i="44"/>
  <c r="L16" i="44"/>
  <c r="N17" i="44"/>
  <c r="N23" i="44"/>
  <c r="F28" i="44"/>
  <c r="F37" i="44"/>
  <c r="K38" i="44"/>
  <c r="K47" i="44"/>
  <c r="I49" i="44"/>
  <c r="K14" i="44"/>
  <c r="M16" i="44"/>
  <c r="K20" i="44"/>
  <c r="M22" i="44"/>
  <c r="K26" i="44"/>
  <c r="G28" i="44"/>
  <c r="G37" i="44"/>
  <c r="L38" i="44"/>
  <c r="I44" i="44"/>
  <c r="F46" i="44"/>
  <c r="L47" i="44"/>
  <c r="L14" i="44"/>
  <c r="L20" i="44"/>
  <c r="L26" i="44"/>
  <c r="F27" i="44"/>
  <c r="H37" i="44"/>
  <c r="G46" i="44"/>
  <c r="M47" i="44"/>
  <c r="I50" i="44"/>
  <c r="K13" i="44"/>
  <c r="I28" i="44"/>
  <c r="N38" i="44"/>
  <c r="L19" i="44"/>
  <c r="J51" i="43"/>
  <c r="G52" i="43"/>
  <c r="N47" i="43"/>
  <c r="L47" i="43"/>
  <c r="K47" i="43"/>
  <c r="N43" i="43"/>
  <c r="K43" i="43"/>
  <c r="N41" i="43"/>
  <c r="M41" i="43"/>
  <c r="L41" i="43"/>
  <c r="K41" i="43"/>
  <c r="H52" i="43"/>
  <c r="I27" i="43"/>
  <c r="N13" i="43"/>
  <c r="L17" i="43"/>
  <c r="N19" i="43"/>
  <c r="L23" i="43"/>
  <c r="N25" i="43"/>
  <c r="J27" i="43"/>
  <c r="I38" i="43"/>
  <c r="F40" i="43"/>
  <c r="H43" i="43"/>
  <c r="F44" i="43"/>
  <c r="I47" i="43"/>
  <c r="G49" i="43"/>
  <c r="N49" i="43"/>
  <c r="J38" i="43"/>
  <c r="G40" i="43"/>
  <c r="I43" i="43"/>
  <c r="H49" i="43"/>
  <c r="F50" i="43"/>
  <c r="L16" i="43"/>
  <c r="N17" i="43"/>
  <c r="L22" i="43"/>
  <c r="N23" i="43"/>
  <c r="F28" i="43"/>
  <c r="F37" i="43"/>
  <c r="I49" i="43"/>
  <c r="K14" i="43"/>
  <c r="M16" i="43"/>
  <c r="K20" i="43"/>
  <c r="M22" i="43"/>
  <c r="K26" i="43"/>
  <c r="G28" i="43"/>
  <c r="G37" i="43"/>
  <c r="I44" i="43"/>
  <c r="F46" i="43"/>
  <c r="L14" i="43"/>
  <c r="L20" i="43"/>
  <c r="L26" i="43"/>
  <c r="F27" i="43"/>
  <c r="H37" i="43"/>
  <c r="G46" i="43"/>
  <c r="K49" i="43"/>
  <c r="I50" i="43"/>
  <c r="K13" i="43"/>
  <c r="M14" i="43"/>
  <c r="F38" i="43"/>
  <c r="L49" i="43"/>
  <c r="L19" i="43"/>
  <c r="T28" i="53" l="1"/>
  <c r="Y28" i="53" s="1"/>
  <c r="Y14" i="53"/>
  <c r="Y20" i="49"/>
  <c r="T20" i="50"/>
  <c r="W22" i="49"/>
  <c r="R22" i="50"/>
  <c r="V17" i="51"/>
  <c r="R13" i="52"/>
  <c r="U28" i="49"/>
  <c r="U17" i="50"/>
  <c r="T13" i="52"/>
  <c r="T13" i="53" s="1"/>
  <c r="AA17" i="50"/>
  <c r="S14" i="52"/>
  <c r="S20" i="51"/>
  <c r="X20" i="50"/>
  <c r="R14" i="52"/>
  <c r="W23" i="46"/>
  <c r="AA23" i="46"/>
  <c r="X23" i="46"/>
  <c r="Z23" i="46"/>
  <c r="X16" i="46"/>
  <c r="Q27" i="46"/>
  <c r="X27" i="46" s="1"/>
  <c r="W16" i="46"/>
  <c r="Y16" i="46"/>
  <c r="Q51" i="52"/>
  <c r="W51" i="52" s="1"/>
  <c r="W41" i="52"/>
  <c r="Q52" i="52"/>
  <c r="W52" i="52" s="1"/>
  <c r="Q28" i="51"/>
  <c r="W14" i="51"/>
  <c r="X14" i="51"/>
  <c r="Q14" i="52"/>
  <c r="Z14" i="51"/>
  <c r="Y14" i="51"/>
  <c r="AA14" i="51"/>
  <c r="Q19" i="52"/>
  <c r="W19" i="51"/>
  <c r="Y19" i="51"/>
  <c r="Z19" i="51"/>
  <c r="X19" i="51"/>
  <c r="AA19" i="51"/>
  <c r="Q23" i="52"/>
  <c r="Y23" i="51"/>
  <c r="W23" i="51"/>
  <c r="X23" i="51"/>
  <c r="Z23" i="51"/>
  <c r="AA23" i="51"/>
  <c r="W16" i="51"/>
  <c r="Q16" i="52"/>
  <c r="Y16" i="51"/>
  <c r="AA16" i="51"/>
  <c r="Z16" i="51"/>
  <c r="Z26" i="52"/>
  <c r="Q25" i="52"/>
  <c r="AA25" i="51"/>
  <c r="Y25" i="51"/>
  <c r="Z25" i="51"/>
  <c r="W25" i="51"/>
  <c r="X25" i="51"/>
  <c r="Q17" i="52"/>
  <c r="W17" i="51"/>
  <c r="X17" i="51"/>
  <c r="AA22" i="52"/>
  <c r="Z22" i="52"/>
  <c r="W13" i="51"/>
  <c r="Q13" i="52"/>
  <c r="X13" i="51"/>
  <c r="Y13" i="51"/>
  <c r="Q27" i="51"/>
  <c r="Z20" i="52"/>
  <c r="X22" i="48"/>
  <c r="S22" i="49"/>
  <c r="X26" i="48"/>
  <c r="S26" i="49"/>
  <c r="S26" i="50" s="1"/>
  <c r="S27" i="48"/>
  <c r="S16" i="49"/>
  <c r="S16" i="50" s="1"/>
  <c r="W20" i="48"/>
  <c r="R20" i="49"/>
  <c r="R20" i="50" s="1"/>
  <c r="U27" i="48"/>
  <c r="Z27" i="48" s="1"/>
  <c r="U13" i="49"/>
  <c r="U13" i="50" s="1"/>
  <c r="T28" i="48"/>
  <c r="Y28" i="48" s="1"/>
  <c r="T17" i="49"/>
  <c r="T17" i="50" s="1"/>
  <c r="W26" i="48"/>
  <c r="R26" i="49"/>
  <c r="Z28" i="49"/>
  <c r="Y22" i="48"/>
  <c r="T22" i="49"/>
  <c r="T22" i="50" s="1"/>
  <c r="Y26" i="48"/>
  <c r="T26" i="49"/>
  <c r="AA17" i="49"/>
  <c r="AA20" i="48"/>
  <c r="V20" i="49"/>
  <c r="AA26" i="48"/>
  <c r="V26" i="49"/>
  <c r="V27" i="48"/>
  <c r="AA27" i="48" s="1"/>
  <c r="V13" i="49"/>
  <c r="V13" i="50" s="1"/>
  <c r="Z17" i="49"/>
  <c r="R27" i="49"/>
  <c r="W27" i="49" s="1"/>
  <c r="X16" i="48"/>
  <c r="V28" i="48"/>
  <c r="X27" i="48"/>
  <c r="W27" i="48"/>
  <c r="R28" i="48"/>
  <c r="W28" i="48" s="1"/>
  <c r="Z28" i="48"/>
  <c r="AA28" i="48"/>
  <c r="AA13" i="48"/>
  <c r="Y17" i="48"/>
  <c r="S28" i="48"/>
  <c r="X28" i="48" s="1"/>
  <c r="Z13" i="48"/>
  <c r="T27" i="48"/>
  <c r="Y27" i="48" s="1"/>
  <c r="T52" i="47"/>
  <c r="W28" i="47"/>
  <c r="Z28" i="47"/>
  <c r="AA28" i="47"/>
  <c r="Y28" i="47"/>
  <c r="X28" i="47"/>
  <c r="M51" i="47"/>
  <c r="L51" i="47"/>
  <c r="P51" i="47"/>
  <c r="O51" i="47"/>
  <c r="N51" i="47"/>
  <c r="M52" i="47"/>
  <c r="L52" i="47"/>
  <c r="P52" i="47"/>
  <c r="O52" i="47"/>
  <c r="N52" i="47"/>
  <c r="Z27" i="47"/>
  <c r="X27" i="47"/>
  <c r="Y27" i="47"/>
  <c r="W27" i="47"/>
  <c r="AA27" i="47"/>
  <c r="J51" i="46"/>
  <c r="S28" i="46"/>
  <c r="I51" i="46"/>
  <c r="M46" i="46"/>
  <c r="L46" i="46"/>
  <c r="P46" i="46"/>
  <c r="O46" i="46"/>
  <c r="N46" i="46"/>
  <c r="U27" i="46"/>
  <c r="Z27" i="46" s="1"/>
  <c r="Z16" i="46"/>
  <c r="T28" i="46"/>
  <c r="P47" i="46"/>
  <c r="O47" i="46"/>
  <c r="N47" i="46"/>
  <c r="M47" i="46"/>
  <c r="L47" i="46"/>
  <c r="M27" i="46"/>
  <c r="P27" i="46"/>
  <c r="O27" i="46"/>
  <c r="N27" i="46"/>
  <c r="L27" i="46"/>
  <c r="AA17" i="46"/>
  <c r="Z17" i="46"/>
  <c r="Y17" i="46"/>
  <c r="X17" i="46"/>
  <c r="W17" i="46"/>
  <c r="N28" i="46"/>
  <c r="M28" i="46"/>
  <c r="L28" i="46"/>
  <c r="P28" i="46"/>
  <c r="O28" i="46"/>
  <c r="P44" i="46"/>
  <c r="O44" i="46"/>
  <c r="N44" i="46"/>
  <c r="M44" i="46"/>
  <c r="L44" i="46"/>
  <c r="R27" i="46"/>
  <c r="P40" i="46"/>
  <c r="O40" i="46"/>
  <c r="N40" i="46"/>
  <c r="M40" i="46"/>
  <c r="L40" i="46"/>
  <c r="N49" i="46"/>
  <c r="AA26" i="46"/>
  <c r="X26" i="46"/>
  <c r="Z26" i="46"/>
  <c r="Y26" i="46"/>
  <c r="W26" i="46"/>
  <c r="L41" i="46"/>
  <c r="M38" i="46"/>
  <c r="L38" i="46"/>
  <c r="P38" i="46"/>
  <c r="O38" i="46"/>
  <c r="F52" i="46"/>
  <c r="N38" i="46"/>
  <c r="H51" i="46"/>
  <c r="K51" i="46"/>
  <c r="V27" i="46"/>
  <c r="P50" i="46"/>
  <c r="O50" i="46"/>
  <c r="N50" i="46"/>
  <c r="M50" i="46"/>
  <c r="L50" i="46"/>
  <c r="H52" i="46"/>
  <c r="M37" i="46"/>
  <c r="P37" i="46"/>
  <c r="O37" i="46"/>
  <c r="N37" i="46"/>
  <c r="L37" i="46"/>
  <c r="F51" i="46"/>
  <c r="V28" i="46"/>
  <c r="R28" i="46"/>
  <c r="AA14" i="46"/>
  <c r="X14" i="46"/>
  <c r="Z14" i="46"/>
  <c r="Y14" i="46"/>
  <c r="Q28" i="46"/>
  <c r="W14" i="46"/>
  <c r="G51" i="46"/>
  <c r="J52" i="46"/>
  <c r="I52" i="46"/>
  <c r="AA22" i="46"/>
  <c r="Y22" i="46"/>
  <c r="Z22" i="46"/>
  <c r="X22" i="46"/>
  <c r="W22" i="46"/>
  <c r="M43" i="46"/>
  <c r="T27" i="46"/>
  <c r="Y27" i="46" s="1"/>
  <c r="Y13" i="46"/>
  <c r="G52" i="46"/>
  <c r="F51" i="45"/>
  <c r="O41" i="45"/>
  <c r="R28" i="45"/>
  <c r="P41" i="45"/>
  <c r="G51" i="45"/>
  <c r="L51" i="45" s="1"/>
  <c r="M43" i="45"/>
  <c r="S28" i="45"/>
  <c r="V27" i="45"/>
  <c r="R27" i="45"/>
  <c r="I51" i="45"/>
  <c r="N51" i="45" s="1"/>
  <c r="N37" i="45"/>
  <c r="Z25" i="45"/>
  <c r="N28" i="45"/>
  <c r="M28" i="45"/>
  <c r="L28" i="45"/>
  <c r="O28" i="45"/>
  <c r="P28" i="45"/>
  <c r="P49" i="45"/>
  <c r="K52" i="45"/>
  <c r="Y16" i="45"/>
  <c r="X16" i="45"/>
  <c r="W16" i="45"/>
  <c r="AA16" i="45"/>
  <c r="Z16" i="45"/>
  <c r="Q27" i="45"/>
  <c r="S27" i="45"/>
  <c r="AA14" i="45"/>
  <c r="Z14" i="45"/>
  <c r="Q28" i="45"/>
  <c r="W14" i="45"/>
  <c r="Y14" i="45"/>
  <c r="X14" i="45"/>
  <c r="AA26" i="45"/>
  <c r="Z26" i="45"/>
  <c r="W26" i="45"/>
  <c r="X26" i="45"/>
  <c r="Y26" i="45"/>
  <c r="O40" i="45"/>
  <c r="N40" i="45"/>
  <c r="M40" i="45"/>
  <c r="L40" i="45"/>
  <c r="P40" i="45"/>
  <c r="I52" i="45"/>
  <c r="J51" i="45"/>
  <c r="O51" i="45" s="1"/>
  <c r="T28" i="45"/>
  <c r="AA22" i="45"/>
  <c r="X22" i="45"/>
  <c r="Z22" i="45"/>
  <c r="Y22" i="45"/>
  <c r="W22" i="45"/>
  <c r="G52" i="45"/>
  <c r="L38" i="45"/>
  <c r="O38" i="45"/>
  <c r="F52" i="45"/>
  <c r="N38" i="45"/>
  <c r="P38" i="45"/>
  <c r="M38" i="45"/>
  <c r="M37" i="45"/>
  <c r="H51" i="45"/>
  <c r="M51" i="45" s="1"/>
  <c r="P47" i="45"/>
  <c r="O47" i="45"/>
  <c r="N47" i="45"/>
  <c r="M47" i="45"/>
  <c r="L47" i="45"/>
  <c r="P27" i="45"/>
  <c r="O27" i="45"/>
  <c r="L27" i="45"/>
  <c r="N27" i="45"/>
  <c r="M27" i="45"/>
  <c r="H52" i="45"/>
  <c r="L41" i="45"/>
  <c r="Z23" i="45"/>
  <c r="Y23" i="45"/>
  <c r="X23" i="45"/>
  <c r="AA23" i="45"/>
  <c r="W23" i="45"/>
  <c r="L46" i="45"/>
  <c r="O46" i="45"/>
  <c r="N46" i="45"/>
  <c r="P46" i="45"/>
  <c r="M46" i="45"/>
  <c r="K51" i="45"/>
  <c r="P51" i="45" s="1"/>
  <c r="T27" i="45"/>
  <c r="Y13" i="45"/>
  <c r="U28" i="45"/>
  <c r="P50" i="45"/>
  <c r="O50" i="45"/>
  <c r="N50" i="45"/>
  <c r="M50" i="45"/>
  <c r="L50" i="45"/>
  <c r="J52" i="45"/>
  <c r="L43" i="45"/>
  <c r="L50" i="44"/>
  <c r="K50" i="44"/>
  <c r="F52" i="44"/>
  <c r="N52" i="44" s="1"/>
  <c r="N50" i="44"/>
  <c r="M50" i="44"/>
  <c r="J51" i="44"/>
  <c r="H52" i="44"/>
  <c r="M49" i="44"/>
  <c r="I51" i="44"/>
  <c r="L49" i="44"/>
  <c r="L43" i="44"/>
  <c r="N47" i="44"/>
  <c r="N49" i="44"/>
  <c r="H51" i="44"/>
  <c r="K52" i="44"/>
  <c r="L44" i="44"/>
  <c r="K44" i="44"/>
  <c r="N44" i="44"/>
  <c r="M44" i="44"/>
  <c r="F51" i="44"/>
  <c r="N37" i="44"/>
  <c r="M37" i="44"/>
  <c r="L37" i="44"/>
  <c r="K37" i="44"/>
  <c r="N27" i="44"/>
  <c r="M27" i="44"/>
  <c r="L27" i="44"/>
  <c r="K27" i="44"/>
  <c r="K49" i="44"/>
  <c r="N46" i="44"/>
  <c r="M46" i="44"/>
  <c r="L46" i="44"/>
  <c r="K46" i="44"/>
  <c r="N28" i="44"/>
  <c r="M28" i="44"/>
  <c r="L28" i="44"/>
  <c r="K28" i="44"/>
  <c r="L40" i="44"/>
  <c r="K40" i="44"/>
  <c r="N40" i="44"/>
  <c r="M40" i="44"/>
  <c r="I52" i="44"/>
  <c r="M38" i="44"/>
  <c r="G51" i="44"/>
  <c r="M49" i="43"/>
  <c r="N38" i="43"/>
  <c r="M38" i="43"/>
  <c r="L38" i="43"/>
  <c r="K38" i="43"/>
  <c r="F52" i="43"/>
  <c r="N46" i="43"/>
  <c r="M46" i="43"/>
  <c r="L46" i="43"/>
  <c r="K46" i="43"/>
  <c r="L40" i="43"/>
  <c r="K40" i="43"/>
  <c r="M40" i="43"/>
  <c r="N40" i="43"/>
  <c r="L43" i="43"/>
  <c r="M47" i="43"/>
  <c r="K50" i="43"/>
  <c r="L50" i="43"/>
  <c r="N50" i="43"/>
  <c r="M50" i="43"/>
  <c r="M43" i="43"/>
  <c r="K37" i="43"/>
  <c r="F51" i="43"/>
  <c r="N37" i="43"/>
  <c r="M37" i="43"/>
  <c r="L37" i="43"/>
  <c r="H51" i="43"/>
  <c r="N27" i="43"/>
  <c r="M27" i="43"/>
  <c r="L27" i="43"/>
  <c r="K27" i="43"/>
  <c r="N28" i="43"/>
  <c r="M28" i="43"/>
  <c r="K28" i="43"/>
  <c r="L28" i="43"/>
  <c r="G51" i="43"/>
  <c r="I52" i="43"/>
  <c r="J52" i="43"/>
  <c r="I51" i="43"/>
  <c r="L44" i="43"/>
  <c r="K44" i="43"/>
  <c r="M44" i="43"/>
  <c r="N44" i="43"/>
  <c r="T27" i="53" l="1"/>
  <c r="Y27" i="53" s="1"/>
  <c r="Y13" i="53"/>
  <c r="Y26" i="49"/>
  <c r="T26" i="50"/>
  <c r="V17" i="52"/>
  <c r="V13" i="51"/>
  <c r="V27" i="50"/>
  <c r="AA27" i="50" s="1"/>
  <c r="AA13" i="50"/>
  <c r="U13" i="51"/>
  <c r="U27" i="50"/>
  <c r="Z27" i="50" s="1"/>
  <c r="Z13" i="50"/>
  <c r="X22" i="49"/>
  <c r="S22" i="50"/>
  <c r="AA26" i="49"/>
  <c r="V26" i="50"/>
  <c r="R20" i="51"/>
  <c r="W20" i="50"/>
  <c r="T22" i="51"/>
  <c r="Y22" i="50"/>
  <c r="T27" i="50"/>
  <c r="Y27" i="50" s="1"/>
  <c r="U28" i="50"/>
  <c r="Z28" i="50" s="1"/>
  <c r="U17" i="51"/>
  <c r="Z17" i="50"/>
  <c r="R22" i="51"/>
  <c r="W22" i="50"/>
  <c r="R27" i="50"/>
  <c r="W27" i="50" s="1"/>
  <c r="AA20" i="49"/>
  <c r="V20" i="50"/>
  <c r="W26" i="49"/>
  <c r="R26" i="50"/>
  <c r="R28" i="50" s="1"/>
  <c r="W28" i="50" s="1"/>
  <c r="S16" i="51"/>
  <c r="X16" i="50"/>
  <c r="AA17" i="51"/>
  <c r="S20" i="52"/>
  <c r="X20" i="52" s="1"/>
  <c r="X20" i="51"/>
  <c r="T20" i="51"/>
  <c r="Y20" i="50"/>
  <c r="T17" i="51"/>
  <c r="T28" i="50"/>
  <c r="Y28" i="50" s="1"/>
  <c r="Y17" i="50"/>
  <c r="S26" i="51"/>
  <c r="X26" i="50"/>
  <c r="S28" i="50"/>
  <c r="X28" i="50" s="1"/>
  <c r="S28" i="51"/>
  <c r="X28" i="51" s="1"/>
  <c r="AA27" i="46"/>
  <c r="W27" i="46"/>
  <c r="Z19" i="52"/>
  <c r="X19" i="52"/>
  <c r="Y19" i="52"/>
  <c r="W19" i="52"/>
  <c r="AA19" i="52"/>
  <c r="W23" i="52"/>
  <c r="AA23" i="52"/>
  <c r="X23" i="52"/>
  <c r="Y23" i="52"/>
  <c r="Z23" i="52"/>
  <c r="W16" i="52"/>
  <c r="Y16" i="52"/>
  <c r="AA16" i="52"/>
  <c r="Z16" i="52"/>
  <c r="X25" i="52"/>
  <c r="AA25" i="52"/>
  <c r="Z25" i="52"/>
  <c r="Y25" i="52"/>
  <c r="W25" i="52"/>
  <c r="W14" i="52"/>
  <c r="Y14" i="52"/>
  <c r="Q28" i="52"/>
  <c r="AA14" i="52"/>
  <c r="X14" i="52"/>
  <c r="Z14" i="52"/>
  <c r="X13" i="52"/>
  <c r="W13" i="52"/>
  <c r="Y13" i="52"/>
  <c r="Q27" i="52"/>
  <c r="W17" i="52"/>
  <c r="X17" i="52"/>
  <c r="AA17" i="52"/>
  <c r="U27" i="49"/>
  <c r="Z27" i="49" s="1"/>
  <c r="Z13" i="49"/>
  <c r="W20" i="49"/>
  <c r="R28" i="49"/>
  <c r="W28" i="49" s="1"/>
  <c r="S27" i="49"/>
  <c r="X27" i="49" s="1"/>
  <c r="X16" i="49"/>
  <c r="AA13" i="49"/>
  <c r="V27" i="49"/>
  <c r="AA27" i="49" s="1"/>
  <c r="X26" i="49"/>
  <c r="S28" i="49"/>
  <c r="X28" i="49" s="1"/>
  <c r="V28" i="49"/>
  <c r="AA28" i="49" s="1"/>
  <c r="Y22" i="49"/>
  <c r="T27" i="49"/>
  <c r="Y27" i="49" s="1"/>
  <c r="T28" i="49"/>
  <c r="Y28" i="49" s="1"/>
  <c r="Y17" i="49"/>
  <c r="Z28" i="46"/>
  <c r="AA28" i="46"/>
  <c r="Y28" i="46"/>
  <c r="X28" i="46"/>
  <c r="W28" i="46"/>
  <c r="M51" i="46"/>
  <c r="L51" i="46"/>
  <c r="P51" i="46"/>
  <c r="O51" i="46"/>
  <c r="N51" i="46"/>
  <c r="M52" i="46"/>
  <c r="L52" i="46"/>
  <c r="P52" i="46"/>
  <c r="O52" i="46"/>
  <c r="N52" i="46"/>
  <c r="M52" i="44"/>
  <c r="L52" i="45"/>
  <c r="O52" i="45"/>
  <c r="N52" i="45"/>
  <c r="P52" i="45"/>
  <c r="M52" i="45"/>
  <c r="Y28" i="45"/>
  <c r="AA28" i="45"/>
  <c r="Z28" i="45"/>
  <c r="X28" i="45"/>
  <c r="W28" i="45"/>
  <c r="Y27" i="45"/>
  <c r="X27" i="45"/>
  <c r="W27" i="45"/>
  <c r="Z27" i="45"/>
  <c r="AA27" i="45"/>
  <c r="L52" i="44"/>
  <c r="N51" i="44"/>
  <c r="M51" i="44"/>
  <c r="L51" i="44"/>
  <c r="K51" i="44"/>
  <c r="K52" i="43"/>
  <c r="L52" i="43"/>
  <c r="N52" i="43"/>
  <c r="M52" i="43"/>
  <c r="N51" i="43"/>
  <c r="M51" i="43"/>
  <c r="L51" i="43"/>
  <c r="K51" i="43"/>
  <c r="V20" i="51" l="1"/>
  <c r="AA20" i="50"/>
  <c r="V28" i="50"/>
  <c r="AA28" i="50" s="1"/>
  <c r="V26" i="51"/>
  <c r="AA26" i="50"/>
  <c r="V27" i="51"/>
  <c r="AA27" i="51" s="1"/>
  <c r="V13" i="52"/>
  <c r="V13" i="53" s="1"/>
  <c r="AA13" i="51"/>
  <c r="S26" i="52"/>
  <c r="X26" i="52" s="1"/>
  <c r="X26" i="51"/>
  <c r="S22" i="51"/>
  <c r="X22" i="50"/>
  <c r="R20" i="52"/>
  <c r="W20" i="51"/>
  <c r="R28" i="51"/>
  <c r="W28" i="51" s="1"/>
  <c r="T22" i="52"/>
  <c r="Y22" i="51"/>
  <c r="T27" i="51"/>
  <c r="Y27" i="51" s="1"/>
  <c r="T20" i="52"/>
  <c r="Y20" i="52" s="1"/>
  <c r="Y20" i="51"/>
  <c r="S16" i="52"/>
  <c r="S27" i="51"/>
  <c r="X27" i="51" s="1"/>
  <c r="X16" i="51"/>
  <c r="R22" i="52"/>
  <c r="W22" i="51"/>
  <c r="R27" i="51"/>
  <c r="W27" i="51" s="1"/>
  <c r="S28" i="52"/>
  <c r="T17" i="52"/>
  <c r="T28" i="51"/>
  <c r="Y28" i="51" s="1"/>
  <c r="Y17" i="51"/>
  <c r="S27" i="50"/>
  <c r="X27" i="50" s="1"/>
  <c r="T26" i="51"/>
  <c r="Y26" i="50"/>
  <c r="R26" i="51"/>
  <c r="W26" i="50"/>
  <c r="U17" i="52"/>
  <c r="U28" i="51"/>
  <c r="Z28" i="51" s="1"/>
  <c r="Z17" i="51"/>
  <c r="U27" i="51"/>
  <c r="Z27" i="51" s="1"/>
  <c r="U13" i="52"/>
  <c r="Z13" i="51"/>
  <c r="X28" i="52"/>
  <c r="AA52" i="41"/>
  <c r="Z52" i="41"/>
  <c r="Y52" i="41"/>
  <c r="AA51" i="41"/>
  <c r="Z51" i="41"/>
  <c r="Y51" i="41"/>
  <c r="F50" i="41"/>
  <c r="K50" i="41" s="1"/>
  <c r="H49" i="41"/>
  <c r="J47" i="41"/>
  <c r="G44" i="41"/>
  <c r="I43" i="41"/>
  <c r="G40" i="41"/>
  <c r="X52" i="41"/>
  <c r="J38" i="41"/>
  <c r="X51" i="41"/>
  <c r="O33" i="41"/>
  <c r="J50" i="41"/>
  <c r="I50" i="41"/>
  <c r="H50" i="41"/>
  <c r="G50" i="41"/>
  <c r="N26" i="41"/>
  <c r="L25" i="41"/>
  <c r="M23" i="41"/>
  <c r="I47" i="41"/>
  <c r="G47" i="41"/>
  <c r="F47" i="41"/>
  <c r="K22" i="41"/>
  <c r="J46" i="41"/>
  <c r="I46" i="41"/>
  <c r="H46" i="41"/>
  <c r="G46" i="41"/>
  <c r="J44" i="41"/>
  <c r="I44" i="41"/>
  <c r="H44" i="41"/>
  <c r="N20" i="41"/>
  <c r="F43" i="41"/>
  <c r="M17" i="41"/>
  <c r="J41" i="41"/>
  <c r="I41" i="41"/>
  <c r="H41" i="41"/>
  <c r="G41" i="41"/>
  <c r="F41" i="41"/>
  <c r="AA27" i="41"/>
  <c r="K16" i="41"/>
  <c r="J40" i="41"/>
  <c r="I40" i="41"/>
  <c r="H40" i="41"/>
  <c r="AA28" i="41"/>
  <c r="Z28" i="41"/>
  <c r="Y28" i="41"/>
  <c r="X28" i="41"/>
  <c r="J28" i="41"/>
  <c r="I28" i="41"/>
  <c r="H28" i="41"/>
  <c r="G38" i="41"/>
  <c r="N14" i="41"/>
  <c r="Z27" i="41"/>
  <c r="Y27" i="41"/>
  <c r="X27" i="41"/>
  <c r="J37" i="41"/>
  <c r="I37" i="41"/>
  <c r="H27" i="41"/>
  <c r="G27" i="41"/>
  <c r="L13" i="41"/>
  <c r="O9" i="41"/>
  <c r="F9" i="41"/>
  <c r="F33" i="41" s="1"/>
  <c r="AA52" i="40"/>
  <c r="Z52" i="40"/>
  <c r="Y52" i="40"/>
  <c r="AA51" i="40"/>
  <c r="Z51" i="40"/>
  <c r="Y51" i="40"/>
  <c r="X51" i="40"/>
  <c r="J50" i="40"/>
  <c r="H50" i="40"/>
  <c r="J49" i="40"/>
  <c r="F49" i="40"/>
  <c r="H47" i="40"/>
  <c r="F47" i="40"/>
  <c r="J46" i="40"/>
  <c r="H46" i="40"/>
  <c r="F46" i="40"/>
  <c r="I44" i="40"/>
  <c r="G43" i="40"/>
  <c r="J41" i="40"/>
  <c r="H41" i="40"/>
  <c r="F41" i="40"/>
  <c r="X52" i="40"/>
  <c r="H38" i="40"/>
  <c r="F38" i="40"/>
  <c r="G37" i="40"/>
  <c r="O33" i="40"/>
  <c r="M26" i="40"/>
  <c r="K26" i="40"/>
  <c r="I50" i="40"/>
  <c r="G50" i="40"/>
  <c r="N26" i="40"/>
  <c r="K25" i="40"/>
  <c r="H49" i="40"/>
  <c r="L25" i="40"/>
  <c r="J47" i="40"/>
  <c r="G47" i="40"/>
  <c r="N23" i="40"/>
  <c r="M22" i="40"/>
  <c r="I46" i="40"/>
  <c r="L22" i="40"/>
  <c r="N22" i="40"/>
  <c r="M20" i="40"/>
  <c r="K20" i="40"/>
  <c r="J44" i="40"/>
  <c r="H44" i="40"/>
  <c r="G44" i="40"/>
  <c r="N20" i="40"/>
  <c r="K19" i="40"/>
  <c r="J43" i="40"/>
  <c r="H43" i="40"/>
  <c r="F43" i="40"/>
  <c r="Y28" i="40"/>
  <c r="I41" i="40"/>
  <c r="G41" i="40"/>
  <c r="N17" i="40"/>
  <c r="M16" i="40"/>
  <c r="J40" i="40"/>
  <c r="I40" i="40"/>
  <c r="H40" i="40"/>
  <c r="N16" i="40"/>
  <c r="AA28" i="40"/>
  <c r="Z28" i="40"/>
  <c r="X28" i="40"/>
  <c r="M14" i="40"/>
  <c r="K14" i="40"/>
  <c r="J28" i="40"/>
  <c r="I38" i="40"/>
  <c r="H28" i="40"/>
  <c r="G38" i="40"/>
  <c r="N14" i="40"/>
  <c r="AA27" i="40"/>
  <c r="Z27" i="40"/>
  <c r="Y27" i="40"/>
  <c r="X27" i="40"/>
  <c r="K13" i="40"/>
  <c r="J37" i="40"/>
  <c r="I37" i="40"/>
  <c r="H27" i="40"/>
  <c r="L13" i="40"/>
  <c r="O9" i="40"/>
  <c r="F9" i="40"/>
  <c r="F33" i="40" s="1"/>
  <c r="AA52" i="38"/>
  <c r="Z52" i="38"/>
  <c r="Y52" i="38"/>
  <c r="AA51" i="38"/>
  <c r="Z51" i="38"/>
  <c r="Y51" i="38"/>
  <c r="I50" i="38"/>
  <c r="F49" i="38"/>
  <c r="H47" i="38"/>
  <c r="J46" i="38"/>
  <c r="G43" i="38"/>
  <c r="X52" i="38"/>
  <c r="H38" i="38"/>
  <c r="X51" i="38"/>
  <c r="O33" i="38"/>
  <c r="J50" i="38"/>
  <c r="H50" i="38"/>
  <c r="G50" i="38"/>
  <c r="N26" i="38"/>
  <c r="M25" i="38"/>
  <c r="L25" i="38"/>
  <c r="I49" i="38"/>
  <c r="K25" i="38"/>
  <c r="K23" i="38"/>
  <c r="J47" i="38"/>
  <c r="I47" i="38"/>
  <c r="G47" i="38"/>
  <c r="F47" i="38"/>
  <c r="I46" i="38"/>
  <c r="H46" i="38"/>
  <c r="G46" i="38"/>
  <c r="J44" i="38"/>
  <c r="I44" i="38"/>
  <c r="H44" i="38"/>
  <c r="G44" i="38"/>
  <c r="N20" i="38"/>
  <c r="M19" i="38"/>
  <c r="L19" i="38"/>
  <c r="I43" i="38"/>
  <c r="F43" i="38"/>
  <c r="AA28" i="38"/>
  <c r="K17" i="38"/>
  <c r="J41" i="38"/>
  <c r="I41" i="38"/>
  <c r="H41" i="38"/>
  <c r="G41" i="38"/>
  <c r="F41" i="38"/>
  <c r="Y27" i="38"/>
  <c r="J40" i="38"/>
  <c r="I40" i="38"/>
  <c r="G40" i="38"/>
  <c r="Z28" i="38"/>
  <c r="Y28" i="38"/>
  <c r="X28" i="38"/>
  <c r="J28" i="38"/>
  <c r="I28" i="38"/>
  <c r="H28" i="38"/>
  <c r="G38" i="38"/>
  <c r="F38" i="38"/>
  <c r="AA27" i="38"/>
  <c r="Z27" i="38"/>
  <c r="X27" i="38"/>
  <c r="M13" i="38"/>
  <c r="L13" i="38"/>
  <c r="J37" i="38"/>
  <c r="I37" i="38"/>
  <c r="H27" i="38"/>
  <c r="G27" i="38"/>
  <c r="K13" i="38"/>
  <c r="O9" i="38"/>
  <c r="F9" i="38"/>
  <c r="F33" i="38" s="1"/>
  <c r="V27" i="53" l="1"/>
  <c r="AA27" i="53" s="1"/>
  <c r="AA13" i="53"/>
  <c r="X16" i="52"/>
  <c r="V27" i="52"/>
  <c r="AA27" i="52" s="1"/>
  <c r="AA13" i="52"/>
  <c r="U28" i="52"/>
  <c r="Z28" i="52" s="1"/>
  <c r="Z17" i="52"/>
  <c r="Y17" i="52"/>
  <c r="W20" i="52"/>
  <c r="Y22" i="52"/>
  <c r="T27" i="52"/>
  <c r="Y27" i="52" s="1"/>
  <c r="V26" i="52"/>
  <c r="AA26" i="52" s="1"/>
  <c r="AA26" i="51"/>
  <c r="R26" i="52"/>
  <c r="W26" i="52" s="1"/>
  <c r="W26" i="51"/>
  <c r="S22" i="52"/>
  <c r="X22" i="52" s="1"/>
  <c r="X22" i="51"/>
  <c r="U27" i="52"/>
  <c r="Z27" i="52" s="1"/>
  <c r="Z13" i="52"/>
  <c r="T26" i="52"/>
  <c r="Y26" i="52" s="1"/>
  <c r="Y26" i="51"/>
  <c r="W22" i="52"/>
  <c r="R27" i="52"/>
  <c r="W27" i="52" s="1"/>
  <c r="V20" i="52"/>
  <c r="AA20" i="51"/>
  <c r="V28" i="51"/>
  <c r="AA28" i="51" s="1"/>
  <c r="G52" i="41"/>
  <c r="N41" i="41"/>
  <c r="L41" i="41"/>
  <c r="M41" i="41"/>
  <c r="K41" i="41"/>
  <c r="M43" i="41"/>
  <c r="L43" i="41"/>
  <c r="N47" i="41"/>
  <c r="M47" i="41"/>
  <c r="K47" i="41"/>
  <c r="J52" i="41"/>
  <c r="M13" i="41"/>
  <c r="K17" i="41"/>
  <c r="M19" i="41"/>
  <c r="K23" i="41"/>
  <c r="M25" i="41"/>
  <c r="I27" i="41"/>
  <c r="H38" i="41"/>
  <c r="G43" i="41"/>
  <c r="H47" i="41"/>
  <c r="F49" i="41"/>
  <c r="L50" i="41"/>
  <c r="N50" i="41"/>
  <c r="N13" i="41"/>
  <c r="L17" i="41"/>
  <c r="N19" i="41"/>
  <c r="L23" i="41"/>
  <c r="N25" i="41"/>
  <c r="J27" i="41"/>
  <c r="I38" i="41"/>
  <c r="F40" i="41"/>
  <c r="H43" i="41"/>
  <c r="F44" i="41"/>
  <c r="G49" i="41"/>
  <c r="M50" i="41"/>
  <c r="L16" i="41"/>
  <c r="N17" i="41"/>
  <c r="L22" i="41"/>
  <c r="N23" i="41"/>
  <c r="F28" i="41"/>
  <c r="F37" i="41"/>
  <c r="J43" i="41"/>
  <c r="I49" i="41"/>
  <c r="K14" i="41"/>
  <c r="M16" i="41"/>
  <c r="K20" i="41"/>
  <c r="M22" i="41"/>
  <c r="K26" i="41"/>
  <c r="G28" i="41"/>
  <c r="G37" i="41"/>
  <c r="F46" i="41"/>
  <c r="J49" i="41"/>
  <c r="L14" i="41"/>
  <c r="N16" i="41"/>
  <c r="L20" i="41"/>
  <c r="N22" i="41"/>
  <c r="L26" i="41"/>
  <c r="F27" i="41"/>
  <c r="H37" i="41"/>
  <c r="K13" i="41"/>
  <c r="M14" i="41"/>
  <c r="K19" i="41"/>
  <c r="M20" i="41"/>
  <c r="K25" i="41"/>
  <c r="M26" i="41"/>
  <c r="F38" i="41"/>
  <c r="L19" i="41"/>
  <c r="G52" i="40"/>
  <c r="L49" i="40"/>
  <c r="H52" i="40"/>
  <c r="J51" i="40"/>
  <c r="N43" i="40"/>
  <c r="L43" i="40"/>
  <c r="K43" i="40"/>
  <c r="K23" i="40"/>
  <c r="I27" i="40"/>
  <c r="N13" i="40"/>
  <c r="L17" i="40"/>
  <c r="N19" i="40"/>
  <c r="L23" i="40"/>
  <c r="N25" i="40"/>
  <c r="J27" i="40"/>
  <c r="F40" i="40"/>
  <c r="K41" i="40"/>
  <c r="F44" i="40"/>
  <c r="I47" i="40"/>
  <c r="G49" i="40"/>
  <c r="M13" i="40"/>
  <c r="K17" i="40"/>
  <c r="M19" i="40"/>
  <c r="N49" i="40"/>
  <c r="K16" i="40"/>
  <c r="M17" i="40"/>
  <c r="K22" i="40"/>
  <c r="M23" i="40"/>
  <c r="J38" i="40"/>
  <c r="G40" i="40"/>
  <c r="L41" i="40"/>
  <c r="I43" i="40"/>
  <c r="L46" i="40"/>
  <c r="F50" i="40"/>
  <c r="M25" i="40"/>
  <c r="L16" i="40"/>
  <c r="F28" i="40"/>
  <c r="F37" i="40"/>
  <c r="K38" i="40"/>
  <c r="M41" i="40"/>
  <c r="M46" i="40"/>
  <c r="K47" i="40"/>
  <c r="I49" i="40"/>
  <c r="G28" i="40"/>
  <c r="L38" i="40"/>
  <c r="N41" i="40"/>
  <c r="N46" i="40"/>
  <c r="L47" i="40"/>
  <c r="L14" i="40"/>
  <c r="L20" i="40"/>
  <c r="L26" i="40"/>
  <c r="F27" i="40"/>
  <c r="H37" i="40"/>
  <c r="M38" i="40"/>
  <c r="G46" i="40"/>
  <c r="K46" i="40" s="1"/>
  <c r="M47" i="40"/>
  <c r="G27" i="40"/>
  <c r="I28" i="40"/>
  <c r="N38" i="40"/>
  <c r="N47" i="40"/>
  <c r="L19" i="40"/>
  <c r="H52" i="38"/>
  <c r="M49" i="38"/>
  <c r="N47" i="38"/>
  <c r="M47" i="38"/>
  <c r="L47" i="38"/>
  <c r="K47" i="38"/>
  <c r="N41" i="38"/>
  <c r="M41" i="38"/>
  <c r="L41" i="38"/>
  <c r="K41" i="38"/>
  <c r="M43" i="38"/>
  <c r="K43" i="38"/>
  <c r="I51" i="38"/>
  <c r="M38" i="38"/>
  <c r="L38" i="38"/>
  <c r="K38" i="38"/>
  <c r="G52" i="38"/>
  <c r="N14" i="38"/>
  <c r="N13" i="38"/>
  <c r="L17" i="38"/>
  <c r="N19" i="38"/>
  <c r="L23" i="38"/>
  <c r="N25" i="38"/>
  <c r="J27" i="38"/>
  <c r="I38" i="38"/>
  <c r="F40" i="38"/>
  <c r="H43" i="38"/>
  <c r="F44" i="38"/>
  <c r="G49" i="38"/>
  <c r="K16" i="38"/>
  <c r="M17" i="38"/>
  <c r="K22" i="38"/>
  <c r="M23" i="38"/>
  <c r="J38" i="38"/>
  <c r="N38" i="38" s="1"/>
  <c r="H49" i="38"/>
  <c r="F50" i="38"/>
  <c r="I27" i="38"/>
  <c r="L16" i="38"/>
  <c r="N17" i="38"/>
  <c r="L22" i="38"/>
  <c r="N23" i="38"/>
  <c r="F28" i="38"/>
  <c r="F37" i="38"/>
  <c r="H40" i="38"/>
  <c r="J43" i="38"/>
  <c r="K14" i="38"/>
  <c r="M16" i="38"/>
  <c r="K20" i="38"/>
  <c r="M22" i="38"/>
  <c r="K26" i="38"/>
  <c r="G28" i="38"/>
  <c r="G37" i="38"/>
  <c r="F46" i="38"/>
  <c r="J49" i="38"/>
  <c r="L14" i="38"/>
  <c r="N22" i="38"/>
  <c r="L26" i="38"/>
  <c r="F27" i="38"/>
  <c r="H37" i="38"/>
  <c r="N16" i="38"/>
  <c r="L20" i="38"/>
  <c r="M14" i="38"/>
  <c r="K19" i="38"/>
  <c r="M20" i="38"/>
  <c r="M26" i="38"/>
  <c r="J20" i="36"/>
  <c r="F20" i="36"/>
  <c r="T28" i="52" l="1"/>
  <c r="Y28" i="52" s="1"/>
  <c r="R28" i="52"/>
  <c r="W28" i="52" s="1"/>
  <c r="AA20" i="52"/>
  <c r="V28" i="52"/>
  <c r="AA28" i="52" s="1"/>
  <c r="S27" i="52"/>
  <c r="X27" i="52" s="1"/>
  <c r="K43" i="41"/>
  <c r="J51" i="41"/>
  <c r="H51" i="41"/>
  <c r="K27" i="41"/>
  <c r="N27" i="41"/>
  <c r="M27" i="41"/>
  <c r="L27" i="41"/>
  <c r="L44" i="41"/>
  <c r="K44" i="41"/>
  <c r="N44" i="41"/>
  <c r="M44" i="41"/>
  <c r="L46" i="41"/>
  <c r="N46" i="41"/>
  <c r="M46" i="41"/>
  <c r="K46" i="41"/>
  <c r="M49" i="41"/>
  <c r="L49" i="41"/>
  <c r="K49" i="41"/>
  <c r="N49" i="41"/>
  <c r="L47" i="41"/>
  <c r="N43" i="41"/>
  <c r="I51" i="41"/>
  <c r="G51" i="41"/>
  <c r="L40" i="41"/>
  <c r="K40" i="41"/>
  <c r="N40" i="41"/>
  <c r="M40" i="41"/>
  <c r="N38" i="41"/>
  <c r="M38" i="41"/>
  <c r="F52" i="41"/>
  <c r="L38" i="41"/>
  <c r="K38" i="41"/>
  <c r="H52" i="41"/>
  <c r="I52" i="41"/>
  <c r="M37" i="41"/>
  <c r="F51" i="41"/>
  <c r="N37" i="41"/>
  <c r="L37" i="41"/>
  <c r="K37" i="41"/>
  <c r="M28" i="41"/>
  <c r="N28" i="41"/>
  <c r="L28" i="41"/>
  <c r="K28" i="41"/>
  <c r="I52" i="40"/>
  <c r="L44" i="40"/>
  <c r="K44" i="40"/>
  <c r="N44" i="40"/>
  <c r="M44" i="40"/>
  <c r="M43" i="40"/>
  <c r="F51" i="40"/>
  <c r="N37" i="40"/>
  <c r="K37" i="40"/>
  <c r="M37" i="40"/>
  <c r="L37" i="40"/>
  <c r="L40" i="40"/>
  <c r="K40" i="40"/>
  <c r="M40" i="40"/>
  <c r="N40" i="40"/>
  <c r="G51" i="40"/>
  <c r="H51" i="40"/>
  <c r="N27" i="40"/>
  <c r="M27" i="40"/>
  <c r="L27" i="40"/>
  <c r="K27" i="40"/>
  <c r="N28" i="40"/>
  <c r="M28" i="40"/>
  <c r="L28" i="40"/>
  <c r="K28" i="40"/>
  <c r="J52" i="40"/>
  <c r="F52" i="40"/>
  <c r="I51" i="40"/>
  <c r="M49" i="40"/>
  <c r="K49" i="40"/>
  <c r="K50" i="40"/>
  <c r="N50" i="40"/>
  <c r="M50" i="40"/>
  <c r="L50" i="40"/>
  <c r="F52" i="38"/>
  <c r="J51" i="38"/>
  <c r="L49" i="38"/>
  <c r="K52" i="38"/>
  <c r="L52" i="38"/>
  <c r="N46" i="38"/>
  <c r="M46" i="38"/>
  <c r="L46" i="38"/>
  <c r="K46" i="38"/>
  <c r="N49" i="38"/>
  <c r="L40" i="38"/>
  <c r="K40" i="38"/>
  <c r="M40" i="38"/>
  <c r="N40" i="38"/>
  <c r="G51" i="38"/>
  <c r="F51" i="38"/>
  <c r="N37" i="38"/>
  <c r="M37" i="38"/>
  <c r="K37" i="38"/>
  <c r="L37" i="38"/>
  <c r="L44" i="38"/>
  <c r="K44" i="38"/>
  <c r="M44" i="38"/>
  <c r="N44" i="38"/>
  <c r="K49" i="38"/>
  <c r="N27" i="38"/>
  <c r="M27" i="38"/>
  <c r="L27" i="38"/>
  <c r="K27" i="38"/>
  <c r="N28" i="38"/>
  <c r="M28" i="38"/>
  <c r="L28" i="38"/>
  <c r="K28" i="38"/>
  <c r="K50" i="38"/>
  <c r="N50" i="38"/>
  <c r="M50" i="38"/>
  <c r="L50" i="38"/>
  <c r="I52" i="38"/>
  <c r="M52" i="38" s="1"/>
  <c r="L43" i="38"/>
  <c r="H51" i="38"/>
  <c r="J52" i="38"/>
  <c r="N52" i="38" s="1"/>
  <c r="N43" i="38"/>
  <c r="X44" i="37"/>
  <c r="X44" i="36"/>
  <c r="X44" i="35"/>
  <c r="X44" i="34"/>
  <c r="K52" i="41" l="1"/>
  <c r="N52" i="41"/>
  <c r="M52" i="41"/>
  <c r="L52" i="41"/>
  <c r="L51" i="41"/>
  <c r="N51" i="41"/>
  <c r="M51" i="41"/>
  <c r="K51" i="41"/>
  <c r="N51" i="40"/>
  <c r="M51" i="40"/>
  <c r="L51" i="40"/>
  <c r="K51" i="40"/>
  <c r="K52" i="40"/>
  <c r="L52" i="40"/>
  <c r="N52" i="40"/>
  <c r="M52" i="40"/>
  <c r="N51" i="38"/>
  <c r="M51" i="38"/>
  <c r="L51" i="38"/>
  <c r="K51" i="38"/>
  <c r="X52" i="33"/>
  <c r="X51" i="33"/>
  <c r="X44" i="33"/>
  <c r="AA52" i="37" l="1"/>
  <c r="AA51" i="37"/>
  <c r="Z51" i="37"/>
  <c r="Y51" i="37"/>
  <c r="X51" i="37"/>
  <c r="J50" i="37"/>
  <c r="I50" i="37"/>
  <c r="H50" i="37"/>
  <c r="G50" i="37"/>
  <c r="F50" i="37"/>
  <c r="K50" i="37" s="1"/>
  <c r="J49" i="37"/>
  <c r="I49" i="37"/>
  <c r="H49" i="37"/>
  <c r="G49" i="37"/>
  <c r="F49" i="37"/>
  <c r="M49" i="37" s="1"/>
  <c r="J47" i="37"/>
  <c r="I47" i="37"/>
  <c r="H47" i="37"/>
  <c r="G47" i="37"/>
  <c r="F47" i="37"/>
  <c r="M46" i="37"/>
  <c r="K46" i="37"/>
  <c r="J46" i="37"/>
  <c r="I46" i="37"/>
  <c r="H46" i="37"/>
  <c r="G46" i="37"/>
  <c r="F46" i="37"/>
  <c r="Z52" i="37"/>
  <c r="Y52" i="37"/>
  <c r="X52" i="37"/>
  <c r="I44" i="37"/>
  <c r="H44" i="37"/>
  <c r="G44" i="37"/>
  <c r="J43" i="37"/>
  <c r="I43" i="37"/>
  <c r="H43" i="37"/>
  <c r="G43" i="37"/>
  <c r="F43" i="37"/>
  <c r="N43" i="37" s="1"/>
  <c r="M41" i="37"/>
  <c r="J41" i="37"/>
  <c r="I41" i="37"/>
  <c r="H41" i="37"/>
  <c r="L41" i="37" s="1"/>
  <c r="G41" i="37"/>
  <c r="F41" i="37"/>
  <c r="J40" i="37"/>
  <c r="I40" i="37"/>
  <c r="H40" i="37"/>
  <c r="G40" i="37"/>
  <c r="F40" i="37"/>
  <c r="J38" i="37"/>
  <c r="I38" i="37"/>
  <c r="H38" i="37"/>
  <c r="G38" i="37"/>
  <c r="F38" i="37"/>
  <c r="J37" i="37"/>
  <c r="I37" i="37"/>
  <c r="H37" i="37"/>
  <c r="G37" i="37"/>
  <c r="F37" i="37"/>
  <c r="F33" i="37"/>
  <c r="AA28" i="37"/>
  <c r="Z28" i="37"/>
  <c r="Y28" i="37"/>
  <c r="X28" i="37"/>
  <c r="J28" i="37"/>
  <c r="I28" i="37"/>
  <c r="H28" i="37"/>
  <c r="Z27" i="37"/>
  <c r="Y27" i="37"/>
  <c r="X27" i="37"/>
  <c r="J27" i="37"/>
  <c r="I27" i="37"/>
  <c r="H27" i="37"/>
  <c r="G27" i="37"/>
  <c r="F27" i="37"/>
  <c r="M27" i="37" s="1"/>
  <c r="N26" i="37"/>
  <c r="M26" i="37"/>
  <c r="L26" i="37"/>
  <c r="K26" i="37"/>
  <c r="AA27" i="37"/>
  <c r="N25" i="37"/>
  <c r="M25" i="37"/>
  <c r="L25" i="37"/>
  <c r="K25" i="37"/>
  <c r="N23" i="37"/>
  <c r="M23" i="37"/>
  <c r="L23" i="37"/>
  <c r="K23" i="37"/>
  <c r="N22" i="37"/>
  <c r="M22" i="37"/>
  <c r="L22" i="37"/>
  <c r="K22" i="37"/>
  <c r="J44" i="37"/>
  <c r="G28" i="37"/>
  <c r="F44" i="37"/>
  <c r="N19" i="37"/>
  <c r="M19" i="37"/>
  <c r="L19" i="37"/>
  <c r="K19" i="37"/>
  <c r="N17" i="37"/>
  <c r="M17" i="37"/>
  <c r="L17" i="37"/>
  <c r="K17" i="37"/>
  <c r="N16" i="37"/>
  <c r="M16" i="37"/>
  <c r="L16" i="37"/>
  <c r="K16" i="37"/>
  <c r="N14" i="37"/>
  <c r="M14" i="37"/>
  <c r="L14" i="37"/>
  <c r="K14" i="37"/>
  <c r="N13" i="37"/>
  <c r="M13" i="37"/>
  <c r="L13" i="37"/>
  <c r="K13" i="37"/>
  <c r="I51" i="37" l="1"/>
  <c r="L43" i="37"/>
  <c r="H51" i="37"/>
  <c r="L40" i="37"/>
  <c r="N38" i="37"/>
  <c r="N37" i="37"/>
  <c r="L37" i="37"/>
  <c r="K47" i="37"/>
  <c r="G52" i="37"/>
  <c r="K43" i="37"/>
  <c r="K37" i="37"/>
  <c r="L50" i="37"/>
  <c r="M50" i="37"/>
  <c r="L46" i="37"/>
  <c r="M43" i="37"/>
  <c r="K41" i="37"/>
  <c r="M40" i="37"/>
  <c r="N44" i="37"/>
  <c r="F52" i="37"/>
  <c r="M44" i="37"/>
  <c r="L44" i="37"/>
  <c r="K44" i="37"/>
  <c r="J52" i="37"/>
  <c r="N49" i="37"/>
  <c r="J51" i="37"/>
  <c r="N41" i="37"/>
  <c r="K20" i="37"/>
  <c r="M37" i="37"/>
  <c r="K38" i="37"/>
  <c r="N46" i="37"/>
  <c r="L47" i="37"/>
  <c r="F51" i="37"/>
  <c r="H52" i="37"/>
  <c r="K27" i="37"/>
  <c r="L38" i="37"/>
  <c r="M47" i="37"/>
  <c r="K49" i="37"/>
  <c r="G51" i="37"/>
  <c r="I52" i="37"/>
  <c r="L20" i="37"/>
  <c r="M20" i="37"/>
  <c r="L27" i="37"/>
  <c r="F28" i="37"/>
  <c r="M38" i="37"/>
  <c r="K40" i="37"/>
  <c r="N47" i="37"/>
  <c r="L49" i="37"/>
  <c r="N27" i="37"/>
  <c r="N40" i="37"/>
  <c r="N50" i="37"/>
  <c r="N20" i="37"/>
  <c r="L51" i="37" l="1"/>
  <c r="K51" i="37"/>
  <c r="N51" i="37"/>
  <c r="M51" i="37"/>
  <c r="K52" i="37"/>
  <c r="M52" i="37"/>
  <c r="N52" i="37"/>
  <c r="L52" i="37"/>
  <c r="N28" i="37"/>
  <c r="K28" i="37"/>
  <c r="M28" i="37"/>
  <c r="L28" i="37"/>
  <c r="O26" i="34" l="1"/>
  <c r="O26" i="35" s="1"/>
  <c r="O26" i="36" s="1"/>
  <c r="O26" i="37" s="1"/>
  <c r="O26" i="38" s="1"/>
  <c r="O26" i="40" l="1"/>
  <c r="AA52" i="36"/>
  <c r="AA51" i="36"/>
  <c r="Z51" i="36"/>
  <c r="Y51" i="36"/>
  <c r="X51" i="36"/>
  <c r="J50" i="36"/>
  <c r="I50" i="36"/>
  <c r="H50" i="36"/>
  <c r="G50" i="36"/>
  <c r="F50" i="36"/>
  <c r="J49" i="36"/>
  <c r="I49" i="36"/>
  <c r="H49" i="36"/>
  <c r="G49" i="36"/>
  <c r="F49" i="36"/>
  <c r="J47" i="36"/>
  <c r="I47" i="36"/>
  <c r="H47" i="36"/>
  <c r="G47" i="36"/>
  <c r="F47" i="36"/>
  <c r="J46" i="36"/>
  <c r="I46" i="36"/>
  <c r="H46" i="36"/>
  <c r="G46" i="36"/>
  <c r="F46" i="36"/>
  <c r="Z52" i="36"/>
  <c r="Y52" i="36"/>
  <c r="X52" i="36"/>
  <c r="I44" i="36"/>
  <c r="H44" i="36"/>
  <c r="J43" i="36"/>
  <c r="I43" i="36"/>
  <c r="H43" i="36"/>
  <c r="G43" i="36"/>
  <c r="F43" i="36"/>
  <c r="J41" i="36"/>
  <c r="I41" i="36"/>
  <c r="H41" i="36"/>
  <c r="G41" i="36"/>
  <c r="F41" i="36"/>
  <c r="J40" i="36"/>
  <c r="I40" i="36"/>
  <c r="H40" i="36"/>
  <c r="G40" i="36"/>
  <c r="F40" i="36"/>
  <c r="M40" i="36" s="1"/>
  <c r="J38" i="36"/>
  <c r="I38" i="36"/>
  <c r="H38" i="36"/>
  <c r="G38" i="36"/>
  <c r="F38" i="36"/>
  <c r="J37" i="36"/>
  <c r="I37" i="36"/>
  <c r="H37" i="36"/>
  <c r="G37" i="36"/>
  <c r="F37" i="36"/>
  <c r="F33" i="36"/>
  <c r="Y28" i="36"/>
  <c r="X28" i="36"/>
  <c r="I28" i="36"/>
  <c r="H28" i="36"/>
  <c r="Z27" i="36"/>
  <c r="Y27" i="36"/>
  <c r="X27" i="36"/>
  <c r="J27" i="36"/>
  <c r="I27" i="36"/>
  <c r="H27" i="36"/>
  <c r="G27" i="36"/>
  <c r="F27" i="36"/>
  <c r="AA28" i="36"/>
  <c r="Z28" i="36"/>
  <c r="N26" i="36"/>
  <c r="M26" i="36"/>
  <c r="L26" i="36"/>
  <c r="K26" i="36"/>
  <c r="AA27" i="36"/>
  <c r="N25" i="36"/>
  <c r="M25" i="36"/>
  <c r="L25" i="36"/>
  <c r="K25" i="36"/>
  <c r="N23" i="36"/>
  <c r="M23" i="36"/>
  <c r="L23" i="36"/>
  <c r="K23" i="36"/>
  <c r="N22" i="36"/>
  <c r="M22" i="36"/>
  <c r="L22" i="36"/>
  <c r="K22" i="36"/>
  <c r="J44" i="36"/>
  <c r="G28" i="36"/>
  <c r="F28" i="36"/>
  <c r="N19" i="36"/>
  <c r="M19" i="36"/>
  <c r="L19" i="36"/>
  <c r="K19" i="36"/>
  <c r="N17" i="36"/>
  <c r="M17" i="36"/>
  <c r="L17" i="36"/>
  <c r="K17" i="36"/>
  <c r="N16" i="36"/>
  <c r="M16" i="36"/>
  <c r="L16" i="36"/>
  <c r="K16" i="36"/>
  <c r="N14" i="36"/>
  <c r="M14" i="36"/>
  <c r="L14" i="36"/>
  <c r="K14" i="36"/>
  <c r="N13" i="36"/>
  <c r="M13" i="36"/>
  <c r="L13" i="36"/>
  <c r="K13" i="36"/>
  <c r="F22" i="34"/>
  <c r="O26" i="41" l="1"/>
  <c r="K41" i="36"/>
  <c r="H52" i="36"/>
  <c r="L40" i="36"/>
  <c r="L38" i="36"/>
  <c r="N50" i="36"/>
  <c r="N46" i="36"/>
  <c r="L49" i="36"/>
  <c r="K40" i="36"/>
  <c r="M38" i="36"/>
  <c r="N47" i="36"/>
  <c r="L27" i="36"/>
  <c r="H51" i="36"/>
  <c r="K50" i="36"/>
  <c r="L50" i="36"/>
  <c r="K49" i="36"/>
  <c r="M49" i="36"/>
  <c r="K47" i="36"/>
  <c r="L47" i="36"/>
  <c r="M47" i="36"/>
  <c r="M46" i="36"/>
  <c r="K27" i="36"/>
  <c r="M27" i="36"/>
  <c r="J52" i="36"/>
  <c r="M28" i="36"/>
  <c r="L28" i="36"/>
  <c r="K28" i="36"/>
  <c r="K20" i="36"/>
  <c r="N37" i="36"/>
  <c r="M20" i="36"/>
  <c r="N38" i="36"/>
  <c r="N20" i="36"/>
  <c r="N27" i="36"/>
  <c r="G44" i="36"/>
  <c r="G52" i="36" s="1"/>
  <c r="N49" i="36"/>
  <c r="F44" i="36"/>
  <c r="F52" i="36" s="1"/>
  <c r="I51" i="36"/>
  <c r="J51" i="36"/>
  <c r="N40" i="36"/>
  <c r="L41" i="36"/>
  <c r="K46" i="36"/>
  <c r="M50" i="36"/>
  <c r="J28" i="36"/>
  <c r="N28" i="36" s="1"/>
  <c r="K37" i="36"/>
  <c r="M41" i="36"/>
  <c r="K43" i="36"/>
  <c r="L46" i="36"/>
  <c r="L37" i="36"/>
  <c r="N41" i="36"/>
  <c r="L43" i="36"/>
  <c r="M37" i="36"/>
  <c r="K38" i="36"/>
  <c r="M43" i="36"/>
  <c r="F51" i="36"/>
  <c r="N43" i="36"/>
  <c r="G51" i="36"/>
  <c r="I52" i="36"/>
  <c r="L20" i="36"/>
  <c r="J20" i="35"/>
  <c r="J28" i="35" s="1"/>
  <c r="G20" i="35"/>
  <c r="G28" i="35" s="1"/>
  <c r="F20" i="35"/>
  <c r="AA52" i="35"/>
  <c r="X52" i="35"/>
  <c r="AA51" i="35"/>
  <c r="Z51" i="35"/>
  <c r="Y51" i="35"/>
  <c r="X51" i="35"/>
  <c r="J50" i="35"/>
  <c r="I50" i="35"/>
  <c r="H50" i="35"/>
  <c r="L50" i="35" s="1"/>
  <c r="G50" i="35"/>
  <c r="F50" i="35"/>
  <c r="K50" i="35" s="1"/>
  <c r="J49" i="35"/>
  <c r="I49" i="35"/>
  <c r="H49" i="35"/>
  <c r="G49" i="35"/>
  <c r="F49" i="35"/>
  <c r="J47" i="35"/>
  <c r="I47" i="35"/>
  <c r="H47" i="35"/>
  <c r="G47" i="35"/>
  <c r="F47" i="35"/>
  <c r="J46" i="35"/>
  <c r="I46" i="35"/>
  <c r="M46" i="35" s="1"/>
  <c r="H46" i="35"/>
  <c r="L46" i="35" s="1"/>
  <c r="G46" i="35"/>
  <c r="F46" i="35"/>
  <c r="Z52" i="35"/>
  <c r="Y52" i="35"/>
  <c r="I44" i="35"/>
  <c r="H44" i="35"/>
  <c r="G44" i="35"/>
  <c r="J43" i="35"/>
  <c r="I43" i="35"/>
  <c r="H43" i="35"/>
  <c r="G43" i="35"/>
  <c r="F43" i="35"/>
  <c r="M43" i="35" s="1"/>
  <c r="J41" i="35"/>
  <c r="I41" i="35"/>
  <c r="H41" i="35"/>
  <c r="G41" i="35"/>
  <c r="F41" i="35"/>
  <c r="J40" i="35"/>
  <c r="I40" i="35"/>
  <c r="H40" i="35"/>
  <c r="G40" i="35"/>
  <c r="F40" i="35"/>
  <c r="J38" i="35"/>
  <c r="I38" i="35"/>
  <c r="H38" i="35"/>
  <c r="G38" i="35"/>
  <c r="F38" i="35"/>
  <c r="J37" i="35"/>
  <c r="J51" i="35" s="1"/>
  <c r="I37" i="35"/>
  <c r="H37" i="35"/>
  <c r="G37" i="35"/>
  <c r="F37" i="35"/>
  <c r="F33" i="35"/>
  <c r="Y28" i="35"/>
  <c r="X28" i="35"/>
  <c r="I28" i="35"/>
  <c r="H28" i="35"/>
  <c r="Z27" i="35"/>
  <c r="Y27" i="35"/>
  <c r="X27" i="35"/>
  <c r="J27" i="35"/>
  <c r="I27" i="35"/>
  <c r="G27" i="35"/>
  <c r="F27" i="35"/>
  <c r="AA28" i="35"/>
  <c r="Z28" i="35"/>
  <c r="N26" i="35"/>
  <c r="M26" i="35"/>
  <c r="L26" i="35"/>
  <c r="K26" i="35"/>
  <c r="AA27" i="35"/>
  <c r="N25" i="35"/>
  <c r="M25" i="35"/>
  <c r="L25" i="35"/>
  <c r="K25" i="35"/>
  <c r="N23" i="35"/>
  <c r="M23" i="35"/>
  <c r="L23" i="35"/>
  <c r="K23" i="35"/>
  <c r="N22" i="35"/>
  <c r="M22" i="35"/>
  <c r="L22" i="35"/>
  <c r="K22" i="35"/>
  <c r="N20" i="35"/>
  <c r="M20" i="35"/>
  <c r="F44" i="35"/>
  <c r="N19" i="35"/>
  <c r="M19" i="35"/>
  <c r="L19" i="35"/>
  <c r="K19" i="35"/>
  <c r="N17" i="35"/>
  <c r="M17" i="35"/>
  <c r="L17" i="35"/>
  <c r="K17" i="35"/>
  <c r="N16" i="35"/>
  <c r="M16" i="35"/>
  <c r="K16" i="35"/>
  <c r="L16" i="35"/>
  <c r="N14" i="35"/>
  <c r="M14" i="35"/>
  <c r="L14" i="35"/>
  <c r="K14" i="35"/>
  <c r="N13" i="35"/>
  <c r="M13" i="35"/>
  <c r="L13" i="35"/>
  <c r="K13" i="35"/>
  <c r="O26" i="43" l="1"/>
  <c r="N46" i="35"/>
  <c r="N49" i="35"/>
  <c r="I52" i="35"/>
  <c r="N41" i="35"/>
  <c r="L47" i="35"/>
  <c r="I51" i="35"/>
  <c r="M49" i="35"/>
  <c r="K49" i="35"/>
  <c r="N51" i="36"/>
  <c r="M51" i="36"/>
  <c r="L51" i="36"/>
  <c r="K51" i="36"/>
  <c r="M44" i="36"/>
  <c r="L44" i="36"/>
  <c r="K44" i="36"/>
  <c r="N44" i="36"/>
  <c r="N52" i="36"/>
  <c r="M52" i="36"/>
  <c r="L52" i="36"/>
  <c r="K52" i="36"/>
  <c r="M47" i="35"/>
  <c r="J44" i="35"/>
  <c r="M37" i="35"/>
  <c r="N38" i="35"/>
  <c r="N47" i="35"/>
  <c r="N50" i="35"/>
  <c r="J52" i="35"/>
  <c r="N27" i="35"/>
  <c r="H51" i="35"/>
  <c r="K37" i="35"/>
  <c r="K38" i="35"/>
  <c r="M38" i="35"/>
  <c r="K40" i="35"/>
  <c r="G51" i="35"/>
  <c r="G52" i="35"/>
  <c r="K46" i="35"/>
  <c r="M27" i="35"/>
  <c r="L43" i="35"/>
  <c r="N43" i="35"/>
  <c r="M41" i="35"/>
  <c r="K41" i="35"/>
  <c r="L41" i="35"/>
  <c r="M44" i="35"/>
  <c r="L44" i="35"/>
  <c r="K44" i="35"/>
  <c r="N44" i="35"/>
  <c r="F51" i="35"/>
  <c r="H52" i="35"/>
  <c r="K20" i="35"/>
  <c r="K27" i="35"/>
  <c r="N37" i="35"/>
  <c r="L40" i="35"/>
  <c r="L20" i="35"/>
  <c r="F28" i="35"/>
  <c r="M40" i="35"/>
  <c r="K43" i="35"/>
  <c r="L49" i="35"/>
  <c r="L38" i="35"/>
  <c r="K47" i="35"/>
  <c r="F52" i="35"/>
  <c r="L37" i="35"/>
  <c r="N40" i="35"/>
  <c r="M50" i="35"/>
  <c r="H27" i="35"/>
  <c r="L27" i="35" s="1"/>
  <c r="X52" i="34"/>
  <c r="X51" i="34"/>
  <c r="J20" i="34"/>
  <c r="G20" i="34"/>
  <c r="F20" i="34"/>
  <c r="S26" i="34"/>
  <c r="S26" i="35" s="1"/>
  <c r="S25" i="34"/>
  <c r="S25" i="35" s="1"/>
  <c r="S25" i="36" s="1"/>
  <c r="S25" i="37" s="1"/>
  <c r="S25" i="38" s="1"/>
  <c r="S25" i="40" s="1"/>
  <c r="S25" i="41" s="1"/>
  <c r="S25" i="43" s="1"/>
  <c r="S25" i="44" s="1"/>
  <c r="R26" i="34"/>
  <c r="R26" i="35" s="1"/>
  <c r="R25" i="34"/>
  <c r="R25" i="35" s="1"/>
  <c r="R25" i="36" s="1"/>
  <c r="R25" i="37" s="1"/>
  <c r="R25" i="38" s="1"/>
  <c r="R25" i="40" s="1"/>
  <c r="R25" i="41" s="1"/>
  <c r="R25" i="43" s="1"/>
  <c r="R25" i="44" s="1"/>
  <c r="Q26" i="34"/>
  <c r="Q26" i="35" s="1"/>
  <c r="Q25" i="34"/>
  <c r="Q25" i="35" s="1"/>
  <c r="Q25" i="36" s="1"/>
  <c r="Q25" i="37" s="1"/>
  <c r="Q25" i="38" s="1"/>
  <c r="Q25" i="40" s="1"/>
  <c r="Q25" i="41" s="1"/>
  <c r="Q25" i="43" s="1"/>
  <c r="Q25" i="44" s="1"/>
  <c r="Q23" i="34"/>
  <c r="Q23" i="35" s="1"/>
  <c r="Q23" i="36" s="1"/>
  <c r="Q23" i="37" s="1"/>
  <c r="Q23" i="38" s="1"/>
  <c r="Q23" i="40" s="1"/>
  <c r="Q23" i="41" s="1"/>
  <c r="Q23" i="43" s="1"/>
  <c r="Q23" i="44" s="1"/>
  <c r="Q22" i="34"/>
  <c r="Q22" i="35" s="1"/>
  <c r="Q22" i="36" s="1"/>
  <c r="Q22" i="37" s="1"/>
  <c r="Q22" i="38" s="1"/>
  <c r="Q22" i="40" s="1"/>
  <c r="Q22" i="41" s="1"/>
  <c r="Q22" i="43" s="1"/>
  <c r="Q22" i="44" s="1"/>
  <c r="P26" i="34"/>
  <c r="P26" i="35" s="1"/>
  <c r="P25" i="34"/>
  <c r="P25" i="35" s="1"/>
  <c r="P25" i="36" s="1"/>
  <c r="P25" i="37" s="1"/>
  <c r="P25" i="38" s="1"/>
  <c r="P25" i="40" s="1"/>
  <c r="P25" i="41" s="1"/>
  <c r="P25" i="43" s="1"/>
  <c r="P25" i="44" s="1"/>
  <c r="O25" i="34"/>
  <c r="O26" i="44" l="1"/>
  <c r="V26" i="35"/>
  <c r="R26" i="36"/>
  <c r="Q26" i="36"/>
  <c r="U26" i="35"/>
  <c r="P26" i="36"/>
  <c r="T26" i="35"/>
  <c r="S26" i="36"/>
  <c r="W26" i="35"/>
  <c r="O25" i="35"/>
  <c r="O25" i="36" s="1"/>
  <c r="O25" i="37" s="1"/>
  <c r="O25" i="38" s="1"/>
  <c r="L28" i="35"/>
  <c r="K28" i="35"/>
  <c r="N28" i="35"/>
  <c r="M28" i="35"/>
  <c r="K52" i="35"/>
  <c r="N52" i="35"/>
  <c r="M52" i="35"/>
  <c r="L52" i="35"/>
  <c r="N51" i="35"/>
  <c r="L51" i="35"/>
  <c r="K51" i="35"/>
  <c r="M51" i="35"/>
  <c r="Z52" i="34"/>
  <c r="Y52" i="34"/>
  <c r="AA51" i="34"/>
  <c r="Z51" i="34"/>
  <c r="Y51" i="34"/>
  <c r="J50" i="34"/>
  <c r="S50" i="34" s="1"/>
  <c r="S50" i="35" s="1"/>
  <c r="S50" i="36" s="1"/>
  <c r="S50" i="37" s="1"/>
  <c r="S50" i="38" s="1"/>
  <c r="S50" i="40" s="1"/>
  <c r="S50" i="41" s="1"/>
  <c r="S50" i="43" s="1"/>
  <c r="S50" i="44" s="1"/>
  <c r="I50" i="34"/>
  <c r="R50" i="34" s="1"/>
  <c r="R50" i="35" s="1"/>
  <c r="R50" i="36" s="1"/>
  <c r="R50" i="37" s="1"/>
  <c r="R50" i="38" s="1"/>
  <c r="R50" i="40" s="1"/>
  <c r="R50" i="41" s="1"/>
  <c r="R50" i="43" s="1"/>
  <c r="R50" i="44" s="1"/>
  <c r="H50" i="34"/>
  <c r="Q50" i="34" s="1"/>
  <c r="Q50" i="35" s="1"/>
  <c r="Q50" i="36" s="1"/>
  <c r="Q50" i="37" s="1"/>
  <c r="Q50" i="38" s="1"/>
  <c r="Q50" i="40" s="1"/>
  <c r="Q50" i="41" s="1"/>
  <c r="Q50" i="43" s="1"/>
  <c r="Q50" i="44" s="1"/>
  <c r="T50" i="45" s="1"/>
  <c r="G50" i="34"/>
  <c r="P50" i="34" s="1"/>
  <c r="P50" i="35" s="1"/>
  <c r="P50" i="36" s="1"/>
  <c r="P50" i="37" s="1"/>
  <c r="P50" i="38" s="1"/>
  <c r="P50" i="40" s="1"/>
  <c r="P50" i="41" s="1"/>
  <c r="P50" i="43" s="1"/>
  <c r="P50" i="44" s="1"/>
  <c r="F50" i="34"/>
  <c r="O50" i="34" s="1"/>
  <c r="J49" i="34"/>
  <c r="S49" i="34" s="1"/>
  <c r="S49" i="35" s="1"/>
  <c r="S49" i="36" s="1"/>
  <c r="S49" i="37" s="1"/>
  <c r="S49" i="38" s="1"/>
  <c r="S49" i="40" s="1"/>
  <c r="S49" i="41" s="1"/>
  <c r="S49" i="43" s="1"/>
  <c r="S49" i="44" s="1"/>
  <c r="I49" i="34"/>
  <c r="R49" i="34" s="1"/>
  <c r="R49" i="35" s="1"/>
  <c r="R49" i="36" s="1"/>
  <c r="R49" i="37" s="1"/>
  <c r="R49" i="38" s="1"/>
  <c r="R49" i="40" s="1"/>
  <c r="R49" i="41" s="1"/>
  <c r="R49" i="43" s="1"/>
  <c r="R49" i="44" s="1"/>
  <c r="H49" i="34"/>
  <c r="Q49" i="34" s="1"/>
  <c r="Q49" i="35" s="1"/>
  <c r="Q49" i="36" s="1"/>
  <c r="Q49" i="37" s="1"/>
  <c r="Q49" i="38" s="1"/>
  <c r="Q49" i="40" s="1"/>
  <c r="Q49" i="41" s="1"/>
  <c r="Q49" i="43" s="1"/>
  <c r="Q49" i="44" s="1"/>
  <c r="T49" i="45" s="1"/>
  <c r="G49" i="34"/>
  <c r="P49" i="34" s="1"/>
  <c r="P49" i="35" s="1"/>
  <c r="P49" i="36" s="1"/>
  <c r="P49" i="37" s="1"/>
  <c r="P49" i="38" s="1"/>
  <c r="P49" i="40" s="1"/>
  <c r="P49" i="41" s="1"/>
  <c r="P49" i="43" s="1"/>
  <c r="P49" i="44" s="1"/>
  <c r="F49" i="34"/>
  <c r="O49" i="34" s="1"/>
  <c r="G47" i="34"/>
  <c r="P47" i="34" s="1"/>
  <c r="P47" i="35" s="1"/>
  <c r="P47" i="36" s="1"/>
  <c r="P47" i="37" s="1"/>
  <c r="P47" i="38" s="1"/>
  <c r="P47" i="40" s="1"/>
  <c r="P47" i="41" s="1"/>
  <c r="P47" i="43" s="1"/>
  <c r="P47" i="44" s="1"/>
  <c r="F33" i="34"/>
  <c r="Y28" i="34"/>
  <c r="X28" i="34"/>
  <c r="Z27" i="34"/>
  <c r="Y27" i="34"/>
  <c r="X27" i="34"/>
  <c r="AA28" i="34"/>
  <c r="Z28" i="34"/>
  <c r="W26" i="34"/>
  <c r="V26" i="34"/>
  <c r="U26" i="34"/>
  <c r="T26" i="34"/>
  <c r="N26" i="34"/>
  <c r="M26" i="34"/>
  <c r="L26" i="34"/>
  <c r="K26" i="34"/>
  <c r="AA27" i="34"/>
  <c r="W25" i="34"/>
  <c r="V25" i="34"/>
  <c r="U25" i="34"/>
  <c r="T25" i="34"/>
  <c r="N25" i="34"/>
  <c r="M25" i="34"/>
  <c r="L25" i="34"/>
  <c r="K25" i="34"/>
  <c r="J47" i="34"/>
  <c r="S47" i="34" s="1"/>
  <c r="S47" i="35" s="1"/>
  <c r="S47" i="36" s="1"/>
  <c r="S47" i="37" s="1"/>
  <c r="S47" i="38" s="1"/>
  <c r="S47" i="40" s="1"/>
  <c r="S47" i="41" s="1"/>
  <c r="S47" i="43" s="1"/>
  <c r="S47" i="44" s="1"/>
  <c r="I47" i="34"/>
  <c r="R47" i="34" s="1"/>
  <c r="R47" i="35" s="1"/>
  <c r="R47" i="36" s="1"/>
  <c r="R47" i="37" s="1"/>
  <c r="R47" i="38" s="1"/>
  <c r="R47" i="40" s="1"/>
  <c r="H47" i="34"/>
  <c r="Q47" i="34" s="1"/>
  <c r="Q47" i="35" s="1"/>
  <c r="Q47" i="36" s="1"/>
  <c r="Q47" i="37" s="1"/>
  <c r="Q47" i="38" s="1"/>
  <c r="Q47" i="40" s="1"/>
  <c r="Q47" i="41" s="1"/>
  <c r="Q47" i="43" s="1"/>
  <c r="Q47" i="44" s="1"/>
  <c r="J46" i="34"/>
  <c r="S46" i="34" s="1"/>
  <c r="S46" i="35" s="1"/>
  <c r="I46" i="34"/>
  <c r="R46" i="34" s="1"/>
  <c r="R46" i="35" s="1"/>
  <c r="R46" i="36" s="1"/>
  <c r="R46" i="37" s="1"/>
  <c r="R46" i="38" s="1"/>
  <c r="R46" i="40" s="1"/>
  <c r="R46" i="41" s="1"/>
  <c r="R46" i="43" s="1"/>
  <c r="R46" i="44" s="1"/>
  <c r="H46" i="34"/>
  <c r="Q46" i="34" s="1"/>
  <c r="Q46" i="35" s="1"/>
  <c r="G46" i="34"/>
  <c r="P46" i="34" s="1"/>
  <c r="P46" i="35" s="1"/>
  <c r="P46" i="36" s="1"/>
  <c r="P46" i="37" s="1"/>
  <c r="P46" i="38" s="1"/>
  <c r="P46" i="40" s="1"/>
  <c r="J44" i="34"/>
  <c r="S44" i="34" s="1"/>
  <c r="S44" i="35" s="1"/>
  <c r="S44" i="36" s="1"/>
  <c r="S44" i="37" s="1"/>
  <c r="S44" i="38" s="1"/>
  <c r="S44" i="40" s="1"/>
  <c r="S44" i="41" s="1"/>
  <c r="S44" i="43" s="1"/>
  <c r="S44" i="44" s="1"/>
  <c r="I44" i="34"/>
  <c r="R44" i="34" s="1"/>
  <c r="R44" i="35" s="1"/>
  <c r="R44" i="36" s="1"/>
  <c r="R44" i="37" s="1"/>
  <c r="R44" i="38" s="1"/>
  <c r="R44" i="40" s="1"/>
  <c r="R44" i="41" s="1"/>
  <c r="R44" i="43" s="1"/>
  <c r="R44" i="44" s="1"/>
  <c r="H44" i="34"/>
  <c r="Q44" i="34" s="1"/>
  <c r="Q44" i="35" s="1"/>
  <c r="Q44" i="36" s="1"/>
  <c r="Q44" i="37" s="1"/>
  <c r="Q44" i="38" s="1"/>
  <c r="Q44" i="40" s="1"/>
  <c r="Q44" i="41" s="1"/>
  <c r="Q44" i="43" s="1"/>
  <c r="Q44" i="44" s="1"/>
  <c r="G44" i="34"/>
  <c r="P44" i="34" s="1"/>
  <c r="P44" i="35" s="1"/>
  <c r="P44" i="36" s="1"/>
  <c r="P44" i="37" s="1"/>
  <c r="P44" i="38" s="1"/>
  <c r="P44" i="40" s="1"/>
  <c r="P44" i="41" s="1"/>
  <c r="P44" i="43" s="1"/>
  <c r="P44" i="44" s="1"/>
  <c r="K20" i="34"/>
  <c r="J43" i="34"/>
  <c r="S43" i="34" s="1"/>
  <c r="S43" i="35" s="1"/>
  <c r="S43" i="36" s="1"/>
  <c r="S43" i="37" s="1"/>
  <c r="S43" i="38" s="1"/>
  <c r="S43" i="40" s="1"/>
  <c r="S43" i="41" s="1"/>
  <c r="S43" i="43" s="1"/>
  <c r="S43" i="44" s="1"/>
  <c r="I43" i="34"/>
  <c r="R43" i="34" s="1"/>
  <c r="R43" i="35" s="1"/>
  <c r="R43" i="36" s="1"/>
  <c r="R43" i="37" s="1"/>
  <c r="R43" i="38" s="1"/>
  <c r="R43" i="40" s="1"/>
  <c r="R43" i="41" s="1"/>
  <c r="R43" i="43" s="1"/>
  <c r="R43" i="44" s="1"/>
  <c r="H43" i="34"/>
  <c r="Q43" i="34" s="1"/>
  <c r="Q43" i="35" s="1"/>
  <c r="Q43" i="36" s="1"/>
  <c r="Q43" i="37" s="1"/>
  <c r="Q43" i="38" s="1"/>
  <c r="Q43" i="40" s="1"/>
  <c r="Q43" i="41" s="1"/>
  <c r="Q43" i="43" s="1"/>
  <c r="Q43" i="44" s="1"/>
  <c r="G43" i="34"/>
  <c r="P43" i="34" s="1"/>
  <c r="P43" i="35" s="1"/>
  <c r="P43" i="36" s="1"/>
  <c r="P43" i="37" s="1"/>
  <c r="P43" i="38" s="1"/>
  <c r="P43" i="40" s="1"/>
  <c r="P43" i="41" s="1"/>
  <c r="P43" i="43" s="1"/>
  <c r="P43" i="44" s="1"/>
  <c r="N19" i="34"/>
  <c r="L17" i="34"/>
  <c r="J41" i="34"/>
  <c r="S41" i="34" s="1"/>
  <c r="S41" i="35" s="1"/>
  <c r="S41" i="36" s="1"/>
  <c r="S41" i="37" s="1"/>
  <c r="S41" i="38" s="1"/>
  <c r="S41" i="40" s="1"/>
  <c r="S41" i="41" s="1"/>
  <c r="S41" i="43" s="1"/>
  <c r="S41" i="44" s="1"/>
  <c r="I41" i="34"/>
  <c r="R41" i="34" s="1"/>
  <c r="R41" i="35" s="1"/>
  <c r="R41" i="36" s="1"/>
  <c r="R41" i="37" s="1"/>
  <c r="R41" i="38" s="1"/>
  <c r="R41" i="40" s="1"/>
  <c r="R41" i="41" s="1"/>
  <c r="R41" i="43" s="1"/>
  <c r="R41" i="44" s="1"/>
  <c r="H41" i="34"/>
  <c r="Q41" i="34" s="1"/>
  <c r="Q41" i="35" s="1"/>
  <c r="Q41" i="36" s="1"/>
  <c r="Q41" i="37" s="1"/>
  <c r="Q41" i="38" s="1"/>
  <c r="Q41" i="40" s="1"/>
  <c r="Q41" i="41" s="1"/>
  <c r="Q41" i="43" s="1"/>
  <c r="Q41" i="44" s="1"/>
  <c r="J40" i="34"/>
  <c r="S40" i="34" s="1"/>
  <c r="S40" i="35" s="1"/>
  <c r="I40" i="34"/>
  <c r="R40" i="34" s="1"/>
  <c r="R40" i="35" s="1"/>
  <c r="R40" i="36" s="1"/>
  <c r="R40" i="37" s="1"/>
  <c r="R40" i="38" s="1"/>
  <c r="R40" i="40" s="1"/>
  <c r="R40" i="41" s="1"/>
  <c r="R40" i="43" s="1"/>
  <c r="R40" i="44" s="1"/>
  <c r="H40" i="34"/>
  <c r="Q40" i="34" s="1"/>
  <c r="G40" i="34"/>
  <c r="P40" i="34" s="1"/>
  <c r="P40" i="35" s="1"/>
  <c r="P40" i="36" s="1"/>
  <c r="P40" i="37" s="1"/>
  <c r="P40" i="38" s="1"/>
  <c r="P40" i="40" s="1"/>
  <c r="P40" i="41" s="1"/>
  <c r="P40" i="43" s="1"/>
  <c r="P40" i="44" s="1"/>
  <c r="L14" i="34"/>
  <c r="G38" i="34"/>
  <c r="P38" i="34" s="1"/>
  <c r="P38" i="35" s="1"/>
  <c r="N14" i="34"/>
  <c r="M13" i="34"/>
  <c r="J37" i="34"/>
  <c r="S37" i="34" s="1"/>
  <c r="S37" i="35" s="1"/>
  <c r="I37" i="34"/>
  <c r="R37" i="34" s="1"/>
  <c r="R37" i="35" s="1"/>
  <c r="G37" i="34"/>
  <c r="P37" i="34" s="1"/>
  <c r="P37" i="35" s="1"/>
  <c r="Q44" i="33"/>
  <c r="AA52" i="33"/>
  <c r="Z52" i="33"/>
  <c r="Y52" i="33"/>
  <c r="AA51" i="33"/>
  <c r="Z51" i="33"/>
  <c r="Y51" i="33"/>
  <c r="R20" i="34"/>
  <c r="R20" i="35" s="1"/>
  <c r="R20" i="36" s="1"/>
  <c r="R20" i="37" s="1"/>
  <c r="R20" i="38" s="1"/>
  <c r="R20" i="40" s="1"/>
  <c r="R19" i="34"/>
  <c r="R19" i="35" s="1"/>
  <c r="R19" i="36" s="1"/>
  <c r="R19" i="37" s="1"/>
  <c r="R19" i="38" s="1"/>
  <c r="R19" i="40" s="1"/>
  <c r="R19" i="41" s="1"/>
  <c r="R19" i="43" s="1"/>
  <c r="R19" i="44" s="1"/>
  <c r="R17" i="34"/>
  <c r="R17" i="35" s="1"/>
  <c r="R17" i="36" s="1"/>
  <c r="R17" i="37" s="1"/>
  <c r="R17" i="38" s="1"/>
  <c r="R17" i="40" s="1"/>
  <c r="R17" i="41" s="1"/>
  <c r="R17" i="43" s="1"/>
  <c r="R17" i="44" s="1"/>
  <c r="R16" i="34"/>
  <c r="R16" i="35" s="1"/>
  <c r="R16" i="36" s="1"/>
  <c r="R16" i="37" s="1"/>
  <c r="R16" i="38" s="1"/>
  <c r="R16" i="40" s="1"/>
  <c r="R16" i="41" s="1"/>
  <c r="R16" i="43" s="1"/>
  <c r="R16" i="44" s="1"/>
  <c r="R14" i="34"/>
  <c r="R14" i="35" s="1"/>
  <c r="R13" i="34"/>
  <c r="R13" i="35" s="1"/>
  <c r="O25" i="40" l="1"/>
  <c r="V25" i="38"/>
  <c r="W25" i="38"/>
  <c r="U25" i="38"/>
  <c r="T25" i="38"/>
  <c r="R20" i="41"/>
  <c r="R20" i="43" s="1"/>
  <c r="R20" i="44" s="1"/>
  <c r="R47" i="41"/>
  <c r="R47" i="43" s="1"/>
  <c r="R47" i="44" s="1"/>
  <c r="P46" i="41"/>
  <c r="P46" i="43" s="1"/>
  <c r="P46" i="44" s="1"/>
  <c r="W26" i="36"/>
  <c r="S26" i="37"/>
  <c r="T26" i="36"/>
  <c r="P26" i="37"/>
  <c r="U26" i="36"/>
  <c r="Q26" i="37"/>
  <c r="V26" i="36"/>
  <c r="R26" i="37"/>
  <c r="U25" i="37"/>
  <c r="V25" i="37"/>
  <c r="W25" i="37"/>
  <c r="T25" i="37"/>
  <c r="S46" i="36"/>
  <c r="S46" i="37" s="1"/>
  <c r="S46" i="38" s="1"/>
  <c r="S46" i="40" s="1"/>
  <c r="S46" i="41" s="1"/>
  <c r="S46" i="43" s="1"/>
  <c r="S46" i="44" s="1"/>
  <c r="V50" i="34"/>
  <c r="U50" i="34"/>
  <c r="W50" i="34"/>
  <c r="T50" i="34"/>
  <c r="O50" i="35"/>
  <c r="S37" i="36"/>
  <c r="S37" i="37" s="1"/>
  <c r="S37" i="38" s="1"/>
  <c r="S51" i="35"/>
  <c r="Q46" i="36"/>
  <c r="Q46" i="37" s="1"/>
  <c r="Q46" i="38" s="1"/>
  <c r="Q46" i="40" s="1"/>
  <c r="Q46" i="41" s="1"/>
  <c r="Q46" i="43" s="1"/>
  <c r="Q46" i="44" s="1"/>
  <c r="W49" i="34"/>
  <c r="V49" i="34"/>
  <c r="U49" i="34"/>
  <c r="T49" i="34"/>
  <c r="O49" i="35"/>
  <c r="P38" i="36"/>
  <c r="P38" i="37" s="1"/>
  <c r="P38" i="38" s="1"/>
  <c r="S40" i="36"/>
  <c r="S40" i="37" s="1"/>
  <c r="S40" i="38" s="1"/>
  <c r="S40" i="40" s="1"/>
  <c r="S40" i="41" s="1"/>
  <c r="S40" i="43" s="1"/>
  <c r="S40" i="44" s="1"/>
  <c r="P37" i="36"/>
  <c r="P51" i="35"/>
  <c r="R37" i="36"/>
  <c r="R51" i="35"/>
  <c r="R13" i="36"/>
  <c r="R13" i="37" s="1"/>
  <c r="R13" i="38" s="1"/>
  <c r="R14" i="36"/>
  <c r="R14" i="37" s="1"/>
  <c r="R14" i="38" s="1"/>
  <c r="Q40" i="35"/>
  <c r="U25" i="36"/>
  <c r="T25" i="36"/>
  <c r="W25" i="36"/>
  <c r="V25" i="36"/>
  <c r="V25" i="35"/>
  <c r="U25" i="35"/>
  <c r="W25" i="35"/>
  <c r="T25" i="35"/>
  <c r="K50" i="34"/>
  <c r="M49" i="34"/>
  <c r="H27" i="34"/>
  <c r="L23" i="34"/>
  <c r="L49" i="34"/>
  <c r="M50" i="34"/>
  <c r="M16" i="34"/>
  <c r="M23" i="34"/>
  <c r="AA52" i="34"/>
  <c r="M22" i="34"/>
  <c r="G51" i="34"/>
  <c r="G27" i="34"/>
  <c r="K14" i="34"/>
  <c r="M17" i="34"/>
  <c r="H37" i="34"/>
  <c r="I28" i="34"/>
  <c r="J28" i="34"/>
  <c r="F27" i="34"/>
  <c r="I51" i="34"/>
  <c r="K17" i="34"/>
  <c r="N20" i="34"/>
  <c r="F28" i="34"/>
  <c r="G28" i="34"/>
  <c r="M19" i="34"/>
  <c r="R51" i="34"/>
  <c r="K49" i="34"/>
  <c r="S51" i="34"/>
  <c r="L50" i="34"/>
  <c r="J51" i="34"/>
  <c r="N16" i="34"/>
  <c r="N22" i="34"/>
  <c r="K13" i="34"/>
  <c r="I27" i="34"/>
  <c r="K19" i="34"/>
  <c r="N23" i="34"/>
  <c r="J27" i="34"/>
  <c r="L13" i="34"/>
  <c r="N17" i="34"/>
  <c r="L19" i="34"/>
  <c r="F37" i="34"/>
  <c r="O37" i="34" s="1"/>
  <c r="F38" i="34"/>
  <c r="O38" i="34" s="1"/>
  <c r="F40" i="34"/>
  <c r="O40" i="34" s="1"/>
  <c r="U40" i="34" s="1"/>
  <c r="F41" i="34"/>
  <c r="O41" i="34" s="1"/>
  <c r="F43" i="34"/>
  <c r="O43" i="34" s="1"/>
  <c r="F44" i="34"/>
  <c r="O44" i="34" s="1"/>
  <c r="F46" i="34"/>
  <c r="O46" i="34" s="1"/>
  <c r="F47" i="34"/>
  <c r="O47" i="34" s="1"/>
  <c r="N49" i="34"/>
  <c r="N50" i="34"/>
  <c r="G41" i="34"/>
  <c r="N13" i="34"/>
  <c r="L20" i="34"/>
  <c r="M14" i="34"/>
  <c r="K16" i="34"/>
  <c r="M20" i="34"/>
  <c r="K22" i="34"/>
  <c r="H28" i="34"/>
  <c r="I38" i="34"/>
  <c r="H38" i="34"/>
  <c r="P51" i="34"/>
  <c r="L16" i="34"/>
  <c r="L22" i="34"/>
  <c r="K23" i="34"/>
  <c r="J38" i="34"/>
  <c r="Y28" i="33"/>
  <c r="Z27" i="33"/>
  <c r="Y27" i="33"/>
  <c r="X28" i="33"/>
  <c r="X27" i="33"/>
  <c r="I38" i="33"/>
  <c r="G38" i="33"/>
  <c r="G37" i="33"/>
  <c r="F33" i="33"/>
  <c r="AA28" i="33"/>
  <c r="Z28" i="33"/>
  <c r="I50" i="33"/>
  <c r="AA27" i="33"/>
  <c r="H47" i="33"/>
  <c r="I43" i="33"/>
  <c r="I41" i="33"/>
  <c r="I40" i="33"/>
  <c r="U26" i="37" l="1"/>
  <c r="Q26" i="38"/>
  <c r="O25" i="41"/>
  <c r="T25" i="40"/>
  <c r="U25" i="40"/>
  <c r="V25" i="40"/>
  <c r="W25" i="40"/>
  <c r="T26" i="37"/>
  <c r="P26" i="38"/>
  <c r="S37" i="40"/>
  <c r="S51" i="38"/>
  <c r="P38" i="40"/>
  <c r="R14" i="40"/>
  <c r="W26" i="37"/>
  <c r="S26" i="38"/>
  <c r="R13" i="40"/>
  <c r="V26" i="37"/>
  <c r="R26" i="38"/>
  <c r="R51" i="36"/>
  <c r="R37" i="37"/>
  <c r="P51" i="36"/>
  <c r="P37" i="37"/>
  <c r="S51" i="37"/>
  <c r="S51" i="36"/>
  <c r="V37" i="34"/>
  <c r="W37" i="34"/>
  <c r="T37" i="34"/>
  <c r="O37" i="35"/>
  <c r="O51" i="35" s="1"/>
  <c r="O51" i="34"/>
  <c r="W51" i="34" s="1"/>
  <c r="O49" i="36"/>
  <c r="O49" i="37" s="1"/>
  <c r="O49" i="38" s="1"/>
  <c r="W49" i="35"/>
  <c r="V49" i="35"/>
  <c r="T49" i="35"/>
  <c r="U49" i="35"/>
  <c r="O50" i="36"/>
  <c r="O50" i="37" s="1"/>
  <c r="O50" i="38" s="1"/>
  <c r="V50" i="35"/>
  <c r="W50" i="35"/>
  <c r="U50" i="35"/>
  <c r="T50" i="35"/>
  <c r="W46" i="34"/>
  <c r="V46" i="34"/>
  <c r="U46" i="34"/>
  <c r="O46" i="35"/>
  <c r="T46" i="34"/>
  <c r="H51" i="34"/>
  <c r="Q37" i="34"/>
  <c r="O44" i="35"/>
  <c r="W44" i="34"/>
  <c r="V44" i="34"/>
  <c r="U44" i="34"/>
  <c r="T44" i="34"/>
  <c r="T51" i="34"/>
  <c r="W43" i="34"/>
  <c r="V43" i="34"/>
  <c r="U43" i="34"/>
  <c r="O43" i="35"/>
  <c r="T43" i="34"/>
  <c r="H52" i="34"/>
  <c r="Q38" i="34"/>
  <c r="O41" i="35"/>
  <c r="U41" i="34"/>
  <c r="W41" i="34"/>
  <c r="V41" i="34"/>
  <c r="I52" i="34"/>
  <c r="R38" i="34"/>
  <c r="G52" i="34"/>
  <c r="P41" i="34"/>
  <c r="W40" i="34"/>
  <c r="V40" i="34"/>
  <c r="O40" i="35"/>
  <c r="U40" i="35" s="1"/>
  <c r="T40" i="34"/>
  <c r="J52" i="34"/>
  <c r="S38" i="34"/>
  <c r="W38" i="34"/>
  <c r="V38" i="34"/>
  <c r="U38" i="34"/>
  <c r="O38" i="35"/>
  <c r="T38" i="34"/>
  <c r="Q40" i="36"/>
  <c r="Q40" i="37" s="1"/>
  <c r="Q40" i="38" s="1"/>
  <c r="U47" i="34"/>
  <c r="V47" i="34"/>
  <c r="O47" i="35"/>
  <c r="W47" i="34"/>
  <c r="T47" i="34"/>
  <c r="O52" i="34"/>
  <c r="M28" i="34"/>
  <c r="L27" i="34"/>
  <c r="M27" i="34"/>
  <c r="N27" i="34"/>
  <c r="K28" i="34"/>
  <c r="N28" i="34"/>
  <c r="L28" i="34"/>
  <c r="K27" i="34"/>
  <c r="L43" i="34"/>
  <c r="K43" i="34"/>
  <c r="N43" i="34"/>
  <c r="M43" i="34"/>
  <c r="L41" i="34"/>
  <c r="K41" i="34"/>
  <c r="N41" i="34"/>
  <c r="M41" i="34"/>
  <c r="L40" i="34"/>
  <c r="K40" i="34"/>
  <c r="N40" i="34"/>
  <c r="M40" i="34"/>
  <c r="L38" i="34"/>
  <c r="K38" i="34"/>
  <c r="F52" i="34"/>
  <c r="N38" i="34"/>
  <c r="M38" i="34"/>
  <c r="L37" i="34"/>
  <c r="K37" i="34"/>
  <c r="N37" i="34"/>
  <c r="M37" i="34"/>
  <c r="F51" i="34"/>
  <c r="L47" i="34"/>
  <c r="K47" i="34"/>
  <c r="N47" i="34"/>
  <c r="M47" i="34"/>
  <c r="L46" i="34"/>
  <c r="K46" i="34"/>
  <c r="N46" i="34"/>
  <c r="M46" i="34"/>
  <c r="L44" i="34"/>
  <c r="K44" i="34"/>
  <c r="N44" i="34"/>
  <c r="M44" i="34"/>
  <c r="H46" i="33"/>
  <c r="I37" i="33"/>
  <c r="I44" i="33"/>
  <c r="I49" i="33"/>
  <c r="H37" i="33"/>
  <c r="H38" i="33"/>
  <c r="P51" i="37" l="1"/>
  <c r="P37" i="38"/>
  <c r="R26" i="40"/>
  <c r="V26" i="38"/>
  <c r="P26" i="40"/>
  <c r="T26" i="38"/>
  <c r="R14" i="41"/>
  <c r="R51" i="37"/>
  <c r="R37" i="38"/>
  <c r="P38" i="41"/>
  <c r="O25" i="43"/>
  <c r="T25" i="41"/>
  <c r="W25" i="41"/>
  <c r="U25" i="41"/>
  <c r="V25" i="41"/>
  <c r="O49" i="40"/>
  <c r="T49" i="38"/>
  <c r="W49" i="38"/>
  <c r="U49" i="38"/>
  <c r="V49" i="38"/>
  <c r="O50" i="40"/>
  <c r="T50" i="38"/>
  <c r="U50" i="38"/>
  <c r="W50" i="38"/>
  <c r="V50" i="38"/>
  <c r="R13" i="41"/>
  <c r="S37" i="41"/>
  <c r="S51" i="40"/>
  <c r="Q26" i="40"/>
  <c r="U26" i="38"/>
  <c r="S26" i="40"/>
  <c r="W26" i="38"/>
  <c r="Q40" i="40"/>
  <c r="U49" i="37"/>
  <c r="T49" i="37"/>
  <c r="W49" i="37"/>
  <c r="V49" i="37"/>
  <c r="W50" i="37"/>
  <c r="V50" i="37"/>
  <c r="U50" i="37"/>
  <c r="T50" i="37"/>
  <c r="O41" i="36"/>
  <c r="O41" i="37" s="1"/>
  <c r="O41" i="38" s="1"/>
  <c r="W41" i="35"/>
  <c r="U41" i="35"/>
  <c r="V41" i="35"/>
  <c r="T41" i="35"/>
  <c r="Q37" i="35"/>
  <c r="Q51" i="34"/>
  <c r="U51" i="34" s="1"/>
  <c r="O46" i="36"/>
  <c r="O46" i="37" s="1"/>
  <c r="O46" i="38" s="1"/>
  <c r="V46" i="35"/>
  <c r="T46" i="35"/>
  <c r="W46" i="35"/>
  <c r="U46" i="35"/>
  <c r="W50" i="36"/>
  <c r="T50" i="36"/>
  <c r="U50" i="36"/>
  <c r="V50" i="36"/>
  <c r="U37" i="35"/>
  <c r="O37" i="36"/>
  <c r="O37" i="37" s="1"/>
  <c r="O37" i="38" s="1"/>
  <c r="V37" i="35"/>
  <c r="W37" i="35"/>
  <c r="T37" i="35"/>
  <c r="T49" i="36"/>
  <c r="W49" i="36"/>
  <c r="V49" i="36"/>
  <c r="U49" i="36"/>
  <c r="P41" i="35"/>
  <c r="P52" i="34"/>
  <c r="V51" i="35"/>
  <c r="W51" i="35"/>
  <c r="T51" i="35"/>
  <c r="S38" i="35"/>
  <c r="S52" i="34"/>
  <c r="W52" i="34" s="1"/>
  <c r="Q38" i="35"/>
  <c r="U38" i="35" s="1"/>
  <c r="Q52" i="34"/>
  <c r="U52" i="34" s="1"/>
  <c r="V51" i="34"/>
  <c r="T41" i="34"/>
  <c r="U37" i="34"/>
  <c r="R38" i="35"/>
  <c r="R52" i="34"/>
  <c r="V52" i="34" s="1"/>
  <c r="V40" i="35"/>
  <c r="O40" i="36"/>
  <c r="O40" i="37" s="1"/>
  <c r="T40" i="35"/>
  <c r="W40" i="35"/>
  <c r="O43" i="36"/>
  <c r="O43" i="37" s="1"/>
  <c r="O43" i="38" s="1"/>
  <c r="W43" i="35"/>
  <c r="U43" i="35"/>
  <c r="V43" i="35"/>
  <c r="T43" i="35"/>
  <c r="O38" i="36"/>
  <c r="O38" i="37" s="1"/>
  <c r="O38" i="38" s="1"/>
  <c r="T38" i="35"/>
  <c r="O44" i="36"/>
  <c r="O44" i="37" s="1"/>
  <c r="O44" i="38" s="1"/>
  <c r="T44" i="35"/>
  <c r="V44" i="35"/>
  <c r="W44" i="35"/>
  <c r="U44" i="35"/>
  <c r="W47" i="35"/>
  <c r="O47" i="36"/>
  <c r="O47" i="37" s="1"/>
  <c r="O47" i="38" s="1"/>
  <c r="O47" i="40" s="1"/>
  <c r="T47" i="35"/>
  <c r="U47" i="35"/>
  <c r="V47" i="35"/>
  <c r="O52" i="35"/>
  <c r="T52" i="34"/>
  <c r="K51" i="34"/>
  <c r="L51" i="34"/>
  <c r="M51" i="34"/>
  <c r="N51" i="34"/>
  <c r="N52" i="34"/>
  <c r="L52" i="34"/>
  <c r="M52" i="34"/>
  <c r="K52" i="34"/>
  <c r="V25" i="43" l="1"/>
  <c r="O25" i="44"/>
  <c r="U25" i="43"/>
  <c r="W25" i="43"/>
  <c r="T25" i="43"/>
  <c r="R14" i="43"/>
  <c r="S37" i="43"/>
  <c r="S51" i="41"/>
  <c r="R13" i="43"/>
  <c r="P26" i="41"/>
  <c r="T26" i="40"/>
  <c r="O47" i="41"/>
  <c r="T47" i="40"/>
  <c r="V47" i="40"/>
  <c r="U47" i="40"/>
  <c r="W47" i="40"/>
  <c r="O49" i="41"/>
  <c r="V49" i="40"/>
  <c r="W49" i="40"/>
  <c r="U49" i="40"/>
  <c r="T49" i="40"/>
  <c r="O46" i="40"/>
  <c r="V46" i="38"/>
  <c r="U46" i="38"/>
  <c r="T46" i="38"/>
  <c r="W46" i="38"/>
  <c r="O44" i="40"/>
  <c r="W44" i="38"/>
  <c r="U44" i="38"/>
  <c r="T44" i="38"/>
  <c r="V44" i="38"/>
  <c r="P38" i="43"/>
  <c r="R26" i="41"/>
  <c r="V26" i="40"/>
  <c r="O38" i="40"/>
  <c r="T38" i="38"/>
  <c r="O43" i="40"/>
  <c r="W43" i="38"/>
  <c r="U43" i="38"/>
  <c r="T43" i="38"/>
  <c r="V43" i="38"/>
  <c r="S26" i="41"/>
  <c r="W26" i="40"/>
  <c r="O37" i="40"/>
  <c r="O51" i="38"/>
  <c r="V37" i="38"/>
  <c r="W37" i="38"/>
  <c r="T37" i="38"/>
  <c r="Q26" i="41"/>
  <c r="U26" i="40"/>
  <c r="R37" i="40"/>
  <c r="R51" i="38"/>
  <c r="P37" i="40"/>
  <c r="P51" i="38"/>
  <c r="U40" i="37"/>
  <c r="O40" i="38"/>
  <c r="O41" i="40"/>
  <c r="V41" i="38"/>
  <c r="W41" i="38"/>
  <c r="U41" i="38"/>
  <c r="O50" i="41"/>
  <c r="T50" i="40"/>
  <c r="U50" i="40"/>
  <c r="W50" i="40"/>
  <c r="V50" i="40"/>
  <c r="Q40" i="41"/>
  <c r="V47" i="38"/>
  <c r="U47" i="38"/>
  <c r="W47" i="38"/>
  <c r="T47" i="38"/>
  <c r="O52" i="38"/>
  <c r="U44" i="37"/>
  <c r="T44" i="37"/>
  <c r="V44" i="37"/>
  <c r="W44" i="37"/>
  <c r="W37" i="37"/>
  <c r="T37" i="37"/>
  <c r="O51" i="37"/>
  <c r="V37" i="37"/>
  <c r="T43" i="37"/>
  <c r="V43" i="37"/>
  <c r="W43" i="37"/>
  <c r="U43" i="37"/>
  <c r="O52" i="37"/>
  <c r="T38" i="37"/>
  <c r="T40" i="37"/>
  <c r="V40" i="37"/>
  <c r="W40" i="37"/>
  <c r="V41" i="37"/>
  <c r="U41" i="37"/>
  <c r="W41" i="37"/>
  <c r="U46" i="37"/>
  <c r="T46" i="37"/>
  <c r="V46" i="37"/>
  <c r="W46" i="37"/>
  <c r="W47" i="37"/>
  <c r="V47" i="37"/>
  <c r="U47" i="37"/>
  <c r="T47" i="37"/>
  <c r="U40" i="36"/>
  <c r="R38" i="36"/>
  <c r="R52" i="35"/>
  <c r="V52" i="35" s="1"/>
  <c r="S38" i="36"/>
  <c r="S52" i="35"/>
  <c r="W52" i="35" s="1"/>
  <c r="Q37" i="36"/>
  <c r="Q51" i="35"/>
  <c r="U51" i="35" s="1"/>
  <c r="T44" i="36"/>
  <c r="U44" i="36"/>
  <c r="V44" i="36"/>
  <c r="W44" i="36"/>
  <c r="W46" i="36"/>
  <c r="U46" i="36"/>
  <c r="T46" i="36"/>
  <c r="V46" i="36"/>
  <c r="V38" i="35"/>
  <c r="W43" i="36"/>
  <c r="V43" i="36"/>
  <c r="U43" i="36"/>
  <c r="T43" i="36"/>
  <c r="W38" i="35"/>
  <c r="T38" i="36"/>
  <c r="U38" i="36"/>
  <c r="W40" i="36"/>
  <c r="V40" i="36"/>
  <c r="T40" i="36"/>
  <c r="P41" i="36"/>
  <c r="P52" i="35"/>
  <c r="T52" i="35" s="1"/>
  <c r="V37" i="36"/>
  <c r="W37" i="36"/>
  <c r="T37" i="36"/>
  <c r="O51" i="36"/>
  <c r="Q38" i="36"/>
  <c r="Q52" i="35"/>
  <c r="U52" i="35" s="1"/>
  <c r="W41" i="36"/>
  <c r="V41" i="36"/>
  <c r="U41" i="36"/>
  <c r="V47" i="36"/>
  <c r="T47" i="36"/>
  <c r="U47" i="36"/>
  <c r="W47" i="36"/>
  <c r="O52" i="36"/>
  <c r="J53" i="32"/>
  <c r="J52" i="32"/>
  <c r="H53" i="32"/>
  <c r="G53" i="32"/>
  <c r="I53" i="32"/>
  <c r="F52" i="32"/>
  <c r="I49" i="32"/>
  <c r="G50" i="32"/>
  <c r="G49" i="32"/>
  <c r="F50" i="32"/>
  <c r="J47" i="32"/>
  <c r="I47" i="32"/>
  <c r="H47" i="32"/>
  <c r="H46" i="32"/>
  <c r="G47" i="32"/>
  <c r="G46" i="32"/>
  <c r="H41" i="32"/>
  <c r="H40" i="32"/>
  <c r="I43" i="32"/>
  <c r="G44" i="32"/>
  <c r="G43" i="32"/>
  <c r="F41" i="32"/>
  <c r="F40" i="32"/>
  <c r="Z58" i="32"/>
  <c r="Y58" i="32"/>
  <c r="AA57" i="32"/>
  <c r="Z57" i="32"/>
  <c r="Y57" i="32"/>
  <c r="AA56" i="32"/>
  <c r="J56" i="32"/>
  <c r="I56" i="32"/>
  <c r="H56" i="32"/>
  <c r="G56" i="32"/>
  <c r="J55" i="32"/>
  <c r="I55" i="32"/>
  <c r="H55" i="32"/>
  <c r="G55" i="32"/>
  <c r="AA47" i="32"/>
  <c r="H44" i="32"/>
  <c r="F36" i="32"/>
  <c r="Y31" i="32"/>
  <c r="X31" i="32"/>
  <c r="Z30" i="32"/>
  <c r="Y30" i="32"/>
  <c r="X30" i="32"/>
  <c r="AA29" i="32"/>
  <c r="AA31" i="32" s="1"/>
  <c r="Z29" i="32"/>
  <c r="Z31" i="32" s="1"/>
  <c r="AA28" i="32"/>
  <c r="AA30" i="32" s="1"/>
  <c r="F29" i="31"/>
  <c r="F20" i="31"/>
  <c r="Y58" i="30"/>
  <c r="Y57" i="30"/>
  <c r="O41" i="41" l="1"/>
  <c r="W41" i="40"/>
  <c r="V41" i="40"/>
  <c r="U41" i="40"/>
  <c r="Q26" i="43"/>
  <c r="U26" i="41"/>
  <c r="O40" i="40"/>
  <c r="T40" i="38"/>
  <c r="W40" i="38"/>
  <c r="V40" i="38"/>
  <c r="U40" i="38"/>
  <c r="O38" i="41"/>
  <c r="T38" i="40"/>
  <c r="O52" i="40"/>
  <c r="O47" i="43"/>
  <c r="V47" i="41"/>
  <c r="U47" i="41"/>
  <c r="T47" i="41"/>
  <c r="W47" i="41"/>
  <c r="R14" i="44"/>
  <c r="O50" i="43"/>
  <c r="W50" i="41"/>
  <c r="U50" i="41"/>
  <c r="T50" i="41"/>
  <c r="V50" i="41"/>
  <c r="O44" i="41"/>
  <c r="U44" i="40"/>
  <c r="V44" i="40"/>
  <c r="W44" i="40"/>
  <c r="T44" i="40"/>
  <c r="S26" i="43"/>
  <c r="W26" i="41"/>
  <c r="P37" i="41"/>
  <c r="P51" i="40"/>
  <c r="R26" i="43"/>
  <c r="V26" i="41"/>
  <c r="P26" i="43"/>
  <c r="T26" i="41"/>
  <c r="T51" i="38"/>
  <c r="W51" i="38"/>
  <c r="V51" i="38"/>
  <c r="O43" i="41"/>
  <c r="V43" i="40"/>
  <c r="U43" i="40"/>
  <c r="T43" i="40"/>
  <c r="W43" i="40"/>
  <c r="O49" i="43"/>
  <c r="V49" i="41"/>
  <c r="U49" i="41"/>
  <c r="T49" i="41"/>
  <c r="W49" i="41"/>
  <c r="O46" i="41"/>
  <c r="W46" i="40"/>
  <c r="V46" i="40"/>
  <c r="U46" i="40"/>
  <c r="T46" i="40"/>
  <c r="R37" i="41"/>
  <c r="R51" i="40"/>
  <c r="O37" i="41"/>
  <c r="V37" i="40"/>
  <c r="W37" i="40"/>
  <c r="T37" i="40"/>
  <c r="P38" i="44"/>
  <c r="R13" i="44"/>
  <c r="U25" i="44"/>
  <c r="V25" i="44"/>
  <c r="T25" i="44"/>
  <c r="W25" i="44"/>
  <c r="S37" i="44"/>
  <c r="S51" i="43"/>
  <c r="N20" i="32"/>
  <c r="Q40" i="43"/>
  <c r="Q51" i="36"/>
  <c r="U51" i="36" s="1"/>
  <c r="Q37" i="37"/>
  <c r="Q37" i="38" s="1"/>
  <c r="P52" i="36"/>
  <c r="T52" i="36" s="1"/>
  <c r="P41" i="37"/>
  <c r="P41" i="38" s="1"/>
  <c r="S52" i="36"/>
  <c r="W52" i="36" s="1"/>
  <c r="S38" i="37"/>
  <c r="S38" i="38" s="1"/>
  <c r="W51" i="37"/>
  <c r="T51" i="37"/>
  <c r="V51" i="37"/>
  <c r="R52" i="36"/>
  <c r="R38" i="37"/>
  <c r="R38" i="38" s="1"/>
  <c r="Q52" i="36"/>
  <c r="U52" i="36" s="1"/>
  <c r="Q38" i="37"/>
  <c r="Q38" i="38" s="1"/>
  <c r="V38" i="36"/>
  <c r="T41" i="36"/>
  <c r="W38" i="36"/>
  <c r="M22" i="32"/>
  <c r="K23" i="32"/>
  <c r="M23" i="32"/>
  <c r="AA58" i="32"/>
  <c r="U37" i="36"/>
  <c r="W51" i="36"/>
  <c r="V51" i="36"/>
  <c r="T51" i="36"/>
  <c r="M25" i="32"/>
  <c r="L25" i="32"/>
  <c r="V52" i="36"/>
  <c r="N25" i="32"/>
  <c r="H52" i="32"/>
  <c r="L52" i="32" s="1"/>
  <c r="K22" i="32"/>
  <c r="F49" i="32"/>
  <c r="M49" i="32" s="1"/>
  <c r="K19" i="32"/>
  <c r="F46" i="32"/>
  <c r="K46" i="32" s="1"/>
  <c r="K25" i="32"/>
  <c r="M19" i="32"/>
  <c r="G52" i="32"/>
  <c r="K52" i="32" s="1"/>
  <c r="N19" i="32"/>
  <c r="H50" i="32"/>
  <c r="L50" i="32" s="1"/>
  <c r="L19" i="32"/>
  <c r="J49" i="32"/>
  <c r="J46" i="32"/>
  <c r="N46" i="32" s="1"/>
  <c r="N22" i="32"/>
  <c r="G30" i="32"/>
  <c r="N23" i="32"/>
  <c r="I30" i="32"/>
  <c r="J30" i="32"/>
  <c r="J40" i="32"/>
  <c r="N40" i="32" s="1"/>
  <c r="I41" i="32"/>
  <c r="M41" i="32" s="1"/>
  <c r="J50" i="32"/>
  <c r="N50" i="32" s="1"/>
  <c r="H43" i="32"/>
  <c r="H49" i="32"/>
  <c r="M13" i="32"/>
  <c r="I46" i="32"/>
  <c r="L23" i="32"/>
  <c r="F47" i="32"/>
  <c r="M47" i="32" s="1"/>
  <c r="J44" i="32"/>
  <c r="J41" i="32"/>
  <c r="N41" i="32" s="1"/>
  <c r="M14" i="32"/>
  <c r="N13" i="32"/>
  <c r="N14" i="32"/>
  <c r="H30" i="32"/>
  <c r="I40" i="32"/>
  <c r="M40" i="32" s="1"/>
  <c r="L13" i="32"/>
  <c r="K26" i="32"/>
  <c r="I52" i="32"/>
  <c r="M52" i="32" s="1"/>
  <c r="N26" i="32"/>
  <c r="L26" i="32"/>
  <c r="F53" i="32"/>
  <c r="M53" i="32" s="1"/>
  <c r="M26" i="32"/>
  <c r="I50" i="32"/>
  <c r="M50" i="32" s="1"/>
  <c r="L22" i="32"/>
  <c r="I31" i="32"/>
  <c r="J31" i="32"/>
  <c r="L14" i="32"/>
  <c r="H31" i="32"/>
  <c r="J43" i="32"/>
  <c r="I44" i="32"/>
  <c r="L17" i="32"/>
  <c r="K17" i="32"/>
  <c r="M17" i="32"/>
  <c r="F44" i="32"/>
  <c r="K44" i="32" s="1"/>
  <c r="N17" i="32"/>
  <c r="K16" i="32"/>
  <c r="F43" i="32"/>
  <c r="M43" i="32" s="1"/>
  <c r="N16" i="32"/>
  <c r="L16" i="32"/>
  <c r="M16" i="32"/>
  <c r="G41" i="32"/>
  <c r="G58" i="32" s="1"/>
  <c r="G31" i="32"/>
  <c r="K14" i="32"/>
  <c r="G40" i="32"/>
  <c r="K13" i="32"/>
  <c r="K20" i="32"/>
  <c r="L20" i="32"/>
  <c r="M20" i="32"/>
  <c r="L40" i="32"/>
  <c r="L41" i="32"/>
  <c r="K50" i="32"/>
  <c r="N52" i="32"/>
  <c r="F29" i="30"/>
  <c r="O37" i="43" l="1"/>
  <c r="V37" i="41"/>
  <c r="T37" i="41"/>
  <c r="W37" i="41"/>
  <c r="S51" i="44"/>
  <c r="R37" i="43"/>
  <c r="R51" i="41"/>
  <c r="P37" i="43"/>
  <c r="P51" i="41"/>
  <c r="Q26" i="44"/>
  <c r="U26" i="44" s="1"/>
  <c r="U26" i="43"/>
  <c r="O44" i="43"/>
  <c r="V44" i="41"/>
  <c r="T44" i="41"/>
  <c r="U44" i="41"/>
  <c r="W44" i="41"/>
  <c r="O38" i="43"/>
  <c r="T38" i="41"/>
  <c r="O52" i="41"/>
  <c r="O40" i="41"/>
  <c r="T40" i="40"/>
  <c r="V40" i="40"/>
  <c r="W40" i="40"/>
  <c r="U40" i="40"/>
  <c r="S52" i="38"/>
  <c r="W52" i="38" s="1"/>
  <c r="S38" i="40"/>
  <c r="W38" i="38"/>
  <c r="Q52" i="38"/>
  <c r="U52" i="38" s="1"/>
  <c r="Q38" i="40"/>
  <c r="U38" i="38"/>
  <c r="U49" i="43"/>
  <c r="T49" i="43"/>
  <c r="V49" i="43"/>
  <c r="O49" i="44"/>
  <c r="W49" i="43"/>
  <c r="S26" i="44"/>
  <c r="W26" i="44" s="1"/>
  <c r="W26" i="43"/>
  <c r="O43" i="43"/>
  <c r="V43" i="41"/>
  <c r="U43" i="41"/>
  <c r="T43" i="41"/>
  <c r="W43" i="41"/>
  <c r="P41" i="40"/>
  <c r="P52" i="38"/>
  <c r="T52" i="38" s="1"/>
  <c r="T41" i="38"/>
  <c r="O51" i="40"/>
  <c r="O47" i="44"/>
  <c r="W47" i="43"/>
  <c r="T47" i="43"/>
  <c r="V47" i="43"/>
  <c r="U47" i="43"/>
  <c r="P26" i="44"/>
  <c r="T26" i="44" s="1"/>
  <c r="T26" i="43"/>
  <c r="O50" i="44"/>
  <c r="W50" i="43"/>
  <c r="V50" i="43"/>
  <c r="T50" i="43"/>
  <c r="U50" i="43"/>
  <c r="R26" i="44"/>
  <c r="V26" i="44" s="1"/>
  <c r="V26" i="43"/>
  <c r="R38" i="40"/>
  <c r="R52" i="38"/>
  <c r="V52" i="38" s="1"/>
  <c r="V38" i="38"/>
  <c r="Q37" i="40"/>
  <c r="Q51" i="38"/>
  <c r="U51" i="38" s="1"/>
  <c r="U37" i="38"/>
  <c r="O46" i="43"/>
  <c r="T46" i="41"/>
  <c r="W46" i="41"/>
  <c r="V46" i="41"/>
  <c r="U46" i="41"/>
  <c r="O41" i="43"/>
  <c r="W41" i="41"/>
  <c r="V41" i="41"/>
  <c r="U41" i="41"/>
  <c r="Q40" i="44"/>
  <c r="T40" i="45" s="1"/>
  <c r="T40" i="46" s="1"/>
  <c r="T40" i="47" s="1"/>
  <c r="T51" i="47" s="1"/>
  <c r="P52" i="37"/>
  <c r="T52" i="37" s="1"/>
  <c r="T41" i="37"/>
  <c r="R52" i="37"/>
  <c r="V52" i="37" s="1"/>
  <c r="V38" i="37"/>
  <c r="S52" i="37"/>
  <c r="W52" i="37" s="1"/>
  <c r="W38" i="37"/>
  <c r="Q51" i="37"/>
  <c r="U51" i="37" s="1"/>
  <c r="U37" i="37"/>
  <c r="Q52" i="37"/>
  <c r="U52" i="37" s="1"/>
  <c r="U38" i="37"/>
  <c r="G57" i="32"/>
  <c r="K47" i="32"/>
  <c r="K43" i="32"/>
  <c r="N49" i="32"/>
  <c r="L49" i="32"/>
  <c r="K49" i="32"/>
  <c r="L46" i="32"/>
  <c r="H58" i="32"/>
  <c r="K53" i="32"/>
  <c r="J57" i="32"/>
  <c r="N47" i="32"/>
  <c r="L47" i="32"/>
  <c r="H57" i="32"/>
  <c r="K41" i="32"/>
  <c r="I57" i="32"/>
  <c r="K40" i="32"/>
  <c r="J58" i="32"/>
  <c r="M46" i="32"/>
  <c r="N43" i="32"/>
  <c r="L43" i="32"/>
  <c r="I58" i="32"/>
  <c r="L53" i="32"/>
  <c r="N53" i="32"/>
  <c r="M44" i="32"/>
  <c r="L44" i="32"/>
  <c r="N44" i="32"/>
  <c r="F28" i="30"/>
  <c r="Y58" i="31"/>
  <c r="Y57" i="31"/>
  <c r="Z58" i="31"/>
  <c r="AA57" i="31"/>
  <c r="Z57" i="31"/>
  <c r="AA56" i="31"/>
  <c r="J56" i="31"/>
  <c r="I56" i="31"/>
  <c r="H56" i="31"/>
  <c r="G56" i="31"/>
  <c r="J55" i="31"/>
  <c r="I55" i="31"/>
  <c r="H55" i="31"/>
  <c r="G55" i="31"/>
  <c r="J53" i="31"/>
  <c r="I53" i="31"/>
  <c r="H53" i="31"/>
  <c r="G53" i="31"/>
  <c r="F53" i="31"/>
  <c r="M53" i="31" s="1"/>
  <c r="J52" i="31"/>
  <c r="I52" i="31"/>
  <c r="M52" i="31" s="1"/>
  <c r="H52" i="31"/>
  <c r="G52" i="31"/>
  <c r="F52" i="31"/>
  <c r="J50" i="31"/>
  <c r="I50" i="31"/>
  <c r="H50" i="31"/>
  <c r="G50" i="31"/>
  <c r="F50" i="31"/>
  <c r="J49" i="31"/>
  <c r="I49" i="31"/>
  <c r="H49" i="31"/>
  <c r="G49" i="31"/>
  <c r="F49" i="31"/>
  <c r="AA47" i="31"/>
  <c r="AA58" i="31" s="1"/>
  <c r="J47" i="31"/>
  <c r="I47" i="31"/>
  <c r="H47" i="31"/>
  <c r="G47" i="31"/>
  <c r="F47" i="31"/>
  <c r="J46" i="31"/>
  <c r="I46" i="31"/>
  <c r="H46" i="31"/>
  <c r="G46" i="31"/>
  <c r="F46" i="31"/>
  <c r="J44" i="31"/>
  <c r="I44" i="31"/>
  <c r="H44" i="31"/>
  <c r="G44" i="31"/>
  <c r="F44" i="31"/>
  <c r="J43" i="31"/>
  <c r="I43" i="31"/>
  <c r="H43" i="31"/>
  <c r="G43" i="31"/>
  <c r="F43" i="31"/>
  <c r="J41" i="31"/>
  <c r="I41" i="31"/>
  <c r="H41" i="31"/>
  <c r="G41" i="31"/>
  <c r="F41" i="31"/>
  <c r="J40" i="31"/>
  <c r="I40" i="31"/>
  <c r="H40" i="31"/>
  <c r="G40" i="31"/>
  <c r="F40" i="31"/>
  <c r="F36" i="31"/>
  <c r="Y31" i="31"/>
  <c r="X31" i="31"/>
  <c r="J31" i="31"/>
  <c r="I31" i="31"/>
  <c r="H31" i="31"/>
  <c r="G31" i="31"/>
  <c r="Z30" i="31"/>
  <c r="Y30" i="31"/>
  <c r="X30" i="31"/>
  <c r="J30" i="31"/>
  <c r="I30" i="31"/>
  <c r="H30" i="31"/>
  <c r="G30" i="31"/>
  <c r="AA29" i="31"/>
  <c r="AA31" i="31" s="1"/>
  <c r="Z29" i="31"/>
  <c r="Z31" i="31" s="1"/>
  <c r="N29" i="31"/>
  <c r="L29" i="31"/>
  <c r="M29" i="31"/>
  <c r="AA28" i="31"/>
  <c r="AA30" i="31" s="1"/>
  <c r="N28" i="31"/>
  <c r="M28" i="31"/>
  <c r="K28" i="31"/>
  <c r="L28" i="31"/>
  <c r="N26" i="31"/>
  <c r="M26" i="31"/>
  <c r="L26" i="31"/>
  <c r="K26" i="31"/>
  <c r="N25" i="31"/>
  <c r="M25" i="31"/>
  <c r="L25" i="31"/>
  <c r="K25" i="31"/>
  <c r="N23" i="31"/>
  <c r="M23" i="31"/>
  <c r="L23" i="31"/>
  <c r="K23" i="31"/>
  <c r="N22" i="31"/>
  <c r="M22" i="31"/>
  <c r="L22" i="31"/>
  <c r="K22" i="31"/>
  <c r="N20" i="31"/>
  <c r="M20" i="31"/>
  <c r="L20" i="31"/>
  <c r="K20" i="31"/>
  <c r="N19" i="31"/>
  <c r="M19" i="31"/>
  <c r="L19" i="31"/>
  <c r="K19" i="31"/>
  <c r="N17" i="31"/>
  <c r="M17" i="31"/>
  <c r="L17" i="31"/>
  <c r="K17" i="31"/>
  <c r="N16" i="31"/>
  <c r="M16" i="31"/>
  <c r="L16" i="31"/>
  <c r="K16" i="31"/>
  <c r="N14" i="31"/>
  <c r="M14" i="31"/>
  <c r="L14" i="31"/>
  <c r="K14" i="31"/>
  <c r="N13" i="31"/>
  <c r="M13" i="31"/>
  <c r="L13" i="31"/>
  <c r="K13" i="31"/>
  <c r="O43" i="44" l="1"/>
  <c r="U43" i="43"/>
  <c r="W43" i="43"/>
  <c r="V43" i="43"/>
  <c r="T43" i="43"/>
  <c r="V51" i="46"/>
  <c r="V51" i="45"/>
  <c r="R38" i="41"/>
  <c r="R52" i="40"/>
  <c r="V52" i="40" s="1"/>
  <c r="V38" i="40"/>
  <c r="Q38" i="41"/>
  <c r="Q52" i="40"/>
  <c r="U52" i="40" s="1"/>
  <c r="U38" i="40"/>
  <c r="R50" i="45"/>
  <c r="V50" i="44"/>
  <c r="U50" i="44"/>
  <c r="T50" i="44"/>
  <c r="W50" i="44"/>
  <c r="V51" i="40"/>
  <c r="T51" i="40"/>
  <c r="W51" i="40"/>
  <c r="O38" i="44"/>
  <c r="O52" i="43"/>
  <c r="T38" i="43"/>
  <c r="O41" i="44"/>
  <c r="V41" i="43"/>
  <c r="U41" i="43"/>
  <c r="W41" i="43"/>
  <c r="O40" i="43"/>
  <c r="T40" i="41"/>
  <c r="V40" i="41"/>
  <c r="W40" i="41"/>
  <c r="U40" i="41"/>
  <c r="P37" i="44"/>
  <c r="P51" i="43"/>
  <c r="O46" i="44"/>
  <c r="W46" i="43"/>
  <c r="V46" i="43"/>
  <c r="U46" i="43"/>
  <c r="T46" i="43"/>
  <c r="P41" i="41"/>
  <c r="P52" i="40"/>
  <c r="T52" i="40" s="1"/>
  <c r="T41" i="40"/>
  <c r="O51" i="41"/>
  <c r="R49" i="45"/>
  <c r="V49" i="44"/>
  <c r="U49" i="44"/>
  <c r="W49" i="44"/>
  <c r="T49" i="44"/>
  <c r="S38" i="41"/>
  <c r="S52" i="40"/>
  <c r="W52" i="40" s="1"/>
  <c r="W38" i="40"/>
  <c r="R37" i="44"/>
  <c r="R51" i="43"/>
  <c r="O44" i="44"/>
  <c r="W44" i="43"/>
  <c r="U44" i="43"/>
  <c r="V44" i="43"/>
  <c r="T44" i="43"/>
  <c r="Q37" i="41"/>
  <c r="Q51" i="40"/>
  <c r="U51" i="40" s="1"/>
  <c r="U37" i="40"/>
  <c r="R47" i="45"/>
  <c r="U47" i="44"/>
  <c r="T47" i="44"/>
  <c r="W47" i="44"/>
  <c r="V47" i="44"/>
  <c r="O37" i="44"/>
  <c r="O51" i="43"/>
  <c r="W37" i="43"/>
  <c r="V37" i="43"/>
  <c r="T37" i="43"/>
  <c r="L50" i="31"/>
  <c r="M49" i="31"/>
  <c r="L41" i="31"/>
  <c r="L53" i="31"/>
  <c r="L52" i="31"/>
  <c r="M50" i="31"/>
  <c r="L49" i="31"/>
  <c r="K40" i="31"/>
  <c r="M40" i="31"/>
  <c r="L44" i="31"/>
  <c r="K52" i="31"/>
  <c r="I57" i="31"/>
  <c r="L43" i="31"/>
  <c r="L47" i="31"/>
  <c r="L40" i="31"/>
  <c r="L46" i="31"/>
  <c r="H58" i="31"/>
  <c r="G58" i="31"/>
  <c r="K49" i="31"/>
  <c r="K50" i="31"/>
  <c r="G57" i="31"/>
  <c r="H57" i="31"/>
  <c r="I58" i="31"/>
  <c r="K53" i="31"/>
  <c r="J58" i="31"/>
  <c r="J57" i="31"/>
  <c r="K41" i="31"/>
  <c r="K43" i="31"/>
  <c r="K44" i="31"/>
  <c r="K46" i="31"/>
  <c r="K47" i="31"/>
  <c r="M41" i="31"/>
  <c r="M43" i="31"/>
  <c r="M44" i="31"/>
  <c r="M46" i="31"/>
  <c r="M47" i="31"/>
  <c r="N40" i="31"/>
  <c r="N41" i="31"/>
  <c r="N43" i="31"/>
  <c r="N44" i="31"/>
  <c r="N46" i="31"/>
  <c r="N47" i="31"/>
  <c r="F31" i="31"/>
  <c r="N49" i="31"/>
  <c r="N50" i="31"/>
  <c r="N52" i="31"/>
  <c r="N53" i="31"/>
  <c r="F55" i="31"/>
  <c r="F56" i="31"/>
  <c r="F30" i="31"/>
  <c r="K29" i="31"/>
  <c r="O28" i="30"/>
  <c r="O28" i="31" s="1"/>
  <c r="O29" i="30"/>
  <c r="S29" i="30"/>
  <c r="S29" i="31" s="1"/>
  <c r="S29" i="32" s="1"/>
  <c r="R29" i="30"/>
  <c r="Q29" i="30"/>
  <c r="Q29" i="31" s="1"/>
  <c r="P29" i="30"/>
  <c r="S28" i="30"/>
  <c r="S28" i="31" s="1"/>
  <c r="S28" i="32" s="1"/>
  <c r="R28" i="30"/>
  <c r="R28" i="31" s="1"/>
  <c r="Q28" i="30"/>
  <c r="Q28" i="31" s="1"/>
  <c r="P28" i="30"/>
  <c r="S26" i="30"/>
  <c r="S26" i="31" s="1"/>
  <c r="S26" i="32" s="1"/>
  <c r="R26" i="30"/>
  <c r="Q26" i="30"/>
  <c r="Q26" i="31" s="1"/>
  <c r="P26" i="30"/>
  <c r="P26" i="31" s="1"/>
  <c r="S25" i="30"/>
  <c r="S25" i="31" s="1"/>
  <c r="S25" i="32" s="1"/>
  <c r="R25" i="30"/>
  <c r="R25" i="31" s="1"/>
  <c r="Q25" i="30"/>
  <c r="Q25" i="31" s="1"/>
  <c r="P25" i="30"/>
  <c r="S23" i="30"/>
  <c r="S23" i="31" s="1"/>
  <c r="S23" i="32" s="1"/>
  <c r="R23" i="30"/>
  <c r="Q23" i="30"/>
  <c r="P23" i="30"/>
  <c r="S22" i="30"/>
  <c r="S22" i="31" s="1"/>
  <c r="S22" i="32" s="1"/>
  <c r="R22" i="30"/>
  <c r="R22" i="31" s="1"/>
  <c r="Q22" i="30"/>
  <c r="Q22" i="31" s="1"/>
  <c r="P22" i="30"/>
  <c r="P22" i="31" s="1"/>
  <c r="P22" i="32" s="1"/>
  <c r="S20" i="30"/>
  <c r="S20" i="31" s="1"/>
  <c r="S20" i="32" s="1"/>
  <c r="R20" i="30"/>
  <c r="Q20" i="30"/>
  <c r="Q20" i="31" s="1"/>
  <c r="P20" i="30"/>
  <c r="S19" i="30"/>
  <c r="S19" i="31" s="1"/>
  <c r="S19" i="32" s="1"/>
  <c r="R19" i="30"/>
  <c r="R19" i="31" s="1"/>
  <c r="Q19" i="30"/>
  <c r="Q19" i="31" s="1"/>
  <c r="P19" i="30"/>
  <c r="S17" i="30"/>
  <c r="S17" i="31" s="1"/>
  <c r="S17" i="32" s="1"/>
  <c r="R17" i="30"/>
  <c r="R17" i="31" s="1"/>
  <c r="Q17" i="30"/>
  <c r="Q17" i="31" s="1"/>
  <c r="P17" i="30"/>
  <c r="S16" i="30"/>
  <c r="S16" i="31" s="1"/>
  <c r="S16" i="32" s="1"/>
  <c r="R16" i="30"/>
  <c r="R16" i="31" s="1"/>
  <c r="Q16" i="30"/>
  <c r="Q16" i="31" s="1"/>
  <c r="Q16" i="32" s="1"/>
  <c r="P16" i="30"/>
  <c r="P16" i="31" s="1"/>
  <c r="S14" i="30"/>
  <c r="S14" i="31" s="1"/>
  <c r="R14" i="30"/>
  <c r="Q14" i="30"/>
  <c r="Q14" i="31" s="1"/>
  <c r="Q14" i="32" s="1"/>
  <c r="P14" i="30"/>
  <c r="S13" i="30"/>
  <c r="S13" i="31" s="1"/>
  <c r="S13" i="32" s="1"/>
  <c r="R13" i="30"/>
  <c r="R13" i="31" s="1"/>
  <c r="Q13" i="30"/>
  <c r="Q13" i="31" s="1"/>
  <c r="Q13" i="32" s="1"/>
  <c r="P13" i="30"/>
  <c r="P13" i="31" s="1"/>
  <c r="O26" i="30"/>
  <c r="O26" i="31" s="1"/>
  <c r="T26" i="31" s="1"/>
  <c r="O25" i="30"/>
  <c r="O23" i="30"/>
  <c r="O23" i="31" s="1"/>
  <c r="O22" i="30"/>
  <c r="O20" i="30"/>
  <c r="O19" i="30"/>
  <c r="O17" i="30"/>
  <c r="O16" i="30"/>
  <c r="O14" i="30"/>
  <c r="O13" i="30"/>
  <c r="K28" i="30"/>
  <c r="K26" i="30"/>
  <c r="K25" i="30"/>
  <c r="K23" i="30"/>
  <c r="K22" i="30"/>
  <c r="K20" i="30"/>
  <c r="K19" i="30"/>
  <c r="K17" i="30"/>
  <c r="K16" i="30"/>
  <c r="K14" i="30"/>
  <c r="K13" i="30"/>
  <c r="Y31" i="30"/>
  <c r="Y30" i="30"/>
  <c r="G56" i="30"/>
  <c r="G55" i="30"/>
  <c r="G53" i="30"/>
  <c r="G52" i="30"/>
  <c r="G50" i="30"/>
  <c r="G49" i="30"/>
  <c r="G47" i="30"/>
  <c r="G46" i="30"/>
  <c r="G44" i="30"/>
  <c r="G43" i="30"/>
  <c r="G41" i="30"/>
  <c r="G40" i="30"/>
  <c r="G31" i="30"/>
  <c r="G30" i="30"/>
  <c r="Z58" i="30"/>
  <c r="AA57" i="30"/>
  <c r="Z57" i="30"/>
  <c r="AA56" i="30"/>
  <c r="J56" i="30"/>
  <c r="I56" i="30"/>
  <c r="H56" i="30"/>
  <c r="J55" i="30"/>
  <c r="I55" i="30"/>
  <c r="H55" i="30"/>
  <c r="J53" i="30"/>
  <c r="I53" i="30"/>
  <c r="H53" i="30"/>
  <c r="F53" i="30"/>
  <c r="J52" i="30"/>
  <c r="I52" i="30"/>
  <c r="H52" i="30"/>
  <c r="F52" i="30"/>
  <c r="J50" i="30"/>
  <c r="I50" i="30"/>
  <c r="H50" i="30"/>
  <c r="F50" i="30"/>
  <c r="J49" i="30"/>
  <c r="I49" i="30"/>
  <c r="H49" i="30"/>
  <c r="F49" i="30"/>
  <c r="K49" i="30" s="1"/>
  <c r="AA47" i="30"/>
  <c r="J47" i="30"/>
  <c r="I47" i="30"/>
  <c r="H47" i="30"/>
  <c r="F47" i="30"/>
  <c r="J46" i="30"/>
  <c r="I46" i="30"/>
  <c r="H46" i="30"/>
  <c r="F46" i="30"/>
  <c r="K46" i="30" s="1"/>
  <c r="J44" i="30"/>
  <c r="I44" i="30"/>
  <c r="H44" i="30"/>
  <c r="F44" i="30"/>
  <c r="J43" i="30"/>
  <c r="I43" i="30"/>
  <c r="H43" i="30"/>
  <c r="F43" i="30"/>
  <c r="J41" i="30"/>
  <c r="I41" i="30"/>
  <c r="H41" i="30"/>
  <c r="J40" i="30"/>
  <c r="I40" i="30"/>
  <c r="H40" i="30"/>
  <c r="F40" i="30"/>
  <c r="M40" i="30" s="1"/>
  <c r="F36" i="30"/>
  <c r="X31" i="30"/>
  <c r="J31" i="30"/>
  <c r="I31" i="30"/>
  <c r="H31" i="30"/>
  <c r="Z30" i="30"/>
  <c r="X30" i="30"/>
  <c r="J30" i="30"/>
  <c r="I30" i="30"/>
  <c r="H30" i="30"/>
  <c r="AA29" i="30"/>
  <c r="AA31" i="30" s="1"/>
  <c r="Z29" i="30"/>
  <c r="Z31" i="30" s="1"/>
  <c r="AA28" i="30"/>
  <c r="AA30" i="30" s="1"/>
  <c r="N26" i="30"/>
  <c r="M26" i="30"/>
  <c r="L26" i="30"/>
  <c r="N25" i="30"/>
  <c r="M25" i="30"/>
  <c r="L25" i="30"/>
  <c r="N23" i="30"/>
  <c r="M23" i="30"/>
  <c r="L23" i="30"/>
  <c r="N22" i="30"/>
  <c r="M22" i="30"/>
  <c r="L22" i="30"/>
  <c r="N20" i="30"/>
  <c r="M20" i="30"/>
  <c r="L20" i="30"/>
  <c r="N19" i="30"/>
  <c r="M19" i="30"/>
  <c r="L19" i="30"/>
  <c r="N17" i="30"/>
  <c r="M17" i="30"/>
  <c r="L17" i="30"/>
  <c r="N16" i="30"/>
  <c r="M16" i="30"/>
  <c r="L16" i="30"/>
  <c r="L14" i="30"/>
  <c r="N13" i="30"/>
  <c r="M13" i="30"/>
  <c r="L13" i="30"/>
  <c r="F29" i="27"/>
  <c r="F14" i="29"/>
  <c r="S30" i="31" l="1"/>
  <c r="R37" i="45"/>
  <c r="R37" i="46" s="1"/>
  <c r="R37" i="47" s="1"/>
  <c r="V37" i="44"/>
  <c r="T37" i="44"/>
  <c r="W37" i="44"/>
  <c r="R44" i="45"/>
  <c r="T44" i="44"/>
  <c r="W44" i="44"/>
  <c r="V44" i="44"/>
  <c r="U44" i="44"/>
  <c r="P51" i="44"/>
  <c r="R38" i="45"/>
  <c r="T38" i="44"/>
  <c r="O52" i="44"/>
  <c r="R50" i="46"/>
  <c r="AA50" i="45"/>
  <c r="X50" i="45"/>
  <c r="Z50" i="45"/>
  <c r="Y50" i="45"/>
  <c r="R51" i="44"/>
  <c r="R49" i="46"/>
  <c r="Z49" i="45"/>
  <c r="Y49" i="45"/>
  <c r="X49" i="45"/>
  <c r="AA49" i="45"/>
  <c r="P41" i="43"/>
  <c r="P52" i="41"/>
  <c r="T52" i="41" s="1"/>
  <c r="T41" i="41"/>
  <c r="Q37" i="43"/>
  <c r="Q51" i="41"/>
  <c r="U51" i="41" s="1"/>
  <c r="U37" i="41"/>
  <c r="T51" i="41"/>
  <c r="W51" i="41"/>
  <c r="V51" i="41"/>
  <c r="R41" i="45"/>
  <c r="W41" i="44"/>
  <c r="V41" i="44"/>
  <c r="U41" i="44"/>
  <c r="Q38" i="43"/>
  <c r="Q52" i="41"/>
  <c r="U52" i="41" s="1"/>
  <c r="U38" i="41"/>
  <c r="R47" i="46"/>
  <c r="Y47" i="45"/>
  <c r="X47" i="45"/>
  <c r="AA47" i="45"/>
  <c r="Z47" i="45"/>
  <c r="S38" i="43"/>
  <c r="S52" i="41"/>
  <c r="W52" i="41" s="1"/>
  <c r="W38" i="41"/>
  <c r="O40" i="44"/>
  <c r="O51" i="44" s="1"/>
  <c r="T40" i="43"/>
  <c r="W40" i="43"/>
  <c r="V40" i="43"/>
  <c r="U40" i="43"/>
  <c r="W51" i="43"/>
  <c r="T51" i="43"/>
  <c r="V51" i="43"/>
  <c r="R46" i="45"/>
  <c r="U46" i="44"/>
  <c r="T46" i="44"/>
  <c r="W46" i="44"/>
  <c r="V46" i="44"/>
  <c r="R38" i="43"/>
  <c r="R52" i="41"/>
  <c r="V52" i="41" s="1"/>
  <c r="V38" i="41"/>
  <c r="R43" i="45"/>
  <c r="W43" i="44"/>
  <c r="V43" i="44"/>
  <c r="U43" i="44"/>
  <c r="T43" i="44"/>
  <c r="S30" i="32"/>
  <c r="O16" i="31"/>
  <c r="P28" i="31"/>
  <c r="K53" i="30"/>
  <c r="O17" i="31"/>
  <c r="Q19" i="32"/>
  <c r="Q22" i="32"/>
  <c r="Q25" i="32"/>
  <c r="Q28" i="32"/>
  <c r="O29" i="31"/>
  <c r="U26" i="31"/>
  <c r="W26" i="31"/>
  <c r="P16" i="32"/>
  <c r="O19" i="31"/>
  <c r="R13" i="32"/>
  <c r="R16" i="32"/>
  <c r="R19" i="32"/>
  <c r="R22" i="32"/>
  <c r="R25" i="32"/>
  <c r="R28" i="32"/>
  <c r="W23" i="31"/>
  <c r="O20" i="31"/>
  <c r="P19" i="31"/>
  <c r="O22" i="31"/>
  <c r="P14" i="31"/>
  <c r="P17" i="31"/>
  <c r="P20" i="31"/>
  <c r="P23" i="31"/>
  <c r="T23" i="31" s="1"/>
  <c r="P26" i="32"/>
  <c r="P29" i="31"/>
  <c r="P25" i="31"/>
  <c r="O23" i="32"/>
  <c r="Q17" i="32"/>
  <c r="Q20" i="32"/>
  <c r="Q23" i="31"/>
  <c r="Q26" i="32"/>
  <c r="Q29" i="32"/>
  <c r="T13" i="30"/>
  <c r="O13" i="31"/>
  <c r="O25" i="31"/>
  <c r="R14" i="31"/>
  <c r="R17" i="32"/>
  <c r="R20" i="31"/>
  <c r="R23" i="31"/>
  <c r="V23" i="31" s="1"/>
  <c r="R26" i="31"/>
  <c r="V26" i="31" s="1"/>
  <c r="R29" i="31"/>
  <c r="P13" i="32"/>
  <c r="O14" i="31"/>
  <c r="O26" i="32"/>
  <c r="S14" i="32"/>
  <c r="S31" i="32" s="1"/>
  <c r="S31" i="31"/>
  <c r="R30" i="31"/>
  <c r="Q30" i="31"/>
  <c r="N30" i="31"/>
  <c r="M30" i="31"/>
  <c r="L30" i="31"/>
  <c r="K30" i="31"/>
  <c r="K55" i="31"/>
  <c r="F57" i="31"/>
  <c r="N55" i="31"/>
  <c r="L55" i="31"/>
  <c r="M55" i="31"/>
  <c r="K31" i="31"/>
  <c r="N31" i="31"/>
  <c r="L31" i="31"/>
  <c r="M31" i="31"/>
  <c r="W28" i="31"/>
  <c r="U28" i="31"/>
  <c r="V28" i="31"/>
  <c r="K56" i="31"/>
  <c r="F58" i="31"/>
  <c r="N56" i="31"/>
  <c r="L56" i="31"/>
  <c r="M56" i="31"/>
  <c r="F56" i="30"/>
  <c r="L56" i="30" s="1"/>
  <c r="K29" i="30"/>
  <c r="T28" i="30"/>
  <c r="K52" i="30"/>
  <c r="K50" i="30"/>
  <c r="K47" i="30"/>
  <c r="K44" i="30"/>
  <c r="K43" i="30"/>
  <c r="K40" i="30"/>
  <c r="P31" i="30"/>
  <c r="V23" i="30"/>
  <c r="T20" i="30"/>
  <c r="W26" i="30"/>
  <c r="T29" i="30"/>
  <c r="T25" i="30"/>
  <c r="T23" i="30"/>
  <c r="T19" i="30"/>
  <c r="T14" i="30"/>
  <c r="T26" i="30"/>
  <c r="T22" i="30"/>
  <c r="P30" i="30"/>
  <c r="T16" i="30"/>
  <c r="T17" i="30"/>
  <c r="G57" i="30"/>
  <c r="G58" i="30"/>
  <c r="L53" i="30"/>
  <c r="H58" i="30"/>
  <c r="L44" i="30"/>
  <c r="M46" i="30"/>
  <c r="N52" i="30"/>
  <c r="L50" i="30"/>
  <c r="M44" i="30"/>
  <c r="N29" i="30"/>
  <c r="N47" i="30"/>
  <c r="U23" i="30"/>
  <c r="L52" i="30"/>
  <c r="W23" i="30"/>
  <c r="AA58" i="30"/>
  <c r="U17" i="30"/>
  <c r="J57" i="30"/>
  <c r="V26" i="30"/>
  <c r="N46" i="30"/>
  <c r="W13" i="30"/>
  <c r="W25" i="30"/>
  <c r="V20" i="30"/>
  <c r="N43" i="30"/>
  <c r="L40" i="30"/>
  <c r="M47" i="30"/>
  <c r="V13" i="30"/>
  <c r="W17" i="30"/>
  <c r="U19" i="30"/>
  <c r="W20" i="30"/>
  <c r="U25" i="30"/>
  <c r="N40" i="30"/>
  <c r="M14" i="30"/>
  <c r="N28" i="30"/>
  <c r="S30" i="30"/>
  <c r="N14" i="30"/>
  <c r="H57" i="30"/>
  <c r="I58" i="30"/>
  <c r="L46" i="30"/>
  <c r="M50" i="30"/>
  <c r="M52" i="30"/>
  <c r="O31" i="30"/>
  <c r="U22" i="30"/>
  <c r="I57" i="30"/>
  <c r="J58" i="30"/>
  <c r="N44" i="30"/>
  <c r="N49" i="30"/>
  <c r="N50" i="30"/>
  <c r="W28" i="30"/>
  <c r="V28" i="30"/>
  <c r="U28" i="30"/>
  <c r="R31" i="30"/>
  <c r="U16" i="30"/>
  <c r="V16" i="30"/>
  <c r="V22" i="30"/>
  <c r="O30" i="30"/>
  <c r="T30" i="30" s="1"/>
  <c r="M53" i="30"/>
  <c r="W16" i="30"/>
  <c r="W22" i="30"/>
  <c r="L28" i="30"/>
  <c r="F30" i="30"/>
  <c r="K30" i="30" s="1"/>
  <c r="Q30" i="30"/>
  <c r="N53" i="30"/>
  <c r="F55" i="30"/>
  <c r="F57" i="30" s="1"/>
  <c r="U13" i="30"/>
  <c r="V17" i="30"/>
  <c r="M28" i="30"/>
  <c r="R30" i="30"/>
  <c r="F31" i="30"/>
  <c r="K31" i="30" s="1"/>
  <c r="Q31" i="30"/>
  <c r="F41" i="30"/>
  <c r="K41" i="30" s="1"/>
  <c r="V19" i="30"/>
  <c r="V25" i="30"/>
  <c r="U29" i="30"/>
  <c r="S31" i="30"/>
  <c r="L43" i="30"/>
  <c r="W19" i="30"/>
  <c r="U20" i="30"/>
  <c r="U26" i="30"/>
  <c r="L29" i="30"/>
  <c r="V29" i="30"/>
  <c r="M43" i="30"/>
  <c r="L49" i="30"/>
  <c r="M29" i="30"/>
  <c r="W29" i="30"/>
  <c r="L47" i="30"/>
  <c r="M49" i="30"/>
  <c r="F28" i="27"/>
  <c r="F29" i="28"/>
  <c r="F28" i="28"/>
  <c r="W51" i="44" l="1"/>
  <c r="V51" i="44"/>
  <c r="T51" i="44"/>
  <c r="R52" i="43"/>
  <c r="V52" i="43" s="1"/>
  <c r="R38" i="44"/>
  <c r="V38" i="43"/>
  <c r="S52" i="43"/>
  <c r="W52" i="43" s="1"/>
  <c r="S38" i="44"/>
  <c r="W38" i="43"/>
  <c r="Q52" i="43"/>
  <c r="U52" i="43" s="1"/>
  <c r="Q38" i="44"/>
  <c r="U38" i="43"/>
  <c r="U51" i="46"/>
  <c r="U51" i="45"/>
  <c r="R38" i="46"/>
  <c r="X38" i="45"/>
  <c r="R52" i="45"/>
  <c r="O30" i="31"/>
  <c r="R43" i="46"/>
  <c r="Z43" i="45"/>
  <c r="Y43" i="45"/>
  <c r="AA43" i="45"/>
  <c r="X43" i="45"/>
  <c r="R46" i="46"/>
  <c r="Z46" i="45"/>
  <c r="Y46" i="45"/>
  <c r="X46" i="45"/>
  <c r="AA46" i="45"/>
  <c r="Q37" i="44"/>
  <c r="Q51" i="43"/>
  <c r="U51" i="43" s="1"/>
  <c r="U37" i="43"/>
  <c r="R49" i="47"/>
  <c r="Z49" i="46"/>
  <c r="AA49" i="46"/>
  <c r="X49" i="46"/>
  <c r="Y49" i="46"/>
  <c r="R50" i="47"/>
  <c r="AA50" i="46"/>
  <c r="Y50" i="46"/>
  <c r="Z50" i="46"/>
  <c r="X50" i="46"/>
  <c r="P41" i="44"/>
  <c r="P52" i="43"/>
  <c r="T52" i="43" s="1"/>
  <c r="T41" i="43"/>
  <c r="R40" i="45"/>
  <c r="R51" i="45" s="1"/>
  <c r="V40" i="44"/>
  <c r="W40" i="44"/>
  <c r="T40" i="44"/>
  <c r="U40" i="44"/>
  <c r="R47" i="47"/>
  <c r="X47" i="46"/>
  <c r="AA47" i="46"/>
  <c r="Z47" i="46"/>
  <c r="Y47" i="46"/>
  <c r="S51" i="46"/>
  <c r="S51" i="45"/>
  <c r="Z37" i="45"/>
  <c r="X37" i="45"/>
  <c r="AA37" i="45"/>
  <c r="R41" i="46"/>
  <c r="AA41" i="45"/>
  <c r="Z41" i="45"/>
  <c r="Y41" i="45"/>
  <c r="R44" i="46"/>
  <c r="AA44" i="45"/>
  <c r="Y44" i="45"/>
  <c r="Z44" i="45"/>
  <c r="X44" i="45"/>
  <c r="R20" i="32"/>
  <c r="O13" i="32"/>
  <c r="V13" i="31"/>
  <c r="W13" i="31"/>
  <c r="T13" i="31"/>
  <c r="U13" i="31"/>
  <c r="Q23" i="32"/>
  <c r="U23" i="32" s="1"/>
  <c r="P29" i="32"/>
  <c r="P17" i="32"/>
  <c r="U29" i="31"/>
  <c r="V29" i="31"/>
  <c r="T29" i="31"/>
  <c r="W29" i="31"/>
  <c r="P28" i="32"/>
  <c r="T28" i="31"/>
  <c r="T26" i="32"/>
  <c r="W26" i="32"/>
  <c r="U26" i="32"/>
  <c r="R29" i="32"/>
  <c r="P14" i="32"/>
  <c r="P31" i="31"/>
  <c r="O20" i="32"/>
  <c r="U20" i="31"/>
  <c r="V20" i="31"/>
  <c r="W20" i="31"/>
  <c r="T20" i="31"/>
  <c r="R30" i="32"/>
  <c r="O14" i="32"/>
  <c r="V14" i="31"/>
  <c r="T14" i="31"/>
  <c r="U14" i="31"/>
  <c r="O31" i="31"/>
  <c r="W14" i="31"/>
  <c r="O19" i="32"/>
  <c r="W19" i="31"/>
  <c r="V19" i="31"/>
  <c r="U19" i="31"/>
  <c r="T19" i="31"/>
  <c r="O16" i="32"/>
  <c r="U16" i="31"/>
  <c r="V16" i="31"/>
  <c r="W16" i="31"/>
  <c r="T16" i="31"/>
  <c r="P19" i="32"/>
  <c r="Q31" i="31"/>
  <c r="R26" i="32"/>
  <c r="V26" i="32" s="1"/>
  <c r="R14" i="32"/>
  <c r="R31" i="31"/>
  <c r="P25" i="32"/>
  <c r="P23" i="32"/>
  <c r="O22" i="32"/>
  <c r="W22" i="31"/>
  <c r="U22" i="31"/>
  <c r="T22" i="31"/>
  <c r="V22" i="31"/>
  <c r="Q30" i="32"/>
  <c r="U23" i="31"/>
  <c r="P30" i="31"/>
  <c r="T30" i="31" s="1"/>
  <c r="W23" i="32"/>
  <c r="R23" i="32"/>
  <c r="O25" i="32"/>
  <c r="V25" i="31"/>
  <c r="U25" i="31"/>
  <c r="W25" i="31"/>
  <c r="T25" i="31"/>
  <c r="P20" i="32"/>
  <c r="O17" i="32"/>
  <c r="W17" i="31"/>
  <c r="V17" i="31"/>
  <c r="U17" i="31"/>
  <c r="T17" i="31"/>
  <c r="N58" i="31"/>
  <c r="M58" i="31"/>
  <c r="K58" i="31"/>
  <c r="L58" i="31"/>
  <c r="W30" i="31"/>
  <c r="V30" i="31"/>
  <c r="U30" i="31"/>
  <c r="N57" i="31"/>
  <c r="M57" i="31"/>
  <c r="K57" i="31"/>
  <c r="L57" i="31"/>
  <c r="N56" i="30"/>
  <c r="M56" i="30"/>
  <c r="K56" i="30"/>
  <c r="K55" i="30"/>
  <c r="T31" i="30"/>
  <c r="K57" i="30"/>
  <c r="U14" i="30"/>
  <c r="V14" i="30"/>
  <c r="W14" i="30"/>
  <c r="N57" i="30"/>
  <c r="M57" i="30"/>
  <c r="L57" i="30"/>
  <c r="W30" i="30"/>
  <c r="V30" i="30"/>
  <c r="U30" i="30"/>
  <c r="N30" i="30"/>
  <c r="M30" i="30"/>
  <c r="L30" i="30"/>
  <c r="F58" i="30"/>
  <c r="K58" i="30" s="1"/>
  <c r="M41" i="30"/>
  <c r="L41" i="30"/>
  <c r="N41" i="30"/>
  <c r="W31" i="30"/>
  <c r="V31" i="30"/>
  <c r="U31" i="30"/>
  <c r="N55" i="30"/>
  <c r="M55" i="30"/>
  <c r="L55" i="30"/>
  <c r="M31" i="30"/>
  <c r="L31" i="30"/>
  <c r="N31" i="30"/>
  <c r="F29" i="29"/>
  <c r="F28" i="29"/>
  <c r="P52" i="44" l="1"/>
  <c r="T52" i="44" s="1"/>
  <c r="T41" i="44"/>
  <c r="Q52" i="44"/>
  <c r="U52" i="44" s="1"/>
  <c r="U38" i="44"/>
  <c r="Y47" i="47"/>
  <c r="AA47" i="47"/>
  <c r="Z47" i="47"/>
  <c r="X47" i="47"/>
  <c r="Q51" i="44"/>
  <c r="U51" i="44" s="1"/>
  <c r="U37" i="44"/>
  <c r="R43" i="47"/>
  <c r="X43" i="46"/>
  <c r="AA43" i="46"/>
  <c r="Z43" i="46"/>
  <c r="Y43" i="46"/>
  <c r="R38" i="47"/>
  <c r="R52" i="46"/>
  <c r="X38" i="46"/>
  <c r="R52" i="44"/>
  <c r="V52" i="44" s="1"/>
  <c r="V38" i="44"/>
  <c r="R41" i="47"/>
  <c r="AA41" i="46"/>
  <c r="Z41" i="46"/>
  <c r="Y41" i="46"/>
  <c r="AA49" i="47"/>
  <c r="Y49" i="47"/>
  <c r="X49" i="47"/>
  <c r="Z49" i="47"/>
  <c r="S52" i="44"/>
  <c r="W52" i="44" s="1"/>
  <c r="W38" i="44"/>
  <c r="R46" i="47"/>
  <c r="AA46" i="46"/>
  <c r="Z46" i="46"/>
  <c r="Y46" i="46"/>
  <c r="X46" i="46"/>
  <c r="R44" i="47"/>
  <c r="AA44" i="46"/>
  <c r="Y44" i="46"/>
  <c r="X44" i="46"/>
  <c r="Z44" i="46"/>
  <c r="AA51" i="45"/>
  <c r="X51" i="45"/>
  <c r="Z51" i="45"/>
  <c r="R40" i="46"/>
  <c r="R51" i="46" s="1"/>
  <c r="X40" i="45"/>
  <c r="AA40" i="45"/>
  <c r="Z40" i="45"/>
  <c r="Y40" i="45"/>
  <c r="AA50" i="47"/>
  <c r="Y50" i="47"/>
  <c r="Z50" i="47"/>
  <c r="X50" i="47"/>
  <c r="X37" i="46"/>
  <c r="Z37" i="46"/>
  <c r="AA37" i="46"/>
  <c r="R31" i="32"/>
  <c r="T19" i="32"/>
  <c r="U19" i="32"/>
  <c r="W19" i="32"/>
  <c r="V19" i="32"/>
  <c r="W20" i="32"/>
  <c r="T20" i="32"/>
  <c r="U20" i="32"/>
  <c r="V20" i="32"/>
  <c r="V22" i="32"/>
  <c r="W22" i="32"/>
  <c r="U22" i="32"/>
  <c r="T22" i="32"/>
  <c r="W25" i="32"/>
  <c r="U25" i="32"/>
  <c r="T25" i="32"/>
  <c r="V25" i="32"/>
  <c r="U16" i="32"/>
  <c r="W16" i="32"/>
  <c r="V16" i="32"/>
  <c r="T16" i="32"/>
  <c r="W14" i="32"/>
  <c r="T14" i="32"/>
  <c r="U14" i="32"/>
  <c r="V14" i="32"/>
  <c r="T23" i="32"/>
  <c r="P31" i="32"/>
  <c r="V23" i="32"/>
  <c r="P30" i="32"/>
  <c r="W13" i="32"/>
  <c r="U13" i="32"/>
  <c r="V13" i="32"/>
  <c r="T13" i="32"/>
  <c r="W17" i="32"/>
  <c r="U17" i="32"/>
  <c r="V17" i="32"/>
  <c r="T17" i="32"/>
  <c r="W31" i="31"/>
  <c r="V31" i="31"/>
  <c r="T31" i="31"/>
  <c r="U31" i="31"/>
  <c r="Q31" i="32"/>
  <c r="N58" i="30"/>
  <c r="M58" i="30"/>
  <c r="L58" i="30"/>
  <c r="I56" i="29"/>
  <c r="Z51" i="46" l="1"/>
  <c r="X51" i="46"/>
  <c r="AA51" i="46"/>
  <c r="U52" i="45"/>
  <c r="Z52" i="45" s="1"/>
  <c r="Z38" i="45"/>
  <c r="T51" i="45"/>
  <c r="Y51" i="45" s="1"/>
  <c r="Y37" i="45"/>
  <c r="AA46" i="47"/>
  <c r="Y46" i="47"/>
  <c r="X46" i="47"/>
  <c r="Z46" i="47"/>
  <c r="R40" i="47"/>
  <c r="X40" i="46"/>
  <c r="Z40" i="46"/>
  <c r="AA40" i="46"/>
  <c r="Y40" i="46"/>
  <c r="V52" i="45"/>
  <c r="AA52" i="45" s="1"/>
  <c r="AA38" i="45"/>
  <c r="S52" i="45"/>
  <c r="X52" i="45" s="1"/>
  <c r="X41" i="45"/>
  <c r="AA44" i="47"/>
  <c r="Y44" i="47"/>
  <c r="X44" i="47"/>
  <c r="Z44" i="47"/>
  <c r="Z41" i="47"/>
  <c r="AA41" i="47"/>
  <c r="X41" i="47"/>
  <c r="Y41" i="47"/>
  <c r="Z43" i="47"/>
  <c r="Y43" i="47"/>
  <c r="X43" i="47"/>
  <c r="AA43" i="47"/>
  <c r="Y37" i="47"/>
  <c r="X37" i="47"/>
  <c r="Z37" i="47"/>
  <c r="AA37" i="47"/>
  <c r="AA38" i="47"/>
  <c r="Z38" i="47"/>
  <c r="Y38" i="47"/>
  <c r="R52" i="47"/>
  <c r="X38" i="47"/>
  <c r="T52" i="45"/>
  <c r="Y52" i="45" s="1"/>
  <c r="Y38" i="45"/>
  <c r="F56" i="29"/>
  <c r="U58" i="29"/>
  <c r="T58" i="29"/>
  <c r="V57" i="29"/>
  <c r="U57" i="29"/>
  <c r="T57" i="29"/>
  <c r="V56" i="29"/>
  <c r="H56" i="29"/>
  <c r="G56" i="29"/>
  <c r="I55" i="29"/>
  <c r="H55" i="29"/>
  <c r="G55" i="29"/>
  <c r="F55" i="29"/>
  <c r="I53" i="29"/>
  <c r="H53" i="29"/>
  <c r="G53" i="29"/>
  <c r="F53" i="29"/>
  <c r="I52" i="29"/>
  <c r="H52" i="29"/>
  <c r="G52" i="29"/>
  <c r="F52" i="29"/>
  <c r="I50" i="29"/>
  <c r="H50" i="29"/>
  <c r="G50" i="29"/>
  <c r="F50" i="29"/>
  <c r="I49" i="29"/>
  <c r="H49" i="29"/>
  <c r="G49" i="29"/>
  <c r="F49" i="29"/>
  <c r="V47" i="29"/>
  <c r="V58" i="29" s="1"/>
  <c r="I47" i="29"/>
  <c r="H47" i="29"/>
  <c r="G47" i="29"/>
  <c r="F47" i="29"/>
  <c r="I46" i="29"/>
  <c r="H46" i="29"/>
  <c r="G46" i="29"/>
  <c r="F46" i="29"/>
  <c r="I44" i="29"/>
  <c r="H44" i="29"/>
  <c r="G44" i="29"/>
  <c r="F44" i="29"/>
  <c r="I43" i="29"/>
  <c r="H43" i="29"/>
  <c r="G43" i="29"/>
  <c r="F43" i="29"/>
  <c r="I41" i="29"/>
  <c r="H41" i="29"/>
  <c r="G41" i="29"/>
  <c r="F41" i="29"/>
  <c r="H40" i="29"/>
  <c r="G40" i="29"/>
  <c r="F40" i="29"/>
  <c r="F36" i="29"/>
  <c r="T31" i="29"/>
  <c r="I31" i="29"/>
  <c r="H31" i="29"/>
  <c r="G31" i="29"/>
  <c r="F31" i="29"/>
  <c r="U30" i="29"/>
  <c r="T30" i="29"/>
  <c r="H30" i="29"/>
  <c r="G30" i="29"/>
  <c r="F30" i="29"/>
  <c r="K30" i="29" s="1"/>
  <c r="V29" i="29"/>
  <c r="V31" i="29" s="1"/>
  <c r="U29" i="29"/>
  <c r="U31" i="29" s="1"/>
  <c r="V28" i="29"/>
  <c r="V30" i="29" s="1"/>
  <c r="L28" i="29"/>
  <c r="K28" i="29"/>
  <c r="J28" i="29"/>
  <c r="L26" i="29"/>
  <c r="K26" i="29"/>
  <c r="J26" i="29"/>
  <c r="L25" i="29"/>
  <c r="K25" i="29"/>
  <c r="J25" i="29"/>
  <c r="L23" i="29"/>
  <c r="K23" i="29"/>
  <c r="J23" i="29"/>
  <c r="L22" i="29"/>
  <c r="K22" i="29"/>
  <c r="J22" i="29"/>
  <c r="K20" i="29"/>
  <c r="J20" i="29"/>
  <c r="L19" i="29"/>
  <c r="K19" i="29"/>
  <c r="J19" i="29"/>
  <c r="L17" i="29"/>
  <c r="K17" i="29"/>
  <c r="J17" i="29"/>
  <c r="L16" i="29"/>
  <c r="K16" i="29"/>
  <c r="J16" i="29"/>
  <c r="L14" i="29"/>
  <c r="K14" i="29"/>
  <c r="J14" i="29"/>
  <c r="K13" i="29"/>
  <c r="J13" i="29"/>
  <c r="G30" i="28"/>
  <c r="S52" i="46" l="1"/>
  <c r="X52" i="46" s="1"/>
  <c r="X41" i="46"/>
  <c r="V52" i="46"/>
  <c r="AA52" i="46" s="1"/>
  <c r="AA38" i="46"/>
  <c r="AA40" i="47"/>
  <c r="Z40" i="47"/>
  <c r="X40" i="47"/>
  <c r="Y40" i="47"/>
  <c r="R51" i="47"/>
  <c r="U52" i="46"/>
  <c r="Z52" i="46" s="1"/>
  <c r="Z38" i="46"/>
  <c r="T52" i="46"/>
  <c r="Y52" i="46" s="1"/>
  <c r="Y38" i="46"/>
  <c r="AA52" i="47"/>
  <c r="Z52" i="47"/>
  <c r="Y52" i="47"/>
  <c r="X52" i="47"/>
  <c r="T51" i="46"/>
  <c r="Y51" i="46" s="1"/>
  <c r="Y37" i="46"/>
  <c r="L46" i="29"/>
  <c r="K44" i="29"/>
  <c r="K50" i="29"/>
  <c r="J52" i="29"/>
  <c r="K52" i="29"/>
  <c r="L52" i="29"/>
  <c r="L44" i="29"/>
  <c r="K55" i="29"/>
  <c r="L55" i="29"/>
  <c r="J40" i="29"/>
  <c r="K53" i="29"/>
  <c r="J46" i="29"/>
  <c r="J44" i="29"/>
  <c r="F57" i="29"/>
  <c r="J53" i="29"/>
  <c r="K49" i="29"/>
  <c r="L49" i="29"/>
  <c r="J30" i="29"/>
  <c r="I58" i="29"/>
  <c r="K47" i="29"/>
  <c r="J55" i="29"/>
  <c r="K46" i="29"/>
  <c r="H58" i="29"/>
  <c r="L50" i="29"/>
  <c r="G57" i="29"/>
  <c r="G58" i="29"/>
  <c r="K31" i="29"/>
  <c r="L43" i="29"/>
  <c r="J49" i="29"/>
  <c r="L53" i="29"/>
  <c r="H57" i="29"/>
  <c r="L56" i="29"/>
  <c r="K56" i="29"/>
  <c r="J56" i="29"/>
  <c r="F58" i="29"/>
  <c r="L31" i="29"/>
  <c r="L41" i="29"/>
  <c r="L47" i="29"/>
  <c r="L20" i="29"/>
  <c r="K40" i="29"/>
  <c r="J50" i="29"/>
  <c r="J43" i="29"/>
  <c r="J29" i="29"/>
  <c r="K43" i="29"/>
  <c r="J31" i="29"/>
  <c r="J41" i="29"/>
  <c r="J47" i="29"/>
  <c r="K29" i="29"/>
  <c r="L29" i="29"/>
  <c r="K41" i="29"/>
  <c r="F20" i="28"/>
  <c r="U58" i="28"/>
  <c r="T58" i="28"/>
  <c r="V57" i="28"/>
  <c r="U57" i="28"/>
  <c r="T57" i="28"/>
  <c r="T31" i="28"/>
  <c r="I31" i="28"/>
  <c r="H31" i="28"/>
  <c r="G31" i="28"/>
  <c r="F31" i="28"/>
  <c r="U30" i="28"/>
  <c r="T30" i="28"/>
  <c r="I30" i="28"/>
  <c r="H30" i="28"/>
  <c r="F30" i="28"/>
  <c r="U58" i="27"/>
  <c r="T58" i="27"/>
  <c r="V57" i="27"/>
  <c r="U57" i="27"/>
  <c r="T57" i="27"/>
  <c r="T31" i="27"/>
  <c r="I31" i="27"/>
  <c r="H31" i="27"/>
  <c r="G31" i="27"/>
  <c r="U30" i="27"/>
  <c r="T30" i="27"/>
  <c r="I30" i="27"/>
  <c r="H30" i="27"/>
  <c r="G30" i="27"/>
  <c r="F30" i="27"/>
  <c r="AA51" i="47" l="1"/>
  <c r="Y51" i="47"/>
  <c r="Z51" i="47"/>
  <c r="X51" i="47"/>
  <c r="K57" i="29"/>
  <c r="J57" i="29"/>
  <c r="L58" i="29"/>
  <c r="K58" i="29"/>
  <c r="J58" i="29"/>
  <c r="V56" i="28"/>
  <c r="I56" i="28"/>
  <c r="H56" i="28"/>
  <c r="G56" i="28"/>
  <c r="F56" i="28"/>
  <c r="I55" i="28"/>
  <c r="H55" i="28"/>
  <c r="G55" i="28"/>
  <c r="F55" i="28"/>
  <c r="I53" i="28"/>
  <c r="H53" i="28"/>
  <c r="G53" i="28"/>
  <c r="F53" i="28"/>
  <c r="I52" i="28"/>
  <c r="H52" i="28"/>
  <c r="G52" i="28"/>
  <c r="F52" i="28"/>
  <c r="I50" i="28"/>
  <c r="H50" i="28"/>
  <c r="G50" i="28"/>
  <c r="F50" i="28"/>
  <c r="I49" i="28"/>
  <c r="H49" i="28"/>
  <c r="G49" i="28"/>
  <c r="F49" i="28"/>
  <c r="V47" i="28"/>
  <c r="I47" i="28"/>
  <c r="H47" i="28"/>
  <c r="G47" i="28"/>
  <c r="I46" i="28"/>
  <c r="H46" i="28"/>
  <c r="G46" i="28"/>
  <c r="F46" i="28"/>
  <c r="I44" i="28"/>
  <c r="H44" i="28"/>
  <c r="G44" i="28"/>
  <c r="F44" i="28"/>
  <c r="I43" i="28"/>
  <c r="H43" i="28"/>
  <c r="G43" i="28"/>
  <c r="F43" i="28"/>
  <c r="I41" i="28"/>
  <c r="H41" i="28"/>
  <c r="G41" i="28"/>
  <c r="F41" i="28"/>
  <c r="I40" i="28"/>
  <c r="I57" i="28" s="1"/>
  <c r="H40" i="28"/>
  <c r="H57" i="28" s="1"/>
  <c r="G40" i="28"/>
  <c r="F40" i="28"/>
  <c r="F57" i="28" s="1"/>
  <c r="F36" i="28"/>
  <c r="V29" i="28"/>
  <c r="V31" i="28" s="1"/>
  <c r="U29" i="28"/>
  <c r="U31" i="28" s="1"/>
  <c r="L29" i="28"/>
  <c r="K29" i="28"/>
  <c r="V28" i="28"/>
  <c r="V30" i="28" s="1"/>
  <c r="L28" i="28"/>
  <c r="K28" i="28"/>
  <c r="J28" i="28"/>
  <c r="L26" i="28"/>
  <c r="K26" i="28"/>
  <c r="J26" i="28"/>
  <c r="L25" i="28"/>
  <c r="K25" i="28"/>
  <c r="J25" i="28"/>
  <c r="L23" i="28"/>
  <c r="K23" i="28"/>
  <c r="J23" i="28"/>
  <c r="L22" i="28"/>
  <c r="K22" i="28"/>
  <c r="J22" i="28"/>
  <c r="L20" i="28"/>
  <c r="K20" i="28"/>
  <c r="J20" i="28"/>
  <c r="F47" i="28"/>
  <c r="L19" i="28"/>
  <c r="K19" i="28"/>
  <c r="J19" i="28"/>
  <c r="L17" i="28"/>
  <c r="K17" i="28"/>
  <c r="J17" i="28"/>
  <c r="L16" i="28"/>
  <c r="K16" i="28"/>
  <c r="J16" i="28"/>
  <c r="L14" i="28"/>
  <c r="K14" i="28"/>
  <c r="J14" i="28"/>
  <c r="L13" i="28"/>
  <c r="K13" i="28"/>
  <c r="J13" i="28"/>
  <c r="F56" i="27"/>
  <c r="F26" i="19"/>
  <c r="F26" i="20"/>
  <c r="F29" i="22"/>
  <c r="F20" i="22"/>
  <c r="F20" i="27"/>
  <c r="F31" i="27" s="1"/>
  <c r="V56" i="27"/>
  <c r="I56" i="27"/>
  <c r="H56" i="27"/>
  <c r="G56" i="27"/>
  <c r="I55" i="27"/>
  <c r="H55" i="27"/>
  <c r="G55" i="27"/>
  <c r="F55" i="27"/>
  <c r="I53" i="27"/>
  <c r="H53" i="27"/>
  <c r="G53" i="27"/>
  <c r="F53" i="27"/>
  <c r="I52" i="27"/>
  <c r="H52" i="27"/>
  <c r="H57" i="27" s="1"/>
  <c r="G52" i="27"/>
  <c r="F52" i="27"/>
  <c r="I50" i="27"/>
  <c r="G50" i="27"/>
  <c r="F50" i="27"/>
  <c r="L50" i="27" s="1"/>
  <c r="I49" i="27"/>
  <c r="G49" i="27"/>
  <c r="F49" i="27"/>
  <c r="V47" i="27"/>
  <c r="I47" i="27"/>
  <c r="G47" i="27"/>
  <c r="I46" i="27"/>
  <c r="G46" i="27"/>
  <c r="F46" i="27"/>
  <c r="I44" i="27"/>
  <c r="G44" i="27"/>
  <c r="F44" i="27"/>
  <c r="I43" i="27"/>
  <c r="G43" i="27"/>
  <c r="F43" i="27"/>
  <c r="I41" i="27"/>
  <c r="G41" i="27"/>
  <c r="F41" i="27"/>
  <c r="I40" i="27"/>
  <c r="G40" i="27"/>
  <c r="F40" i="27"/>
  <c r="F36" i="27"/>
  <c r="V29" i="27"/>
  <c r="V31" i="27" s="1"/>
  <c r="U29" i="27"/>
  <c r="U31" i="27" s="1"/>
  <c r="V28" i="27"/>
  <c r="V30" i="27" s="1"/>
  <c r="L28" i="27"/>
  <c r="K28" i="27"/>
  <c r="J28" i="27"/>
  <c r="L26" i="27"/>
  <c r="K26" i="27"/>
  <c r="J26" i="27"/>
  <c r="L25" i="27"/>
  <c r="K25" i="27"/>
  <c r="J25" i="27"/>
  <c r="L23" i="27"/>
  <c r="K23" i="27"/>
  <c r="J23" i="27"/>
  <c r="L22" i="27"/>
  <c r="K22" i="27"/>
  <c r="J22" i="27"/>
  <c r="L19" i="27"/>
  <c r="K19" i="27"/>
  <c r="J19" i="27"/>
  <c r="L17" i="27"/>
  <c r="K17" i="27"/>
  <c r="J17" i="27"/>
  <c r="L16" i="27"/>
  <c r="K16" i="27"/>
  <c r="J16" i="27"/>
  <c r="L14" i="27"/>
  <c r="K14" i="27"/>
  <c r="J14" i="27"/>
  <c r="L13" i="27"/>
  <c r="K13" i="27"/>
  <c r="J13" i="27"/>
  <c r="F20" i="26"/>
  <c r="F29" i="26"/>
  <c r="I58" i="28" l="1"/>
  <c r="V58" i="28"/>
  <c r="H58" i="27"/>
  <c r="G57" i="27"/>
  <c r="V58" i="27"/>
  <c r="I57" i="27"/>
  <c r="G58" i="27"/>
  <c r="I58" i="27"/>
  <c r="L46" i="27"/>
  <c r="F57" i="27"/>
  <c r="F58" i="28"/>
  <c r="G57" i="28"/>
  <c r="G58" i="28"/>
  <c r="H58" i="28"/>
  <c r="L43" i="28"/>
  <c r="K46" i="28"/>
  <c r="K49" i="28"/>
  <c r="K52" i="28"/>
  <c r="J49" i="27"/>
  <c r="J44" i="27"/>
  <c r="J20" i="27"/>
  <c r="J55" i="27"/>
  <c r="K53" i="27"/>
  <c r="K44" i="27"/>
  <c r="L43" i="27"/>
  <c r="L52" i="27"/>
  <c r="K30" i="27"/>
  <c r="K41" i="27"/>
  <c r="L55" i="28"/>
  <c r="L53" i="28"/>
  <c r="L56" i="28"/>
  <c r="L30" i="28"/>
  <c r="J40" i="28"/>
  <c r="J41" i="28"/>
  <c r="L44" i="28"/>
  <c r="J46" i="28"/>
  <c r="J53" i="28"/>
  <c r="K53" i="28"/>
  <c r="L46" i="28"/>
  <c r="K41" i="28"/>
  <c r="K44" i="28"/>
  <c r="L49" i="28"/>
  <c r="L52" i="28"/>
  <c r="K55" i="28"/>
  <c r="L41" i="28"/>
  <c r="L50" i="28"/>
  <c r="K30" i="28"/>
  <c r="K40" i="28"/>
  <c r="J47" i="28"/>
  <c r="L47" i="28"/>
  <c r="K47" i="28"/>
  <c r="J52" i="28"/>
  <c r="L40" i="28"/>
  <c r="J44" i="28"/>
  <c r="J50" i="28"/>
  <c r="J56" i="28"/>
  <c r="J43" i="28"/>
  <c r="K50" i="28"/>
  <c r="K56" i="28"/>
  <c r="J29" i="28"/>
  <c r="J30" i="28"/>
  <c r="K43" i="28"/>
  <c r="J49" i="28"/>
  <c r="J55" i="28"/>
  <c r="K29" i="27"/>
  <c r="L56" i="27"/>
  <c r="J29" i="27"/>
  <c r="L29" i="27"/>
  <c r="J53" i="27"/>
  <c r="J30" i="27"/>
  <c r="L30" i="27"/>
  <c r="L44" i="27"/>
  <c r="L55" i="27"/>
  <c r="K40" i="27"/>
  <c r="K46" i="27"/>
  <c r="L53" i="27"/>
  <c r="J46" i="27"/>
  <c r="L49" i="27"/>
  <c r="J40" i="27"/>
  <c r="K56" i="27"/>
  <c r="K50" i="27"/>
  <c r="K55" i="27"/>
  <c r="L41" i="27"/>
  <c r="J41" i="27"/>
  <c r="K49" i="27"/>
  <c r="K20" i="27"/>
  <c r="J52" i="27"/>
  <c r="L20" i="27"/>
  <c r="L40" i="27"/>
  <c r="F47" i="27"/>
  <c r="F58" i="27" s="1"/>
  <c r="K52" i="27"/>
  <c r="J50" i="27"/>
  <c r="J56" i="27"/>
  <c r="J43" i="27"/>
  <c r="K43" i="27"/>
  <c r="U58" i="26"/>
  <c r="T58" i="26"/>
  <c r="V57" i="26"/>
  <c r="U57" i="26"/>
  <c r="T57" i="26"/>
  <c r="V56" i="26"/>
  <c r="H56" i="26"/>
  <c r="G56" i="26"/>
  <c r="I55" i="26"/>
  <c r="H55" i="26"/>
  <c r="G55" i="26"/>
  <c r="F55" i="26"/>
  <c r="I53" i="26"/>
  <c r="H53" i="26"/>
  <c r="G53" i="26"/>
  <c r="F53" i="26"/>
  <c r="I52" i="26"/>
  <c r="H52" i="26"/>
  <c r="G52" i="26"/>
  <c r="F52" i="26"/>
  <c r="I50" i="26"/>
  <c r="H50" i="26"/>
  <c r="G50" i="26"/>
  <c r="F50" i="26"/>
  <c r="I49" i="26"/>
  <c r="H49" i="26"/>
  <c r="G49" i="26"/>
  <c r="F49" i="26"/>
  <c r="V47" i="26"/>
  <c r="H47" i="26"/>
  <c r="G47" i="26"/>
  <c r="I46" i="26"/>
  <c r="H46" i="26"/>
  <c r="G46" i="26"/>
  <c r="F46" i="26"/>
  <c r="I44" i="26"/>
  <c r="H44" i="26"/>
  <c r="G44" i="26"/>
  <c r="F44" i="26"/>
  <c r="I43" i="26"/>
  <c r="H43" i="26"/>
  <c r="G43" i="26"/>
  <c r="F43" i="26"/>
  <c r="I41" i="26"/>
  <c r="H41" i="26"/>
  <c r="G41" i="26"/>
  <c r="F41" i="26"/>
  <c r="I40" i="26"/>
  <c r="H40" i="26"/>
  <c r="G40" i="26"/>
  <c r="F40" i="26"/>
  <c r="F36" i="26"/>
  <c r="T31" i="26"/>
  <c r="H31" i="26"/>
  <c r="G31" i="26"/>
  <c r="U30" i="26"/>
  <c r="T30" i="26"/>
  <c r="I30" i="26"/>
  <c r="H30" i="26"/>
  <c r="G30" i="26"/>
  <c r="F30" i="26"/>
  <c r="V29" i="26"/>
  <c r="V31" i="26" s="1"/>
  <c r="U29" i="26"/>
  <c r="U31" i="26" s="1"/>
  <c r="K29" i="26"/>
  <c r="J29" i="26"/>
  <c r="I56" i="26"/>
  <c r="F56" i="26"/>
  <c r="V28" i="26"/>
  <c r="V30" i="26" s="1"/>
  <c r="L28" i="26"/>
  <c r="K28" i="26"/>
  <c r="J28" i="26"/>
  <c r="L26" i="26"/>
  <c r="K26" i="26"/>
  <c r="J26" i="26"/>
  <c r="L25" i="26"/>
  <c r="K25" i="26"/>
  <c r="J25" i="26"/>
  <c r="L23" i="26"/>
  <c r="K23" i="26"/>
  <c r="J23" i="26"/>
  <c r="L22" i="26"/>
  <c r="K22" i="26"/>
  <c r="J22" i="26"/>
  <c r="L20" i="26"/>
  <c r="J20" i="26"/>
  <c r="I47" i="26"/>
  <c r="K20" i="26"/>
  <c r="L19" i="26"/>
  <c r="K19" i="26"/>
  <c r="J19" i="26"/>
  <c r="L17" i="26"/>
  <c r="K17" i="26"/>
  <c r="J17" i="26"/>
  <c r="L16" i="26"/>
  <c r="K16" i="26"/>
  <c r="J16" i="26"/>
  <c r="L14" i="26"/>
  <c r="K14" i="26"/>
  <c r="J14" i="26"/>
  <c r="L13" i="26"/>
  <c r="K13" i="26"/>
  <c r="J13" i="26"/>
  <c r="V58" i="26" l="1"/>
  <c r="L57" i="27"/>
  <c r="G57" i="26"/>
  <c r="L46" i="26"/>
  <c r="J57" i="28"/>
  <c r="L57" i="28"/>
  <c r="K57" i="28"/>
  <c r="L58" i="28"/>
  <c r="K58" i="28"/>
  <c r="J58" i="28"/>
  <c r="J31" i="28"/>
  <c r="L31" i="28"/>
  <c r="K31" i="28"/>
  <c r="J57" i="27"/>
  <c r="K57" i="27"/>
  <c r="K31" i="27"/>
  <c r="J31" i="27"/>
  <c r="L31" i="27"/>
  <c r="K47" i="27"/>
  <c r="J47" i="27"/>
  <c r="L47" i="27"/>
  <c r="L50" i="26"/>
  <c r="J50" i="26"/>
  <c r="L49" i="26"/>
  <c r="L41" i="26"/>
  <c r="L44" i="26"/>
  <c r="J53" i="26"/>
  <c r="L53" i="26"/>
  <c r="K53" i="26"/>
  <c r="J49" i="26"/>
  <c r="K49" i="26"/>
  <c r="J30" i="26"/>
  <c r="H57" i="26"/>
  <c r="H58" i="26"/>
  <c r="L40" i="26"/>
  <c r="L55" i="26"/>
  <c r="K40" i="26"/>
  <c r="I58" i="26"/>
  <c r="K46" i="26"/>
  <c r="K50" i="26"/>
  <c r="L30" i="26"/>
  <c r="I57" i="26"/>
  <c r="J41" i="26"/>
  <c r="J40" i="26"/>
  <c r="J46" i="26"/>
  <c r="F57" i="26"/>
  <c r="J55" i="26"/>
  <c r="L52" i="26"/>
  <c r="K55" i="26"/>
  <c r="K30" i="26"/>
  <c r="L56" i="26"/>
  <c r="K56" i="26"/>
  <c r="J56" i="26"/>
  <c r="G58" i="26"/>
  <c r="J52" i="26"/>
  <c r="F31" i="26"/>
  <c r="J44" i="26"/>
  <c r="F47" i="26"/>
  <c r="K52" i="26"/>
  <c r="K44" i="26"/>
  <c r="J43" i="26"/>
  <c r="I31" i="26"/>
  <c r="K43" i="26"/>
  <c r="L43" i="26"/>
  <c r="L29" i="26"/>
  <c r="K41" i="26"/>
  <c r="F36" i="22"/>
  <c r="I29" i="22"/>
  <c r="K29" i="22"/>
  <c r="F47" i="22"/>
  <c r="I20" i="22"/>
  <c r="F29" i="21"/>
  <c r="F20" i="21"/>
  <c r="I20" i="21"/>
  <c r="I29" i="21"/>
  <c r="F36" i="21"/>
  <c r="U58" i="22"/>
  <c r="T58" i="22"/>
  <c r="V57" i="22"/>
  <c r="U57" i="22"/>
  <c r="T57" i="22"/>
  <c r="V56" i="22"/>
  <c r="H56" i="22"/>
  <c r="G56" i="22"/>
  <c r="I55" i="22"/>
  <c r="H55" i="22"/>
  <c r="G55" i="22"/>
  <c r="F55" i="22"/>
  <c r="I53" i="22"/>
  <c r="H53" i="22"/>
  <c r="G53" i="22"/>
  <c r="F53" i="22"/>
  <c r="I52" i="22"/>
  <c r="H52" i="22"/>
  <c r="G52" i="22"/>
  <c r="F52" i="22"/>
  <c r="I50" i="22"/>
  <c r="H50" i="22"/>
  <c r="G50" i="22"/>
  <c r="F50" i="22"/>
  <c r="I49" i="22"/>
  <c r="H49" i="22"/>
  <c r="G49" i="22"/>
  <c r="F49" i="22"/>
  <c r="V47" i="22"/>
  <c r="H47" i="22"/>
  <c r="G47" i="22"/>
  <c r="I46" i="22"/>
  <c r="H46" i="22"/>
  <c r="G46" i="22"/>
  <c r="F46" i="22"/>
  <c r="I44" i="22"/>
  <c r="H44" i="22"/>
  <c r="G44" i="22"/>
  <c r="F44" i="22"/>
  <c r="I43" i="22"/>
  <c r="H43" i="22"/>
  <c r="G43" i="22"/>
  <c r="F43" i="22"/>
  <c r="I41" i="22"/>
  <c r="H41" i="22"/>
  <c r="G41" i="22"/>
  <c r="F41" i="22"/>
  <c r="I40" i="22"/>
  <c r="H40" i="22"/>
  <c r="G40" i="22"/>
  <c r="F40" i="22"/>
  <c r="T31" i="22"/>
  <c r="H31" i="22"/>
  <c r="G31" i="22"/>
  <c r="U30" i="22"/>
  <c r="T30" i="22"/>
  <c r="I30" i="22"/>
  <c r="H30" i="22"/>
  <c r="G30" i="22"/>
  <c r="F30" i="22"/>
  <c r="V29" i="22"/>
  <c r="V31" i="22" s="1"/>
  <c r="U29" i="22"/>
  <c r="U31" i="22" s="1"/>
  <c r="V28" i="22"/>
  <c r="V30" i="22" s="1"/>
  <c r="L28" i="22"/>
  <c r="K28" i="22"/>
  <c r="J28" i="22"/>
  <c r="L26" i="22"/>
  <c r="K26" i="22"/>
  <c r="J26" i="22"/>
  <c r="L25" i="22"/>
  <c r="K25" i="22"/>
  <c r="J25" i="22"/>
  <c r="L23" i="22"/>
  <c r="K23" i="22"/>
  <c r="J23" i="22"/>
  <c r="L22" i="22"/>
  <c r="K22" i="22"/>
  <c r="J22" i="22"/>
  <c r="L19" i="22"/>
  <c r="K19" i="22"/>
  <c r="J19" i="22"/>
  <c r="L17" i="22"/>
  <c r="K17" i="22"/>
  <c r="J17" i="22"/>
  <c r="L16" i="22"/>
  <c r="K16" i="22"/>
  <c r="J16" i="22"/>
  <c r="L14" i="22"/>
  <c r="K14" i="22"/>
  <c r="J14" i="22"/>
  <c r="L13" i="22"/>
  <c r="K13" i="22"/>
  <c r="J13" i="22"/>
  <c r="V58" i="22" l="1"/>
  <c r="K49" i="22"/>
  <c r="K40" i="22"/>
  <c r="L58" i="27"/>
  <c r="K58" i="27"/>
  <c r="J58" i="27"/>
  <c r="L57" i="26"/>
  <c r="J57" i="26"/>
  <c r="K57" i="26"/>
  <c r="K47" i="26"/>
  <c r="J47" i="26"/>
  <c r="L47" i="26"/>
  <c r="K31" i="26"/>
  <c r="J31" i="26"/>
  <c r="L31" i="26"/>
  <c r="F58" i="26"/>
  <c r="K43" i="22"/>
  <c r="J41" i="22"/>
  <c r="L49" i="22"/>
  <c r="F56" i="22"/>
  <c r="K56" i="22" s="1"/>
  <c r="I31" i="22"/>
  <c r="L55" i="22"/>
  <c r="J29" i="22"/>
  <c r="K55" i="22"/>
  <c r="K53" i="22"/>
  <c r="J53" i="22"/>
  <c r="L50" i="22"/>
  <c r="J49" i="22"/>
  <c r="L46" i="22"/>
  <c r="J46" i="22"/>
  <c r="K46" i="22"/>
  <c r="L43" i="22"/>
  <c r="H58" i="22"/>
  <c r="L30" i="22"/>
  <c r="K30" i="22"/>
  <c r="I47" i="22"/>
  <c r="L47" i="22" s="1"/>
  <c r="G57" i="22"/>
  <c r="H57" i="22"/>
  <c r="K52" i="22"/>
  <c r="J55" i="22"/>
  <c r="L53" i="22"/>
  <c r="L40" i="22"/>
  <c r="K41" i="22"/>
  <c r="J43" i="22"/>
  <c r="L44" i="22"/>
  <c r="K50" i="22"/>
  <c r="G58" i="22"/>
  <c r="J30" i="22"/>
  <c r="K47" i="22"/>
  <c r="J47" i="22"/>
  <c r="K20" i="22"/>
  <c r="L29" i="22"/>
  <c r="J40" i="22"/>
  <c r="L41" i="22"/>
  <c r="L20" i="22"/>
  <c r="J52" i="22"/>
  <c r="I57" i="22"/>
  <c r="J20" i="22"/>
  <c r="J44" i="22"/>
  <c r="F57" i="22"/>
  <c r="F31" i="22"/>
  <c r="K44" i="22"/>
  <c r="J50" i="22"/>
  <c r="L52" i="22"/>
  <c r="I56" i="22"/>
  <c r="V56" i="21"/>
  <c r="V47" i="21"/>
  <c r="F58" i="22" l="1"/>
  <c r="L56" i="22"/>
  <c r="J56" i="22"/>
  <c r="L58" i="26"/>
  <c r="K58" i="26"/>
  <c r="J58" i="26"/>
  <c r="I58" i="22"/>
  <c r="L58" i="22" s="1"/>
  <c r="J31" i="22"/>
  <c r="L31" i="22"/>
  <c r="K31" i="22"/>
  <c r="L57" i="22"/>
  <c r="J57" i="22"/>
  <c r="K57" i="22"/>
  <c r="K58" i="22"/>
  <c r="J58" i="22"/>
  <c r="H56" i="21"/>
  <c r="G56" i="21"/>
  <c r="I55" i="21"/>
  <c r="H55" i="21"/>
  <c r="G55" i="21"/>
  <c r="F55" i="21"/>
  <c r="I53" i="21"/>
  <c r="H53" i="21"/>
  <c r="G53" i="21"/>
  <c r="F53" i="21"/>
  <c r="I52" i="21"/>
  <c r="H52" i="21"/>
  <c r="G52" i="21"/>
  <c r="F52" i="21"/>
  <c r="I50" i="21"/>
  <c r="H50" i="21"/>
  <c r="G50" i="21"/>
  <c r="F50" i="21"/>
  <c r="I49" i="21"/>
  <c r="H49" i="21"/>
  <c r="G49" i="21"/>
  <c r="F49" i="21"/>
  <c r="H47" i="21"/>
  <c r="G47" i="21"/>
  <c r="I46" i="21"/>
  <c r="H46" i="21"/>
  <c r="G46" i="21"/>
  <c r="F46" i="21"/>
  <c r="I44" i="21"/>
  <c r="H44" i="21"/>
  <c r="G44" i="21"/>
  <c r="F44" i="21"/>
  <c r="I43" i="21"/>
  <c r="H43" i="21"/>
  <c r="G43" i="21"/>
  <c r="F43" i="21"/>
  <c r="I41" i="21"/>
  <c r="H41" i="21"/>
  <c r="G41" i="21"/>
  <c r="F41" i="21"/>
  <c r="I40" i="21"/>
  <c r="H40" i="21"/>
  <c r="G40" i="21"/>
  <c r="F40" i="21"/>
  <c r="U58" i="21"/>
  <c r="T58" i="21"/>
  <c r="U57" i="21"/>
  <c r="T57" i="21"/>
  <c r="V58" i="21"/>
  <c r="V57" i="21"/>
  <c r="I56" i="21"/>
  <c r="I47" i="21"/>
  <c r="F56" i="21"/>
  <c r="F47" i="21"/>
  <c r="L46" i="21" l="1"/>
  <c r="L50" i="21"/>
  <c r="J52" i="21"/>
  <c r="K49" i="21"/>
  <c r="H58" i="21"/>
  <c r="J49" i="21"/>
  <c r="J55" i="21"/>
  <c r="K55" i="21"/>
  <c r="L52" i="21"/>
  <c r="K46" i="21"/>
  <c r="L43" i="21"/>
  <c r="L56" i="21"/>
  <c r="G57" i="21"/>
  <c r="F57" i="21"/>
  <c r="J57" i="21" s="1"/>
  <c r="K52" i="21"/>
  <c r="L55" i="21"/>
  <c r="L41" i="21"/>
  <c r="I57" i="21"/>
  <c r="K43" i="21"/>
  <c r="J46" i="21"/>
  <c r="J50" i="21"/>
  <c r="J44" i="21"/>
  <c r="J53" i="21"/>
  <c r="J41" i="21"/>
  <c r="K50" i="21"/>
  <c r="K44" i="21"/>
  <c r="K53" i="21"/>
  <c r="K41" i="21"/>
  <c r="L44" i="21"/>
  <c r="L53" i="21"/>
  <c r="H57" i="21"/>
  <c r="L49" i="21"/>
  <c r="J43" i="21"/>
  <c r="G58" i="21"/>
  <c r="I58" i="21"/>
  <c r="K40" i="21"/>
  <c r="J40" i="21"/>
  <c r="L40" i="21"/>
  <c r="L47" i="21"/>
  <c r="J56" i="21"/>
  <c r="K56" i="21"/>
  <c r="F58" i="21"/>
  <c r="J47" i="21"/>
  <c r="K47" i="21"/>
  <c r="L57" i="21" l="1"/>
  <c r="K57" i="21"/>
  <c r="L58" i="21"/>
  <c r="K58" i="21"/>
  <c r="J58" i="21"/>
  <c r="T30" i="21" l="1"/>
  <c r="T31" i="21"/>
  <c r="H31" i="21"/>
  <c r="G31" i="21"/>
  <c r="U30" i="21"/>
  <c r="I30" i="21"/>
  <c r="H30" i="21"/>
  <c r="G30" i="21"/>
  <c r="F30" i="21"/>
  <c r="V29" i="21"/>
  <c r="V31" i="21" s="1"/>
  <c r="U29" i="21"/>
  <c r="U31" i="21" s="1"/>
  <c r="V28" i="21"/>
  <c r="V30" i="21" s="1"/>
  <c r="L28" i="21"/>
  <c r="K28" i="21"/>
  <c r="J28" i="21"/>
  <c r="L26" i="21"/>
  <c r="K26" i="21"/>
  <c r="J26" i="21"/>
  <c r="L25" i="21"/>
  <c r="K25" i="21"/>
  <c r="J25" i="21"/>
  <c r="L23" i="21"/>
  <c r="K23" i="21"/>
  <c r="J23" i="21"/>
  <c r="L22" i="21"/>
  <c r="K22" i="21"/>
  <c r="J22" i="21"/>
  <c r="I31" i="21"/>
  <c r="F31" i="21"/>
  <c r="L19" i="21"/>
  <c r="K19" i="21"/>
  <c r="J19" i="21"/>
  <c r="L17" i="21"/>
  <c r="K17" i="21"/>
  <c r="J17" i="21"/>
  <c r="L16" i="21"/>
  <c r="K16" i="21"/>
  <c r="J16" i="21"/>
  <c r="L14" i="21"/>
  <c r="K14" i="21"/>
  <c r="J14" i="21"/>
  <c r="L13" i="21"/>
  <c r="K13" i="21"/>
  <c r="J13" i="21"/>
  <c r="I26" i="20"/>
  <c r="I17" i="20"/>
  <c r="F17" i="20"/>
  <c r="K31" i="21" l="1"/>
  <c r="L29" i="21"/>
  <c r="K30" i="21"/>
  <c r="J20" i="21"/>
  <c r="K20" i="21"/>
  <c r="L30" i="21"/>
  <c r="L20" i="21"/>
  <c r="L31" i="21"/>
  <c r="J29" i="21"/>
  <c r="J30" i="21"/>
  <c r="K29" i="21"/>
  <c r="J31" i="21"/>
  <c r="T28" i="20"/>
  <c r="I28" i="20"/>
  <c r="H28" i="20"/>
  <c r="G28" i="20"/>
  <c r="F28" i="20"/>
  <c r="U27" i="20"/>
  <c r="T27" i="20"/>
  <c r="I27" i="20"/>
  <c r="H27" i="20"/>
  <c r="G27" i="20"/>
  <c r="F27" i="20"/>
  <c r="V26" i="20"/>
  <c r="V28" i="20" s="1"/>
  <c r="U26" i="20"/>
  <c r="U28" i="20" s="1"/>
  <c r="L26" i="20"/>
  <c r="K26" i="20"/>
  <c r="J26" i="20"/>
  <c r="V25" i="20"/>
  <c r="V27" i="20" s="1"/>
  <c r="L25" i="20"/>
  <c r="K25" i="20"/>
  <c r="J25" i="20"/>
  <c r="L23" i="20"/>
  <c r="K23" i="20"/>
  <c r="J23" i="20"/>
  <c r="L22" i="20"/>
  <c r="K22" i="20"/>
  <c r="J22" i="20"/>
  <c r="L20" i="20"/>
  <c r="K20" i="20"/>
  <c r="J20" i="20"/>
  <c r="L19" i="20"/>
  <c r="K19" i="20"/>
  <c r="J19" i="20"/>
  <c r="L17" i="20"/>
  <c r="K17" i="20"/>
  <c r="J17" i="20"/>
  <c r="L16" i="20"/>
  <c r="K16" i="20"/>
  <c r="J16" i="20"/>
  <c r="L14" i="20"/>
  <c r="K14" i="20"/>
  <c r="J14" i="20"/>
  <c r="L13" i="20"/>
  <c r="K13" i="20"/>
  <c r="J13" i="20"/>
  <c r="L11" i="20"/>
  <c r="K11" i="20"/>
  <c r="J11" i="20"/>
  <c r="L10" i="20"/>
  <c r="K10" i="20"/>
  <c r="J10" i="20"/>
  <c r="K28" i="14"/>
  <c r="L27" i="14"/>
  <c r="K27" i="14"/>
  <c r="F26" i="18"/>
  <c r="M26" i="17"/>
  <c r="F26" i="17"/>
  <c r="J27" i="20" l="1"/>
  <c r="L27" i="20"/>
  <c r="J28" i="20"/>
  <c r="L28" i="20"/>
  <c r="K27" i="20"/>
  <c r="K28" i="20"/>
  <c r="J26" i="19"/>
  <c r="T28" i="19"/>
  <c r="H28" i="19"/>
  <c r="G28" i="19"/>
  <c r="U27" i="19"/>
  <c r="T27" i="19"/>
  <c r="I27" i="19"/>
  <c r="H27" i="19"/>
  <c r="G27" i="19"/>
  <c r="F27" i="19"/>
  <c r="V26" i="19"/>
  <c r="V28" i="19" s="1"/>
  <c r="U26" i="19"/>
  <c r="U28" i="19" s="1"/>
  <c r="V25" i="19"/>
  <c r="V27" i="19" s="1"/>
  <c r="L25" i="19"/>
  <c r="K25" i="19"/>
  <c r="J25" i="19"/>
  <c r="L23" i="19"/>
  <c r="K23" i="19"/>
  <c r="J23" i="19"/>
  <c r="L22" i="19"/>
  <c r="K22" i="19"/>
  <c r="J22" i="19"/>
  <c r="L20" i="19"/>
  <c r="K20" i="19"/>
  <c r="J20" i="19"/>
  <c r="L19" i="19"/>
  <c r="K19" i="19"/>
  <c r="J19" i="19"/>
  <c r="L17" i="19"/>
  <c r="K17" i="19"/>
  <c r="L16" i="19"/>
  <c r="K16" i="19"/>
  <c r="J16" i="19"/>
  <c r="L14" i="19"/>
  <c r="K14" i="19"/>
  <c r="J14" i="19"/>
  <c r="L13" i="19"/>
  <c r="K13" i="19"/>
  <c r="J13" i="19"/>
  <c r="L11" i="19"/>
  <c r="K11" i="19"/>
  <c r="J11" i="19"/>
  <c r="L10" i="19"/>
  <c r="K10" i="19"/>
  <c r="J10" i="19"/>
  <c r="P26" i="18"/>
  <c r="P26" i="19" s="1"/>
  <c r="P26" i="20" s="1"/>
  <c r="P29" i="21" s="1"/>
  <c r="O26" i="18"/>
  <c r="O26" i="19" s="1"/>
  <c r="O26" i="20" s="1"/>
  <c r="O29" i="21" s="1"/>
  <c r="N26" i="18"/>
  <c r="N26" i="19" s="1"/>
  <c r="N26" i="20" s="1"/>
  <c r="N29" i="21" s="1"/>
  <c r="M26" i="18"/>
  <c r="P25" i="18"/>
  <c r="P25" i="19" s="1"/>
  <c r="P25" i="20" s="1"/>
  <c r="P28" i="21" s="1"/>
  <c r="O25" i="18"/>
  <c r="O25" i="19" s="1"/>
  <c r="O25" i="20" s="1"/>
  <c r="O28" i="21" s="1"/>
  <c r="N25" i="18"/>
  <c r="N25" i="19" s="1"/>
  <c r="N25" i="20" s="1"/>
  <c r="N28" i="21" s="1"/>
  <c r="M25" i="18"/>
  <c r="P23" i="18"/>
  <c r="P23" i="19" s="1"/>
  <c r="O23" i="18"/>
  <c r="O23" i="19" s="1"/>
  <c r="O23" i="20" s="1"/>
  <c r="O26" i="21" s="1"/>
  <c r="N23" i="18"/>
  <c r="N23" i="19" s="1"/>
  <c r="M23" i="18"/>
  <c r="M23" i="19" s="1"/>
  <c r="M23" i="20" s="1"/>
  <c r="P22" i="18"/>
  <c r="P22" i="19" s="1"/>
  <c r="P22" i="20" s="1"/>
  <c r="P25" i="21" s="1"/>
  <c r="O22" i="18"/>
  <c r="O22" i="19" s="1"/>
  <c r="O22" i="20" s="1"/>
  <c r="O25" i="21" s="1"/>
  <c r="N22" i="18"/>
  <c r="N22" i="19" s="1"/>
  <c r="N22" i="20" s="1"/>
  <c r="N25" i="21" s="1"/>
  <c r="M22" i="18"/>
  <c r="P20" i="18"/>
  <c r="P20" i="19" s="1"/>
  <c r="P20" i="20" s="1"/>
  <c r="P23" i="21" s="1"/>
  <c r="O20" i="18"/>
  <c r="O20" i="19" s="1"/>
  <c r="O20" i="20" s="1"/>
  <c r="O23" i="21" s="1"/>
  <c r="N20" i="18"/>
  <c r="N20" i="19" s="1"/>
  <c r="N20" i="20" s="1"/>
  <c r="N23" i="21" s="1"/>
  <c r="M20" i="18"/>
  <c r="M20" i="19" s="1"/>
  <c r="M20" i="20" s="1"/>
  <c r="P19" i="18"/>
  <c r="P19" i="19" s="1"/>
  <c r="P19" i="20" s="1"/>
  <c r="P22" i="21" s="1"/>
  <c r="O19" i="18"/>
  <c r="O19" i="19" s="1"/>
  <c r="O19" i="20" s="1"/>
  <c r="O22" i="21" s="1"/>
  <c r="N19" i="18"/>
  <c r="N19" i="19" s="1"/>
  <c r="N19" i="20" s="1"/>
  <c r="N22" i="21" s="1"/>
  <c r="M19" i="18"/>
  <c r="P17" i="18"/>
  <c r="P17" i="19" s="1"/>
  <c r="P17" i="20" s="1"/>
  <c r="P20" i="21" s="1"/>
  <c r="O17" i="18"/>
  <c r="O17" i="19" s="1"/>
  <c r="O17" i="20" s="1"/>
  <c r="O20" i="21" s="1"/>
  <c r="N17" i="18"/>
  <c r="N17" i="19" s="1"/>
  <c r="N17" i="20" s="1"/>
  <c r="N20" i="21" s="1"/>
  <c r="M17" i="18"/>
  <c r="M17" i="19" s="1"/>
  <c r="M17" i="20" s="1"/>
  <c r="M20" i="21" s="1"/>
  <c r="P16" i="18"/>
  <c r="P16" i="19" s="1"/>
  <c r="P16" i="20" s="1"/>
  <c r="P19" i="21" s="1"/>
  <c r="O16" i="18"/>
  <c r="O16" i="19" s="1"/>
  <c r="O16" i="20" s="1"/>
  <c r="O19" i="21" s="1"/>
  <c r="N16" i="18"/>
  <c r="N16" i="19" s="1"/>
  <c r="N16" i="20" s="1"/>
  <c r="N19" i="21" s="1"/>
  <c r="M16" i="18"/>
  <c r="P14" i="18"/>
  <c r="P14" i="19" s="1"/>
  <c r="P14" i="20" s="1"/>
  <c r="P17" i="21" s="1"/>
  <c r="O14" i="18"/>
  <c r="O14" i="19" s="1"/>
  <c r="O14" i="20" s="1"/>
  <c r="O17" i="21" s="1"/>
  <c r="N14" i="18"/>
  <c r="N14" i="19" s="1"/>
  <c r="N14" i="20" s="1"/>
  <c r="M14" i="18"/>
  <c r="M14" i="19" s="1"/>
  <c r="M14" i="20" s="1"/>
  <c r="M17" i="21" s="1"/>
  <c r="P13" i="18"/>
  <c r="P13" i="19" s="1"/>
  <c r="P13" i="20" s="1"/>
  <c r="P16" i="21" s="1"/>
  <c r="O13" i="18"/>
  <c r="O13" i="19" s="1"/>
  <c r="O13" i="20" s="1"/>
  <c r="O16" i="21" s="1"/>
  <c r="N13" i="18"/>
  <c r="N13" i="19" s="1"/>
  <c r="N13" i="20" s="1"/>
  <c r="N16" i="21" s="1"/>
  <c r="M13" i="18"/>
  <c r="P11" i="18"/>
  <c r="P11" i="19" s="1"/>
  <c r="P11" i="20" s="1"/>
  <c r="O11" i="18"/>
  <c r="O11" i="19" s="1"/>
  <c r="O11" i="20" s="1"/>
  <c r="O14" i="21" s="1"/>
  <c r="N11" i="18"/>
  <c r="N11" i="19" s="1"/>
  <c r="N11" i="20" s="1"/>
  <c r="N14" i="21" s="1"/>
  <c r="M11" i="18"/>
  <c r="M11" i="19" s="1"/>
  <c r="M11" i="20" s="1"/>
  <c r="M14" i="21" s="1"/>
  <c r="P10" i="18"/>
  <c r="P10" i="19" s="1"/>
  <c r="P10" i="20" s="1"/>
  <c r="P13" i="21" s="1"/>
  <c r="O10" i="18"/>
  <c r="O10" i="19" s="1"/>
  <c r="O10" i="20" s="1"/>
  <c r="O13" i="21" s="1"/>
  <c r="N10" i="18"/>
  <c r="N27" i="18" s="1"/>
  <c r="M10" i="18"/>
  <c r="M10" i="19" s="1"/>
  <c r="M10" i="20" s="1"/>
  <c r="T28" i="18"/>
  <c r="I28" i="18"/>
  <c r="H28" i="18"/>
  <c r="G28" i="18"/>
  <c r="F28" i="18"/>
  <c r="U27" i="18"/>
  <c r="T27" i="18"/>
  <c r="I27" i="18"/>
  <c r="H27" i="18"/>
  <c r="G27" i="18"/>
  <c r="F27" i="18"/>
  <c r="V26" i="18"/>
  <c r="V28" i="18" s="1"/>
  <c r="U26" i="18"/>
  <c r="U28" i="18" s="1"/>
  <c r="L26" i="18"/>
  <c r="K26" i="18"/>
  <c r="J26" i="18"/>
  <c r="V25" i="18"/>
  <c r="V27" i="18" s="1"/>
  <c r="L25" i="18"/>
  <c r="K25" i="18"/>
  <c r="J25" i="18"/>
  <c r="L23" i="18"/>
  <c r="K23" i="18"/>
  <c r="J23" i="18"/>
  <c r="L22" i="18"/>
  <c r="K22" i="18"/>
  <c r="J22" i="18"/>
  <c r="L20" i="18"/>
  <c r="K20" i="18"/>
  <c r="J20" i="18"/>
  <c r="L19" i="18"/>
  <c r="K19" i="18"/>
  <c r="J19" i="18"/>
  <c r="L17" i="18"/>
  <c r="K17" i="18"/>
  <c r="J17" i="18"/>
  <c r="L16" i="18"/>
  <c r="K16" i="18"/>
  <c r="J16" i="18"/>
  <c r="L14" i="18"/>
  <c r="K14" i="18"/>
  <c r="J14" i="18"/>
  <c r="L13" i="18"/>
  <c r="K13" i="18"/>
  <c r="J13" i="18"/>
  <c r="L11" i="18"/>
  <c r="K11" i="18"/>
  <c r="J11" i="18"/>
  <c r="L10" i="18"/>
  <c r="K10" i="18"/>
  <c r="J10" i="18"/>
  <c r="T28" i="17"/>
  <c r="H28" i="17"/>
  <c r="U27" i="17"/>
  <c r="T27" i="17"/>
  <c r="H27" i="17"/>
  <c r="V26" i="17"/>
  <c r="V28" i="17" s="1"/>
  <c r="U26" i="17"/>
  <c r="U28" i="17" s="1"/>
  <c r="V25" i="17"/>
  <c r="V27" i="17" s="1"/>
  <c r="T28" i="16"/>
  <c r="H28" i="16"/>
  <c r="U27" i="16"/>
  <c r="T27" i="16"/>
  <c r="H27" i="16"/>
  <c r="V26" i="16"/>
  <c r="V28" i="16" s="1"/>
  <c r="U26" i="16"/>
  <c r="U28" i="16" s="1"/>
  <c r="V25" i="16"/>
  <c r="V27" i="16" s="1"/>
  <c r="T28" i="15"/>
  <c r="T27" i="15"/>
  <c r="U27" i="15"/>
  <c r="V26" i="15"/>
  <c r="V28" i="15" s="1"/>
  <c r="U26" i="15"/>
  <c r="U28" i="15" s="1"/>
  <c r="V25" i="15"/>
  <c r="V27" i="15" s="1"/>
  <c r="P26" i="14"/>
  <c r="L26" i="14"/>
  <c r="L28" i="14" s="1"/>
  <c r="M26" i="14"/>
  <c r="M28" i="14" s="1"/>
  <c r="Q26" i="14"/>
  <c r="Q25" i="14"/>
  <c r="M25" i="14"/>
  <c r="H23" i="14"/>
  <c r="H22" i="14"/>
  <c r="H20" i="14"/>
  <c r="H19" i="14"/>
  <c r="H17" i="14"/>
  <c r="H16" i="14"/>
  <c r="H14" i="14"/>
  <c r="H13" i="14"/>
  <c r="S13" i="18" l="1"/>
  <c r="S16" i="18"/>
  <c r="R19" i="18"/>
  <c r="J27" i="18"/>
  <c r="S17" i="20"/>
  <c r="M13" i="21"/>
  <c r="S10" i="20"/>
  <c r="R10" i="20"/>
  <c r="N16" i="22"/>
  <c r="N43" i="21"/>
  <c r="N19" i="22"/>
  <c r="N46" i="21"/>
  <c r="P14" i="21"/>
  <c r="S11" i="20"/>
  <c r="O19" i="22"/>
  <c r="O46" i="21"/>
  <c r="O22" i="22"/>
  <c r="O49" i="21"/>
  <c r="O25" i="22"/>
  <c r="O52" i="21"/>
  <c r="O28" i="22"/>
  <c r="O55" i="21"/>
  <c r="P22" i="22"/>
  <c r="P49" i="21"/>
  <c r="P28" i="22"/>
  <c r="P55" i="21"/>
  <c r="M23" i="21"/>
  <c r="Q20" i="20"/>
  <c r="S20" i="20"/>
  <c r="R20" i="20"/>
  <c r="M26" i="21"/>
  <c r="R23" i="20"/>
  <c r="N25" i="22"/>
  <c r="N52" i="21"/>
  <c r="P17" i="22"/>
  <c r="P44" i="21"/>
  <c r="P20" i="22"/>
  <c r="P47" i="21"/>
  <c r="P23" i="22"/>
  <c r="P50" i="21"/>
  <c r="S23" i="19"/>
  <c r="P23" i="20"/>
  <c r="P26" i="21" s="1"/>
  <c r="P29" i="22"/>
  <c r="P56" i="21"/>
  <c r="Q17" i="20"/>
  <c r="N22" i="22"/>
  <c r="N49" i="21"/>
  <c r="Q22" i="18"/>
  <c r="Q25" i="18"/>
  <c r="M13" i="19"/>
  <c r="M13" i="20" s="1"/>
  <c r="Q11" i="20"/>
  <c r="R14" i="20"/>
  <c r="H25" i="14"/>
  <c r="M27" i="14"/>
  <c r="O13" i="22"/>
  <c r="O13" i="26" s="1"/>
  <c r="O40" i="21"/>
  <c r="O30" i="21"/>
  <c r="O16" i="22"/>
  <c r="O43" i="21"/>
  <c r="M16" i="19"/>
  <c r="M16" i="20" s="1"/>
  <c r="S16" i="20" s="1"/>
  <c r="O27" i="20"/>
  <c r="N28" i="22"/>
  <c r="N55" i="21"/>
  <c r="P13" i="22"/>
  <c r="P13" i="26" s="1"/>
  <c r="P40" i="21"/>
  <c r="P30" i="21"/>
  <c r="P16" i="22"/>
  <c r="P43" i="21"/>
  <c r="P19" i="22"/>
  <c r="P46" i="21"/>
  <c r="R17" i="20"/>
  <c r="O28" i="20"/>
  <c r="M14" i="22"/>
  <c r="M14" i="26" s="1"/>
  <c r="M41" i="21"/>
  <c r="Q14" i="21"/>
  <c r="R14" i="21"/>
  <c r="S14" i="21"/>
  <c r="M17" i="22"/>
  <c r="M17" i="26" s="1"/>
  <c r="M44" i="21"/>
  <c r="R17" i="21"/>
  <c r="S17" i="21"/>
  <c r="M20" i="22"/>
  <c r="M20" i="26" s="1"/>
  <c r="M47" i="21"/>
  <c r="R20" i="21"/>
  <c r="R11" i="20"/>
  <c r="S14" i="20"/>
  <c r="Q20" i="21"/>
  <c r="N14" i="22"/>
  <c r="N14" i="26" s="1"/>
  <c r="N41" i="21"/>
  <c r="Q14" i="20"/>
  <c r="N17" i="21"/>
  <c r="N20" i="22"/>
  <c r="N47" i="21"/>
  <c r="N23" i="22"/>
  <c r="N50" i="21"/>
  <c r="Q23" i="19"/>
  <c r="N23" i="20"/>
  <c r="N26" i="21" s="1"/>
  <c r="N29" i="22"/>
  <c r="N56" i="21"/>
  <c r="P27" i="20"/>
  <c r="S20" i="21"/>
  <c r="P25" i="22"/>
  <c r="P52" i="21"/>
  <c r="O14" i="22"/>
  <c r="O14" i="26" s="1"/>
  <c r="O41" i="21"/>
  <c r="O31" i="21"/>
  <c r="O17" i="22"/>
  <c r="O44" i="21"/>
  <c r="O20" i="22"/>
  <c r="O47" i="21"/>
  <c r="O23" i="22"/>
  <c r="O50" i="21"/>
  <c r="O26" i="22"/>
  <c r="O53" i="21"/>
  <c r="O29" i="22"/>
  <c r="O56" i="21"/>
  <c r="N10" i="19"/>
  <c r="N10" i="20" s="1"/>
  <c r="Q10" i="20" s="1"/>
  <c r="Q16" i="20"/>
  <c r="R16" i="20"/>
  <c r="S11" i="19"/>
  <c r="M19" i="19"/>
  <c r="M19" i="20" s="1"/>
  <c r="M22" i="19"/>
  <c r="M25" i="19"/>
  <c r="M25" i="20" s="1"/>
  <c r="R23" i="19"/>
  <c r="M26" i="19"/>
  <c r="L26" i="19"/>
  <c r="K26" i="19"/>
  <c r="I28" i="19"/>
  <c r="F28" i="19"/>
  <c r="J17" i="19"/>
  <c r="S25" i="19"/>
  <c r="Q25" i="19"/>
  <c r="Q20" i="19"/>
  <c r="R20" i="19"/>
  <c r="S20" i="19"/>
  <c r="Q17" i="19"/>
  <c r="R17" i="19"/>
  <c r="S17" i="19"/>
  <c r="S16" i="19"/>
  <c r="P27" i="19"/>
  <c r="Q14" i="19"/>
  <c r="R14" i="19"/>
  <c r="S14" i="19"/>
  <c r="R13" i="19"/>
  <c r="S10" i="19"/>
  <c r="R19" i="19"/>
  <c r="O27" i="19"/>
  <c r="P28" i="19"/>
  <c r="Q13" i="19"/>
  <c r="L27" i="19"/>
  <c r="R11" i="19"/>
  <c r="Q11" i="19"/>
  <c r="O28" i="19"/>
  <c r="N28" i="19"/>
  <c r="S13" i="19"/>
  <c r="R10" i="19"/>
  <c r="R16" i="19"/>
  <c r="R22" i="19"/>
  <c r="K27" i="19"/>
  <c r="Q16" i="19"/>
  <c r="Q22" i="19"/>
  <c r="J27" i="19"/>
  <c r="O28" i="18"/>
  <c r="M28" i="18"/>
  <c r="L28" i="18"/>
  <c r="Q26" i="18"/>
  <c r="R25" i="18"/>
  <c r="R26" i="18"/>
  <c r="S26" i="18"/>
  <c r="Q14" i="18"/>
  <c r="Q17" i="18"/>
  <c r="Q20" i="18"/>
  <c r="Q23" i="18"/>
  <c r="R14" i="18"/>
  <c r="R17" i="18"/>
  <c r="R20" i="18"/>
  <c r="R23" i="18"/>
  <c r="S14" i="18"/>
  <c r="S17" i="18"/>
  <c r="S20" i="18"/>
  <c r="S23" i="18"/>
  <c r="R11" i="18"/>
  <c r="S25" i="18"/>
  <c r="N28" i="18"/>
  <c r="L27" i="18"/>
  <c r="P27" i="18"/>
  <c r="R22" i="18"/>
  <c r="S22" i="18"/>
  <c r="O27" i="18"/>
  <c r="S19" i="18"/>
  <c r="Q19" i="18"/>
  <c r="M27" i="18"/>
  <c r="Q16" i="18"/>
  <c r="P28" i="18"/>
  <c r="R16" i="18"/>
  <c r="Q13" i="18"/>
  <c r="R13" i="18"/>
  <c r="Q11" i="18"/>
  <c r="S11" i="18"/>
  <c r="Q10" i="18"/>
  <c r="R10" i="18"/>
  <c r="S10" i="18"/>
  <c r="K27" i="18"/>
  <c r="J28" i="18"/>
  <c r="K28" i="18"/>
  <c r="R22" i="17"/>
  <c r="R23" i="17"/>
  <c r="K16" i="17"/>
  <c r="S16" i="17"/>
  <c r="O27" i="17"/>
  <c r="O28" i="17"/>
  <c r="J13" i="17"/>
  <c r="K20" i="17"/>
  <c r="K11" i="17"/>
  <c r="K23" i="17"/>
  <c r="L10" i="17"/>
  <c r="K17" i="17"/>
  <c r="L20" i="17"/>
  <c r="L17" i="17"/>
  <c r="L22" i="17"/>
  <c r="S11" i="17"/>
  <c r="J20" i="17"/>
  <c r="Q10" i="17"/>
  <c r="R13" i="17"/>
  <c r="R11" i="17"/>
  <c r="R20" i="17"/>
  <c r="K13" i="17"/>
  <c r="S20" i="17"/>
  <c r="L13" i="17"/>
  <c r="J16" i="17"/>
  <c r="Q20" i="17"/>
  <c r="Q11" i="17"/>
  <c r="S14" i="17"/>
  <c r="R14" i="17"/>
  <c r="Q14" i="17"/>
  <c r="S17" i="17"/>
  <c r="J11" i="17"/>
  <c r="L16" i="17"/>
  <c r="J19" i="17"/>
  <c r="L11" i="17"/>
  <c r="J14" i="17"/>
  <c r="K19" i="17"/>
  <c r="L23" i="17"/>
  <c r="J23" i="17"/>
  <c r="J10" i="17"/>
  <c r="L19" i="17"/>
  <c r="K10" i="17"/>
  <c r="J17" i="17"/>
  <c r="R17" i="17"/>
  <c r="K22" i="17"/>
  <c r="K14" i="17"/>
  <c r="Q17" i="17"/>
  <c r="J22" i="17"/>
  <c r="L14" i="17"/>
  <c r="O28" i="16"/>
  <c r="O27" i="16"/>
  <c r="O27" i="15"/>
  <c r="O28" i="15"/>
  <c r="H27" i="15"/>
  <c r="H28" i="15"/>
  <c r="H26" i="14"/>
  <c r="G11" i="14"/>
  <c r="G10" i="14"/>
  <c r="G14" i="14"/>
  <c r="G13" i="14"/>
  <c r="G17" i="14"/>
  <c r="G16" i="14"/>
  <c r="G20" i="14"/>
  <c r="G19" i="14"/>
  <c r="G26" i="14"/>
  <c r="G25" i="14"/>
  <c r="G23" i="14"/>
  <c r="G22" i="14"/>
  <c r="Q28" i="14"/>
  <c r="P28" i="14"/>
  <c r="Q27" i="14"/>
  <c r="P27" i="14"/>
  <c r="F17" i="1"/>
  <c r="Q28" i="18" l="1"/>
  <c r="R25" i="19"/>
  <c r="M27" i="19"/>
  <c r="S23" i="20"/>
  <c r="O41" i="26"/>
  <c r="O14" i="27"/>
  <c r="N14" i="27"/>
  <c r="N41" i="26"/>
  <c r="P13" i="27"/>
  <c r="P40" i="26"/>
  <c r="O57" i="21"/>
  <c r="P55" i="22"/>
  <c r="P28" i="26"/>
  <c r="O49" i="22"/>
  <c r="O22" i="26"/>
  <c r="N43" i="22"/>
  <c r="N16" i="26"/>
  <c r="O53" i="22"/>
  <c r="O26" i="26"/>
  <c r="N52" i="22"/>
  <c r="N25" i="26"/>
  <c r="O50" i="22"/>
  <c r="O23" i="26"/>
  <c r="O13" i="27"/>
  <c r="O40" i="26"/>
  <c r="P50" i="22"/>
  <c r="P23" i="26"/>
  <c r="P52" i="22"/>
  <c r="P25" i="26"/>
  <c r="N50" i="22"/>
  <c r="N23" i="26"/>
  <c r="M44" i="26"/>
  <c r="M17" i="27"/>
  <c r="N55" i="22"/>
  <c r="N28" i="26"/>
  <c r="N49" i="22"/>
  <c r="N22" i="26"/>
  <c r="P49" i="22"/>
  <c r="P22" i="26"/>
  <c r="O46" i="22"/>
  <c r="O19" i="26"/>
  <c r="O47" i="22"/>
  <c r="O20" i="26"/>
  <c r="P46" i="22"/>
  <c r="P19" i="26"/>
  <c r="P47" i="22"/>
  <c r="P20" i="26"/>
  <c r="N47" i="22"/>
  <c r="N20" i="26"/>
  <c r="Q20" i="26" s="1"/>
  <c r="O55" i="22"/>
  <c r="O28" i="26"/>
  <c r="O56" i="22"/>
  <c r="O29" i="26"/>
  <c r="O44" i="22"/>
  <c r="O17" i="26"/>
  <c r="R17" i="26" s="1"/>
  <c r="P43" i="22"/>
  <c r="P16" i="26"/>
  <c r="P56" i="22"/>
  <c r="P29" i="26"/>
  <c r="P44" i="22"/>
  <c r="P17" i="26"/>
  <c r="S17" i="26" s="1"/>
  <c r="M14" i="27"/>
  <c r="Q14" i="26"/>
  <c r="R14" i="26"/>
  <c r="M41" i="26"/>
  <c r="N56" i="22"/>
  <c r="N29" i="26"/>
  <c r="O43" i="22"/>
  <c r="O16" i="26"/>
  <c r="O52" i="22"/>
  <c r="O25" i="26"/>
  <c r="O30" i="26" s="1"/>
  <c r="N46" i="22"/>
  <c r="N19" i="26"/>
  <c r="M20" i="27"/>
  <c r="M20" i="28" s="1"/>
  <c r="M20" i="29" s="1"/>
  <c r="R20" i="26"/>
  <c r="M47" i="26"/>
  <c r="S19" i="19"/>
  <c r="S17" i="22"/>
  <c r="R17" i="22"/>
  <c r="M44" i="22"/>
  <c r="O40" i="22"/>
  <c r="O30" i="22"/>
  <c r="P30" i="22"/>
  <c r="P40" i="22"/>
  <c r="N27" i="19"/>
  <c r="R26" i="19"/>
  <c r="M26" i="20"/>
  <c r="N17" i="22"/>
  <c r="N44" i="21"/>
  <c r="Q44" i="21" s="1"/>
  <c r="Q23" i="20"/>
  <c r="S47" i="21"/>
  <c r="R47" i="21"/>
  <c r="Q47" i="21"/>
  <c r="M26" i="22"/>
  <c r="M26" i="26" s="1"/>
  <c r="M53" i="21"/>
  <c r="S26" i="21"/>
  <c r="R26" i="21"/>
  <c r="Q26" i="21"/>
  <c r="M28" i="21"/>
  <c r="Q25" i="20"/>
  <c r="R25" i="20"/>
  <c r="S25" i="20"/>
  <c r="O58" i="21"/>
  <c r="N26" i="22"/>
  <c r="N53" i="21"/>
  <c r="N31" i="21"/>
  <c r="Q20" i="22"/>
  <c r="M47" i="22"/>
  <c r="R20" i="22"/>
  <c r="S20" i="22"/>
  <c r="M19" i="21"/>
  <c r="Q19" i="19"/>
  <c r="S22" i="19"/>
  <c r="M22" i="20"/>
  <c r="O41" i="22"/>
  <c r="O31" i="22"/>
  <c r="Q41" i="21"/>
  <c r="R41" i="21"/>
  <c r="Q10" i="19"/>
  <c r="M22" i="21"/>
  <c r="R19" i="20"/>
  <c r="S19" i="20"/>
  <c r="Q19" i="20"/>
  <c r="N41" i="22"/>
  <c r="Q17" i="21"/>
  <c r="Q14" i="22"/>
  <c r="R14" i="22"/>
  <c r="M41" i="22"/>
  <c r="M16" i="21"/>
  <c r="R13" i="20"/>
  <c r="Q13" i="20"/>
  <c r="S13" i="20"/>
  <c r="P26" i="22"/>
  <c r="P53" i="21"/>
  <c r="P28" i="20"/>
  <c r="N13" i="21"/>
  <c r="Q13" i="21" s="1"/>
  <c r="N27" i="20"/>
  <c r="S44" i="21"/>
  <c r="R44" i="21"/>
  <c r="N28" i="20"/>
  <c r="P57" i="21"/>
  <c r="M23" i="22"/>
  <c r="M23" i="26" s="1"/>
  <c r="M50" i="21"/>
  <c r="S23" i="21"/>
  <c r="R23" i="21"/>
  <c r="Q23" i="21"/>
  <c r="P14" i="22"/>
  <c r="P41" i="21"/>
  <c r="S41" i="21" s="1"/>
  <c r="P31" i="21"/>
  <c r="M13" i="22"/>
  <c r="M13" i="26" s="1"/>
  <c r="M40" i="21"/>
  <c r="S13" i="21"/>
  <c r="R13" i="21"/>
  <c r="S28" i="18"/>
  <c r="L28" i="19"/>
  <c r="Q26" i="19"/>
  <c r="S26" i="19"/>
  <c r="M28" i="19"/>
  <c r="Q28" i="19" s="1"/>
  <c r="K28" i="19"/>
  <c r="J28" i="19"/>
  <c r="S27" i="19"/>
  <c r="R27" i="19"/>
  <c r="Q27" i="19"/>
  <c r="R28" i="18"/>
  <c r="S27" i="18"/>
  <c r="Q27" i="18"/>
  <c r="R27" i="18"/>
  <c r="N28" i="17"/>
  <c r="S23" i="17"/>
  <c r="Q23" i="17"/>
  <c r="N27" i="17"/>
  <c r="S22" i="17"/>
  <c r="Q22" i="17"/>
  <c r="S13" i="17"/>
  <c r="Q16" i="17"/>
  <c r="P28" i="17"/>
  <c r="P27" i="17"/>
  <c r="F28" i="17"/>
  <c r="K28" i="17" s="1"/>
  <c r="R10" i="17"/>
  <c r="S10" i="17"/>
  <c r="Q13" i="17"/>
  <c r="G27" i="17"/>
  <c r="R16" i="17"/>
  <c r="I27" i="17"/>
  <c r="I28" i="17"/>
  <c r="J25" i="17"/>
  <c r="K25" i="17"/>
  <c r="L25" i="17"/>
  <c r="L26" i="17"/>
  <c r="J26" i="17"/>
  <c r="K26" i="17"/>
  <c r="Q19" i="17"/>
  <c r="S19" i="17"/>
  <c r="R19" i="17"/>
  <c r="G28" i="17"/>
  <c r="F27" i="17"/>
  <c r="G27" i="14"/>
  <c r="G28" i="14"/>
  <c r="I25" i="1"/>
  <c r="I23" i="1"/>
  <c r="I22" i="1"/>
  <c r="I20" i="1"/>
  <c r="I19" i="1"/>
  <c r="I16" i="1"/>
  <c r="I14" i="1"/>
  <c r="I13" i="1"/>
  <c r="I11" i="1"/>
  <c r="I10" i="1"/>
  <c r="I26" i="9"/>
  <c r="I25" i="9"/>
  <c r="I23" i="9"/>
  <c r="I22" i="9"/>
  <c r="I20" i="9"/>
  <c r="I19" i="9"/>
  <c r="I17" i="9"/>
  <c r="I16" i="9"/>
  <c r="I14" i="9"/>
  <c r="I13" i="9"/>
  <c r="I11" i="9"/>
  <c r="I10" i="9"/>
  <c r="I25" i="10"/>
  <c r="I23" i="10"/>
  <c r="I22" i="10"/>
  <c r="I20" i="10"/>
  <c r="I19" i="10"/>
  <c r="I16" i="10"/>
  <c r="I14" i="10"/>
  <c r="I13" i="10"/>
  <c r="I11" i="10"/>
  <c r="I10" i="10"/>
  <c r="Q53" i="21" l="1"/>
  <c r="O57" i="22"/>
  <c r="O56" i="26"/>
  <c r="O29" i="27"/>
  <c r="N58" i="21"/>
  <c r="N56" i="26"/>
  <c r="N29" i="27"/>
  <c r="N50" i="26"/>
  <c r="N23" i="27"/>
  <c r="O40" i="27"/>
  <c r="O13" i="28"/>
  <c r="P40" i="27"/>
  <c r="P13" i="28"/>
  <c r="P53" i="22"/>
  <c r="P26" i="26"/>
  <c r="S26" i="26" s="1"/>
  <c r="N53" i="22"/>
  <c r="N58" i="22" s="1"/>
  <c r="N26" i="26"/>
  <c r="N44" i="22"/>
  <c r="N17" i="26"/>
  <c r="P47" i="30"/>
  <c r="P47" i="31"/>
  <c r="P47" i="32"/>
  <c r="P29" i="27"/>
  <c r="P56" i="26"/>
  <c r="O28" i="27"/>
  <c r="O55" i="26"/>
  <c r="O47" i="26"/>
  <c r="O20" i="27"/>
  <c r="N55" i="26"/>
  <c r="N28" i="27"/>
  <c r="O50" i="26"/>
  <c r="O23" i="27"/>
  <c r="O22" i="27"/>
  <c r="O49" i="26"/>
  <c r="S14" i="22"/>
  <c r="P14" i="26"/>
  <c r="N46" i="26"/>
  <c r="N19" i="27"/>
  <c r="R41" i="26"/>
  <c r="Q41" i="26"/>
  <c r="P25" i="27"/>
  <c r="P52" i="26"/>
  <c r="M40" i="26"/>
  <c r="M13" i="27"/>
  <c r="R13" i="26"/>
  <c r="S13" i="26"/>
  <c r="N31" i="22"/>
  <c r="M26" i="27"/>
  <c r="M53" i="26"/>
  <c r="R26" i="26"/>
  <c r="Q26" i="26"/>
  <c r="P16" i="27"/>
  <c r="P43" i="26"/>
  <c r="N20" i="27"/>
  <c r="N47" i="26"/>
  <c r="Q47" i="26" s="1"/>
  <c r="O19" i="27"/>
  <c r="O46" i="26"/>
  <c r="N25" i="27"/>
  <c r="N52" i="26"/>
  <c r="P28" i="27"/>
  <c r="P55" i="26"/>
  <c r="N41" i="27"/>
  <c r="N14" i="28"/>
  <c r="P19" i="27"/>
  <c r="P46" i="26"/>
  <c r="O52" i="26"/>
  <c r="O25" i="27"/>
  <c r="P23" i="27"/>
  <c r="P50" i="26"/>
  <c r="O31" i="26"/>
  <c r="M50" i="26"/>
  <c r="M23" i="27"/>
  <c r="R23" i="26"/>
  <c r="Q23" i="26"/>
  <c r="S23" i="26"/>
  <c r="P17" i="27"/>
  <c r="P44" i="26"/>
  <c r="S44" i="26" s="1"/>
  <c r="N43" i="26"/>
  <c r="N16" i="27"/>
  <c r="P57" i="22"/>
  <c r="O44" i="26"/>
  <c r="R44" i="26" s="1"/>
  <c r="O17" i="27"/>
  <c r="P20" i="27"/>
  <c r="P47" i="26"/>
  <c r="P22" i="27"/>
  <c r="P49" i="26"/>
  <c r="O53" i="26"/>
  <c r="O26" i="27"/>
  <c r="O14" i="28"/>
  <c r="O41" i="27"/>
  <c r="N49" i="26"/>
  <c r="N22" i="27"/>
  <c r="O58" i="22"/>
  <c r="S20" i="26"/>
  <c r="O16" i="27"/>
  <c r="O30" i="27" s="1"/>
  <c r="O43" i="26"/>
  <c r="Q14" i="27"/>
  <c r="M41" i="27"/>
  <c r="M14" i="28"/>
  <c r="R14" i="27"/>
  <c r="M17" i="28"/>
  <c r="R17" i="27"/>
  <c r="M44" i="27"/>
  <c r="O57" i="26"/>
  <c r="P30" i="26"/>
  <c r="M47" i="29"/>
  <c r="M47" i="28"/>
  <c r="R47" i="26"/>
  <c r="S20" i="27"/>
  <c r="R20" i="27"/>
  <c r="M47" i="27"/>
  <c r="M16" i="22"/>
  <c r="M16" i="26" s="1"/>
  <c r="S16" i="21"/>
  <c r="M43" i="21"/>
  <c r="R16" i="21"/>
  <c r="Q16" i="21"/>
  <c r="M19" i="22"/>
  <c r="M19" i="26" s="1"/>
  <c r="S19" i="21"/>
  <c r="Q19" i="21"/>
  <c r="R19" i="21"/>
  <c r="Q17" i="22"/>
  <c r="S40" i="21"/>
  <c r="R40" i="21"/>
  <c r="S50" i="21"/>
  <c r="R50" i="21"/>
  <c r="Q50" i="21"/>
  <c r="N13" i="22"/>
  <c r="N13" i="26" s="1"/>
  <c r="N40" i="21"/>
  <c r="N57" i="21" s="1"/>
  <c r="N30" i="21"/>
  <c r="M46" i="21"/>
  <c r="S53" i="21"/>
  <c r="R53" i="21"/>
  <c r="M29" i="21"/>
  <c r="Q26" i="20"/>
  <c r="S26" i="20"/>
  <c r="R26" i="20"/>
  <c r="M28" i="20"/>
  <c r="R44" i="22"/>
  <c r="S44" i="22"/>
  <c r="Q44" i="22"/>
  <c r="R13" i="22"/>
  <c r="S13" i="22"/>
  <c r="Q13" i="22"/>
  <c r="M40" i="22"/>
  <c r="M50" i="22"/>
  <c r="R23" i="22"/>
  <c r="Q23" i="22"/>
  <c r="S23" i="22"/>
  <c r="R41" i="22"/>
  <c r="Q41" i="22"/>
  <c r="M53" i="22"/>
  <c r="S26" i="22"/>
  <c r="Q26" i="22"/>
  <c r="R26" i="22"/>
  <c r="P58" i="21"/>
  <c r="M22" i="22"/>
  <c r="M22" i="26" s="1"/>
  <c r="M49" i="21"/>
  <c r="S22" i="21"/>
  <c r="Q22" i="21"/>
  <c r="R22" i="21"/>
  <c r="S47" i="22"/>
  <c r="Q47" i="22"/>
  <c r="R47" i="22"/>
  <c r="P31" i="22"/>
  <c r="P41" i="22"/>
  <c r="P58" i="22" s="1"/>
  <c r="M25" i="21"/>
  <c r="M30" i="21" s="1"/>
  <c r="R22" i="20"/>
  <c r="Q22" i="20"/>
  <c r="S22" i="20"/>
  <c r="M28" i="22"/>
  <c r="M28" i="26" s="1"/>
  <c r="M55" i="21"/>
  <c r="R28" i="21"/>
  <c r="S28" i="21"/>
  <c r="Q28" i="21"/>
  <c r="M27" i="20"/>
  <c r="S28" i="19"/>
  <c r="R28" i="19"/>
  <c r="L28" i="17"/>
  <c r="J28" i="17"/>
  <c r="R26" i="17"/>
  <c r="S26" i="17"/>
  <c r="Q26" i="17"/>
  <c r="M28" i="17"/>
  <c r="L27" i="17"/>
  <c r="K27" i="17"/>
  <c r="J27" i="17"/>
  <c r="R25" i="17"/>
  <c r="Q25" i="17"/>
  <c r="S25" i="17"/>
  <c r="M27" i="17"/>
  <c r="P27" i="1"/>
  <c r="P28" i="1"/>
  <c r="O31" i="27" l="1"/>
  <c r="P57" i="26"/>
  <c r="O58" i="26"/>
  <c r="N40" i="26"/>
  <c r="N57" i="26" s="1"/>
  <c r="N13" i="27"/>
  <c r="N30" i="26"/>
  <c r="M14" i="29"/>
  <c r="M41" i="28"/>
  <c r="Q14" i="28"/>
  <c r="R14" i="28"/>
  <c r="N22" i="28"/>
  <c r="N49" i="27"/>
  <c r="P22" i="28"/>
  <c r="P49" i="27"/>
  <c r="P57" i="27" s="1"/>
  <c r="M53" i="27"/>
  <c r="M26" i="28"/>
  <c r="R26" i="27"/>
  <c r="P29" i="28"/>
  <c r="P56" i="27"/>
  <c r="P26" i="27"/>
  <c r="P53" i="26"/>
  <c r="S53" i="26" s="1"/>
  <c r="N23" i="28"/>
  <c r="N50" i="27"/>
  <c r="O46" i="27"/>
  <c r="O57" i="27" s="1"/>
  <c r="O19" i="28"/>
  <c r="Q41" i="27"/>
  <c r="R41" i="27"/>
  <c r="P17" i="28"/>
  <c r="P44" i="27"/>
  <c r="S44" i="27" s="1"/>
  <c r="P23" i="28"/>
  <c r="P50" i="27"/>
  <c r="N20" i="28"/>
  <c r="N47" i="27"/>
  <c r="P25" i="28"/>
  <c r="P52" i="27"/>
  <c r="N28" i="28"/>
  <c r="N55" i="27"/>
  <c r="P20" i="28"/>
  <c r="P47" i="27"/>
  <c r="S47" i="27" s="1"/>
  <c r="O52" i="27"/>
  <c r="O25" i="28"/>
  <c r="P40" i="28"/>
  <c r="N29" i="28"/>
  <c r="N56" i="27"/>
  <c r="M43" i="26"/>
  <c r="M16" i="27"/>
  <c r="S16" i="26"/>
  <c r="Q16" i="26"/>
  <c r="R16" i="26"/>
  <c r="P14" i="27"/>
  <c r="P41" i="26"/>
  <c r="S41" i="26" s="1"/>
  <c r="P31" i="26"/>
  <c r="S14" i="26"/>
  <c r="M49" i="26"/>
  <c r="M22" i="27"/>
  <c r="R22" i="26"/>
  <c r="S22" i="26"/>
  <c r="Q22" i="26"/>
  <c r="Q20" i="27"/>
  <c r="S17" i="27"/>
  <c r="O14" i="29"/>
  <c r="O41" i="28"/>
  <c r="O44" i="27"/>
  <c r="R44" i="27" s="1"/>
  <c r="O17" i="28"/>
  <c r="P28" i="28"/>
  <c r="P55" i="27"/>
  <c r="P16" i="28"/>
  <c r="P43" i="27"/>
  <c r="O47" i="27"/>
  <c r="O20" i="28"/>
  <c r="S40" i="26"/>
  <c r="R40" i="26"/>
  <c r="Q40" i="26"/>
  <c r="N44" i="26"/>
  <c r="N17" i="27"/>
  <c r="Q17" i="26"/>
  <c r="N31" i="26"/>
  <c r="P30" i="27"/>
  <c r="N14" i="29"/>
  <c r="N41" i="28"/>
  <c r="O50" i="27"/>
  <c r="O23" i="28"/>
  <c r="Q28" i="26"/>
  <c r="M28" i="27"/>
  <c r="R28" i="26"/>
  <c r="M55" i="26"/>
  <c r="S28" i="26"/>
  <c r="O16" i="28"/>
  <c r="O43" i="27"/>
  <c r="O53" i="27"/>
  <c r="O26" i="28"/>
  <c r="M50" i="27"/>
  <c r="S23" i="27"/>
  <c r="M23" i="28"/>
  <c r="Q23" i="27"/>
  <c r="R23" i="27"/>
  <c r="N52" i="27"/>
  <c r="N25" i="28"/>
  <c r="Q13" i="26"/>
  <c r="N19" i="28"/>
  <c r="N46" i="27"/>
  <c r="O13" i="29"/>
  <c r="O40" i="28"/>
  <c r="O29" i="28"/>
  <c r="O56" i="27"/>
  <c r="S47" i="26"/>
  <c r="M44" i="28"/>
  <c r="M17" i="29"/>
  <c r="S17" i="28"/>
  <c r="N43" i="27"/>
  <c r="N16" i="28"/>
  <c r="S50" i="26"/>
  <c r="R50" i="26"/>
  <c r="Q50" i="26"/>
  <c r="P19" i="28"/>
  <c r="P46" i="27"/>
  <c r="R53" i="26"/>
  <c r="S13" i="27"/>
  <c r="R13" i="27"/>
  <c r="Q13" i="27"/>
  <c r="M13" i="28"/>
  <c r="M40" i="27"/>
  <c r="O49" i="27"/>
  <c r="O22" i="28"/>
  <c r="O55" i="27"/>
  <c r="O28" i="28"/>
  <c r="N26" i="27"/>
  <c r="Q26" i="27" s="1"/>
  <c r="N53" i="26"/>
  <c r="Q53" i="26" s="1"/>
  <c r="Q47" i="27"/>
  <c r="R47" i="27"/>
  <c r="M46" i="26"/>
  <c r="M19" i="27"/>
  <c r="R19" i="26"/>
  <c r="S19" i="26"/>
  <c r="M30" i="26"/>
  <c r="Q19" i="26"/>
  <c r="Q30" i="21"/>
  <c r="S30" i="21"/>
  <c r="R30" i="21"/>
  <c r="S46" i="21"/>
  <c r="R46" i="21"/>
  <c r="Q46" i="21"/>
  <c r="R27" i="20"/>
  <c r="S27" i="20"/>
  <c r="Q27" i="20"/>
  <c r="R53" i="22"/>
  <c r="Q53" i="22"/>
  <c r="S53" i="22"/>
  <c r="S40" i="22"/>
  <c r="R40" i="22"/>
  <c r="S28" i="20"/>
  <c r="Q28" i="20"/>
  <c r="R28" i="20"/>
  <c r="S41" i="22"/>
  <c r="Q40" i="21"/>
  <c r="S50" i="22"/>
  <c r="Q50" i="22"/>
  <c r="R50" i="22"/>
  <c r="Q49" i="21"/>
  <c r="S49" i="21"/>
  <c r="R49" i="21"/>
  <c r="N40" i="22"/>
  <c r="N57" i="22" s="1"/>
  <c r="N30" i="22"/>
  <c r="S43" i="21"/>
  <c r="R43" i="21"/>
  <c r="Q43" i="21"/>
  <c r="Q19" i="22"/>
  <c r="R19" i="22"/>
  <c r="M46" i="22"/>
  <c r="S19" i="22"/>
  <c r="M25" i="22"/>
  <c r="M25" i="26" s="1"/>
  <c r="M52" i="21"/>
  <c r="R25" i="21"/>
  <c r="Q25" i="21"/>
  <c r="S25" i="21"/>
  <c r="R55" i="21"/>
  <c r="Q55" i="21"/>
  <c r="S55" i="21"/>
  <c r="M49" i="22"/>
  <c r="R22" i="22"/>
  <c r="S22" i="22"/>
  <c r="Q22" i="22"/>
  <c r="M55" i="22"/>
  <c r="S28" i="22"/>
  <c r="R28" i="22"/>
  <c r="Q28" i="22"/>
  <c r="M30" i="22"/>
  <c r="M29" i="22"/>
  <c r="M29" i="26" s="1"/>
  <c r="M56" i="21"/>
  <c r="S29" i="21"/>
  <c r="R29" i="21"/>
  <c r="Q29" i="21"/>
  <c r="M31" i="21"/>
  <c r="M43" i="22"/>
  <c r="S16" i="22"/>
  <c r="R16" i="22"/>
  <c r="Q16" i="22"/>
  <c r="S28" i="17"/>
  <c r="Q28" i="17"/>
  <c r="R28" i="17"/>
  <c r="R27" i="17"/>
  <c r="S27" i="17"/>
  <c r="Q27" i="17"/>
  <c r="O10" i="9"/>
  <c r="J10" i="9"/>
  <c r="O26" i="10"/>
  <c r="M28" i="10"/>
  <c r="H28" i="10"/>
  <c r="I17" i="10"/>
  <c r="P28" i="10"/>
  <c r="L28" i="10"/>
  <c r="G28" i="10"/>
  <c r="Q27" i="10"/>
  <c r="P27" i="10"/>
  <c r="M27" i="10"/>
  <c r="L27" i="10"/>
  <c r="K27" i="10"/>
  <c r="H27" i="10"/>
  <c r="G27" i="10"/>
  <c r="F27" i="10"/>
  <c r="N26" i="10"/>
  <c r="O25" i="10"/>
  <c r="N25" i="10"/>
  <c r="J25" i="10"/>
  <c r="O23" i="10"/>
  <c r="N23" i="10"/>
  <c r="J23" i="10"/>
  <c r="O22" i="10"/>
  <c r="N22" i="10"/>
  <c r="J22" i="10"/>
  <c r="O20" i="10"/>
  <c r="N20" i="10"/>
  <c r="J20" i="10"/>
  <c r="O19" i="10"/>
  <c r="N19" i="10"/>
  <c r="J19" i="10"/>
  <c r="Q28" i="10"/>
  <c r="J17" i="10"/>
  <c r="O16" i="10"/>
  <c r="N16" i="10"/>
  <c r="J16" i="10"/>
  <c r="O14" i="10"/>
  <c r="N14" i="10"/>
  <c r="J14" i="10"/>
  <c r="O13" i="10"/>
  <c r="N13" i="10"/>
  <c r="J13" i="10"/>
  <c r="O11" i="10"/>
  <c r="N11" i="10"/>
  <c r="J11" i="10"/>
  <c r="O10" i="10"/>
  <c r="N10" i="10"/>
  <c r="J10" i="10"/>
  <c r="Q40" i="22" l="1"/>
  <c r="O58" i="27"/>
  <c r="P43" i="28"/>
  <c r="P16" i="29"/>
  <c r="P44" i="30"/>
  <c r="P44" i="31"/>
  <c r="P44" i="32"/>
  <c r="M44" i="29"/>
  <c r="N56" i="28"/>
  <c r="N29" i="29"/>
  <c r="N55" i="28"/>
  <c r="N28" i="29"/>
  <c r="P17" i="29"/>
  <c r="P44" i="28"/>
  <c r="S44" i="28" s="1"/>
  <c r="N50" i="28"/>
  <c r="N23" i="29"/>
  <c r="M40" i="28"/>
  <c r="M13" i="29"/>
  <c r="R13" i="28"/>
  <c r="S13" i="28"/>
  <c r="N26" i="28"/>
  <c r="Q26" i="28" s="1"/>
  <c r="N53" i="27"/>
  <c r="Q53" i="27" s="1"/>
  <c r="N46" i="28"/>
  <c r="N19" i="29"/>
  <c r="S50" i="27"/>
  <c r="R50" i="27"/>
  <c r="Q50" i="27"/>
  <c r="Q28" i="27"/>
  <c r="R28" i="27"/>
  <c r="M55" i="27"/>
  <c r="S28" i="27"/>
  <c r="M28" i="28"/>
  <c r="P55" i="28"/>
  <c r="P28" i="29"/>
  <c r="P31" i="27"/>
  <c r="P14" i="28"/>
  <c r="P41" i="27"/>
  <c r="S14" i="27"/>
  <c r="P47" i="28"/>
  <c r="S47" i="28" s="1"/>
  <c r="P20" i="29"/>
  <c r="S20" i="28"/>
  <c r="P58" i="26"/>
  <c r="R53" i="27"/>
  <c r="O40" i="29"/>
  <c r="R40" i="32"/>
  <c r="R40" i="30"/>
  <c r="R40" i="31"/>
  <c r="M26" i="29"/>
  <c r="R26" i="28"/>
  <c r="M53" i="28"/>
  <c r="O55" i="28"/>
  <c r="O28" i="29"/>
  <c r="O53" i="28"/>
  <c r="O26" i="29"/>
  <c r="O44" i="28"/>
  <c r="R44" i="28" s="1"/>
  <c r="O17" i="29"/>
  <c r="R17" i="29" s="1"/>
  <c r="P30" i="28"/>
  <c r="P52" i="28"/>
  <c r="P25" i="29"/>
  <c r="P26" i="28"/>
  <c r="P53" i="27"/>
  <c r="S53" i="27" s="1"/>
  <c r="R41" i="28"/>
  <c r="Q41" i="28"/>
  <c r="M50" i="28"/>
  <c r="M23" i="29"/>
  <c r="Q23" i="28"/>
  <c r="S23" i="28"/>
  <c r="R23" i="28"/>
  <c r="N43" i="28"/>
  <c r="N16" i="29"/>
  <c r="N52" i="28"/>
  <c r="N25" i="29"/>
  <c r="O50" i="28"/>
  <c r="O23" i="29"/>
  <c r="N17" i="28"/>
  <c r="N44" i="27"/>
  <c r="Q17" i="27"/>
  <c r="N31" i="27"/>
  <c r="P41" i="30"/>
  <c r="P41" i="31"/>
  <c r="P41" i="32"/>
  <c r="R14" i="29"/>
  <c r="Q14" i="29"/>
  <c r="M41" i="29"/>
  <c r="M52" i="26"/>
  <c r="M25" i="27"/>
  <c r="M30" i="27" s="1"/>
  <c r="S25" i="26"/>
  <c r="Q25" i="26"/>
  <c r="R25" i="26"/>
  <c r="O49" i="28"/>
  <c r="O22" i="29"/>
  <c r="O56" i="28"/>
  <c r="O29" i="29"/>
  <c r="N58" i="26"/>
  <c r="Q44" i="26"/>
  <c r="O47" i="28"/>
  <c r="R47" i="28" s="1"/>
  <c r="O20" i="29"/>
  <c r="R20" i="28"/>
  <c r="M49" i="27"/>
  <c r="Q22" i="27"/>
  <c r="M22" i="28"/>
  <c r="S22" i="27"/>
  <c r="R22" i="27"/>
  <c r="N47" i="28"/>
  <c r="Q47" i="28" s="1"/>
  <c r="N20" i="29"/>
  <c r="Q20" i="28"/>
  <c r="P56" i="28"/>
  <c r="P29" i="29"/>
  <c r="P49" i="28"/>
  <c r="P22" i="29"/>
  <c r="P46" i="28"/>
  <c r="P19" i="29"/>
  <c r="R17" i="28"/>
  <c r="O30" i="28"/>
  <c r="O43" i="28"/>
  <c r="O16" i="29"/>
  <c r="O31" i="28"/>
  <c r="Q49" i="26"/>
  <c r="R49" i="26"/>
  <c r="S49" i="26"/>
  <c r="Q16" i="27"/>
  <c r="R16" i="27"/>
  <c r="M16" i="28"/>
  <c r="M43" i="27"/>
  <c r="S16" i="27"/>
  <c r="O46" i="28"/>
  <c r="O19" i="29"/>
  <c r="N30" i="27"/>
  <c r="N40" i="27"/>
  <c r="N57" i="27" s="1"/>
  <c r="N13" i="28"/>
  <c r="Q13" i="28" s="1"/>
  <c r="S55" i="26"/>
  <c r="R55" i="26"/>
  <c r="Q55" i="26"/>
  <c r="R40" i="27"/>
  <c r="S40" i="27"/>
  <c r="Q41" i="30"/>
  <c r="Q41" i="31"/>
  <c r="Q41" i="32"/>
  <c r="N41" i="29"/>
  <c r="R41" i="30"/>
  <c r="R41" i="32"/>
  <c r="R41" i="31"/>
  <c r="O41" i="29"/>
  <c r="S43" i="26"/>
  <c r="R43" i="26"/>
  <c r="Q43" i="26"/>
  <c r="O52" i="28"/>
  <c r="O25" i="29"/>
  <c r="P50" i="28"/>
  <c r="P23" i="29"/>
  <c r="S26" i="27"/>
  <c r="N49" i="28"/>
  <c r="N22" i="29"/>
  <c r="M19" i="28"/>
  <c r="M56" i="26"/>
  <c r="M29" i="27"/>
  <c r="M31" i="27" s="1"/>
  <c r="R29" i="26"/>
  <c r="Q29" i="26"/>
  <c r="S29" i="26"/>
  <c r="M31" i="26"/>
  <c r="R30" i="26"/>
  <c r="S30" i="26"/>
  <c r="Q30" i="26"/>
  <c r="S19" i="27"/>
  <c r="R19" i="27"/>
  <c r="Q19" i="27"/>
  <c r="M46" i="27"/>
  <c r="Q46" i="26"/>
  <c r="S46" i="26"/>
  <c r="R46" i="26"/>
  <c r="M57" i="26"/>
  <c r="S56" i="21"/>
  <c r="R56" i="21"/>
  <c r="Q56" i="21"/>
  <c r="M58" i="21"/>
  <c r="M31" i="22"/>
  <c r="Q29" i="22"/>
  <c r="M56" i="22"/>
  <c r="S29" i="22"/>
  <c r="R29" i="22"/>
  <c r="S52" i="21"/>
  <c r="R52" i="21"/>
  <c r="Q52" i="21"/>
  <c r="M57" i="21"/>
  <c r="Q30" i="22"/>
  <c r="S30" i="22"/>
  <c r="R30" i="22"/>
  <c r="Q49" i="22"/>
  <c r="S49" i="22"/>
  <c r="R49" i="22"/>
  <c r="M52" i="22"/>
  <c r="S25" i="22"/>
  <c r="Q25" i="22"/>
  <c r="R25" i="22"/>
  <c r="Q43" i="22"/>
  <c r="S43" i="22"/>
  <c r="R43" i="22"/>
  <c r="R31" i="21"/>
  <c r="Q31" i="21"/>
  <c r="S31" i="21"/>
  <c r="S46" i="22"/>
  <c r="R46" i="22"/>
  <c r="Q46" i="22"/>
  <c r="S55" i="22"/>
  <c r="R55" i="22"/>
  <c r="Q55" i="22"/>
  <c r="J26" i="10"/>
  <c r="I26" i="10"/>
  <c r="O17" i="10"/>
  <c r="N27" i="10"/>
  <c r="F28" i="10"/>
  <c r="I28" i="10" s="1"/>
  <c r="O27" i="10"/>
  <c r="I27" i="10"/>
  <c r="J27" i="10"/>
  <c r="K28" i="10"/>
  <c r="N17" i="10"/>
  <c r="O58" i="28" l="1"/>
  <c r="O57" i="28"/>
  <c r="O30" i="29"/>
  <c r="P57" i="28"/>
  <c r="R52" i="30"/>
  <c r="R52" i="31"/>
  <c r="R52" i="32"/>
  <c r="O52" i="29"/>
  <c r="N47" i="29"/>
  <c r="Q47" i="29" s="1"/>
  <c r="Q47" i="30"/>
  <c r="U47" i="30" s="1"/>
  <c r="Q47" i="31"/>
  <c r="U47" i="31" s="1"/>
  <c r="Q47" i="32"/>
  <c r="U47" i="32" s="1"/>
  <c r="Q20" i="29"/>
  <c r="Q44" i="27"/>
  <c r="N58" i="27"/>
  <c r="N53" i="28"/>
  <c r="Q53" i="28" s="1"/>
  <c r="N26" i="29"/>
  <c r="Q26" i="29" s="1"/>
  <c r="O53" i="29"/>
  <c r="R53" i="30"/>
  <c r="R53" i="31"/>
  <c r="R53" i="32"/>
  <c r="O46" i="29"/>
  <c r="R46" i="30"/>
  <c r="R46" i="31"/>
  <c r="R46" i="32"/>
  <c r="P46" i="29"/>
  <c r="S46" i="30"/>
  <c r="S46" i="31"/>
  <c r="S46" i="32"/>
  <c r="R47" i="30"/>
  <c r="V47" i="30" s="1"/>
  <c r="R47" i="31"/>
  <c r="V47" i="31" s="1"/>
  <c r="R47" i="32"/>
  <c r="V47" i="32" s="1"/>
  <c r="O47" i="29"/>
  <c r="R47" i="29" s="1"/>
  <c r="R20" i="29"/>
  <c r="N17" i="29"/>
  <c r="N44" i="28"/>
  <c r="Q17" i="28"/>
  <c r="N31" i="28"/>
  <c r="P53" i="28"/>
  <c r="P26" i="29"/>
  <c r="S26" i="29" s="1"/>
  <c r="O55" i="29"/>
  <c r="R55" i="30"/>
  <c r="R55" i="31"/>
  <c r="R55" i="32"/>
  <c r="S55" i="31"/>
  <c r="S55" i="30"/>
  <c r="S55" i="32"/>
  <c r="P55" i="29"/>
  <c r="S44" i="30"/>
  <c r="W44" i="30" s="1"/>
  <c r="S44" i="31"/>
  <c r="S44" i="32"/>
  <c r="P44" i="29"/>
  <c r="S44" i="29"/>
  <c r="R41" i="29"/>
  <c r="Q41" i="29"/>
  <c r="M19" i="29"/>
  <c r="Q40" i="27"/>
  <c r="O50" i="29"/>
  <c r="R50" i="30"/>
  <c r="R50" i="31"/>
  <c r="R50" i="32"/>
  <c r="S52" i="30"/>
  <c r="S52" i="31"/>
  <c r="S52" i="32"/>
  <c r="P52" i="29"/>
  <c r="P47" i="29"/>
  <c r="S47" i="29" s="1"/>
  <c r="S47" i="30"/>
  <c r="W47" i="30" s="1"/>
  <c r="S47" i="31"/>
  <c r="W47" i="31" s="1"/>
  <c r="S47" i="32"/>
  <c r="W47" i="32" s="1"/>
  <c r="S20" i="29"/>
  <c r="Q55" i="30"/>
  <c r="Q55" i="31"/>
  <c r="Q55" i="32"/>
  <c r="N55" i="29"/>
  <c r="W44" i="32"/>
  <c r="R49" i="30"/>
  <c r="R49" i="31"/>
  <c r="R49" i="32"/>
  <c r="O49" i="29"/>
  <c r="S49" i="30"/>
  <c r="S49" i="31"/>
  <c r="S49" i="32"/>
  <c r="P49" i="29"/>
  <c r="V41" i="32"/>
  <c r="U41" i="32"/>
  <c r="M50" i="29"/>
  <c r="P50" i="31"/>
  <c r="P50" i="30"/>
  <c r="P50" i="32"/>
  <c r="R23" i="29"/>
  <c r="Q23" i="29"/>
  <c r="R53" i="28"/>
  <c r="S53" i="28"/>
  <c r="M28" i="29"/>
  <c r="Q28" i="28"/>
  <c r="S28" i="28"/>
  <c r="R28" i="28"/>
  <c r="M55" i="28"/>
  <c r="N46" i="29"/>
  <c r="Q46" i="30"/>
  <c r="Q46" i="31"/>
  <c r="Q46" i="32"/>
  <c r="V44" i="31"/>
  <c r="W44" i="31"/>
  <c r="Q43" i="27"/>
  <c r="R43" i="27"/>
  <c r="S43" i="27"/>
  <c r="S22" i="28"/>
  <c r="M22" i="29"/>
  <c r="Q22" i="28"/>
  <c r="R22" i="28"/>
  <c r="M49" i="28"/>
  <c r="V41" i="31"/>
  <c r="U41" i="31"/>
  <c r="Q52" i="30"/>
  <c r="Q52" i="31"/>
  <c r="Q52" i="32"/>
  <c r="N52" i="29"/>
  <c r="S50" i="28"/>
  <c r="R50" i="28"/>
  <c r="Q50" i="28"/>
  <c r="R13" i="29"/>
  <c r="P40" i="30"/>
  <c r="P40" i="31"/>
  <c r="P40" i="32"/>
  <c r="M40" i="29"/>
  <c r="Q56" i="30"/>
  <c r="Q56" i="31"/>
  <c r="Q56" i="32"/>
  <c r="N56" i="29"/>
  <c r="P31" i="28"/>
  <c r="P14" i="29"/>
  <c r="P41" i="28"/>
  <c r="S14" i="28"/>
  <c r="M43" i="28"/>
  <c r="M16" i="29"/>
  <c r="S16" i="28"/>
  <c r="R16" i="28"/>
  <c r="Q16" i="28"/>
  <c r="O43" i="29"/>
  <c r="R43" i="30"/>
  <c r="R43" i="32"/>
  <c r="R43" i="31"/>
  <c r="S56" i="30"/>
  <c r="S56" i="31"/>
  <c r="S56" i="32"/>
  <c r="P56" i="29"/>
  <c r="O56" i="29"/>
  <c r="R56" i="30"/>
  <c r="R56" i="31"/>
  <c r="R56" i="32"/>
  <c r="S25" i="27"/>
  <c r="Q25" i="27"/>
  <c r="R25" i="27"/>
  <c r="M52" i="27"/>
  <c r="M57" i="27" s="1"/>
  <c r="M25" i="28"/>
  <c r="V41" i="30"/>
  <c r="U41" i="30"/>
  <c r="O44" i="29"/>
  <c r="O58" i="29" s="1"/>
  <c r="R44" i="30"/>
  <c r="R44" i="31"/>
  <c r="R44" i="32"/>
  <c r="V44" i="32" s="1"/>
  <c r="S26" i="28"/>
  <c r="S55" i="27"/>
  <c r="R55" i="27"/>
  <c r="Q55" i="27"/>
  <c r="Q40" i="28"/>
  <c r="S40" i="28"/>
  <c r="R40" i="28"/>
  <c r="P43" i="29"/>
  <c r="S43" i="30"/>
  <c r="S43" i="31"/>
  <c r="S43" i="32"/>
  <c r="Q49" i="30"/>
  <c r="Q49" i="32"/>
  <c r="Q49" i="31"/>
  <c r="N49" i="29"/>
  <c r="S23" i="29"/>
  <c r="S50" i="30"/>
  <c r="S50" i="31"/>
  <c r="S50" i="32"/>
  <c r="P50" i="29"/>
  <c r="O31" i="29"/>
  <c r="N40" i="28"/>
  <c r="N57" i="28" s="1"/>
  <c r="N13" i="29"/>
  <c r="Q13" i="29" s="1"/>
  <c r="N30" i="28"/>
  <c r="Q49" i="27"/>
  <c r="S49" i="27"/>
  <c r="R49" i="27"/>
  <c r="S52" i="26"/>
  <c r="R52" i="26"/>
  <c r="Q52" i="26"/>
  <c r="N43" i="29"/>
  <c r="Q43" i="31"/>
  <c r="Q43" i="30"/>
  <c r="Q43" i="32"/>
  <c r="P53" i="31"/>
  <c r="P53" i="30"/>
  <c r="P53" i="32"/>
  <c r="R26" i="29"/>
  <c r="M53" i="29"/>
  <c r="P58" i="27"/>
  <c r="S41" i="27"/>
  <c r="N50" i="29"/>
  <c r="Q50" i="30"/>
  <c r="Q50" i="31"/>
  <c r="Q50" i="32"/>
  <c r="S17" i="29"/>
  <c r="S19" i="28"/>
  <c r="M46" i="28"/>
  <c r="Q19" i="28"/>
  <c r="R19" i="28"/>
  <c r="M29" i="28"/>
  <c r="M29" i="29" s="1"/>
  <c r="S31" i="26"/>
  <c r="Q31" i="26"/>
  <c r="R31" i="26"/>
  <c r="M56" i="27"/>
  <c r="M58" i="27" s="1"/>
  <c r="R29" i="27"/>
  <c r="S29" i="27"/>
  <c r="Q29" i="27"/>
  <c r="S56" i="26"/>
  <c r="R56" i="26"/>
  <c r="Q56" i="26"/>
  <c r="M58" i="26"/>
  <c r="Q46" i="27"/>
  <c r="R46" i="27"/>
  <c r="S46" i="27"/>
  <c r="S57" i="26"/>
  <c r="Q57" i="26"/>
  <c r="R57" i="26"/>
  <c r="S30" i="27"/>
  <c r="R30" i="27"/>
  <c r="Q30" i="27"/>
  <c r="R57" i="21"/>
  <c r="Q57" i="21"/>
  <c r="S57" i="21"/>
  <c r="R31" i="22"/>
  <c r="Q31" i="22"/>
  <c r="S31" i="22"/>
  <c r="S52" i="22"/>
  <c r="Q52" i="22"/>
  <c r="R52" i="22"/>
  <c r="S58" i="21"/>
  <c r="Q58" i="21"/>
  <c r="R58" i="21"/>
  <c r="Q56" i="22"/>
  <c r="S56" i="22"/>
  <c r="R56" i="22"/>
  <c r="M58" i="22"/>
  <c r="M57" i="22"/>
  <c r="J28" i="10"/>
  <c r="O28" i="10"/>
  <c r="N28" i="10"/>
  <c r="O57" i="29" l="1"/>
  <c r="R57" i="30"/>
  <c r="R58" i="31"/>
  <c r="R58" i="30"/>
  <c r="R57" i="32"/>
  <c r="R58" i="32"/>
  <c r="V53" i="31"/>
  <c r="P41" i="29"/>
  <c r="S41" i="30"/>
  <c r="S41" i="31"/>
  <c r="S41" i="32"/>
  <c r="P31" i="29"/>
  <c r="S14" i="29"/>
  <c r="P55" i="30"/>
  <c r="P55" i="31"/>
  <c r="M55" i="29"/>
  <c r="S28" i="29"/>
  <c r="R28" i="29"/>
  <c r="Q28" i="29"/>
  <c r="W50" i="30"/>
  <c r="V50" i="30"/>
  <c r="U50" i="30"/>
  <c r="M43" i="29"/>
  <c r="P43" i="30"/>
  <c r="P43" i="31"/>
  <c r="P43" i="32"/>
  <c r="R16" i="29"/>
  <c r="Q16" i="29"/>
  <c r="S16" i="29"/>
  <c r="W50" i="31"/>
  <c r="U50" i="31"/>
  <c r="V50" i="31"/>
  <c r="P53" i="29"/>
  <c r="S53" i="29" s="1"/>
  <c r="S53" i="30"/>
  <c r="W53" i="30" s="1"/>
  <c r="S53" i="31"/>
  <c r="W53" i="31" s="1"/>
  <c r="S53" i="32"/>
  <c r="W53" i="32" s="1"/>
  <c r="Q53" i="30"/>
  <c r="U53" i="30" s="1"/>
  <c r="Q53" i="31"/>
  <c r="U53" i="31" s="1"/>
  <c r="Q53" i="32"/>
  <c r="U53" i="32" s="1"/>
  <c r="N53" i="29"/>
  <c r="Q53" i="29" s="1"/>
  <c r="P58" i="28"/>
  <c r="S41" i="28"/>
  <c r="S43" i="28"/>
  <c r="R43" i="28"/>
  <c r="Q43" i="28"/>
  <c r="V44" i="30"/>
  <c r="R50" i="29"/>
  <c r="Q50" i="29"/>
  <c r="S50" i="29"/>
  <c r="R44" i="29"/>
  <c r="R53" i="29"/>
  <c r="R40" i="29"/>
  <c r="P49" i="30"/>
  <c r="P49" i="31"/>
  <c r="U49" i="31" s="1"/>
  <c r="P49" i="32"/>
  <c r="R22" i="29"/>
  <c r="S22" i="29"/>
  <c r="Q22" i="29"/>
  <c r="M49" i="29"/>
  <c r="V40" i="32"/>
  <c r="S49" i="28"/>
  <c r="Q49" i="28"/>
  <c r="R49" i="28"/>
  <c r="Q55" i="28"/>
  <c r="S55" i="28"/>
  <c r="R55" i="28"/>
  <c r="R57" i="31"/>
  <c r="V50" i="32"/>
  <c r="U50" i="32"/>
  <c r="W50" i="32"/>
  <c r="N40" i="29"/>
  <c r="N57" i="29" s="1"/>
  <c r="Q40" i="31"/>
  <c r="Q57" i="31" s="1"/>
  <c r="Q40" i="30"/>
  <c r="Q57" i="30" s="1"/>
  <c r="Q40" i="32"/>
  <c r="N30" i="29"/>
  <c r="S25" i="28"/>
  <c r="M25" i="29"/>
  <c r="R25" i="28"/>
  <c r="M52" i="28"/>
  <c r="Q25" i="28"/>
  <c r="V40" i="31"/>
  <c r="U40" i="31"/>
  <c r="P46" i="30"/>
  <c r="P46" i="31"/>
  <c r="P46" i="32"/>
  <c r="M46" i="29"/>
  <c r="R19" i="29"/>
  <c r="Q19" i="29"/>
  <c r="S19" i="29"/>
  <c r="Q44" i="28"/>
  <c r="N58" i="28"/>
  <c r="V53" i="30"/>
  <c r="P56" i="30"/>
  <c r="P56" i="31"/>
  <c r="V53" i="32"/>
  <c r="Q52" i="27"/>
  <c r="R52" i="27"/>
  <c r="S52" i="27"/>
  <c r="V40" i="30"/>
  <c r="U40" i="30"/>
  <c r="M30" i="28"/>
  <c r="Q44" i="30"/>
  <c r="Q44" i="31"/>
  <c r="Q44" i="32"/>
  <c r="N44" i="29"/>
  <c r="N31" i="29"/>
  <c r="Q17" i="29"/>
  <c r="Q29" i="28"/>
  <c r="M31" i="28"/>
  <c r="S31" i="28" s="1"/>
  <c r="R29" i="28"/>
  <c r="M56" i="28"/>
  <c r="M58" i="28" s="1"/>
  <c r="Q46" i="28"/>
  <c r="R46" i="28"/>
  <c r="S46" i="28"/>
  <c r="S29" i="28"/>
  <c r="R31" i="27"/>
  <c r="S31" i="27"/>
  <c r="Q31" i="27"/>
  <c r="S58" i="26"/>
  <c r="R58" i="26"/>
  <c r="Q58" i="26"/>
  <c r="R56" i="27"/>
  <c r="Q56" i="27"/>
  <c r="S56" i="27"/>
  <c r="R57" i="27"/>
  <c r="Q57" i="27"/>
  <c r="S57" i="27"/>
  <c r="Q58" i="22"/>
  <c r="R58" i="22"/>
  <c r="S58" i="22"/>
  <c r="R57" i="22"/>
  <c r="Q57" i="22"/>
  <c r="S57" i="22"/>
  <c r="P28" i="9"/>
  <c r="L28" i="9"/>
  <c r="H28" i="9"/>
  <c r="G28" i="9"/>
  <c r="F28" i="9"/>
  <c r="Q27" i="9"/>
  <c r="P27" i="9"/>
  <c r="M27" i="9"/>
  <c r="L27" i="9"/>
  <c r="K27" i="9"/>
  <c r="H27" i="9"/>
  <c r="G27" i="9"/>
  <c r="F27" i="9"/>
  <c r="O26" i="9"/>
  <c r="J26" i="9"/>
  <c r="O25" i="9"/>
  <c r="N25" i="9"/>
  <c r="J25" i="9"/>
  <c r="O23" i="9"/>
  <c r="N23" i="9"/>
  <c r="J23" i="9"/>
  <c r="O22" i="9"/>
  <c r="N22" i="9"/>
  <c r="J22" i="9"/>
  <c r="O20" i="9"/>
  <c r="N20" i="9"/>
  <c r="J20" i="9"/>
  <c r="O19" i="9"/>
  <c r="N19" i="9"/>
  <c r="J19" i="9"/>
  <c r="O17" i="9"/>
  <c r="N17" i="9"/>
  <c r="M28" i="9"/>
  <c r="J17" i="9"/>
  <c r="O16" i="9"/>
  <c r="N16" i="9"/>
  <c r="J16" i="9"/>
  <c r="O14" i="9"/>
  <c r="N14" i="9"/>
  <c r="J14" i="9"/>
  <c r="O13" i="9"/>
  <c r="N13" i="9"/>
  <c r="J13" i="9"/>
  <c r="O11" i="9"/>
  <c r="N11" i="9"/>
  <c r="J11" i="9"/>
  <c r="N10" i="9"/>
  <c r="R56" i="28" l="1"/>
  <c r="Q58" i="30"/>
  <c r="U44" i="30"/>
  <c r="U46" i="31"/>
  <c r="V46" i="31"/>
  <c r="W46" i="31"/>
  <c r="Q40" i="29"/>
  <c r="W43" i="32"/>
  <c r="U43" i="32"/>
  <c r="V43" i="32"/>
  <c r="S58" i="31"/>
  <c r="W41" i="31"/>
  <c r="S30" i="28"/>
  <c r="R30" i="28"/>
  <c r="Q30" i="28"/>
  <c r="W46" i="30"/>
  <c r="V46" i="30"/>
  <c r="U46" i="30"/>
  <c r="P52" i="30"/>
  <c r="P52" i="31"/>
  <c r="P52" i="32"/>
  <c r="S25" i="29"/>
  <c r="M52" i="29"/>
  <c r="M57" i="29" s="1"/>
  <c r="R25" i="29"/>
  <c r="Q25" i="29"/>
  <c r="U43" i="31"/>
  <c r="W43" i="31"/>
  <c r="S58" i="30"/>
  <c r="W41" i="30"/>
  <c r="Q52" i="28"/>
  <c r="R52" i="28"/>
  <c r="S52" i="28"/>
  <c r="V49" i="32"/>
  <c r="W49" i="32"/>
  <c r="U49" i="32"/>
  <c r="W43" i="30"/>
  <c r="V43" i="30"/>
  <c r="U43" i="30"/>
  <c r="R55" i="29"/>
  <c r="Q55" i="29"/>
  <c r="S55" i="29"/>
  <c r="P58" i="29"/>
  <c r="S41" i="29"/>
  <c r="P57" i="30"/>
  <c r="V49" i="31"/>
  <c r="W49" i="31"/>
  <c r="R43" i="29"/>
  <c r="Q43" i="29"/>
  <c r="S43" i="29"/>
  <c r="U55" i="31"/>
  <c r="W55" i="31"/>
  <c r="V55" i="31"/>
  <c r="V56" i="31"/>
  <c r="W56" i="31"/>
  <c r="U56" i="31"/>
  <c r="U40" i="32"/>
  <c r="Q57" i="32"/>
  <c r="W49" i="30"/>
  <c r="V49" i="30"/>
  <c r="U49" i="30"/>
  <c r="M30" i="29"/>
  <c r="W55" i="30"/>
  <c r="V55" i="30"/>
  <c r="U55" i="30"/>
  <c r="U44" i="31"/>
  <c r="Q58" i="31"/>
  <c r="S58" i="32"/>
  <c r="W41" i="32"/>
  <c r="Q44" i="29"/>
  <c r="N58" i="29"/>
  <c r="U56" i="30"/>
  <c r="V56" i="30"/>
  <c r="W56" i="30"/>
  <c r="M57" i="28"/>
  <c r="P58" i="31"/>
  <c r="V43" i="31"/>
  <c r="W46" i="32"/>
  <c r="V46" i="32"/>
  <c r="U46" i="32"/>
  <c r="U44" i="32"/>
  <c r="Q58" i="32"/>
  <c r="Q46" i="29"/>
  <c r="S46" i="29"/>
  <c r="R46" i="29"/>
  <c r="Q49" i="29"/>
  <c r="R49" i="29"/>
  <c r="S49" i="29"/>
  <c r="P58" i="30"/>
  <c r="Q56" i="28"/>
  <c r="Q31" i="28"/>
  <c r="R31" i="28"/>
  <c r="M56" i="29"/>
  <c r="S29" i="29"/>
  <c r="R29" i="29"/>
  <c r="Q29" i="29"/>
  <c r="M31" i="29"/>
  <c r="S56" i="28"/>
  <c r="S58" i="28"/>
  <c r="Q58" i="28"/>
  <c r="R58" i="28"/>
  <c r="S58" i="27"/>
  <c r="R58" i="27"/>
  <c r="Q58" i="27"/>
  <c r="J27" i="9"/>
  <c r="I27" i="9"/>
  <c r="J28" i="9"/>
  <c r="I28" i="9"/>
  <c r="Q28" i="9"/>
  <c r="O27" i="9"/>
  <c r="N27" i="9"/>
  <c r="N26" i="9"/>
  <c r="K28" i="9"/>
  <c r="Q27" i="1"/>
  <c r="I26" i="1"/>
  <c r="I17" i="1"/>
  <c r="R57" i="29" l="1"/>
  <c r="Q57" i="29"/>
  <c r="W52" i="32"/>
  <c r="V52" i="32"/>
  <c r="U52" i="32"/>
  <c r="V57" i="30"/>
  <c r="U57" i="30"/>
  <c r="V52" i="31"/>
  <c r="U52" i="31"/>
  <c r="W52" i="31"/>
  <c r="S52" i="29"/>
  <c r="R52" i="29"/>
  <c r="Q52" i="29"/>
  <c r="R30" i="29"/>
  <c r="Q30" i="29"/>
  <c r="S57" i="28"/>
  <c r="R57" i="28"/>
  <c r="Q57" i="28"/>
  <c r="U52" i="30"/>
  <c r="V52" i="30"/>
  <c r="W52" i="30"/>
  <c r="U58" i="31"/>
  <c r="W58" i="31"/>
  <c r="V58" i="31"/>
  <c r="W58" i="30"/>
  <c r="U58" i="30"/>
  <c r="V58" i="30"/>
  <c r="P57" i="31"/>
  <c r="S31" i="29"/>
  <c r="R31" i="29"/>
  <c r="Q31" i="29"/>
  <c r="S56" i="29"/>
  <c r="R56" i="29"/>
  <c r="Q56" i="29"/>
  <c r="M58" i="29"/>
  <c r="Q28" i="1"/>
  <c r="O28" i="9"/>
  <c r="N28" i="9"/>
  <c r="O26" i="1"/>
  <c r="N26" i="1"/>
  <c r="O25" i="1"/>
  <c r="N25" i="1"/>
  <c r="O23" i="1"/>
  <c r="N23" i="1"/>
  <c r="O22" i="1"/>
  <c r="N22" i="1"/>
  <c r="O20" i="1"/>
  <c r="N20" i="1"/>
  <c r="O19" i="1"/>
  <c r="N19" i="1"/>
  <c r="O17" i="1"/>
  <c r="N17" i="1"/>
  <c r="O16" i="1"/>
  <c r="N16" i="1"/>
  <c r="O14" i="1"/>
  <c r="N14" i="1"/>
  <c r="O13" i="1"/>
  <c r="N13" i="1"/>
  <c r="N11" i="1"/>
  <c r="O11" i="1"/>
  <c r="O10" i="1"/>
  <c r="N10" i="1"/>
  <c r="J10" i="1"/>
  <c r="U57" i="31" l="1"/>
  <c r="V57" i="31"/>
  <c r="R58" i="29"/>
  <c r="S58" i="29"/>
  <c r="Q58" i="29"/>
  <c r="M28" i="1"/>
  <c r="L28" i="1"/>
  <c r="K28" i="1"/>
  <c r="M27" i="1"/>
  <c r="L27" i="1"/>
  <c r="K27" i="1"/>
  <c r="H27" i="1"/>
  <c r="G27" i="1"/>
  <c r="G28" i="1"/>
  <c r="H28" i="1"/>
  <c r="F28" i="1"/>
  <c r="F27" i="1"/>
  <c r="J14" i="1"/>
  <c r="J13" i="1"/>
  <c r="I27" i="1" l="1"/>
  <c r="I28" i="1"/>
  <c r="J27" i="1"/>
  <c r="J28" i="1"/>
  <c r="O27" i="1"/>
  <c r="N27" i="1"/>
  <c r="N28" i="1"/>
  <c r="O28" i="1"/>
  <c r="J25" i="1"/>
  <c r="J16" i="1"/>
  <c r="J17" i="1"/>
  <c r="J19" i="1"/>
  <c r="J20" i="1"/>
  <c r="J22" i="1"/>
  <c r="J23" i="1"/>
  <c r="J26" i="1"/>
  <c r="J11" i="1"/>
  <c r="H11" i="14" l="1"/>
  <c r="H28" i="14" s="1"/>
  <c r="H10" i="14"/>
  <c r="H27" i="14" s="1"/>
  <c r="J25" i="14" l="1"/>
  <c r="J26" i="14" l="1"/>
  <c r="I26" i="14"/>
  <c r="I25" i="14"/>
  <c r="N25" i="14"/>
  <c r="O26" i="14"/>
  <c r="N26" i="14"/>
  <c r="O25" i="14" l="1"/>
  <c r="J14" i="14" l="1"/>
  <c r="I13" i="14"/>
  <c r="J19" i="14"/>
  <c r="I19" i="14"/>
  <c r="J20" i="14"/>
  <c r="I20" i="14"/>
  <c r="J22" i="14"/>
  <c r="I22" i="14"/>
  <c r="I16" i="14"/>
  <c r="J16" i="14"/>
  <c r="J10" i="14"/>
  <c r="I10" i="14"/>
  <c r="F27" i="14"/>
  <c r="J23" i="14"/>
  <c r="I23" i="14"/>
  <c r="J11" i="14"/>
  <c r="I11" i="14"/>
  <c r="I17" i="14"/>
  <c r="J17" i="14"/>
  <c r="F28" i="14" l="1"/>
  <c r="I28" i="14" s="1"/>
  <c r="I14" i="14"/>
  <c r="O14" i="14"/>
  <c r="J13" i="14"/>
  <c r="O17" i="14"/>
  <c r="N17" i="14"/>
  <c r="N23" i="14"/>
  <c r="O23" i="14"/>
  <c r="N16" i="14"/>
  <c r="O16" i="14"/>
  <c r="O20" i="14"/>
  <c r="N20" i="14"/>
  <c r="O11" i="14"/>
  <c r="N11" i="14"/>
  <c r="J27" i="14"/>
  <c r="I27" i="14"/>
  <c r="O22" i="14"/>
  <c r="N22" i="14"/>
  <c r="N19" i="14"/>
  <c r="O19" i="14"/>
  <c r="N10" i="14"/>
  <c r="O10" i="14"/>
  <c r="O13" i="14" l="1"/>
  <c r="N13" i="14"/>
  <c r="J28" i="14"/>
  <c r="N14" i="14"/>
  <c r="O27" i="14"/>
  <c r="N27" i="14"/>
  <c r="N28" i="14"/>
  <c r="O28" i="14"/>
  <c r="I28" i="16" l="1"/>
  <c r="F28" i="16" l="1"/>
  <c r="K22" i="15"/>
  <c r="R22" i="15"/>
  <c r="L22" i="15"/>
  <c r="L20" i="16"/>
  <c r="K20" i="16"/>
  <c r="P27" i="15"/>
  <c r="K17" i="16"/>
  <c r="L17" i="16"/>
  <c r="I27" i="15"/>
  <c r="P27" i="16"/>
  <c r="K13" i="16"/>
  <c r="L13" i="16"/>
  <c r="K17" i="15"/>
  <c r="L17" i="15"/>
  <c r="L14" i="16"/>
  <c r="K14" i="16"/>
  <c r="L13" i="15"/>
  <c r="K13" i="15"/>
  <c r="K14" i="15"/>
  <c r="L14" i="15"/>
  <c r="L19" i="15"/>
  <c r="K19" i="15"/>
  <c r="K16" i="15"/>
  <c r="L16" i="15"/>
  <c r="P28" i="15"/>
  <c r="K10" i="15"/>
  <c r="L10" i="15"/>
  <c r="F27" i="15"/>
  <c r="L19" i="16"/>
  <c r="K19" i="16"/>
  <c r="L16" i="16"/>
  <c r="K16" i="16"/>
  <c r="I28" i="15"/>
  <c r="P28" i="16"/>
  <c r="I27" i="16"/>
  <c r="L10" i="16"/>
  <c r="K10" i="16"/>
  <c r="F28" i="15"/>
  <c r="R23" i="15"/>
  <c r="K23" i="15"/>
  <c r="L23" i="15"/>
  <c r="K11" i="15"/>
  <c r="S11" i="15"/>
  <c r="L11" i="15"/>
  <c r="L22" i="16"/>
  <c r="K22" i="16"/>
  <c r="K23" i="16"/>
  <c r="L23" i="16"/>
  <c r="K20" i="15"/>
  <c r="L20" i="15"/>
  <c r="L11" i="16"/>
  <c r="K11" i="16"/>
  <c r="S22" i="15" l="1"/>
  <c r="S22" i="16"/>
  <c r="R22" i="16"/>
  <c r="R16" i="15"/>
  <c r="S16" i="15"/>
  <c r="S20" i="16"/>
  <c r="R20" i="16"/>
  <c r="R20" i="15"/>
  <c r="S20" i="15"/>
  <c r="S10" i="16"/>
  <c r="R10" i="16"/>
  <c r="R10" i="15"/>
  <c r="R14" i="16"/>
  <c r="S14" i="16"/>
  <c r="L25" i="16"/>
  <c r="K25" i="16"/>
  <c r="R19" i="15"/>
  <c r="S19" i="15"/>
  <c r="R13" i="15"/>
  <c r="S13" i="15"/>
  <c r="S10" i="15"/>
  <c r="L28" i="16"/>
  <c r="K28" i="16"/>
  <c r="S11" i="16"/>
  <c r="R11" i="16"/>
  <c r="L26" i="16"/>
  <c r="K26" i="16"/>
  <c r="K28" i="15"/>
  <c r="L28" i="15"/>
  <c r="K26" i="15"/>
  <c r="M28" i="15"/>
  <c r="R28" i="15" s="1"/>
  <c r="L26" i="15"/>
  <c r="R19" i="16"/>
  <c r="S19" i="16"/>
  <c r="R17" i="15"/>
  <c r="S17" i="15"/>
  <c r="R23" i="16"/>
  <c r="S23" i="16"/>
  <c r="R17" i="16"/>
  <c r="S17" i="16"/>
  <c r="K25" i="15"/>
  <c r="M27" i="15"/>
  <c r="L25" i="15"/>
  <c r="R11" i="15"/>
  <c r="F27" i="16"/>
  <c r="R16" i="16"/>
  <c r="S16" i="16"/>
  <c r="K27" i="15"/>
  <c r="L27" i="15"/>
  <c r="R14" i="15"/>
  <c r="S14" i="15"/>
  <c r="R13" i="16"/>
  <c r="S13" i="16"/>
  <c r="S23" i="15"/>
  <c r="R27" i="15" l="1"/>
  <c r="S27" i="15"/>
  <c r="K27" i="16"/>
  <c r="L27" i="16"/>
  <c r="S28" i="15"/>
  <c r="S26" i="16"/>
  <c r="R26" i="16"/>
  <c r="R26" i="15"/>
  <c r="S26" i="15"/>
  <c r="R25" i="16"/>
  <c r="S25" i="16"/>
  <c r="R25" i="15"/>
  <c r="S25" i="15"/>
  <c r="M28" i="16"/>
  <c r="M27" i="16"/>
  <c r="S27" i="16" l="1"/>
  <c r="R27" i="16"/>
  <c r="R28" i="16"/>
  <c r="S28" i="16"/>
  <c r="G28" i="16" l="1"/>
  <c r="J28" i="16" s="1"/>
  <c r="G27" i="16"/>
  <c r="J27" i="16" s="1"/>
  <c r="Q23" i="16"/>
  <c r="J23" i="16"/>
  <c r="Q20" i="16"/>
  <c r="J20" i="16"/>
  <c r="Q22" i="16"/>
  <c r="J22" i="16"/>
  <c r="Q14" i="15"/>
  <c r="J14" i="15"/>
  <c r="Q14" i="16"/>
  <c r="J14" i="16"/>
  <c r="Q17" i="15"/>
  <c r="J17" i="15"/>
  <c r="Q20" i="15"/>
  <c r="J20" i="15"/>
  <c r="Q13" i="15"/>
  <c r="J13" i="15"/>
  <c r="J10" i="16"/>
  <c r="J10" i="15"/>
  <c r="J11" i="15"/>
  <c r="Q16" i="15"/>
  <c r="J16" i="15"/>
  <c r="Q19" i="15"/>
  <c r="J19" i="15"/>
  <c r="Q23" i="15"/>
  <c r="J23" i="15"/>
  <c r="G27" i="15"/>
  <c r="J27" i="15" s="1"/>
  <c r="Q22" i="15"/>
  <c r="J22" i="15"/>
  <c r="Q13" i="16"/>
  <c r="J13" i="16"/>
  <c r="Q17" i="16"/>
  <c r="J17" i="16"/>
  <c r="J11" i="16"/>
  <c r="Q16" i="16"/>
  <c r="J16" i="16"/>
  <c r="Q19" i="16"/>
  <c r="J19" i="16"/>
  <c r="Q26" i="15" l="1"/>
  <c r="J26" i="15"/>
  <c r="Q10" i="15"/>
  <c r="Q25" i="16"/>
  <c r="J25" i="16"/>
  <c r="Q11" i="16"/>
  <c r="Q25" i="15"/>
  <c r="J25" i="15"/>
  <c r="Q10" i="16"/>
  <c r="G28" i="15"/>
  <c r="J28" i="15" s="1"/>
  <c r="Q26" i="16"/>
  <c r="J26" i="16"/>
  <c r="Q11" i="15"/>
  <c r="N28" i="16" l="1"/>
  <c r="Q28" i="16" s="1"/>
  <c r="N27" i="15"/>
  <c r="Q27" i="15" s="1"/>
  <c r="N28" i="15"/>
  <c r="Q28" i="15" s="1"/>
  <c r="N27" i="16"/>
  <c r="Q27" i="16" s="1"/>
  <c r="I40" i="29" l="1"/>
  <c r="I57" i="29" s="1"/>
  <c r="L57" i="29" s="1"/>
  <c r="L40" i="29"/>
  <c r="I30" i="29"/>
  <c r="L30" i="29" s="1"/>
  <c r="P13" i="29"/>
  <c r="L13" i="29"/>
  <c r="S40" i="30" l="1"/>
  <c r="S40" i="31"/>
  <c r="S40" i="32"/>
  <c r="S13" i="29"/>
  <c r="P40" i="29"/>
  <c r="P30" i="29"/>
  <c r="S30" i="29" s="1"/>
  <c r="S57" i="32" l="1"/>
  <c r="W40" i="32"/>
  <c r="S57" i="31"/>
  <c r="W57" i="31" s="1"/>
  <c r="W40" i="31"/>
  <c r="S57" i="30"/>
  <c r="W57" i="30" s="1"/>
  <c r="W40" i="30"/>
  <c r="P57" i="29"/>
  <c r="S57" i="29" s="1"/>
  <c r="S40" i="29"/>
  <c r="O13" i="34" l="1"/>
  <c r="O13" i="35" s="1"/>
  <c r="O13" i="36" l="1"/>
  <c r="O13" i="37" s="1"/>
  <c r="O13" i="38" s="1"/>
  <c r="V13" i="35"/>
  <c r="V13" i="34"/>
  <c r="F56" i="32"/>
  <c r="O29" i="32"/>
  <c r="N29" i="32"/>
  <c r="M29" i="32"/>
  <c r="L29" i="32"/>
  <c r="K29" i="32"/>
  <c r="F31" i="32"/>
  <c r="N28" i="32"/>
  <c r="O28" i="32"/>
  <c r="L28" i="32"/>
  <c r="F55" i="32"/>
  <c r="F30" i="32"/>
  <c r="K28" i="32"/>
  <c r="M28" i="32"/>
  <c r="F37" i="33"/>
  <c r="L13" i="33"/>
  <c r="K13" i="33"/>
  <c r="M13" i="33"/>
  <c r="O14" i="34"/>
  <c r="O14" i="35" s="1"/>
  <c r="O13" i="40" l="1"/>
  <c r="V13" i="38"/>
  <c r="V13" i="37"/>
  <c r="V14" i="35"/>
  <c r="O14" i="36"/>
  <c r="O14" i="37" s="1"/>
  <c r="O14" i="38" s="1"/>
  <c r="V13" i="36"/>
  <c r="V14" i="34"/>
  <c r="M30" i="32"/>
  <c r="N30" i="32"/>
  <c r="L30" i="32"/>
  <c r="K30" i="32"/>
  <c r="M31" i="32"/>
  <c r="K31" i="32"/>
  <c r="N31" i="32"/>
  <c r="L31" i="32"/>
  <c r="L55" i="32"/>
  <c r="F57" i="32"/>
  <c r="K55" i="32"/>
  <c r="M55" i="32"/>
  <c r="N55" i="32"/>
  <c r="V29" i="32"/>
  <c r="P56" i="32"/>
  <c r="O31" i="32"/>
  <c r="T29" i="32"/>
  <c r="W29" i="32"/>
  <c r="U29" i="32"/>
  <c r="V28" i="32"/>
  <c r="U28" i="32"/>
  <c r="T28" i="32"/>
  <c r="P55" i="32"/>
  <c r="W28" i="32"/>
  <c r="O30" i="32"/>
  <c r="M56" i="32"/>
  <c r="N56" i="32"/>
  <c r="L56" i="32"/>
  <c r="K56" i="32"/>
  <c r="F58" i="32"/>
  <c r="M26" i="33"/>
  <c r="F50" i="33"/>
  <c r="L14" i="33"/>
  <c r="K14" i="33"/>
  <c r="F38" i="33"/>
  <c r="M14" i="33"/>
  <c r="V13" i="33"/>
  <c r="M37" i="33"/>
  <c r="L37" i="33"/>
  <c r="K37" i="33"/>
  <c r="O14" i="40" l="1"/>
  <c r="V14" i="38"/>
  <c r="O13" i="41"/>
  <c r="V13" i="40"/>
  <c r="V14" i="37"/>
  <c r="V14" i="36"/>
  <c r="V55" i="32"/>
  <c r="U55" i="32"/>
  <c r="W55" i="32"/>
  <c r="P57" i="32"/>
  <c r="P58" i="32"/>
  <c r="W56" i="32"/>
  <c r="V56" i="32"/>
  <c r="U56" i="32"/>
  <c r="N58" i="32"/>
  <c r="K58" i="32"/>
  <c r="M58" i="32"/>
  <c r="L58" i="32"/>
  <c r="K57" i="32"/>
  <c r="M57" i="32"/>
  <c r="N57" i="32"/>
  <c r="L57" i="32"/>
  <c r="U31" i="32"/>
  <c r="W31" i="32"/>
  <c r="V31" i="32"/>
  <c r="T31" i="32"/>
  <c r="W30" i="32"/>
  <c r="V30" i="32"/>
  <c r="U30" i="32"/>
  <c r="T30" i="32"/>
  <c r="M50" i="33"/>
  <c r="V26" i="33"/>
  <c r="V14" i="33"/>
  <c r="M38" i="33"/>
  <c r="K38" i="33"/>
  <c r="L38" i="33"/>
  <c r="W37" i="33"/>
  <c r="O13" i="43" l="1"/>
  <c r="V13" i="41"/>
  <c r="O14" i="41"/>
  <c r="V14" i="40"/>
  <c r="V58" i="32"/>
  <c r="W58" i="32"/>
  <c r="U58" i="32"/>
  <c r="W57" i="32"/>
  <c r="V57" i="32"/>
  <c r="U57" i="32"/>
  <c r="W50" i="33"/>
  <c r="P52" i="33"/>
  <c r="P51" i="33"/>
  <c r="W44" i="33"/>
  <c r="W43" i="33"/>
  <c r="W41" i="33"/>
  <c r="W40" i="33"/>
  <c r="W38" i="33"/>
  <c r="O14" i="43" l="1"/>
  <c r="V14" i="41"/>
  <c r="O13" i="44"/>
  <c r="V13" i="43"/>
  <c r="V47" i="33"/>
  <c r="V46" i="33"/>
  <c r="V13" i="44" l="1"/>
  <c r="O14" i="44"/>
  <c r="V14" i="43"/>
  <c r="H49" i="33"/>
  <c r="H50" i="33"/>
  <c r="L50" i="33" s="1"/>
  <c r="L26" i="33"/>
  <c r="G50" i="33"/>
  <c r="K50" i="33" s="1"/>
  <c r="K26" i="33"/>
  <c r="G49" i="33"/>
  <c r="V14" i="44" l="1"/>
  <c r="T25" i="33"/>
  <c r="M25" i="33"/>
  <c r="F49" i="33"/>
  <c r="K25" i="33"/>
  <c r="K49" i="33"/>
  <c r="L25" i="33"/>
  <c r="V50" i="33"/>
  <c r="U26" i="33"/>
  <c r="U50" i="33"/>
  <c r="T26" i="33"/>
  <c r="U25" i="33" l="1"/>
  <c r="M49" i="33"/>
  <c r="V49" i="33"/>
  <c r="V25" i="33"/>
  <c r="L49" i="33"/>
  <c r="J49" i="33"/>
  <c r="N49" i="33" s="1"/>
  <c r="W25" i="33"/>
  <c r="N25" i="33"/>
  <c r="J50" i="33"/>
  <c r="N50" i="33" s="1"/>
  <c r="W26" i="33"/>
  <c r="N26" i="33"/>
  <c r="U47" i="33"/>
  <c r="U46" i="33"/>
  <c r="V44" i="33"/>
  <c r="V43" i="33"/>
  <c r="U44" i="33"/>
  <c r="U43" i="33"/>
  <c r="V41" i="33"/>
  <c r="V40" i="33"/>
  <c r="U41" i="33"/>
  <c r="U40" i="33"/>
  <c r="V38" i="33"/>
  <c r="V37" i="33"/>
  <c r="U38" i="33"/>
  <c r="U37" i="33"/>
  <c r="Q52" i="33" l="1"/>
  <c r="R51" i="33"/>
  <c r="V51" i="33" s="1"/>
  <c r="Q51" i="33"/>
  <c r="U51" i="33" s="1"/>
  <c r="R52" i="33"/>
  <c r="V52" i="33" s="1"/>
  <c r="W49" i="33"/>
  <c r="U49" i="33"/>
  <c r="U52" i="33"/>
  <c r="J46" i="33" l="1"/>
  <c r="J47" i="33"/>
  <c r="R28" i="33" l="1"/>
  <c r="R23" i="34"/>
  <c r="R27" i="33"/>
  <c r="R22" i="34"/>
  <c r="S52" i="33"/>
  <c r="W52" i="33" s="1"/>
  <c r="W47" i="33"/>
  <c r="I28" i="33"/>
  <c r="I47" i="33"/>
  <c r="I52" i="33" s="1"/>
  <c r="I27" i="33"/>
  <c r="I46" i="33"/>
  <c r="I51" i="33" s="1"/>
  <c r="S51" i="33"/>
  <c r="W51" i="33" s="1"/>
  <c r="W46" i="33"/>
  <c r="R27" i="34" l="1"/>
  <c r="R22" i="35"/>
  <c r="R28" i="34"/>
  <c r="R23" i="35"/>
  <c r="O16" i="34"/>
  <c r="O16" i="35" s="1"/>
  <c r="O17" i="34"/>
  <c r="O17" i="35" s="1"/>
  <c r="R23" i="36" l="1"/>
  <c r="R28" i="35"/>
  <c r="R22" i="36"/>
  <c r="R27" i="35"/>
  <c r="O16" i="36"/>
  <c r="O16" i="37" s="1"/>
  <c r="O16" i="38" s="1"/>
  <c r="V16" i="35"/>
  <c r="O17" i="36"/>
  <c r="O17" i="37" s="1"/>
  <c r="O17" i="38" s="1"/>
  <c r="V17" i="35"/>
  <c r="V16" i="34"/>
  <c r="V17" i="34"/>
  <c r="V20" i="33"/>
  <c r="O20" i="34"/>
  <c r="O20" i="35" s="1"/>
  <c r="V19" i="33"/>
  <c r="O19" i="34"/>
  <c r="O19" i="35" s="1"/>
  <c r="F41" i="33"/>
  <c r="M17" i="33"/>
  <c r="F40" i="33"/>
  <c r="M16" i="33"/>
  <c r="V16" i="33"/>
  <c r="M20" i="33"/>
  <c r="F44" i="33"/>
  <c r="M44" i="33" s="1"/>
  <c r="V17" i="33"/>
  <c r="M19" i="33"/>
  <c r="F43" i="33"/>
  <c r="M43" i="33" s="1"/>
  <c r="O17" i="40" l="1"/>
  <c r="V17" i="38"/>
  <c r="O16" i="40"/>
  <c r="V16" i="38"/>
  <c r="R27" i="36"/>
  <c r="R22" i="37"/>
  <c r="V16" i="37"/>
  <c r="V17" i="37"/>
  <c r="R28" i="36"/>
  <c r="R23" i="37"/>
  <c r="V16" i="36"/>
  <c r="O19" i="36"/>
  <c r="O19" i="37" s="1"/>
  <c r="O19" i="38" s="1"/>
  <c r="V19" i="35"/>
  <c r="V17" i="36"/>
  <c r="O20" i="36"/>
  <c r="O20" i="37" s="1"/>
  <c r="O20" i="38" s="1"/>
  <c r="V20" i="35"/>
  <c r="V20" i="34"/>
  <c r="V19" i="34"/>
  <c r="O27" i="33"/>
  <c r="V27" i="33" s="1"/>
  <c r="O22" i="34"/>
  <c r="O22" i="35" s="1"/>
  <c r="O22" i="36" s="1"/>
  <c r="O22" i="37" s="1"/>
  <c r="O22" i="38" s="1"/>
  <c r="O28" i="33"/>
  <c r="V28" i="33" s="1"/>
  <c r="O23" i="34"/>
  <c r="O23" i="35" s="1"/>
  <c r="O23" i="36" s="1"/>
  <c r="O23" i="37" s="1"/>
  <c r="O23" i="38" s="1"/>
  <c r="M40" i="33"/>
  <c r="N23" i="33"/>
  <c r="L23" i="33"/>
  <c r="F47" i="33"/>
  <c r="M23" i="33"/>
  <c r="V23" i="33"/>
  <c r="U23" i="33"/>
  <c r="F28" i="33"/>
  <c r="M28" i="33" s="1"/>
  <c r="F27" i="33"/>
  <c r="M27" i="33" s="1"/>
  <c r="M22" i="33"/>
  <c r="N22" i="33"/>
  <c r="L22" i="33"/>
  <c r="F46" i="33"/>
  <c r="F51" i="33" s="1"/>
  <c r="M51" i="33" s="1"/>
  <c r="U22" i="33"/>
  <c r="V22" i="33"/>
  <c r="M41" i="33"/>
  <c r="O16" i="41" l="1"/>
  <c r="V16" i="40"/>
  <c r="O27" i="37"/>
  <c r="V27" i="37" s="1"/>
  <c r="O23" i="40"/>
  <c r="R27" i="37"/>
  <c r="R22" i="38"/>
  <c r="O19" i="40"/>
  <c r="V19" i="38"/>
  <c r="O22" i="40"/>
  <c r="V22" i="38"/>
  <c r="U22" i="38"/>
  <c r="O27" i="38"/>
  <c r="O20" i="40"/>
  <c r="V20" i="38"/>
  <c r="R28" i="37"/>
  <c r="R23" i="38"/>
  <c r="O17" i="41"/>
  <c r="V17" i="40"/>
  <c r="O28" i="37"/>
  <c r="V28" i="37" s="1"/>
  <c r="O28" i="38"/>
  <c r="V23" i="38"/>
  <c r="U23" i="38"/>
  <c r="V20" i="37"/>
  <c r="U22" i="37"/>
  <c r="V22" i="37"/>
  <c r="V19" i="37"/>
  <c r="U23" i="37"/>
  <c r="V23" i="37"/>
  <c r="V19" i="36"/>
  <c r="V20" i="36"/>
  <c r="O27" i="36"/>
  <c r="U22" i="36"/>
  <c r="V22" i="36"/>
  <c r="V23" i="36"/>
  <c r="U23" i="36"/>
  <c r="O28" i="36"/>
  <c r="U23" i="35"/>
  <c r="V23" i="35"/>
  <c r="O28" i="35"/>
  <c r="U22" i="35"/>
  <c r="O27" i="35"/>
  <c r="V22" i="35"/>
  <c r="V22" i="34"/>
  <c r="U22" i="34"/>
  <c r="U23" i="34"/>
  <c r="V23" i="34"/>
  <c r="O28" i="34"/>
  <c r="O27" i="34"/>
  <c r="L47" i="33"/>
  <c r="N47" i="33"/>
  <c r="M47" i="33"/>
  <c r="F52" i="33"/>
  <c r="M52" i="33" s="1"/>
  <c r="N46" i="33"/>
  <c r="M46" i="33"/>
  <c r="L46" i="33"/>
  <c r="U22" i="40" l="1"/>
  <c r="O22" i="41"/>
  <c r="O23" i="41"/>
  <c r="U23" i="40"/>
  <c r="O20" i="41"/>
  <c r="V20" i="40"/>
  <c r="O17" i="43"/>
  <c r="V17" i="41"/>
  <c r="V27" i="38"/>
  <c r="O27" i="40"/>
  <c r="R23" i="40"/>
  <c r="R28" i="38"/>
  <c r="O19" i="41"/>
  <c r="V19" i="40"/>
  <c r="O28" i="40"/>
  <c r="R22" i="40"/>
  <c r="V22" i="40" s="1"/>
  <c r="R27" i="38"/>
  <c r="O16" i="43"/>
  <c r="V16" i="41"/>
  <c r="O27" i="41"/>
  <c r="V28" i="38"/>
  <c r="V27" i="36"/>
  <c r="V28" i="36"/>
  <c r="V28" i="35"/>
  <c r="V27" i="35"/>
  <c r="V27" i="34"/>
  <c r="V28" i="34"/>
  <c r="Q13" i="34"/>
  <c r="Q13" i="35" s="1"/>
  <c r="Q14" i="34"/>
  <c r="Q14" i="35" s="1"/>
  <c r="P14" i="34"/>
  <c r="P14" i="35" s="1"/>
  <c r="P13" i="34"/>
  <c r="P13" i="35" s="1"/>
  <c r="O23" i="43" l="1"/>
  <c r="U23" i="41"/>
  <c r="O17" i="44"/>
  <c r="V17" i="43"/>
  <c r="O28" i="41"/>
  <c r="O16" i="44"/>
  <c r="V16" i="43"/>
  <c r="O19" i="43"/>
  <c r="V19" i="41"/>
  <c r="O20" i="43"/>
  <c r="V20" i="41"/>
  <c r="R23" i="41"/>
  <c r="R28" i="40"/>
  <c r="V28" i="40" s="1"/>
  <c r="V23" i="40"/>
  <c r="O22" i="43"/>
  <c r="U22" i="41"/>
  <c r="R22" i="41"/>
  <c r="R27" i="40"/>
  <c r="V27" i="40" s="1"/>
  <c r="P13" i="36"/>
  <c r="P13" i="37" s="1"/>
  <c r="T13" i="35"/>
  <c r="P14" i="36"/>
  <c r="P14" i="37" s="1"/>
  <c r="T14" i="35"/>
  <c r="Q13" i="36"/>
  <c r="Q13" i="37" s="1"/>
  <c r="Q13" i="38" s="1"/>
  <c r="U13" i="35"/>
  <c r="Q14" i="36"/>
  <c r="Q14" i="37" s="1"/>
  <c r="Q14" i="38" s="1"/>
  <c r="U14" i="35"/>
  <c r="W19" i="33"/>
  <c r="S19" i="34"/>
  <c r="U14" i="34"/>
  <c r="W17" i="33"/>
  <c r="S17" i="34"/>
  <c r="T17" i="33"/>
  <c r="P17" i="34"/>
  <c r="U13" i="34"/>
  <c r="W20" i="33"/>
  <c r="S20" i="34"/>
  <c r="T20" i="33"/>
  <c r="P20" i="34"/>
  <c r="W22" i="33"/>
  <c r="S22" i="34"/>
  <c r="T14" i="34"/>
  <c r="U17" i="33"/>
  <c r="Q17" i="34"/>
  <c r="U16" i="33"/>
  <c r="Q16" i="34"/>
  <c r="U20" i="33"/>
  <c r="Q20" i="34"/>
  <c r="T22" i="33"/>
  <c r="P22" i="34"/>
  <c r="W16" i="33"/>
  <c r="S16" i="34"/>
  <c r="U19" i="33"/>
  <c r="Q19" i="34"/>
  <c r="T16" i="33"/>
  <c r="P16" i="34"/>
  <c r="T19" i="33"/>
  <c r="P19" i="34"/>
  <c r="T13" i="34"/>
  <c r="T23" i="33"/>
  <c r="P23" i="34"/>
  <c r="G27" i="33"/>
  <c r="K27" i="33" s="1"/>
  <c r="G40" i="33"/>
  <c r="K16" i="33"/>
  <c r="H28" i="33"/>
  <c r="L28" i="33" s="1"/>
  <c r="H41" i="33"/>
  <c r="L17" i="33"/>
  <c r="P27" i="33"/>
  <c r="T27" i="33" s="1"/>
  <c r="T13" i="33"/>
  <c r="S14" i="34"/>
  <c r="S14" i="35" s="1"/>
  <c r="G41" i="33"/>
  <c r="G28" i="33"/>
  <c r="K28" i="33" s="1"/>
  <c r="K17" i="33"/>
  <c r="H40" i="33"/>
  <c r="H27" i="33"/>
  <c r="L27" i="33" s="1"/>
  <c r="L16" i="33"/>
  <c r="T14" i="33"/>
  <c r="P28" i="33"/>
  <c r="T28" i="33" s="1"/>
  <c r="G43" i="33"/>
  <c r="K43" i="33" s="1"/>
  <c r="K19" i="33"/>
  <c r="J41" i="33"/>
  <c r="N41" i="33" s="1"/>
  <c r="N17" i="33"/>
  <c r="H43" i="33"/>
  <c r="L43" i="33" s="1"/>
  <c r="L19" i="33"/>
  <c r="G44" i="33"/>
  <c r="K44" i="33" s="1"/>
  <c r="K20" i="33"/>
  <c r="J43" i="33"/>
  <c r="N43" i="33" s="1"/>
  <c r="N19" i="33"/>
  <c r="J40" i="33"/>
  <c r="N40" i="33" s="1"/>
  <c r="N16" i="33"/>
  <c r="Q28" i="33"/>
  <c r="U28" i="33" s="1"/>
  <c r="U14" i="33"/>
  <c r="H44" i="33"/>
  <c r="L44" i="33" s="1"/>
  <c r="L20" i="33"/>
  <c r="S13" i="34"/>
  <c r="S13" i="35" s="1"/>
  <c r="G46" i="33"/>
  <c r="K46" i="33" s="1"/>
  <c r="K22" i="33"/>
  <c r="J44" i="33"/>
  <c r="N44" i="33" s="1"/>
  <c r="N20" i="33"/>
  <c r="U13" i="33"/>
  <c r="Q27" i="33"/>
  <c r="U27" i="33" s="1"/>
  <c r="G47" i="33"/>
  <c r="K47" i="33" s="1"/>
  <c r="K23" i="33"/>
  <c r="T14" i="37" l="1"/>
  <c r="P14" i="38"/>
  <c r="R22" i="43"/>
  <c r="R27" i="41"/>
  <c r="V27" i="41" s="1"/>
  <c r="R23" i="43"/>
  <c r="R28" i="41"/>
  <c r="V20" i="43"/>
  <c r="O20" i="44"/>
  <c r="V16" i="44"/>
  <c r="V17" i="44"/>
  <c r="T13" i="37"/>
  <c r="P13" i="38"/>
  <c r="V28" i="41"/>
  <c r="V23" i="41"/>
  <c r="Q14" i="40"/>
  <c r="U14" i="38"/>
  <c r="V22" i="41"/>
  <c r="O28" i="43"/>
  <c r="O22" i="44"/>
  <c r="U22" i="43"/>
  <c r="V22" i="43"/>
  <c r="V19" i="43"/>
  <c r="O19" i="44"/>
  <c r="O27" i="44" s="1"/>
  <c r="Q13" i="40"/>
  <c r="U13" i="38"/>
  <c r="O27" i="43"/>
  <c r="O23" i="44"/>
  <c r="U23" i="43"/>
  <c r="V23" i="43"/>
  <c r="U14" i="37"/>
  <c r="U13" i="37"/>
  <c r="U19" i="34"/>
  <c r="Q19" i="35"/>
  <c r="U16" i="34"/>
  <c r="Q16" i="35"/>
  <c r="U13" i="36"/>
  <c r="S13" i="36"/>
  <c r="S13" i="37" s="1"/>
  <c r="W13" i="35"/>
  <c r="T23" i="34"/>
  <c r="P23" i="35"/>
  <c r="W20" i="34"/>
  <c r="S20" i="35"/>
  <c r="W19" i="34"/>
  <c r="S19" i="35"/>
  <c r="W16" i="34"/>
  <c r="S16" i="35"/>
  <c r="U17" i="34"/>
  <c r="Q17" i="35"/>
  <c r="T14" i="36"/>
  <c r="T20" i="34"/>
  <c r="P20" i="35"/>
  <c r="T19" i="34"/>
  <c r="P19" i="35"/>
  <c r="T22" i="34"/>
  <c r="P22" i="35"/>
  <c r="T17" i="34"/>
  <c r="P17" i="35"/>
  <c r="W22" i="34"/>
  <c r="S22" i="35"/>
  <c r="U14" i="36"/>
  <c r="S14" i="36"/>
  <c r="S14" i="37" s="1"/>
  <c r="W14" i="35"/>
  <c r="T16" i="34"/>
  <c r="P16" i="35"/>
  <c r="U20" i="34"/>
  <c r="Q20" i="35"/>
  <c r="W17" i="34"/>
  <c r="S17" i="35"/>
  <c r="T13" i="36"/>
  <c r="S27" i="34"/>
  <c r="W27" i="34" s="1"/>
  <c r="W13" i="34"/>
  <c r="W14" i="34"/>
  <c r="P27" i="34"/>
  <c r="T27" i="34" s="1"/>
  <c r="Q28" i="34"/>
  <c r="U28" i="34" s="1"/>
  <c r="W23" i="33"/>
  <c r="S23" i="34"/>
  <c r="P28" i="34"/>
  <c r="T28" i="34" s="1"/>
  <c r="Q27" i="34"/>
  <c r="U27" i="34" s="1"/>
  <c r="H51" i="33"/>
  <c r="L51" i="33" s="1"/>
  <c r="L40" i="33"/>
  <c r="H52" i="33"/>
  <c r="L52" i="33" s="1"/>
  <c r="L41" i="33"/>
  <c r="W13" i="33"/>
  <c r="S27" i="33"/>
  <c r="W27" i="33" s="1"/>
  <c r="J37" i="33"/>
  <c r="J27" i="33"/>
  <c r="N27" i="33" s="1"/>
  <c r="N13" i="33"/>
  <c r="G52" i="33"/>
  <c r="K52" i="33" s="1"/>
  <c r="K41" i="33"/>
  <c r="W14" i="33"/>
  <c r="S28" i="33"/>
  <c r="W28" i="33" s="1"/>
  <c r="G51" i="33"/>
  <c r="K51" i="33" s="1"/>
  <c r="K40" i="33"/>
  <c r="J38" i="33"/>
  <c r="J28" i="33"/>
  <c r="N28" i="33" s="1"/>
  <c r="N14" i="33"/>
  <c r="V28" i="43" l="1"/>
  <c r="W13" i="37"/>
  <c r="S13" i="38"/>
  <c r="V19" i="44"/>
  <c r="P13" i="40"/>
  <c r="T13" i="38"/>
  <c r="R23" i="44"/>
  <c r="R28" i="44" s="1"/>
  <c r="V28" i="44" s="1"/>
  <c r="R28" i="43"/>
  <c r="U23" i="44"/>
  <c r="W14" i="37"/>
  <c r="S14" i="38"/>
  <c r="V27" i="43"/>
  <c r="Q14" i="41"/>
  <c r="U14" i="40"/>
  <c r="R22" i="44"/>
  <c r="R27" i="44" s="1"/>
  <c r="V27" i="44" s="1"/>
  <c r="R27" i="43"/>
  <c r="O28" i="44"/>
  <c r="V20" i="44"/>
  <c r="P14" i="40"/>
  <c r="T14" i="38"/>
  <c r="U22" i="44"/>
  <c r="Q13" i="41"/>
  <c r="U13" i="40"/>
  <c r="S27" i="35"/>
  <c r="W27" i="35" s="1"/>
  <c r="Q20" i="36"/>
  <c r="U20" i="35"/>
  <c r="S22" i="36"/>
  <c r="W22" i="35"/>
  <c r="P20" i="36"/>
  <c r="T20" i="35"/>
  <c r="Q16" i="36"/>
  <c r="Q16" i="37" s="1"/>
  <c r="Q16" i="38" s="1"/>
  <c r="U16" i="35"/>
  <c r="Q27" i="35"/>
  <c r="U27" i="35" s="1"/>
  <c r="S19" i="36"/>
  <c r="W19" i="35"/>
  <c r="S20" i="36"/>
  <c r="W20" i="35"/>
  <c r="W23" i="34"/>
  <c r="S23" i="35"/>
  <c r="S28" i="35" s="1"/>
  <c r="W28" i="35" s="1"/>
  <c r="P22" i="36"/>
  <c r="T22" i="35"/>
  <c r="Q17" i="36"/>
  <c r="Q17" i="37" s="1"/>
  <c r="Q17" i="38" s="1"/>
  <c r="U17" i="35"/>
  <c r="Q28" i="35"/>
  <c r="U28" i="35" s="1"/>
  <c r="P23" i="36"/>
  <c r="T23" i="35"/>
  <c r="W14" i="36"/>
  <c r="Q19" i="36"/>
  <c r="U19" i="35"/>
  <c r="W13" i="36"/>
  <c r="P16" i="36"/>
  <c r="P16" i="37" s="1"/>
  <c r="P16" i="38" s="1"/>
  <c r="T16" i="35"/>
  <c r="P27" i="35"/>
  <c r="T27" i="35" s="1"/>
  <c r="T17" i="35"/>
  <c r="P17" i="36"/>
  <c r="P17" i="37" s="1"/>
  <c r="P17" i="38" s="1"/>
  <c r="P28" i="35"/>
  <c r="T28" i="35" s="1"/>
  <c r="S17" i="36"/>
  <c r="W17" i="35"/>
  <c r="P19" i="36"/>
  <c r="T19" i="35"/>
  <c r="S16" i="36"/>
  <c r="W16" i="35"/>
  <c r="S28" i="34"/>
  <c r="W28" i="34" s="1"/>
  <c r="N37" i="33"/>
  <c r="J51" i="33"/>
  <c r="N51" i="33" s="1"/>
  <c r="N38" i="33"/>
  <c r="J52" i="33"/>
  <c r="N52" i="33" s="1"/>
  <c r="Q17" i="40" l="1"/>
  <c r="U17" i="38"/>
  <c r="S14" i="40"/>
  <c r="W14" i="38"/>
  <c r="P13" i="41"/>
  <c r="T13" i="40"/>
  <c r="P16" i="40"/>
  <c r="T16" i="38"/>
  <c r="P14" i="41"/>
  <c r="T14" i="40"/>
  <c r="V23" i="44"/>
  <c r="Q13" i="43"/>
  <c r="U13" i="41"/>
  <c r="Q14" i="43"/>
  <c r="U14" i="41"/>
  <c r="S13" i="40"/>
  <c r="W13" i="38"/>
  <c r="P17" i="40"/>
  <c r="T17" i="38"/>
  <c r="V22" i="44"/>
  <c r="Q16" i="40"/>
  <c r="U16" i="38"/>
  <c r="T20" i="36"/>
  <c r="P20" i="37"/>
  <c r="W20" i="36"/>
  <c r="S20" i="37"/>
  <c r="T19" i="36"/>
  <c r="P19" i="37"/>
  <c r="U20" i="36"/>
  <c r="Q20" i="37"/>
  <c r="T23" i="36"/>
  <c r="P23" i="37"/>
  <c r="W19" i="36"/>
  <c r="S19" i="37"/>
  <c r="U19" i="36"/>
  <c r="Q19" i="37"/>
  <c r="T22" i="36"/>
  <c r="P22" i="37"/>
  <c r="W22" i="36"/>
  <c r="S22" i="37"/>
  <c r="W17" i="36"/>
  <c r="S17" i="37"/>
  <c r="S17" i="38" s="1"/>
  <c r="W16" i="36"/>
  <c r="S16" i="37"/>
  <c r="S16" i="38" s="1"/>
  <c r="U17" i="37"/>
  <c r="Q28" i="37"/>
  <c r="U28" i="37" s="1"/>
  <c r="U16" i="37"/>
  <c r="T17" i="37"/>
  <c r="T16" i="37"/>
  <c r="T16" i="36"/>
  <c r="P27" i="36"/>
  <c r="T27" i="36" s="1"/>
  <c r="S23" i="36"/>
  <c r="S23" i="37" s="1"/>
  <c r="W23" i="35"/>
  <c r="S27" i="36"/>
  <c r="W27" i="36" s="1"/>
  <c r="U17" i="36"/>
  <c r="Q28" i="36"/>
  <c r="U28" i="36" s="1"/>
  <c r="U16" i="36"/>
  <c r="Q27" i="36"/>
  <c r="U27" i="36" s="1"/>
  <c r="T17" i="36"/>
  <c r="P28" i="36"/>
  <c r="T28" i="36" s="1"/>
  <c r="T22" i="37" l="1"/>
  <c r="P22" i="38"/>
  <c r="U20" i="37"/>
  <c r="Q20" i="38"/>
  <c r="S13" i="41"/>
  <c r="W13" i="40"/>
  <c r="P14" i="43"/>
  <c r="T14" i="41"/>
  <c r="S14" i="41"/>
  <c r="W14" i="40"/>
  <c r="T19" i="37"/>
  <c r="P19" i="38"/>
  <c r="S16" i="40"/>
  <c r="W16" i="38"/>
  <c r="Q14" i="44"/>
  <c r="U14" i="44" s="1"/>
  <c r="U14" i="43"/>
  <c r="P16" i="41"/>
  <c r="T16" i="40"/>
  <c r="S17" i="40"/>
  <c r="W17" i="38"/>
  <c r="W19" i="37"/>
  <c r="S19" i="38"/>
  <c r="W20" i="37"/>
  <c r="S20" i="38"/>
  <c r="Q17" i="41"/>
  <c r="U17" i="40"/>
  <c r="W23" i="37"/>
  <c r="S23" i="38"/>
  <c r="U19" i="37"/>
  <c r="Q19" i="38"/>
  <c r="P17" i="41"/>
  <c r="T17" i="40"/>
  <c r="Q13" i="44"/>
  <c r="U13" i="44" s="1"/>
  <c r="U13" i="43"/>
  <c r="P13" i="43"/>
  <c r="T13" i="41"/>
  <c r="W22" i="37"/>
  <c r="S22" i="38"/>
  <c r="T23" i="37"/>
  <c r="P23" i="38"/>
  <c r="T20" i="37"/>
  <c r="P20" i="38"/>
  <c r="Q16" i="41"/>
  <c r="U16" i="40"/>
  <c r="P28" i="37"/>
  <c r="T28" i="37" s="1"/>
  <c r="Q27" i="37"/>
  <c r="U27" i="37" s="1"/>
  <c r="P27" i="37"/>
  <c r="T27" i="37" s="1"/>
  <c r="W17" i="37"/>
  <c r="S28" i="37"/>
  <c r="W28" i="37" s="1"/>
  <c r="S27" i="37"/>
  <c r="W27" i="37" s="1"/>
  <c r="W16" i="37"/>
  <c r="W23" i="36"/>
  <c r="S28" i="36"/>
  <c r="W28" i="36" s="1"/>
  <c r="P23" i="40" l="1"/>
  <c r="T23" i="38"/>
  <c r="S17" i="41"/>
  <c r="W17" i="40"/>
  <c r="P19" i="40"/>
  <c r="T19" i="38"/>
  <c r="P27" i="38"/>
  <c r="T27" i="38" s="1"/>
  <c r="S13" i="43"/>
  <c r="W13" i="41"/>
  <c r="S22" i="40"/>
  <c r="W22" i="38"/>
  <c r="S20" i="40"/>
  <c r="W20" i="38"/>
  <c r="Q20" i="40"/>
  <c r="U20" i="38"/>
  <c r="Q28" i="38"/>
  <c r="U28" i="38" s="1"/>
  <c r="Q19" i="40"/>
  <c r="U19" i="38"/>
  <c r="Q27" i="38"/>
  <c r="U27" i="38" s="1"/>
  <c r="S14" i="43"/>
  <c r="W14" i="41"/>
  <c r="S19" i="40"/>
  <c r="W19" i="38"/>
  <c r="P22" i="40"/>
  <c r="T22" i="38"/>
  <c r="Q17" i="43"/>
  <c r="U17" i="41"/>
  <c r="S27" i="38"/>
  <c r="W27" i="38" s="1"/>
  <c r="P20" i="40"/>
  <c r="T20" i="38"/>
  <c r="P28" i="38"/>
  <c r="T28" i="38" s="1"/>
  <c r="P13" i="44"/>
  <c r="T13" i="43"/>
  <c r="S23" i="40"/>
  <c r="W23" i="38"/>
  <c r="P16" i="43"/>
  <c r="T16" i="41"/>
  <c r="P17" i="43"/>
  <c r="T17" i="41"/>
  <c r="S16" i="41"/>
  <c r="W16" i="40"/>
  <c r="P14" i="44"/>
  <c r="T14" i="43"/>
  <c r="S28" i="38"/>
  <c r="W28" i="38" s="1"/>
  <c r="Q16" i="43"/>
  <c r="U16" i="41"/>
  <c r="S23" i="41" l="1"/>
  <c r="W23" i="40"/>
  <c r="S28" i="40"/>
  <c r="W28" i="40" s="1"/>
  <c r="S20" i="41"/>
  <c r="W20" i="40"/>
  <c r="P19" i="41"/>
  <c r="T19" i="40"/>
  <c r="P27" i="40"/>
  <c r="T27" i="40" s="1"/>
  <c r="S16" i="43"/>
  <c r="W16" i="41"/>
  <c r="P22" i="41"/>
  <c r="T22" i="40"/>
  <c r="S22" i="41"/>
  <c r="W22" i="40"/>
  <c r="S17" i="43"/>
  <c r="W17" i="41"/>
  <c r="S14" i="44"/>
  <c r="W14" i="43"/>
  <c r="Q17" i="44"/>
  <c r="U17" i="44" s="1"/>
  <c r="U17" i="43"/>
  <c r="Q19" i="41"/>
  <c r="U19" i="40"/>
  <c r="Q27" i="40"/>
  <c r="U27" i="40" s="1"/>
  <c r="T13" i="44"/>
  <c r="P17" i="44"/>
  <c r="T17" i="44" s="1"/>
  <c r="T17" i="43"/>
  <c r="P16" i="44"/>
  <c r="T16" i="44" s="1"/>
  <c r="T16" i="43"/>
  <c r="S19" i="41"/>
  <c r="W19" i="40"/>
  <c r="S27" i="40"/>
  <c r="W27" i="40" s="1"/>
  <c r="P23" i="41"/>
  <c r="T23" i="40"/>
  <c r="T14" i="44"/>
  <c r="P20" i="41"/>
  <c r="T20" i="40"/>
  <c r="P28" i="40"/>
  <c r="T28" i="40" s="1"/>
  <c r="Q20" i="41"/>
  <c r="U20" i="40"/>
  <c r="Q28" i="40"/>
  <c r="U28" i="40" s="1"/>
  <c r="S13" i="44"/>
  <c r="W13" i="43"/>
  <c r="U16" i="43"/>
  <c r="Q16" i="44"/>
  <c r="W13" i="44" l="1"/>
  <c r="Q19" i="43"/>
  <c r="U19" i="41"/>
  <c r="Q27" i="41"/>
  <c r="U27" i="41" s="1"/>
  <c r="S17" i="44"/>
  <c r="W17" i="44" s="1"/>
  <c r="W17" i="43"/>
  <c r="S19" i="43"/>
  <c r="W19" i="41"/>
  <c r="P19" i="43"/>
  <c r="T19" i="41"/>
  <c r="P27" i="41"/>
  <c r="T27" i="41" s="1"/>
  <c r="S22" i="43"/>
  <c r="W22" i="41"/>
  <c r="P20" i="43"/>
  <c r="T20" i="41"/>
  <c r="P28" i="41"/>
  <c r="T28" i="41" s="1"/>
  <c r="P23" i="43"/>
  <c r="T23" i="41"/>
  <c r="S20" i="43"/>
  <c r="W20" i="41"/>
  <c r="S28" i="41"/>
  <c r="W28" i="41" s="1"/>
  <c r="P22" i="43"/>
  <c r="T22" i="41"/>
  <c r="S27" i="41"/>
  <c r="W27" i="41" s="1"/>
  <c r="Q20" i="43"/>
  <c r="U20" i="41"/>
  <c r="Q28" i="41"/>
  <c r="U28" i="41" s="1"/>
  <c r="W14" i="44"/>
  <c r="S16" i="44"/>
  <c r="W16" i="44" s="1"/>
  <c r="W16" i="43"/>
  <c r="S23" i="43"/>
  <c r="W23" i="41"/>
  <c r="U16" i="44"/>
  <c r="P22" i="44" l="1"/>
  <c r="T22" i="44" s="1"/>
  <c r="T22" i="43"/>
  <c r="P20" i="44"/>
  <c r="T20" i="43"/>
  <c r="P28" i="43"/>
  <c r="T28" i="43" s="1"/>
  <c r="S19" i="44"/>
  <c r="W19" i="44" s="1"/>
  <c r="W19" i="43"/>
  <c r="S27" i="43"/>
  <c r="W27" i="43" s="1"/>
  <c r="W22" i="43"/>
  <c r="S22" i="44"/>
  <c r="W22" i="44" s="1"/>
  <c r="Q20" i="44"/>
  <c r="U20" i="43"/>
  <c r="Q28" i="43"/>
  <c r="U28" i="43" s="1"/>
  <c r="S20" i="44"/>
  <c r="W20" i="43"/>
  <c r="S23" i="44"/>
  <c r="W23" i="44" s="1"/>
  <c r="W23" i="43"/>
  <c r="S28" i="43"/>
  <c r="W28" i="43" s="1"/>
  <c r="Q19" i="44"/>
  <c r="U19" i="43"/>
  <c r="Q27" i="43"/>
  <c r="U27" i="43" s="1"/>
  <c r="P23" i="44"/>
  <c r="T23" i="44" s="1"/>
  <c r="T23" i="43"/>
  <c r="P19" i="44"/>
  <c r="T19" i="43"/>
  <c r="P27" i="43"/>
  <c r="T27" i="43" s="1"/>
  <c r="T19" i="44" l="1"/>
  <c r="P27" i="44"/>
  <c r="T27" i="44" s="1"/>
  <c r="W20" i="44"/>
  <c r="S28" i="44"/>
  <c r="W28" i="44" s="1"/>
  <c r="S27" i="44"/>
  <c r="W27" i="44" s="1"/>
  <c r="U19" i="44"/>
  <c r="Q27" i="44"/>
  <c r="U27" i="44" s="1"/>
  <c r="Q28" i="44"/>
  <c r="U28" i="44" s="1"/>
  <c r="U20" i="44"/>
  <c r="T20" i="44"/>
  <c r="P28" i="44"/>
  <c r="T28" i="44" s="1"/>
  <c r="Q22" i="54" l="1"/>
  <c r="Z22" i="54" s="1"/>
  <c r="L22" i="54"/>
  <c r="N22" i="54"/>
  <c r="M22" i="54"/>
  <c r="O22" i="54"/>
  <c r="P22" i="54"/>
  <c r="F46" i="54"/>
  <c r="Q46" i="54" s="1"/>
  <c r="F27" i="54"/>
  <c r="O27" i="54" s="1"/>
  <c r="X22" i="54" l="1"/>
  <c r="M46" i="54"/>
  <c r="W46" i="54"/>
  <c r="Q51" i="54"/>
  <c r="W51" i="54" s="1"/>
  <c r="Q27" i="54"/>
  <c r="M27" i="54"/>
  <c r="L46" i="54"/>
  <c r="L27" i="54"/>
  <c r="N46" i="54"/>
  <c r="AA22" i="54"/>
  <c r="P27" i="54"/>
  <c r="W22" i="54"/>
  <c r="F51" i="54"/>
  <c r="Y22" i="54"/>
  <c r="N27" i="54"/>
  <c r="O46" i="54"/>
  <c r="P46" i="54"/>
  <c r="P51" i="54" l="1"/>
  <c r="O51" i="54"/>
  <c r="M51" i="54"/>
  <c r="N51" i="54"/>
  <c r="L51" i="54"/>
  <c r="Z27" i="54"/>
  <c r="AA27" i="54"/>
  <c r="W27" i="54"/>
  <c r="X27" i="54"/>
  <c r="Y27" i="54"/>
  <c r="Q23" i="54"/>
  <c r="W23" i="54" s="1"/>
  <c r="M23" i="54"/>
  <c r="O23" i="54"/>
  <c r="P23" i="54"/>
  <c r="L23" i="54"/>
  <c r="N23" i="54"/>
  <c r="F47" i="54"/>
  <c r="Q47" i="54" s="1"/>
  <c r="F28" i="54"/>
  <c r="L28" i="54" s="1"/>
  <c r="P28" i="54" l="1"/>
  <c r="X23" i="54"/>
  <c r="M28" i="54"/>
  <c r="L47" i="54"/>
  <c r="Z23" i="54"/>
  <c r="N28" i="54"/>
  <c r="O28" i="54"/>
  <c r="W47" i="54"/>
  <c r="Q52" i="54"/>
  <c r="W52" i="54" s="1"/>
  <c r="P47" i="54"/>
  <c r="M47" i="54"/>
  <c r="Y23" i="54"/>
  <c r="N47" i="54"/>
  <c r="Q28" i="54"/>
  <c r="AA23" i="54"/>
  <c r="F52" i="54"/>
  <c r="O47" i="54"/>
  <c r="AA28" i="54" l="1"/>
  <c r="X28" i="54"/>
  <c r="Y28" i="54"/>
  <c r="W28" i="54"/>
  <c r="Z28" i="54"/>
  <c r="M52" i="54"/>
  <c r="L52" i="54"/>
  <c r="N52" i="54"/>
  <c r="P52" i="54"/>
  <c r="O52" i="54"/>
</calcChain>
</file>

<file path=xl/comments1.xml><?xml version="1.0" encoding="utf-8"?>
<comments xmlns="http://schemas.openxmlformats.org/spreadsheetml/2006/main">
  <authors>
    <author>tc={EB20F34A-B1CA-4390-9F24-C60481D66B6C}</author>
  </authors>
  <commentList>
    <comment ref="F28" authorId="0" shapeId="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Las Palmas and Alicante is included</t>
        </r>
      </text>
    </comment>
  </commentList>
</comments>
</file>

<file path=xl/sharedStrings.xml><?xml version="1.0" encoding="utf-8"?>
<sst xmlns="http://schemas.openxmlformats.org/spreadsheetml/2006/main" count="2521" uniqueCount="140">
  <si>
    <t>Global Ports Holding Plc.</t>
  </si>
  <si>
    <t>Date:</t>
  </si>
  <si>
    <t>Cruise Port Traffic Statistics</t>
  </si>
  <si>
    <t>Disclaimer</t>
  </si>
  <si>
    <t>Notes</t>
  </si>
  <si>
    <t>Calls</t>
  </si>
  <si>
    <t>Monthly Traffic Statistics GPH</t>
  </si>
  <si>
    <t>Period</t>
  </si>
  <si>
    <t xml:space="preserve">January to October </t>
  </si>
  <si>
    <t>Full Calendar Year</t>
  </si>
  <si>
    <t>Nassau</t>
  </si>
  <si>
    <t>Passenger Movements</t>
  </si>
  <si>
    <t>Total Calls</t>
  </si>
  <si>
    <t>Total Passenger Movements</t>
  </si>
  <si>
    <t>Antigua</t>
  </si>
  <si>
    <t>Ege Port</t>
  </si>
  <si>
    <t>Valletta</t>
  </si>
  <si>
    <t>Other Cruise</t>
  </si>
  <si>
    <t>2021/19 Chg %</t>
  </si>
  <si>
    <t>2021/20 Chg %</t>
  </si>
  <si>
    <t>Creuers</t>
  </si>
  <si>
    <t>September 2021</t>
  </si>
  <si>
    <t>September</t>
  </si>
  <si>
    <t xml:space="preserve">January to September </t>
  </si>
  <si>
    <t>October</t>
  </si>
  <si>
    <t>October 2021</t>
  </si>
  <si>
    <t>November 2021</t>
  </si>
  <si>
    <t>November</t>
  </si>
  <si>
    <t xml:space="preserve">January to November </t>
  </si>
  <si>
    <t>Cruise Port</t>
  </si>
  <si>
    <t>December 2021</t>
  </si>
  <si>
    <t>December</t>
  </si>
  <si>
    <t>January to December</t>
  </si>
  <si>
    <t>January</t>
  </si>
  <si>
    <t>2022/20 Chg %</t>
  </si>
  <si>
    <t>2022/19 Chg %</t>
  </si>
  <si>
    <t>2022/21 Chg %</t>
  </si>
  <si>
    <t>January 2022</t>
  </si>
  <si>
    <t>January to February</t>
  </si>
  <si>
    <t>February</t>
  </si>
  <si>
    <t>February 2022</t>
  </si>
  <si>
    <t>March</t>
  </si>
  <si>
    <t>March 2022</t>
  </si>
  <si>
    <t>January to March</t>
  </si>
  <si>
    <t>April 2022</t>
  </si>
  <si>
    <t>April</t>
  </si>
  <si>
    <t>January to April</t>
  </si>
  <si>
    <t>May</t>
  </si>
  <si>
    <t>May 2022</t>
  </si>
  <si>
    <t>January to May</t>
  </si>
  <si>
    <t>June 2022</t>
  </si>
  <si>
    <t>June</t>
  </si>
  <si>
    <t>January to June</t>
  </si>
  <si>
    <t>FY 2023</t>
  </si>
  <si>
    <t>FY 2022</t>
  </si>
  <si>
    <t>July</t>
  </si>
  <si>
    <t>July 2022</t>
  </si>
  <si>
    <t>Calendar Year</t>
  </si>
  <si>
    <t>Fiscal Year</t>
  </si>
  <si>
    <t>FY 2021</t>
  </si>
  <si>
    <t>January to July (YTD)</t>
  </si>
  <si>
    <t>April to July (YTD)</t>
  </si>
  <si>
    <t>Calendar Year Presentation</t>
  </si>
  <si>
    <t>GPH Fiscal Year Presentation (period ending 31 March)</t>
  </si>
  <si>
    <t>FY 2020</t>
  </si>
  <si>
    <t>FY 2021
15 Months</t>
  </si>
  <si>
    <t>2023/22 Chg %</t>
  </si>
  <si>
    <t>2023/21 Chg %</t>
  </si>
  <si>
    <t>2023/20 Chg %</t>
  </si>
  <si>
    <t>August</t>
  </si>
  <si>
    <t>April to August (YTD)</t>
  </si>
  <si>
    <t>January to August (YTD)</t>
  </si>
  <si>
    <t>August 2022</t>
  </si>
  <si>
    <t>31 March 2020 End, 12 Months</t>
  </si>
  <si>
    <t>BPI</t>
  </si>
  <si>
    <t>Jan</t>
  </si>
  <si>
    <t>Feb</t>
  </si>
  <si>
    <t>Mar</t>
  </si>
  <si>
    <t>Aug</t>
  </si>
  <si>
    <t>Sep</t>
  </si>
  <si>
    <t>Oct</t>
  </si>
  <si>
    <t>Nov</t>
  </si>
  <si>
    <t>Dec</t>
  </si>
  <si>
    <t>Volume-weighted Consolidated Cruise Occupancy Ratio</t>
  </si>
  <si>
    <t>See following sheets</t>
  </si>
  <si>
    <t>September 2022</t>
  </si>
  <si>
    <t>January to September (YTD)</t>
  </si>
  <si>
    <t>April to September (YTD)</t>
  </si>
  <si>
    <t>October 2022</t>
  </si>
  <si>
    <t>January to October (YTD)</t>
  </si>
  <si>
    <t>April to October (YTD)</t>
  </si>
  <si>
    <t>November 2022</t>
  </si>
  <si>
    <t>January to November (YTD)</t>
  </si>
  <si>
    <t>April to November (YTD)</t>
  </si>
  <si>
    <t>December 2022</t>
  </si>
  <si>
    <t>January to December (YTD)</t>
  </si>
  <si>
    <t>April to December (YTD)</t>
  </si>
  <si>
    <t xml:space="preserve">Notes: </t>
  </si>
  <si>
    <t>Occupancy ratios will lag one month due to availability of data</t>
  </si>
  <si>
    <t>January 2023</t>
  </si>
  <si>
    <t>April to January (YTD)</t>
  </si>
  <si>
    <t>2023/19 Chg %</t>
  </si>
  <si>
    <t>February 2023</t>
  </si>
  <si>
    <t>April to February (YTD)</t>
  </si>
  <si>
    <t>Occupancy Ratios</t>
  </si>
  <si>
    <t>Year</t>
  </si>
  <si>
    <t>March 2023</t>
  </si>
  <si>
    <t>April to March (YTD)</t>
  </si>
  <si>
    <t>Americas</t>
  </si>
  <si>
    <t>Central Med</t>
  </si>
  <si>
    <t>East Med</t>
  </si>
  <si>
    <t>West Med &amp; Atlantic</t>
  </si>
  <si>
    <t>Other</t>
  </si>
  <si>
    <t>April 2023</t>
  </si>
  <si>
    <t>April (YTD)</t>
  </si>
  <si>
    <t>FY 2024</t>
  </si>
  <si>
    <t>2024/23 Chg %</t>
  </si>
  <si>
    <t>2024/22 Chg %</t>
  </si>
  <si>
    <t>2024/21 Chg %</t>
  </si>
  <si>
    <t>2024/20 Chg %</t>
  </si>
  <si>
    <t>April to May (YTD)</t>
  </si>
  <si>
    <t>Apr</t>
  </si>
  <si>
    <t>May 2023</t>
  </si>
  <si>
    <t>June 2023</t>
  </si>
  <si>
    <t>April to June (YTD)</t>
  </si>
  <si>
    <t>July 2023</t>
  </si>
  <si>
    <t>January to July</t>
  </si>
  <si>
    <t>2024</t>
  </si>
  <si>
    <t>Monthly Cruise Occupany Ratio GPH for 2022-2024</t>
  </si>
  <si>
    <t>April  (YTD)</t>
  </si>
  <si>
    <t>FY 2025</t>
  </si>
  <si>
    <t>2025/24 Chg %</t>
  </si>
  <si>
    <t>Northern Europe &amp; Central Med</t>
  </si>
  <si>
    <t>Apr to May  (YTD)</t>
  </si>
  <si>
    <t>Apr to June  (YTD)</t>
  </si>
  <si>
    <t>Central Med &amp; Northern Europe</t>
  </si>
  <si>
    <t>Apr to July  (YTD)</t>
  </si>
  <si>
    <t>Apr to Aug  (YTD)</t>
  </si>
  <si>
    <t>Apr to Oct  (YTD)</t>
  </si>
  <si>
    <t>Sep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</si>
</sst>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43" formatCode="_-* #,##0.00_-;\-* #,##0.00_-;_-* &quot;-&quot;??_-;_-@_-"/>
    <numFmt numFmtId="164" formatCode="_(* #,##0.00_);_(* \(#,##0.00\);_(* &quot;-&quot;??_);_(@_)"/>
    <numFmt numFmtId="165" formatCode="_-* #,##0_-;* \(#,##0\)_-;_-* &quot;-&quot;??_-;_-@_-"/>
    <numFmt numFmtId="166" formatCode="[$-409]d\-mmm\-yyyy;@"/>
    <numFmt numFmtId="167" formatCode="[$-409]dd\-mmm\-yy;@"/>
    <numFmt numFmtId="168" formatCode="yyyy\-mm\-dd;@"/>
    <numFmt numFmtId="169" formatCode="_-* #,##0_-;\-* #,##0_-;_-* &quot;-&quot;??_-;_-@_-"/>
    <numFmt numFmtId="170" formatCode="0%;\(0%\)"/>
    <numFmt numFmtId="171" formatCode="#,##0;\(#,##0\);\-\-"/>
    <numFmt numFmtId="172" formatCode="#,##0_ ;[Black]\(#,##0\);_-\-\-\ "/>
    <numFmt numFmtId="173" formatCode="0%;\-0%;\ "/>
  </numFmts>
  <fonts count="38">
    <font>
      <sz val="11"/>
      <color theme="1"/>
      <name val="Calibri"/>
      <family val="2"/>
      <scheme val="minor"/>
    </font>
    <font>
      <b/>
      <sz val="18"/>
      <color theme="0"/>
      <name val="Arial"/>
      <family val="2"/>
    </font>
    <font>
      <b/>
      <sz val="18"/>
      <color theme="1" tint="0.249977111117893"/>
      <name val="Book Antiqua"/>
      <family val="1"/>
    </font>
    <font>
      <sz val="10"/>
      <color theme="1"/>
      <name val="Arial"/>
      <family val="2"/>
    </font>
    <font>
      <sz val="10"/>
      <color theme="1"/>
      <name val="Book Antiqua"/>
      <family val="1"/>
    </font>
    <font>
      <b/>
      <sz val="22"/>
      <color rgb="FF586577"/>
      <name val="Book Antiqua"/>
      <family val="1"/>
    </font>
    <font>
      <i/>
      <sz val="12"/>
      <color rgb="FF586577"/>
      <name val="Book Antiqua"/>
      <family val="1"/>
    </font>
    <font>
      <sz val="22"/>
      <color rgb="FF586577"/>
      <name val="Book Antiqua"/>
      <family val="1"/>
    </font>
    <font>
      <sz val="12"/>
      <color rgb="FF586577"/>
      <name val="Book Antiqua"/>
      <family val="1"/>
    </font>
    <font>
      <b/>
      <sz val="14"/>
      <color rgb="FF586577"/>
      <name val="Book Antiqua"/>
      <family val="1"/>
    </font>
    <font>
      <b/>
      <sz val="12"/>
      <color rgb="FF586577"/>
      <name val="Arial"/>
      <family val="2"/>
    </font>
    <font>
      <b/>
      <sz val="10"/>
      <color rgb="FF586577"/>
      <name val="Book Antiqua"/>
      <family val="1"/>
    </font>
    <font>
      <sz val="11"/>
      <color theme="1"/>
      <name val="Arial"/>
      <family val="2"/>
    </font>
    <font>
      <b/>
      <sz val="14"/>
      <color rgb="FFED1C24"/>
      <name val="Arial"/>
      <family val="2"/>
    </font>
    <font>
      <i/>
      <sz val="10"/>
      <color theme="0" tint="-0.34998626667073579"/>
      <name val="Arial"/>
      <family val="2"/>
    </font>
    <font>
      <sz val="11"/>
      <color theme="1"/>
      <name val="Calibri"/>
      <family val="2"/>
      <scheme val="minor"/>
    </font>
    <font>
      <sz val="11"/>
      <color theme="0"/>
      <name val="Calibri"/>
      <family val="2"/>
      <scheme val="minor"/>
    </font>
    <font>
      <sz val="8"/>
      <color theme="1"/>
      <name val="Calibri "/>
    </font>
    <font>
      <b/>
      <sz val="8"/>
      <color theme="0"/>
      <name val="Calibri "/>
    </font>
    <font>
      <b/>
      <sz val="8"/>
      <color rgb="FF586577"/>
      <name val="Calibri "/>
    </font>
    <font>
      <sz val="8"/>
      <color theme="0"/>
      <name val="Calibri "/>
    </font>
    <font>
      <b/>
      <sz val="8"/>
      <color theme="1"/>
      <name val="Calibri "/>
    </font>
    <font>
      <i/>
      <sz val="8"/>
      <color theme="0" tint="-0.34998626667073579"/>
      <name val="Calibri "/>
    </font>
    <font>
      <b/>
      <i/>
      <sz val="8"/>
      <color theme="0"/>
      <name val="Calibri "/>
    </font>
    <font>
      <sz val="10"/>
      <color rgb="FF000000"/>
      <name val="Book Antiqua"/>
      <family val="1"/>
    </font>
    <font>
      <sz val="8"/>
      <color theme="1"/>
      <name val="Book Antiqua"/>
      <family val="1"/>
      <charset val="162"/>
    </font>
    <font>
      <sz val="8"/>
      <color rgb="FFFF0000"/>
      <name val="Calibri "/>
    </font>
    <font>
      <i/>
      <sz val="8"/>
      <color theme="1"/>
      <name val="Calibri "/>
    </font>
    <font>
      <b/>
      <sz val="11"/>
      <color rgb="FFFF0000"/>
      <name val="Calibri "/>
    </font>
    <font>
      <b/>
      <sz val="10"/>
      <color rgb="FF586577"/>
      <name val="Calibri "/>
    </font>
    <font>
      <b/>
      <sz val="10"/>
      <color theme="0"/>
      <name val="Calibri "/>
    </font>
    <font>
      <sz val="9"/>
      <color theme="1"/>
      <name val="Calibri"/>
      <family val="2"/>
      <scheme val="minor"/>
    </font>
    <font>
      <sz val="8"/>
      <name val="Calibri"/>
      <family val="2"/>
      <scheme val="minor"/>
    </font>
    <font>
      <sz val="8"/>
      <color theme="1"/>
      <name val="Calibri"/>
      <family val="2"/>
      <scheme val="minor"/>
    </font>
    <font>
      <b/>
      <sz val="8"/>
      <color rgb="FF586577"/>
      <name val="Book Antiqua"/>
      <family val="1"/>
    </font>
    <font>
      <sz val="8"/>
      <color theme="0"/>
      <name val="Calibri"/>
      <family val="2"/>
      <scheme val="minor"/>
    </font>
    <font>
      <sz val="8"/>
      <color theme="1"/>
      <name val="Book Antiqua"/>
      <family val="1"/>
    </font>
    <font>
      <b/>
      <sz val="8"/>
      <color rgb="FFFF0000"/>
      <name val="Calibri "/>
    </font>
  </fonts>
  <fills count="8">
    <fill>
      <patternFill patternType="none"/>
    </fill>
    <fill>
      <patternFill patternType="gray125"/>
    </fill>
    <fill>
      <patternFill patternType="solid">
        <fgColor theme="3" tint="-0.499984740745262"/>
        <bgColor indexed="64"/>
      </patternFill>
    </fill>
    <fill>
      <patternFill patternType="solid">
        <fgColor theme="0"/>
        <bgColor indexed="64"/>
      </patternFill>
    </fill>
    <fill>
      <patternFill patternType="solid">
        <fgColor rgb="FFE8ECEE"/>
        <bgColor indexed="64"/>
      </patternFill>
    </fill>
    <fill>
      <patternFill patternType="solid">
        <fgColor rgb="FF586577"/>
        <bgColor indexed="64"/>
      </patternFill>
    </fill>
    <fill>
      <patternFill patternType="solid">
        <fgColor theme="7" tint="0.79998168889431442"/>
        <bgColor indexed="64"/>
      </patternFill>
    </fill>
    <fill>
      <patternFill patternType="solid">
        <fgColor theme="9" tint="0.79998168889431442"/>
        <bgColor indexed="64"/>
      </patternFill>
    </fill>
  </fills>
  <borders count="25">
    <border>
      <left/>
      <right/>
      <top/>
      <bottom/>
      <diagonal/>
    </border>
    <border>
      <left/>
      <right/>
      <top/>
      <bottom style="medium">
        <color rgb="FF586577"/>
      </bottom>
      <diagonal/>
    </border>
    <border>
      <left/>
      <right/>
      <top style="thin">
        <color auto="1"/>
      </top>
      <bottom style="double">
        <color auto="1"/>
      </bottom>
      <diagonal/>
    </border>
    <border>
      <left/>
      <right style="thin">
        <color indexed="64"/>
      </right>
      <top/>
      <bottom/>
      <diagonal/>
    </border>
    <border>
      <left/>
      <right style="thin">
        <color indexed="64"/>
      </right>
      <top style="thin">
        <color auto="1"/>
      </top>
      <bottom style="double">
        <color auto="1"/>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style="thin">
        <color auto="1"/>
      </top>
      <bottom style="double">
        <color auto="1"/>
      </bottom>
      <diagonal/>
    </border>
    <border>
      <left/>
      <right/>
      <top/>
      <bottom style="thin">
        <color indexed="64"/>
      </bottom>
      <diagonal/>
    </border>
    <border>
      <left/>
      <right/>
      <top style="double">
        <color auto="1"/>
      </top>
      <bottom style="double">
        <color indexed="64"/>
      </bottom>
      <diagonal/>
    </border>
    <border>
      <left/>
      <right style="thin">
        <color indexed="64"/>
      </right>
      <top style="double">
        <color auto="1"/>
      </top>
      <bottom style="double">
        <color indexed="64"/>
      </bottom>
      <diagonal/>
    </border>
    <border>
      <left style="thin">
        <color indexed="64"/>
      </left>
      <right/>
      <top style="double">
        <color auto="1"/>
      </top>
      <bottom style="double">
        <color indexed="64"/>
      </bottom>
      <diagonal/>
    </border>
    <border>
      <left style="thin">
        <color theme="0"/>
      </left>
      <right/>
      <top style="thin">
        <color indexed="64"/>
      </top>
      <bottom/>
      <diagonal/>
    </border>
    <border>
      <left/>
      <right style="thin">
        <color theme="0"/>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theme="0"/>
      </left>
      <right/>
      <top/>
      <bottom/>
      <diagonal/>
    </border>
    <border>
      <left/>
      <right style="thin">
        <color theme="0"/>
      </right>
      <top/>
      <bottom/>
      <diagonal/>
    </border>
    <border>
      <left/>
      <right/>
      <top/>
      <bottom style="double">
        <color auto="1"/>
      </bottom>
      <diagonal/>
    </border>
    <border>
      <left/>
      <right style="thin">
        <color indexed="64"/>
      </right>
      <top/>
      <bottom style="double">
        <color auto="1"/>
      </bottom>
      <diagonal/>
    </border>
    <border>
      <left/>
      <right style="thin">
        <color indexed="64"/>
      </right>
      <top/>
      <bottom style="thin">
        <color auto="1"/>
      </bottom>
      <diagonal/>
    </border>
    <border>
      <left style="thin">
        <color indexed="64"/>
      </left>
      <right/>
      <top/>
      <bottom style="thin">
        <color indexed="64"/>
      </bottom>
      <diagonal/>
    </border>
  </borders>
  <cellStyleXfs count="10">
    <xf numFmtId="0" fontId="0" fillId="0" borderId="0"/>
    <xf numFmtId="0" fontId="1" fillId="2" borderId="0" applyNumberFormat="0" applyAlignment="0"/>
    <xf numFmtId="165" fontId="3" fillId="0" borderId="0"/>
    <xf numFmtId="0" fontId="10" fillId="4" borderId="0" applyAlignment="0"/>
    <xf numFmtId="0" fontId="13" fillId="0" borderId="0" applyNumberFormat="0" applyProtection="0"/>
    <xf numFmtId="0" fontId="14" fillId="0" borderId="0" applyNumberFormat="0"/>
    <xf numFmtId="0" fontId="12" fillId="0" borderId="2" applyNumberFormat="0" applyFont="0" applyFill="0" applyAlignment="0"/>
    <xf numFmtId="43" fontId="15" fillId="0" borderId="0" applyFont="0" applyFill="0" applyBorder="0" applyAlignment="0" applyProtection="0"/>
    <xf numFmtId="9" fontId="15" fillId="0" borderId="0" applyFont="0" applyFill="0" applyBorder="0" applyAlignment="0" applyProtection="0"/>
    <xf numFmtId="43" fontId="15" fillId="0" borderId="0" applyFont="0" applyFill="0" applyBorder="0" applyAlignment="0" applyProtection="0"/>
  </cellStyleXfs>
  <cellXfs count="170">
    <xf numFmtId="0" fontId="0" fillId="0" borderId="0" xfId="0"/>
    <xf numFmtId="0" fontId="2" fillId="3" borderId="0" xfId="1" applyFont="1" applyFill="1" applyAlignment="1">
      <alignment horizontal="left"/>
    </xf>
    <xf numFmtId="165" fontId="4" fillId="0" borderId="0" xfId="2" applyFont="1"/>
    <xf numFmtId="165" fontId="5" fillId="3" borderId="1" xfId="2" applyFont="1" applyFill="1" applyBorder="1"/>
    <xf numFmtId="165" fontId="4" fillId="0" borderId="1" xfId="2" applyFont="1" applyBorder="1"/>
    <xf numFmtId="165" fontId="6" fillId="0" borderId="0" xfId="2" applyFont="1"/>
    <xf numFmtId="165" fontId="7" fillId="0" borderId="0" xfId="2" applyFont="1"/>
    <xf numFmtId="165" fontId="8" fillId="0" borderId="0" xfId="2" applyFont="1"/>
    <xf numFmtId="165" fontId="9" fillId="3" borderId="1" xfId="2" applyFont="1" applyFill="1" applyBorder="1"/>
    <xf numFmtId="0" fontId="0" fillId="3" borderId="0" xfId="0" applyFill="1"/>
    <xf numFmtId="165" fontId="4" fillId="3" borderId="0" xfId="2" applyFont="1" applyFill="1"/>
    <xf numFmtId="165" fontId="6" fillId="3" borderId="0" xfId="2" applyFont="1" applyFill="1"/>
    <xf numFmtId="0" fontId="4" fillId="3" borderId="0" xfId="0" applyFont="1" applyFill="1"/>
    <xf numFmtId="165" fontId="4" fillId="0" borderId="0" xfId="2" applyFont="1" applyProtection="1">
      <protection locked="0"/>
    </xf>
    <xf numFmtId="0" fontId="2" fillId="3" borderId="0" xfId="1" applyFont="1" applyFill="1" applyAlignment="1" applyProtection="1">
      <alignment horizontal="left"/>
      <protection locked="0"/>
    </xf>
    <xf numFmtId="165" fontId="5" fillId="3" borderId="1" xfId="2" applyFont="1" applyFill="1" applyBorder="1" applyProtection="1">
      <protection locked="0"/>
    </xf>
    <xf numFmtId="165" fontId="4" fillId="0" borderId="1" xfId="2" applyFont="1" applyBorder="1" applyProtection="1">
      <protection locked="0"/>
    </xf>
    <xf numFmtId="165" fontId="6" fillId="0" borderId="0" xfId="2" applyFont="1" applyProtection="1">
      <protection locked="0"/>
    </xf>
    <xf numFmtId="0" fontId="11" fillId="3" borderId="0" xfId="3" applyFont="1" applyFill="1"/>
    <xf numFmtId="0" fontId="0" fillId="3" borderId="6" xfId="0" applyFill="1" applyBorder="1"/>
    <xf numFmtId="0" fontId="0" fillId="0" borderId="6" xfId="0" applyBorder="1"/>
    <xf numFmtId="0" fontId="0" fillId="3" borderId="9" xfId="0" applyFill="1" applyBorder="1"/>
    <xf numFmtId="0" fontId="0" fillId="0" borderId="9" xfId="0" applyBorder="1"/>
    <xf numFmtId="165" fontId="17" fillId="3" borderId="1" xfId="2" applyFont="1" applyFill="1" applyBorder="1"/>
    <xf numFmtId="165" fontId="17" fillId="3" borderId="0" xfId="2" applyFont="1" applyFill="1"/>
    <xf numFmtId="167" fontId="17" fillId="3" borderId="0" xfId="2" applyNumberFormat="1" applyFont="1" applyFill="1"/>
    <xf numFmtId="0" fontId="17" fillId="3" borderId="0" xfId="0" applyFont="1" applyFill="1"/>
    <xf numFmtId="0" fontId="18" fillId="2" borderId="5" xfId="1" applyFont="1" applyBorder="1"/>
    <xf numFmtId="0" fontId="18" fillId="2" borderId="6" xfId="1" applyFont="1" applyBorder="1"/>
    <xf numFmtId="0" fontId="19" fillId="4" borderId="7" xfId="3" applyFont="1" applyBorder="1"/>
    <xf numFmtId="0" fontId="19" fillId="4" borderId="0" xfId="3" applyFont="1"/>
    <xf numFmtId="0" fontId="21" fillId="3" borderId="7" xfId="0" applyFont="1" applyFill="1" applyBorder="1"/>
    <xf numFmtId="0" fontId="17" fillId="3" borderId="3" xfId="0" applyFont="1" applyFill="1" applyBorder="1"/>
    <xf numFmtId="0" fontId="17" fillId="3" borderId="7" xfId="0" applyFont="1" applyFill="1" applyBorder="1"/>
    <xf numFmtId="0" fontId="22" fillId="3" borderId="3" xfId="5" applyFont="1" applyFill="1" applyBorder="1"/>
    <xf numFmtId="0" fontId="18" fillId="5" borderId="8" xfId="6" applyFont="1" applyFill="1" applyBorder="1"/>
    <xf numFmtId="0" fontId="18" fillId="5" borderId="2" xfId="6" applyFont="1" applyFill="1"/>
    <xf numFmtId="0" fontId="23" fillId="5" borderId="4" xfId="6" applyFont="1" applyFill="1" applyBorder="1"/>
    <xf numFmtId="0" fontId="18" fillId="5" borderId="12" xfId="6" applyFont="1" applyFill="1" applyBorder="1"/>
    <xf numFmtId="0" fontId="18" fillId="5" borderId="10" xfId="6" applyFont="1" applyFill="1" applyBorder="1"/>
    <xf numFmtId="0" fontId="23" fillId="5" borderId="11" xfId="6" applyFont="1" applyFill="1" applyBorder="1"/>
    <xf numFmtId="169" fontId="0" fillId="3" borderId="0" xfId="0" applyNumberFormat="1" applyFill="1"/>
    <xf numFmtId="0" fontId="24" fillId="0" borderId="0" xfId="0" applyFont="1"/>
    <xf numFmtId="169" fontId="17" fillId="3" borderId="0" xfId="7" applyNumberFormat="1" applyFont="1" applyFill="1" applyBorder="1" applyAlignment="1" applyProtection="1">
      <alignment horizontal="right" indent="1"/>
    </xf>
    <xf numFmtId="3" fontId="17" fillId="3" borderId="0" xfId="0" applyNumberFormat="1" applyFont="1" applyFill="1" applyAlignment="1">
      <alignment horizontal="right" indent="1"/>
    </xf>
    <xf numFmtId="0" fontId="17" fillId="3" borderId="0" xfId="0" applyFont="1" applyFill="1" applyAlignment="1">
      <alignment horizontal="right" indent="1"/>
    </xf>
    <xf numFmtId="169" fontId="18" fillId="5" borderId="2" xfId="7" applyNumberFormat="1" applyFont="1" applyFill="1" applyBorder="1" applyAlignment="1" applyProtection="1">
      <alignment horizontal="right" indent="1"/>
    </xf>
    <xf numFmtId="169" fontId="18" fillId="5" borderId="10" xfId="7" applyNumberFormat="1" applyFont="1" applyFill="1" applyBorder="1" applyAlignment="1" applyProtection="1">
      <alignment horizontal="right" indent="1"/>
    </xf>
    <xf numFmtId="0" fontId="0" fillId="3" borderId="0" xfId="0" applyFill="1" applyAlignment="1">
      <alignment vertical="center"/>
    </xf>
    <xf numFmtId="0" fontId="16" fillId="3" borderId="0" xfId="0" applyFont="1" applyFill="1" applyAlignment="1">
      <alignment vertical="center"/>
    </xf>
    <xf numFmtId="0" fontId="18" fillId="5" borderId="0" xfId="4" applyFont="1" applyFill="1" applyAlignment="1" applyProtection="1">
      <alignment vertical="center"/>
    </xf>
    <xf numFmtId="0" fontId="20" fillId="5" borderId="0" xfId="0" applyFont="1" applyFill="1" applyAlignment="1">
      <alignment vertical="center"/>
    </xf>
    <xf numFmtId="0" fontId="20" fillId="5" borderId="0" xfId="0" applyFont="1" applyFill="1" applyAlignment="1">
      <alignment horizontal="center" vertical="center"/>
    </xf>
    <xf numFmtId="0" fontId="20" fillId="5" borderId="0" xfId="0" applyFont="1" applyFill="1" applyAlignment="1">
      <alignment horizontal="center" vertical="center" wrapText="1"/>
    </xf>
    <xf numFmtId="0" fontId="0" fillId="0" borderId="0" xfId="0" applyAlignment="1">
      <alignment vertical="center"/>
    </xf>
    <xf numFmtId="0" fontId="20" fillId="5" borderId="7" xfId="0" applyFont="1" applyFill="1" applyBorder="1" applyAlignment="1">
      <alignment horizontal="center" vertical="center"/>
    </xf>
    <xf numFmtId="0" fontId="19" fillId="4" borderId="3" xfId="3" applyFont="1" applyBorder="1"/>
    <xf numFmtId="0" fontId="20" fillId="5" borderId="3" xfId="0" applyFont="1" applyFill="1" applyBorder="1" applyAlignment="1">
      <alignment horizontal="center" vertical="center" wrapText="1"/>
    </xf>
    <xf numFmtId="168" fontId="17" fillId="6" borderId="0" xfId="2" quotePrefix="1" applyNumberFormat="1" applyFont="1" applyFill="1"/>
    <xf numFmtId="0" fontId="18" fillId="5" borderId="7" xfId="0" applyFont="1" applyFill="1" applyBorder="1" applyAlignment="1">
      <alignment vertical="center"/>
    </xf>
    <xf numFmtId="170" fontId="17" fillId="3" borderId="3" xfId="8" applyNumberFormat="1" applyFont="1" applyFill="1" applyBorder="1" applyAlignment="1" applyProtection="1">
      <alignment horizontal="right" indent="1"/>
    </xf>
    <xf numFmtId="170" fontId="17" fillId="3" borderId="3" xfId="0" applyNumberFormat="1" applyFont="1" applyFill="1" applyBorder="1" applyAlignment="1">
      <alignment horizontal="right" indent="1"/>
    </xf>
    <xf numFmtId="170" fontId="20" fillId="5" borderId="4" xfId="8" applyNumberFormat="1" applyFont="1" applyFill="1" applyBorder="1" applyAlignment="1" applyProtection="1">
      <alignment horizontal="right" indent="1"/>
    </xf>
    <xf numFmtId="170" fontId="20" fillId="5" borderId="11" xfId="8" applyNumberFormat="1" applyFont="1" applyFill="1" applyBorder="1" applyAlignment="1" applyProtection="1">
      <alignment horizontal="right" indent="1"/>
    </xf>
    <xf numFmtId="170" fontId="17" fillId="3" borderId="0" xfId="8" applyNumberFormat="1" applyFont="1" applyFill="1" applyBorder="1" applyAlignment="1" applyProtection="1">
      <alignment horizontal="right" indent="1"/>
    </xf>
    <xf numFmtId="170" fontId="17" fillId="3" borderId="0" xfId="0" applyNumberFormat="1" applyFont="1" applyFill="1" applyAlignment="1">
      <alignment horizontal="right" indent="1"/>
    </xf>
    <xf numFmtId="170" fontId="20" fillId="5" borderId="2" xfId="8" applyNumberFormat="1" applyFont="1" applyFill="1" applyBorder="1" applyAlignment="1" applyProtection="1">
      <alignment horizontal="right" indent="1"/>
    </xf>
    <xf numFmtId="170" fontId="20" fillId="5" borderId="10" xfId="8" applyNumberFormat="1" applyFont="1" applyFill="1" applyBorder="1" applyAlignment="1" applyProtection="1">
      <alignment horizontal="right" indent="1"/>
    </xf>
    <xf numFmtId="169" fontId="17" fillId="7" borderId="0" xfId="7" applyNumberFormat="1" applyFont="1" applyFill="1" applyBorder="1" applyAlignment="1" applyProtection="1">
      <alignment horizontal="right" indent="1"/>
    </xf>
    <xf numFmtId="169" fontId="17" fillId="7" borderId="0" xfId="7" applyNumberFormat="1" applyFont="1" applyFill="1" applyBorder="1" applyAlignment="1" applyProtection="1">
      <alignment horizontal="right"/>
    </xf>
    <xf numFmtId="3" fontId="17" fillId="7" borderId="0" xfId="0" applyNumberFormat="1" applyFont="1" applyFill="1" applyAlignment="1">
      <alignment horizontal="right" indent="1"/>
    </xf>
    <xf numFmtId="169" fontId="17" fillId="7" borderId="0" xfId="7" applyNumberFormat="1" applyFont="1" applyFill="1" applyBorder="1" applyAlignment="1" applyProtection="1"/>
    <xf numFmtId="169" fontId="17" fillId="3" borderId="0" xfId="7" applyNumberFormat="1" applyFont="1" applyFill="1" applyBorder="1" applyAlignment="1" applyProtection="1"/>
    <xf numFmtId="172" fontId="17" fillId="7" borderId="0" xfId="7" applyNumberFormat="1" applyFont="1" applyFill="1" applyBorder="1" applyAlignment="1" applyProtection="1"/>
    <xf numFmtId="171" fontId="17" fillId="7" borderId="0" xfId="7" applyNumberFormat="1" applyFont="1" applyFill="1" applyBorder="1" applyAlignment="1" applyProtection="1"/>
    <xf numFmtId="169" fontId="18" fillId="5" borderId="2" xfId="7" applyNumberFormat="1" applyFont="1" applyFill="1" applyBorder="1" applyAlignment="1" applyProtection="1">
      <alignment horizontal="right"/>
    </xf>
    <xf numFmtId="169" fontId="18" fillId="5" borderId="10" xfId="7" applyNumberFormat="1" applyFont="1" applyFill="1" applyBorder="1" applyAlignment="1" applyProtection="1">
      <alignment horizontal="right"/>
    </xf>
    <xf numFmtId="0" fontId="20" fillId="5" borderId="3" xfId="0" applyFont="1" applyFill="1" applyBorder="1" applyAlignment="1">
      <alignment horizontal="center" vertical="center"/>
    </xf>
    <xf numFmtId="3" fontId="17" fillId="7" borderId="3" xfId="0" applyNumberFormat="1" applyFont="1" applyFill="1" applyBorder="1" applyAlignment="1">
      <alignment horizontal="right" indent="1"/>
    </xf>
    <xf numFmtId="3" fontId="17" fillId="3" borderId="3" xfId="0" applyNumberFormat="1" applyFont="1" applyFill="1" applyBorder="1" applyAlignment="1">
      <alignment horizontal="right" indent="1"/>
    </xf>
    <xf numFmtId="169" fontId="18" fillId="5" borderId="4" xfId="7" applyNumberFormat="1" applyFont="1" applyFill="1" applyBorder="1" applyAlignment="1" applyProtection="1">
      <alignment horizontal="right" indent="1"/>
    </xf>
    <xf numFmtId="169" fontId="18" fillId="5" borderId="11" xfId="7" applyNumberFormat="1" applyFont="1" applyFill="1" applyBorder="1" applyAlignment="1" applyProtection="1">
      <alignment horizontal="right" indent="1"/>
    </xf>
    <xf numFmtId="171" fontId="17" fillId="7" borderId="0" xfId="7" applyNumberFormat="1" applyFont="1" applyFill="1" applyBorder="1" applyAlignment="1" applyProtection="1">
      <alignment horizontal="right" indent="1"/>
    </xf>
    <xf numFmtId="0" fontId="25" fillId="3" borderId="0" xfId="0" applyFont="1" applyFill="1"/>
    <xf numFmtId="171" fontId="17" fillId="7" borderId="0" xfId="0" applyNumberFormat="1" applyFont="1" applyFill="1" applyAlignment="1">
      <alignment horizontal="right" indent="1"/>
    </xf>
    <xf numFmtId="0" fontId="27" fillId="3" borderId="3" xfId="0" applyFont="1" applyFill="1" applyBorder="1" applyAlignment="1">
      <alignment horizontal="center"/>
    </xf>
    <xf numFmtId="165" fontId="28" fillId="3" borderId="0" xfId="2" applyFont="1" applyFill="1" applyAlignment="1">
      <alignment horizontal="left"/>
    </xf>
    <xf numFmtId="169" fontId="26" fillId="3" borderId="0" xfId="7" applyNumberFormat="1" applyFont="1" applyFill="1" applyBorder="1" applyAlignment="1" applyProtection="1">
      <alignment horizontal="right" indent="1"/>
    </xf>
    <xf numFmtId="0" fontId="27" fillId="3" borderId="0" xfId="0" applyFont="1" applyFill="1" applyAlignment="1">
      <alignment horizontal="center"/>
    </xf>
    <xf numFmtId="3" fontId="17" fillId="7" borderId="0" xfId="7" applyNumberFormat="1" applyFont="1" applyFill="1" applyBorder="1" applyAlignment="1" applyProtection="1">
      <alignment horizontal="right" indent="1"/>
    </xf>
    <xf numFmtId="3" fontId="17" fillId="3" borderId="0" xfId="7" applyNumberFormat="1" applyFont="1" applyFill="1" applyBorder="1" applyAlignment="1" applyProtection="1">
      <alignment horizontal="right" indent="1"/>
    </xf>
    <xf numFmtId="0" fontId="0" fillId="3" borderId="0" xfId="0" applyFill="1" applyAlignment="1">
      <alignment horizontal="right"/>
    </xf>
    <xf numFmtId="165" fontId="17" fillId="3" borderId="1" xfId="2" applyFont="1" applyFill="1" applyBorder="1" applyAlignment="1">
      <alignment horizontal="right"/>
    </xf>
    <xf numFmtId="165" fontId="17" fillId="3" borderId="0" xfId="2" applyFont="1" applyFill="1" applyAlignment="1">
      <alignment horizontal="right"/>
    </xf>
    <xf numFmtId="0" fontId="0" fillId="0" borderId="0" xfId="0" applyAlignment="1">
      <alignment horizontal="right"/>
    </xf>
    <xf numFmtId="169" fontId="17" fillId="3" borderId="0" xfId="2" applyNumberFormat="1" applyFont="1" applyFill="1"/>
    <xf numFmtId="3" fontId="17" fillId="7" borderId="0" xfId="7" applyNumberFormat="1" applyFont="1" applyFill="1" applyBorder="1" applyAlignment="1" applyProtection="1"/>
    <xf numFmtId="3" fontId="17" fillId="3" borderId="0" xfId="0" applyNumberFormat="1" applyFont="1" applyFill="1"/>
    <xf numFmtId="3" fontId="17" fillId="3" borderId="0" xfId="7" applyNumberFormat="1" applyFont="1" applyFill="1" applyBorder="1" applyAlignment="1" applyProtection="1"/>
    <xf numFmtId="173" fontId="29" fillId="3" borderId="0" xfId="8" applyNumberFormat="1" applyFont="1" applyFill="1" applyBorder="1" applyAlignment="1" applyProtection="1">
      <alignment horizontal="right" vertical="center"/>
    </xf>
    <xf numFmtId="0" fontId="31" fillId="0" borderId="0" xfId="0" applyFont="1"/>
    <xf numFmtId="172" fontId="30" fillId="2" borderId="6" xfId="1" applyNumberFormat="1" applyFont="1" applyBorder="1" applyAlignment="1">
      <alignment horizontal="right"/>
    </xf>
    <xf numFmtId="0" fontId="29" fillId="3" borderId="0" xfId="3" applyFont="1" applyFill="1"/>
    <xf numFmtId="0" fontId="19" fillId="3" borderId="0" xfId="3" applyFont="1" applyFill="1"/>
    <xf numFmtId="9" fontId="29" fillId="3" borderId="0" xfId="8" applyFont="1" applyFill="1" applyBorder="1" applyAlignment="1" applyProtection="1">
      <alignment horizontal="right" vertical="center"/>
    </xf>
    <xf numFmtId="0" fontId="18" fillId="2" borderId="16" xfId="1" applyFont="1" applyBorder="1"/>
    <xf numFmtId="0" fontId="18" fillId="2" borderId="17" xfId="1" applyFont="1" applyBorder="1"/>
    <xf numFmtId="0" fontId="18" fillId="2" borderId="18" xfId="1" applyFont="1" applyBorder="1"/>
    <xf numFmtId="3" fontId="17" fillId="0" borderId="0" xfId="0" applyNumberFormat="1" applyFont="1" applyAlignment="1">
      <alignment horizontal="right" indent="1"/>
    </xf>
    <xf numFmtId="171" fontId="17" fillId="0" borderId="0" xfId="7" applyNumberFormat="1" applyFont="1" applyFill="1" applyBorder="1" applyAlignment="1" applyProtection="1">
      <alignment horizontal="right" indent="1"/>
    </xf>
    <xf numFmtId="169" fontId="26" fillId="0" borderId="0" xfId="7" applyNumberFormat="1" applyFont="1" applyFill="1" applyBorder="1" applyAlignment="1" applyProtection="1">
      <alignment horizontal="right" indent="1"/>
    </xf>
    <xf numFmtId="169" fontId="0" fillId="0" borderId="0" xfId="0" applyNumberFormat="1"/>
    <xf numFmtId="1" fontId="21" fillId="3" borderId="0" xfId="2" applyNumberFormat="1" applyFont="1" applyFill="1" applyAlignment="1">
      <alignment horizontal="right"/>
    </xf>
    <xf numFmtId="172" fontId="30" fillId="2" borderId="0" xfId="1" applyNumberFormat="1" applyFont="1" applyAlignment="1">
      <alignment horizontal="right"/>
    </xf>
    <xf numFmtId="0" fontId="29" fillId="4" borderId="16" xfId="3" applyFont="1" applyBorder="1"/>
    <xf numFmtId="0" fontId="19" fillId="4" borderId="17" xfId="3" applyFont="1" applyBorder="1"/>
    <xf numFmtId="9" fontId="29" fillId="4" borderId="16" xfId="8" applyFont="1" applyFill="1" applyBorder="1" applyAlignment="1" applyProtection="1">
      <alignment horizontal="right" vertical="center"/>
    </xf>
    <xf numFmtId="9" fontId="29" fillId="4" borderId="17" xfId="8" applyFont="1" applyFill="1" applyBorder="1" applyAlignment="1" applyProtection="1">
      <alignment horizontal="right" vertical="center"/>
    </xf>
    <xf numFmtId="170" fontId="20" fillId="5" borderId="21" xfId="8" applyNumberFormat="1" applyFont="1" applyFill="1" applyBorder="1" applyAlignment="1" applyProtection="1">
      <alignment horizontal="right" indent="1"/>
    </xf>
    <xf numFmtId="170" fontId="20" fillId="5" borderId="22" xfId="8" applyNumberFormat="1" applyFont="1" applyFill="1" applyBorder="1" applyAlignment="1" applyProtection="1">
      <alignment horizontal="right" indent="1"/>
    </xf>
    <xf numFmtId="170" fontId="17" fillId="7" borderId="0" xfId="8" applyNumberFormat="1" applyFont="1" applyFill="1" applyBorder="1" applyAlignment="1" applyProtection="1">
      <alignment horizontal="right" indent="1"/>
    </xf>
    <xf numFmtId="170" fontId="17" fillId="7" borderId="3" xfId="8" applyNumberFormat="1" applyFont="1" applyFill="1" applyBorder="1" applyAlignment="1" applyProtection="1">
      <alignment horizontal="right" indent="1"/>
    </xf>
    <xf numFmtId="166" fontId="8" fillId="0" borderId="0" xfId="2" applyNumberFormat="1" applyFont="1"/>
    <xf numFmtId="0" fontId="33" fillId="3" borderId="0" xfId="0" applyFont="1" applyFill="1"/>
    <xf numFmtId="0" fontId="33" fillId="0" borderId="0" xfId="0" applyFont="1"/>
    <xf numFmtId="0" fontId="34" fillId="3" borderId="0" xfId="3" applyFont="1" applyFill="1"/>
    <xf numFmtId="0" fontId="33" fillId="3" borderId="0" xfId="0" applyFont="1" applyFill="1" applyAlignment="1">
      <alignment vertical="center"/>
    </xf>
    <xf numFmtId="0" fontId="35" fillId="3" borderId="0" xfId="0" applyFont="1" applyFill="1" applyAlignment="1">
      <alignment vertical="center"/>
    </xf>
    <xf numFmtId="0" fontId="36" fillId="3" borderId="0" xfId="0" applyFont="1" applyFill="1"/>
    <xf numFmtId="169" fontId="33" fillId="3" borderId="0" xfId="0" applyNumberFormat="1" applyFont="1" applyFill="1"/>
    <xf numFmtId="165" fontId="36" fillId="3" borderId="0" xfId="2" applyFont="1" applyFill="1"/>
    <xf numFmtId="165" fontId="37" fillId="3" borderId="0" xfId="2" applyFont="1" applyFill="1" applyAlignment="1">
      <alignment horizontal="left"/>
    </xf>
    <xf numFmtId="169" fontId="33" fillId="0" borderId="0" xfId="0" applyNumberFormat="1" applyFont="1"/>
    <xf numFmtId="173" fontId="29" fillId="4" borderId="17" xfId="8" applyNumberFormat="1" applyFont="1" applyFill="1" applyBorder="1" applyAlignment="1" applyProtection="1">
      <alignment horizontal="right" vertical="center"/>
    </xf>
    <xf numFmtId="49" fontId="17" fillId="3" borderId="0" xfId="2" quotePrefix="1" applyNumberFormat="1" applyFont="1" applyFill="1"/>
    <xf numFmtId="169" fontId="17" fillId="7" borderId="3" xfId="7" applyNumberFormat="1" applyFont="1" applyFill="1" applyBorder="1" applyAlignment="1" applyProtection="1">
      <alignment horizontal="right" indent="1"/>
    </xf>
    <xf numFmtId="169" fontId="17" fillId="3" borderId="3" xfId="7" applyNumberFormat="1" applyFont="1" applyFill="1" applyBorder="1" applyAlignment="1" applyProtection="1">
      <alignment horizontal="right" indent="1"/>
    </xf>
    <xf numFmtId="169" fontId="17" fillId="7" borderId="23" xfId="7" applyNumberFormat="1" applyFont="1" applyFill="1" applyBorder="1" applyAlignment="1" applyProtection="1">
      <alignment horizontal="right" indent="1"/>
    </xf>
    <xf numFmtId="0" fontId="20" fillId="5" borderId="7" xfId="0" applyFont="1" applyFill="1" applyBorder="1" applyAlignment="1">
      <alignment horizontal="center" vertical="center" wrapText="1"/>
    </xf>
    <xf numFmtId="169" fontId="17" fillId="7" borderId="7" xfId="7" applyNumberFormat="1" applyFont="1" applyFill="1" applyBorder="1" applyAlignment="1" applyProtection="1">
      <alignment horizontal="right" indent="1"/>
    </xf>
    <xf numFmtId="169" fontId="17" fillId="3" borderId="7" xfId="7" applyNumberFormat="1" applyFont="1" applyFill="1" applyBorder="1" applyAlignment="1" applyProtection="1">
      <alignment horizontal="right" indent="1"/>
    </xf>
    <xf numFmtId="169" fontId="17" fillId="7" borderId="24" xfId="7" applyNumberFormat="1" applyFont="1" applyFill="1" applyBorder="1" applyAlignment="1" applyProtection="1">
      <alignment horizontal="right" indent="1"/>
    </xf>
    <xf numFmtId="169" fontId="17" fillId="7" borderId="9" xfId="7" applyNumberFormat="1" applyFont="1" applyFill="1" applyBorder="1" applyAlignment="1" applyProtection="1">
      <alignment horizontal="right" indent="1"/>
    </xf>
    <xf numFmtId="0" fontId="19" fillId="4" borderId="7" xfId="3" applyFont="1" applyBorder="1" applyAlignment="1"/>
    <xf numFmtId="0" fontId="19" fillId="4" borderId="0" xfId="3" applyFont="1" applyAlignment="1"/>
    <xf numFmtId="0" fontId="19" fillId="4" borderId="3" xfId="3" applyFont="1" applyBorder="1" applyAlignment="1"/>
    <xf numFmtId="0" fontId="20" fillId="0" borderId="0" xfId="0" applyFont="1" applyAlignment="1">
      <alignment horizontal="center" vertical="center" wrapText="1"/>
    </xf>
    <xf numFmtId="0" fontId="17" fillId="0" borderId="0" xfId="0" applyFont="1"/>
    <xf numFmtId="170" fontId="17" fillId="0" borderId="0" xfId="8" applyNumberFormat="1" applyFont="1" applyFill="1" applyBorder="1" applyAlignment="1" applyProtection="1">
      <alignment horizontal="right" indent="1"/>
    </xf>
    <xf numFmtId="170" fontId="17" fillId="0" borderId="0" xfId="0" applyNumberFormat="1" applyFont="1" applyAlignment="1">
      <alignment horizontal="right" indent="1"/>
    </xf>
    <xf numFmtId="4" fontId="33" fillId="0" borderId="0" xfId="0" applyNumberFormat="1" applyFont="1"/>
    <xf numFmtId="164" fontId="0" fillId="0" borderId="0" xfId="0" applyNumberFormat="1"/>
    <xf numFmtId="0" fontId="19" fillId="4" borderId="7" xfId="3" applyFont="1" applyBorder="1" applyAlignment="1">
      <alignment horizontal="center"/>
    </xf>
    <xf numFmtId="0" fontId="19" fillId="4" borderId="0" xfId="3" applyFont="1" applyAlignment="1">
      <alignment horizontal="center"/>
    </xf>
    <xf numFmtId="0" fontId="19" fillId="4" borderId="3" xfId="3" applyFont="1" applyBorder="1" applyAlignment="1">
      <alignment horizontal="center"/>
    </xf>
    <xf numFmtId="165" fontId="18" fillId="2" borderId="6" xfId="1" applyNumberFormat="1" applyFont="1" applyBorder="1" applyAlignment="1">
      <alignment horizontal="center"/>
    </xf>
    <xf numFmtId="165" fontId="18" fillId="2" borderId="14" xfId="1" applyNumberFormat="1" applyFont="1" applyBorder="1" applyAlignment="1">
      <alignment horizontal="center"/>
    </xf>
    <xf numFmtId="0" fontId="18" fillId="2" borderId="13" xfId="1" applyFont="1" applyBorder="1" applyAlignment="1">
      <alignment horizontal="center"/>
    </xf>
    <xf numFmtId="0" fontId="18" fillId="2" borderId="6" xfId="1" applyFont="1" applyBorder="1" applyAlignment="1">
      <alignment horizontal="center"/>
    </xf>
    <xf numFmtId="0" fontId="18" fillId="2" borderId="14" xfId="1" applyFont="1" applyBorder="1" applyAlignment="1">
      <alignment horizontal="center"/>
    </xf>
    <xf numFmtId="0" fontId="18" fillId="2" borderId="15" xfId="1" applyFont="1" applyBorder="1" applyAlignment="1">
      <alignment horizontal="center"/>
    </xf>
    <xf numFmtId="0" fontId="18" fillId="2" borderId="19" xfId="1" applyFont="1" applyBorder="1" applyAlignment="1">
      <alignment horizontal="center"/>
    </xf>
    <xf numFmtId="0" fontId="18" fillId="2" borderId="0" xfId="1" applyFont="1" applyAlignment="1">
      <alignment horizontal="center"/>
    </xf>
    <xf numFmtId="0" fontId="18" fillId="2" borderId="20" xfId="1" applyFont="1" applyBorder="1" applyAlignment="1">
      <alignment horizontal="center"/>
    </xf>
    <xf numFmtId="0" fontId="18" fillId="2" borderId="3" xfId="1" applyFont="1" applyBorder="1" applyAlignment="1">
      <alignment horizontal="center"/>
    </xf>
    <xf numFmtId="0" fontId="18" fillId="2" borderId="5" xfId="1" applyFont="1" applyBorder="1" applyAlignment="1">
      <alignment horizontal="center"/>
    </xf>
    <xf numFmtId="0" fontId="17" fillId="0" borderId="6" xfId="0" applyFont="1" applyBorder="1" applyAlignment="1">
      <alignment horizontal="center"/>
    </xf>
    <xf numFmtId="0" fontId="0" fillId="0" borderId="6" xfId="0" applyBorder="1"/>
    <xf numFmtId="0" fontId="0" fillId="0" borderId="14" xfId="0" applyBorder="1"/>
    <xf numFmtId="165" fontId="17" fillId="3" borderId="0" xfId="2" applyFont="1" applyFill="1" applyBorder="1"/>
  </cellXfs>
  <cellStyles count="10">
    <cellStyle name="Comma" xfId="7" builtinId="3"/>
    <cellStyle name="Comma 2" xfId="9"/>
    <cellStyle name="Header1" xfId="4"/>
    <cellStyle name="Line_ClosingBal" xfId="6"/>
    <cellStyle name="Normal" xfId="0" builtinId="0"/>
    <cellStyle name="Normal 2" xfId="2"/>
    <cellStyle name="Percent" xfId="8" builtinId="5"/>
    <cellStyle name="Sheet_Header" xfId="1"/>
    <cellStyle name="Sheet_Header2" xfId="3"/>
    <cellStyle name="Unit" xfId="5"/>
  </cellStyles>
  <dxfs count="0"/>
  <tableStyles count="0" defaultTableStyle="TableStyleMedium2" defaultPivotStyle="PivotStyleLight16"/>
  <colors>
    <mruColors>
      <color rgb="FF58657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styles" Target="styles.xml"/><Relationship Id="rId50" Type="http://schemas.openxmlformats.org/officeDocument/2006/relationships/customXml" Target="../customXml/item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externalLink" Target="externalLinks/externalLink1.xml"/><Relationship Id="rId53" Type="http://schemas.microsoft.com/office/2017/10/relationships/person" Target="persons/person.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customXml" Target="../customXml/item2.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theme" Target="theme/theme1.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1" Type="http://schemas.openxmlformats.org/officeDocument/2006/relationships/image" Target="../media/image2.png"/></Relationships>
</file>

<file path=xl/drawings/_rels/drawing13.xml.rels><?xml version="1.0" encoding="UTF-8" standalone="yes"?>
<Relationships xmlns="http://schemas.openxmlformats.org/package/2006/relationships"><Relationship Id="rId1" Type="http://schemas.openxmlformats.org/officeDocument/2006/relationships/image" Target="../media/image2.png"/></Relationships>
</file>

<file path=xl/drawings/_rels/drawing14.xml.rels><?xml version="1.0" encoding="UTF-8" standalone="yes"?>
<Relationships xmlns="http://schemas.openxmlformats.org/package/2006/relationships"><Relationship Id="rId1" Type="http://schemas.openxmlformats.org/officeDocument/2006/relationships/image" Target="../media/image2.png"/></Relationships>
</file>

<file path=xl/drawings/_rels/drawing15.xml.rels><?xml version="1.0" encoding="UTF-8" standalone="yes"?>
<Relationships xmlns="http://schemas.openxmlformats.org/package/2006/relationships"><Relationship Id="rId1" Type="http://schemas.openxmlformats.org/officeDocument/2006/relationships/image" Target="../media/image2.png"/></Relationships>
</file>

<file path=xl/drawings/_rels/drawing16.xml.rels><?xml version="1.0" encoding="UTF-8" standalone="yes"?>
<Relationships xmlns="http://schemas.openxmlformats.org/package/2006/relationships"><Relationship Id="rId1" Type="http://schemas.openxmlformats.org/officeDocument/2006/relationships/image" Target="../media/image2.png"/></Relationships>
</file>

<file path=xl/drawings/_rels/drawing17.xml.rels><?xml version="1.0" encoding="UTF-8" standalone="yes"?>
<Relationships xmlns="http://schemas.openxmlformats.org/package/2006/relationships"><Relationship Id="rId1" Type="http://schemas.openxmlformats.org/officeDocument/2006/relationships/image" Target="../media/image2.png"/></Relationships>
</file>

<file path=xl/drawings/_rels/drawing18.xml.rels><?xml version="1.0" encoding="UTF-8" standalone="yes"?>
<Relationships xmlns="http://schemas.openxmlformats.org/package/2006/relationships"><Relationship Id="rId1" Type="http://schemas.openxmlformats.org/officeDocument/2006/relationships/image" Target="../media/image2.png"/></Relationships>
</file>

<file path=xl/drawings/_rels/drawing19.xml.rels><?xml version="1.0" encoding="UTF-8" standalone="yes"?>
<Relationships xmlns="http://schemas.openxmlformats.org/package/2006/relationships"><Relationship Id="rId1" Type="http://schemas.openxmlformats.org/officeDocument/2006/relationships/image" Target="../media/image2.png"/></Relationships>
</file>

<file path=xl/drawings/_rels/drawing20.xml.rels><?xml version="1.0" encoding="UTF-8" standalone="yes"?>
<Relationships xmlns="http://schemas.openxmlformats.org/package/2006/relationships"><Relationship Id="rId1" Type="http://schemas.openxmlformats.org/officeDocument/2006/relationships/image" Target="../media/image2.png"/></Relationships>
</file>

<file path=xl/drawings/_rels/drawing2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2.xml.rels><?xml version="1.0" encoding="UTF-8" standalone="yes"?>
<Relationships xmlns="http://schemas.openxmlformats.org/package/2006/relationships"><Relationship Id="rId1" Type="http://schemas.openxmlformats.org/officeDocument/2006/relationships/image" Target="../media/image2.png"/></Relationships>
</file>

<file path=xl/drawings/_rels/drawing23.xml.rels><?xml version="1.0" encoding="UTF-8" standalone="yes"?>
<Relationships xmlns="http://schemas.openxmlformats.org/package/2006/relationships"><Relationship Id="rId1" Type="http://schemas.openxmlformats.org/officeDocument/2006/relationships/image" Target="../media/image2.png"/></Relationships>
</file>

<file path=xl/drawings/_rels/drawing24.xml.rels><?xml version="1.0" encoding="UTF-8" standalone="yes"?>
<Relationships xmlns="http://schemas.openxmlformats.org/package/2006/relationships"><Relationship Id="rId1" Type="http://schemas.openxmlformats.org/officeDocument/2006/relationships/image" Target="../media/image2.png"/></Relationships>
</file>

<file path=xl/drawings/_rels/drawing25.xml.rels><?xml version="1.0" encoding="UTF-8" standalone="yes"?>
<Relationships xmlns="http://schemas.openxmlformats.org/package/2006/relationships"><Relationship Id="rId1" Type="http://schemas.openxmlformats.org/officeDocument/2006/relationships/image" Target="../media/image2.png"/></Relationships>
</file>

<file path=xl/drawings/_rels/drawing26.xml.rels><?xml version="1.0" encoding="UTF-8" standalone="yes"?>
<Relationships xmlns="http://schemas.openxmlformats.org/package/2006/relationships"><Relationship Id="rId1" Type="http://schemas.openxmlformats.org/officeDocument/2006/relationships/image" Target="../media/image2.png"/></Relationships>
</file>

<file path=xl/drawings/_rels/drawing27.xml.rels><?xml version="1.0" encoding="UTF-8" standalone="yes"?>
<Relationships xmlns="http://schemas.openxmlformats.org/package/2006/relationships"><Relationship Id="rId1" Type="http://schemas.openxmlformats.org/officeDocument/2006/relationships/image" Target="../media/image2.png"/></Relationships>
</file>

<file path=xl/drawings/_rels/drawing28.xml.rels><?xml version="1.0" encoding="UTF-8" standalone="yes"?>
<Relationships xmlns="http://schemas.openxmlformats.org/package/2006/relationships"><Relationship Id="rId1" Type="http://schemas.openxmlformats.org/officeDocument/2006/relationships/image" Target="../media/image2.png"/></Relationships>
</file>

<file path=xl/drawings/_rels/drawing29.xml.rels><?xml version="1.0" encoding="UTF-8" standalone="yes"?>
<Relationships xmlns="http://schemas.openxmlformats.org/package/2006/relationships"><Relationship Id="rId1" Type="http://schemas.openxmlformats.org/officeDocument/2006/relationships/image" Target="../media/image2.png"/></Relationships>
</file>

<file path=xl/drawings/_rels/drawing30.xml.rels><?xml version="1.0" encoding="UTF-8" standalone="yes"?>
<Relationships xmlns="http://schemas.openxmlformats.org/package/2006/relationships"><Relationship Id="rId1" Type="http://schemas.openxmlformats.org/officeDocument/2006/relationships/image" Target="../media/image2.png"/></Relationships>
</file>

<file path=xl/drawings/_rels/drawing31.xml.rels><?xml version="1.0" encoding="UTF-8" standalone="yes"?>
<Relationships xmlns="http://schemas.openxmlformats.org/package/2006/relationships"><Relationship Id="rId1" Type="http://schemas.openxmlformats.org/officeDocument/2006/relationships/image" Target="../media/image2.png"/></Relationships>
</file>

<file path=xl/drawings/_rels/drawing3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3.xml.rels><?xml version="1.0" encoding="UTF-8" standalone="yes"?>
<Relationships xmlns="http://schemas.openxmlformats.org/package/2006/relationships"><Relationship Id="rId1" Type="http://schemas.openxmlformats.org/officeDocument/2006/relationships/image" Target="../media/image2.png"/></Relationships>
</file>

<file path=xl/drawings/_rels/drawing34.xml.rels><?xml version="1.0" encoding="UTF-8" standalone="yes"?>
<Relationships xmlns="http://schemas.openxmlformats.org/package/2006/relationships"><Relationship Id="rId1" Type="http://schemas.openxmlformats.org/officeDocument/2006/relationships/image" Target="../media/image2.png"/></Relationships>
</file>

<file path=xl/drawings/_rels/drawing35.xml.rels><?xml version="1.0" encoding="UTF-8" standalone="yes"?>
<Relationships xmlns="http://schemas.openxmlformats.org/package/2006/relationships"><Relationship Id="rId1" Type="http://schemas.openxmlformats.org/officeDocument/2006/relationships/image" Target="../media/image2.png"/></Relationships>
</file>

<file path=xl/drawings/_rels/drawing36.xml.rels><?xml version="1.0" encoding="UTF-8" standalone="yes"?>
<Relationships xmlns="http://schemas.openxmlformats.org/package/2006/relationships"><Relationship Id="rId1" Type="http://schemas.openxmlformats.org/officeDocument/2006/relationships/image" Target="../media/image2.png"/></Relationships>
</file>

<file path=xl/drawings/_rels/drawing37.xml.rels><?xml version="1.0" encoding="UTF-8" standalone="yes"?>
<Relationships xmlns="http://schemas.openxmlformats.org/package/2006/relationships"><Relationship Id="rId1" Type="http://schemas.openxmlformats.org/officeDocument/2006/relationships/image" Target="../media/image2.png"/></Relationships>
</file>

<file path=xl/drawings/_rels/drawing38.xml.rels><?xml version="1.0" encoding="UTF-8" standalone="yes"?>
<Relationships xmlns="http://schemas.openxmlformats.org/package/2006/relationships"><Relationship Id="rId1" Type="http://schemas.openxmlformats.org/officeDocument/2006/relationships/image" Target="../media/image2.png"/></Relationships>
</file>

<file path=xl/drawings/_rels/drawing39.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40.xml.rels><?xml version="1.0" encoding="UTF-8" standalone="yes"?>
<Relationships xmlns="http://schemas.openxmlformats.org/package/2006/relationships"><Relationship Id="rId1" Type="http://schemas.openxmlformats.org/officeDocument/2006/relationships/image" Target="../media/image2.png"/></Relationships>
</file>

<file path=xl/drawings/_rels/drawing41.xml.rels><?xml version="1.0" encoding="UTF-8" standalone="yes"?>
<Relationships xmlns="http://schemas.openxmlformats.org/package/2006/relationships"><Relationship Id="rId1" Type="http://schemas.openxmlformats.org/officeDocument/2006/relationships/image" Target="../media/image2.png"/></Relationships>
</file>

<file path=xl/drawings/_rels/drawing42.xml.rels><?xml version="1.0" encoding="UTF-8" standalone="yes"?>
<Relationships xmlns="http://schemas.openxmlformats.org/package/2006/relationships"><Relationship Id="rId1" Type="http://schemas.openxmlformats.org/officeDocument/2006/relationships/image" Target="../media/image2.png"/></Relationships>
</file>

<file path=xl/drawings/_rels/drawing43.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195405</xdr:colOff>
      <xdr:row>9</xdr:row>
      <xdr:rowOff>157582</xdr:rowOff>
    </xdr:from>
    <xdr:to>
      <xdr:col>4</xdr:col>
      <xdr:colOff>556039</xdr:colOff>
      <xdr:row>17</xdr:row>
      <xdr:rowOff>501</xdr:rowOff>
    </xdr:to>
    <xdr:pic>
      <xdr:nvPicPr>
        <xdr:cNvPr id="2" name="Picture 1">
          <a:extLst>
            <a:ext uri="{FF2B5EF4-FFF2-40B4-BE49-F238E27FC236}">
              <a16:creationId xmlns:a16="http://schemas.microsoft.com/office/drawing/2014/main" id="{FA4DB605-4411-4985-B255-32972C0484B4}"/>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0202" t="5109" r="3815" b="8029"/>
        <a:stretch/>
      </xdr:blipFill>
      <xdr:spPr bwMode="auto">
        <a:xfrm>
          <a:off x="551005" y="2259432"/>
          <a:ext cx="1741124" cy="1205442"/>
        </a:xfrm>
        <a:prstGeom prst="rect">
          <a:avLst/>
        </a:prstGeom>
        <a:noFill/>
        <a:ln>
          <a:noFill/>
        </a:ln>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31</xdr:col>
      <xdr:colOff>200841</xdr:colOff>
      <xdr:row>0</xdr:row>
      <xdr:rowOff>0</xdr:rowOff>
    </xdr:from>
    <xdr:to>
      <xdr:col>31</xdr:col>
      <xdr:colOff>767747</xdr:colOff>
      <xdr:row>1</xdr:row>
      <xdr:rowOff>358040</xdr:rowOff>
    </xdr:to>
    <xdr:pic>
      <xdr:nvPicPr>
        <xdr:cNvPr id="2" name="Picture 1">
          <a:extLst>
            <a:ext uri="{FF2B5EF4-FFF2-40B4-BE49-F238E27FC236}">
              <a16:creationId xmlns:a16="http://schemas.microsoft.com/office/drawing/2014/main" id="{1A63FB31-FBFF-4E80-81F3-0FCA94C61B85}"/>
            </a:ext>
          </a:extLst>
        </xdr:cNvPr>
        <xdr:cNvPicPr>
          <a:picLocks noChangeAspect="1"/>
        </xdr:cNvPicPr>
      </xdr:nvPicPr>
      <xdr:blipFill>
        <a:blip xmlns:r="http://schemas.openxmlformats.org/officeDocument/2006/relationships" r:embed="rId1"/>
        <a:stretch>
          <a:fillRect/>
        </a:stretch>
      </xdr:blipFill>
      <xdr:spPr>
        <a:xfrm>
          <a:off x="20079516" y="0"/>
          <a:ext cx="566906" cy="54854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31</xdr:col>
      <xdr:colOff>200841</xdr:colOff>
      <xdr:row>0</xdr:row>
      <xdr:rowOff>0</xdr:rowOff>
    </xdr:from>
    <xdr:to>
      <xdr:col>31</xdr:col>
      <xdr:colOff>767747</xdr:colOff>
      <xdr:row>1</xdr:row>
      <xdr:rowOff>358040</xdr:rowOff>
    </xdr:to>
    <xdr:pic>
      <xdr:nvPicPr>
        <xdr:cNvPr id="2" name="Picture 1">
          <a:extLst>
            <a:ext uri="{FF2B5EF4-FFF2-40B4-BE49-F238E27FC236}">
              <a16:creationId xmlns:a16="http://schemas.microsoft.com/office/drawing/2014/main" id="{A921807D-0CA6-4CCC-96C0-35DE31E07860}"/>
            </a:ext>
          </a:extLst>
        </xdr:cNvPr>
        <xdr:cNvPicPr>
          <a:picLocks noChangeAspect="1"/>
        </xdr:cNvPicPr>
      </xdr:nvPicPr>
      <xdr:blipFill>
        <a:blip xmlns:r="http://schemas.openxmlformats.org/officeDocument/2006/relationships" r:embed="rId1"/>
        <a:stretch>
          <a:fillRect/>
        </a:stretch>
      </xdr:blipFill>
      <xdr:spPr>
        <a:xfrm>
          <a:off x="20079516" y="0"/>
          <a:ext cx="566906" cy="548540"/>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31</xdr:col>
      <xdr:colOff>200841</xdr:colOff>
      <xdr:row>0</xdr:row>
      <xdr:rowOff>0</xdr:rowOff>
    </xdr:from>
    <xdr:to>
      <xdr:col>31</xdr:col>
      <xdr:colOff>767747</xdr:colOff>
      <xdr:row>1</xdr:row>
      <xdr:rowOff>358040</xdr:rowOff>
    </xdr:to>
    <xdr:pic>
      <xdr:nvPicPr>
        <xdr:cNvPr id="2" name="Picture 1">
          <a:extLst>
            <a:ext uri="{FF2B5EF4-FFF2-40B4-BE49-F238E27FC236}">
              <a16:creationId xmlns:a16="http://schemas.microsoft.com/office/drawing/2014/main" id="{6856FBB8-4F70-4515-B58A-8ABF27539800}"/>
            </a:ext>
          </a:extLst>
        </xdr:cNvPr>
        <xdr:cNvPicPr>
          <a:picLocks noChangeAspect="1"/>
        </xdr:cNvPicPr>
      </xdr:nvPicPr>
      <xdr:blipFill>
        <a:blip xmlns:r="http://schemas.openxmlformats.org/officeDocument/2006/relationships" r:embed="rId1"/>
        <a:stretch>
          <a:fillRect/>
        </a:stretch>
      </xdr:blipFill>
      <xdr:spPr>
        <a:xfrm>
          <a:off x="20079516" y="0"/>
          <a:ext cx="566906" cy="548540"/>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31</xdr:col>
      <xdr:colOff>200841</xdr:colOff>
      <xdr:row>0</xdr:row>
      <xdr:rowOff>0</xdr:rowOff>
    </xdr:from>
    <xdr:to>
      <xdr:col>31</xdr:col>
      <xdr:colOff>767747</xdr:colOff>
      <xdr:row>1</xdr:row>
      <xdr:rowOff>358040</xdr:rowOff>
    </xdr:to>
    <xdr:pic>
      <xdr:nvPicPr>
        <xdr:cNvPr id="2" name="Picture 1">
          <a:extLst>
            <a:ext uri="{FF2B5EF4-FFF2-40B4-BE49-F238E27FC236}">
              <a16:creationId xmlns:a16="http://schemas.microsoft.com/office/drawing/2014/main" id="{107EA374-873F-445D-9BA0-CCD29A80527D}"/>
            </a:ext>
          </a:extLst>
        </xdr:cNvPr>
        <xdr:cNvPicPr>
          <a:picLocks noChangeAspect="1"/>
        </xdr:cNvPicPr>
      </xdr:nvPicPr>
      <xdr:blipFill>
        <a:blip xmlns:r="http://schemas.openxmlformats.org/officeDocument/2006/relationships" r:embed="rId1"/>
        <a:stretch>
          <a:fillRect/>
        </a:stretch>
      </xdr:blipFill>
      <xdr:spPr>
        <a:xfrm>
          <a:off x="19993791" y="0"/>
          <a:ext cx="566906" cy="548540"/>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31</xdr:col>
      <xdr:colOff>200841</xdr:colOff>
      <xdr:row>0</xdr:row>
      <xdr:rowOff>0</xdr:rowOff>
    </xdr:from>
    <xdr:to>
      <xdr:col>31</xdr:col>
      <xdr:colOff>767747</xdr:colOff>
      <xdr:row>1</xdr:row>
      <xdr:rowOff>358040</xdr:rowOff>
    </xdr:to>
    <xdr:pic>
      <xdr:nvPicPr>
        <xdr:cNvPr id="2" name="Picture 1">
          <a:extLst>
            <a:ext uri="{FF2B5EF4-FFF2-40B4-BE49-F238E27FC236}">
              <a16:creationId xmlns:a16="http://schemas.microsoft.com/office/drawing/2014/main" id="{E69A93E1-AA44-4CF3-9156-D49160CB79AE}"/>
            </a:ext>
          </a:extLst>
        </xdr:cNvPr>
        <xdr:cNvPicPr>
          <a:picLocks noChangeAspect="1"/>
        </xdr:cNvPicPr>
      </xdr:nvPicPr>
      <xdr:blipFill>
        <a:blip xmlns:r="http://schemas.openxmlformats.org/officeDocument/2006/relationships" r:embed="rId1"/>
        <a:stretch>
          <a:fillRect/>
        </a:stretch>
      </xdr:blipFill>
      <xdr:spPr>
        <a:xfrm>
          <a:off x="19993791" y="0"/>
          <a:ext cx="566906" cy="548540"/>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26</xdr:col>
      <xdr:colOff>200841</xdr:colOff>
      <xdr:row>0</xdr:row>
      <xdr:rowOff>0</xdr:rowOff>
    </xdr:from>
    <xdr:to>
      <xdr:col>26</xdr:col>
      <xdr:colOff>767747</xdr:colOff>
      <xdr:row>1</xdr:row>
      <xdr:rowOff>358040</xdr:rowOff>
    </xdr:to>
    <xdr:pic>
      <xdr:nvPicPr>
        <xdr:cNvPr id="2" name="Picture 1">
          <a:extLst>
            <a:ext uri="{FF2B5EF4-FFF2-40B4-BE49-F238E27FC236}">
              <a16:creationId xmlns:a16="http://schemas.microsoft.com/office/drawing/2014/main" id="{446C3065-F0E5-4C1C-AA67-14A8CC007714}"/>
            </a:ext>
          </a:extLst>
        </xdr:cNvPr>
        <xdr:cNvPicPr>
          <a:picLocks noChangeAspect="1"/>
        </xdr:cNvPicPr>
      </xdr:nvPicPr>
      <xdr:blipFill>
        <a:blip xmlns:r="http://schemas.openxmlformats.org/officeDocument/2006/relationships" r:embed="rId1"/>
        <a:stretch>
          <a:fillRect/>
        </a:stretch>
      </xdr:blipFill>
      <xdr:spPr>
        <a:xfrm>
          <a:off x="16717191" y="0"/>
          <a:ext cx="566906" cy="548540"/>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26</xdr:col>
      <xdr:colOff>200841</xdr:colOff>
      <xdr:row>0</xdr:row>
      <xdr:rowOff>0</xdr:rowOff>
    </xdr:from>
    <xdr:to>
      <xdr:col>26</xdr:col>
      <xdr:colOff>767747</xdr:colOff>
      <xdr:row>1</xdr:row>
      <xdr:rowOff>358040</xdr:rowOff>
    </xdr:to>
    <xdr:pic>
      <xdr:nvPicPr>
        <xdr:cNvPr id="2" name="Picture 1">
          <a:extLst>
            <a:ext uri="{FF2B5EF4-FFF2-40B4-BE49-F238E27FC236}">
              <a16:creationId xmlns:a16="http://schemas.microsoft.com/office/drawing/2014/main" id="{BA47AC32-E70B-4F2F-B7E2-470C2D80D013}"/>
            </a:ext>
          </a:extLst>
        </xdr:cNvPr>
        <xdr:cNvPicPr>
          <a:picLocks noChangeAspect="1"/>
        </xdr:cNvPicPr>
      </xdr:nvPicPr>
      <xdr:blipFill>
        <a:blip xmlns:r="http://schemas.openxmlformats.org/officeDocument/2006/relationships" r:embed="rId1"/>
        <a:stretch>
          <a:fillRect/>
        </a:stretch>
      </xdr:blipFill>
      <xdr:spPr>
        <a:xfrm>
          <a:off x="16717191" y="0"/>
          <a:ext cx="566906" cy="548540"/>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26</xdr:col>
      <xdr:colOff>200841</xdr:colOff>
      <xdr:row>0</xdr:row>
      <xdr:rowOff>0</xdr:rowOff>
    </xdr:from>
    <xdr:to>
      <xdr:col>26</xdr:col>
      <xdr:colOff>767747</xdr:colOff>
      <xdr:row>1</xdr:row>
      <xdr:rowOff>358040</xdr:rowOff>
    </xdr:to>
    <xdr:pic>
      <xdr:nvPicPr>
        <xdr:cNvPr id="2" name="Picture 1">
          <a:extLst>
            <a:ext uri="{FF2B5EF4-FFF2-40B4-BE49-F238E27FC236}">
              <a16:creationId xmlns:a16="http://schemas.microsoft.com/office/drawing/2014/main" id="{9EE2019D-41C8-4411-A3B5-3162AF489BEA}"/>
            </a:ext>
          </a:extLst>
        </xdr:cNvPr>
        <xdr:cNvPicPr>
          <a:picLocks noChangeAspect="1"/>
        </xdr:cNvPicPr>
      </xdr:nvPicPr>
      <xdr:blipFill>
        <a:blip xmlns:r="http://schemas.openxmlformats.org/officeDocument/2006/relationships" r:embed="rId1"/>
        <a:stretch>
          <a:fillRect/>
        </a:stretch>
      </xdr:blipFill>
      <xdr:spPr>
        <a:xfrm>
          <a:off x="16717191" y="0"/>
          <a:ext cx="566906" cy="548540"/>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26</xdr:col>
      <xdr:colOff>200841</xdr:colOff>
      <xdr:row>0</xdr:row>
      <xdr:rowOff>0</xdr:rowOff>
    </xdr:from>
    <xdr:to>
      <xdr:col>26</xdr:col>
      <xdr:colOff>767747</xdr:colOff>
      <xdr:row>1</xdr:row>
      <xdr:rowOff>358040</xdr:rowOff>
    </xdr:to>
    <xdr:pic>
      <xdr:nvPicPr>
        <xdr:cNvPr id="2" name="Picture 1">
          <a:extLst>
            <a:ext uri="{FF2B5EF4-FFF2-40B4-BE49-F238E27FC236}">
              <a16:creationId xmlns:a16="http://schemas.microsoft.com/office/drawing/2014/main" id="{0E5E1694-B89A-4B49-8332-1A661B082F18}"/>
            </a:ext>
          </a:extLst>
        </xdr:cNvPr>
        <xdr:cNvPicPr>
          <a:picLocks noChangeAspect="1"/>
        </xdr:cNvPicPr>
      </xdr:nvPicPr>
      <xdr:blipFill>
        <a:blip xmlns:r="http://schemas.openxmlformats.org/officeDocument/2006/relationships" r:embed="rId1"/>
        <a:stretch>
          <a:fillRect/>
        </a:stretch>
      </xdr:blipFill>
      <xdr:spPr>
        <a:xfrm>
          <a:off x="16717191" y="0"/>
          <a:ext cx="566906" cy="548540"/>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26</xdr:col>
      <xdr:colOff>200841</xdr:colOff>
      <xdr:row>0</xdr:row>
      <xdr:rowOff>0</xdr:rowOff>
    </xdr:from>
    <xdr:to>
      <xdr:col>26</xdr:col>
      <xdr:colOff>767747</xdr:colOff>
      <xdr:row>1</xdr:row>
      <xdr:rowOff>358040</xdr:rowOff>
    </xdr:to>
    <xdr:pic>
      <xdr:nvPicPr>
        <xdr:cNvPr id="2" name="Picture 1">
          <a:extLst>
            <a:ext uri="{FF2B5EF4-FFF2-40B4-BE49-F238E27FC236}">
              <a16:creationId xmlns:a16="http://schemas.microsoft.com/office/drawing/2014/main" id="{7656E5AC-33A6-4BD3-8A12-2923990F1D90}"/>
            </a:ext>
          </a:extLst>
        </xdr:cNvPr>
        <xdr:cNvPicPr>
          <a:picLocks noChangeAspect="1"/>
        </xdr:cNvPicPr>
      </xdr:nvPicPr>
      <xdr:blipFill>
        <a:blip xmlns:r="http://schemas.openxmlformats.org/officeDocument/2006/relationships" r:embed="rId1"/>
        <a:stretch>
          <a:fillRect/>
        </a:stretch>
      </xdr:blipFill>
      <xdr:spPr>
        <a:xfrm>
          <a:off x="16717191" y="0"/>
          <a:ext cx="566906" cy="54854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44824</xdr:colOff>
      <xdr:row>2</xdr:row>
      <xdr:rowOff>145677</xdr:rowOff>
    </xdr:from>
    <xdr:to>
      <xdr:col>22</xdr:col>
      <xdr:colOff>56031</xdr:colOff>
      <xdr:row>26</xdr:row>
      <xdr:rowOff>100853</xdr:rowOff>
    </xdr:to>
    <xdr:sp macro="" textlink="">
      <xdr:nvSpPr>
        <xdr:cNvPr id="3" name="TextBox 2">
          <a:extLst>
            <a:ext uri="{FF2B5EF4-FFF2-40B4-BE49-F238E27FC236}">
              <a16:creationId xmlns:a16="http://schemas.microsoft.com/office/drawing/2014/main" id="{2EBA588C-4D99-4D84-BDC2-E631879B8965}"/>
            </a:ext>
          </a:extLst>
        </xdr:cNvPr>
        <xdr:cNvSpPr txBox="1"/>
      </xdr:nvSpPr>
      <xdr:spPr>
        <a:xfrm>
          <a:off x="381000" y="795618"/>
          <a:ext cx="12897972" cy="405652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latinLnBrk="0" hangingPunct="1"/>
          <a:endParaRPr lang="de-DE" sz="1400" i="1">
            <a:solidFill>
              <a:sysClr val="windowText" lastClr="000000"/>
            </a:solidFill>
            <a:effectLst/>
            <a:latin typeface="+mn-lt"/>
          </a:endParaRPr>
        </a:p>
        <a:p>
          <a:pPr rtl="0" eaLnBrk="1" latinLnBrk="0" hangingPunct="1"/>
          <a:endParaRPr lang="en-US" sz="1400">
            <a:effectLst/>
          </a:endParaRPr>
        </a:p>
        <a:p>
          <a:pPr rtl="0" eaLnBrk="1" latinLnBrk="0" hangingPunct="1"/>
          <a:r>
            <a:rPr lang="en-GB" sz="1400" i="1">
              <a:solidFill>
                <a:schemeClr val="dk1"/>
              </a:solidFill>
              <a:effectLst/>
              <a:latin typeface="+mn-lt"/>
              <a:ea typeface="+mn-ea"/>
              <a:cs typeface="+mn-cs"/>
            </a:rPr>
            <a:t>This document does not constitute an invitation and should not be taken as an inducement to engage in any investment activity and is for the purpose of providing information about Global Ports Holding Plc (the "Company"). </a:t>
          </a:r>
          <a:r>
            <a:rPr lang="en-GB" sz="1400" b="0" i="1">
              <a:solidFill>
                <a:schemeClr val="dk1"/>
              </a:solidFill>
              <a:effectLst/>
              <a:latin typeface="+mn-lt"/>
              <a:ea typeface="+mn-ea"/>
              <a:cs typeface="+mn-cs"/>
            </a:rPr>
            <a:t>This document does not constitute an offer to sell or the solicitation of an offer to buy or acquire any shares of the Company in any jurisdiction or an inducement to enter into investment activity. No information set out in this document will form the basis of any contract.</a:t>
          </a:r>
          <a:endParaRPr lang="en-US" sz="1400">
            <a:effectLst/>
          </a:endParaRPr>
        </a:p>
        <a:p>
          <a:r>
            <a:rPr lang="en-GB" sz="1400" b="0" i="1">
              <a:solidFill>
                <a:schemeClr val="dk1"/>
              </a:solidFill>
              <a:effectLst/>
              <a:latin typeface="+mn-lt"/>
              <a:ea typeface="+mn-ea"/>
              <a:cs typeface="+mn-cs"/>
            </a:rPr>
            <a:t/>
          </a:r>
          <a:br>
            <a:rPr lang="en-GB" sz="1400" b="0" i="1">
              <a:solidFill>
                <a:schemeClr val="dk1"/>
              </a:solidFill>
              <a:effectLst/>
              <a:latin typeface="+mn-lt"/>
              <a:ea typeface="+mn-ea"/>
              <a:cs typeface="+mn-cs"/>
            </a:rPr>
          </a:br>
          <a:r>
            <a:rPr lang="en-GB" sz="1400" b="0" i="1">
              <a:solidFill>
                <a:schemeClr val="dk1"/>
              </a:solidFill>
              <a:effectLst/>
              <a:latin typeface="+mn-lt"/>
              <a:ea typeface="+mn-ea"/>
              <a:cs typeface="+mn-cs"/>
            </a:rPr>
            <a:t>The information used in preparing these materials was obtained from or through the Company or the Company’s representatives or from public sources. No reliance may be placed for any purposes whatsoever on the information contained in this document or on its accuracy, completeness or fairness. The information in this document is subject to verification, completion and change. While the information herein has been prepared in good faith, no representation or warranty, express or implied, is or will be made and no responsibility or liability is or will be accepted by the Company or any of its group undertakings, employees or agents as to or in relation to the accuracy, completeness or fairness of the information contained in this document and any such liability is expressly disclaimed. This disclaimer will not exclude any liability for, or remedy in respect of fraudulent misrepresentation by the Company.  </a:t>
          </a:r>
          <a:r>
            <a:rPr lang="en-GB" sz="1400" b="0" i="1" u="none" strike="noStrike">
              <a:solidFill>
                <a:sysClr val="windowText" lastClr="000000"/>
              </a:solidFill>
              <a:effectLst/>
              <a:latin typeface="+mn-lt"/>
              <a:ea typeface="+mn-ea"/>
              <a:cs typeface="+mn-cs"/>
            </a:rPr>
            <a:t/>
          </a:r>
          <a:br>
            <a:rPr lang="en-GB" sz="1400" b="0" i="1" u="none" strike="noStrike">
              <a:solidFill>
                <a:sysClr val="windowText" lastClr="000000"/>
              </a:solidFill>
              <a:effectLst/>
              <a:latin typeface="+mn-lt"/>
              <a:ea typeface="+mn-ea"/>
              <a:cs typeface="+mn-cs"/>
            </a:rPr>
          </a:br>
          <a:endParaRPr lang="en-GB" sz="1400" b="0" i="1" u="none" strike="noStrike">
            <a:solidFill>
              <a:sysClr val="windowText" lastClr="000000"/>
            </a:solidFill>
            <a:effectLst/>
            <a:latin typeface="+mn-lt"/>
            <a:ea typeface="+mn-ea"/>
            <a:cs typeface="+mn-cs"/>
          </a:endParaRPr>
        </a:p>
        <a:p>
          <a:endParaRPr lang="en-GB" sz="1400" b="0" i="1" u="none" strike="noStrike">
            <a:solidFill>
              <a:sysClr val="windowText" lastClr="000000"/>
            </a:solidFill>
            <a:effectLst/>
            <a:latin typeface="+mn-lt"/>
            <a:ea typeface="+mn-ea"/>
            <a:cs typeface="+mn-cs"/>
          </a:endParaRPr>
        </a:p>
        <a:p>
          <a:pPr rtl="0" eaLnBrk="1" latinLnBrk="0" hangingPunct="1"/>
          <a:r>
            <a:rPr lang="en-GB" sz="1400" i="1">
              <a:solidFill>
                <a:sysClr val="windowText" lastClr="000000"/>
              </a:solidFill>
              <a:effectLst/>
              <a:latin typeface="+mn-lt"/>
              <a:ea typeface="+mn-ea"/>
              <a:cs typeface="+mn-cs"/>
            </a:rPr>
            <a:t>NOT FOR RELEASE, PUBLICATION OR DISTRIBUTION, IN WHOLE OR IN PART, IN OR INTO OR FROM ANY JURISDICTION WHERE TO DO SO WOULD CONSTITUTE A VIOLATION OF THE RELEVANT LAWS OF SUCH JURISDICTION</a:t>
          </a:r>
        </a:p>
        <a:p>
          <a:pPr rtl="0" eaLnBrk="1" latinLnBrk="0" hangingPunct="1"/>
          <a:endParaRPr lang="en-GB" sz="1400" i="1">
            <a:solidFill>
              <a:sysClr val="windowText" lastClr="000000"/>
            </a:solidFill>
            <a:effectLst/>
            <a:latin typeface="+mn-lt"/>
          </a:endParaRPr>
        </a:p>
        <a:p>
          <a:endParaRPr lang="en-GB" sz="1000" i="1">
            <a:solidFill>
              <a:sysClr val="windowText" lastClr="000000"/>
            </a:solidFill>
            <a:latin typeface="+mn-lt"/>
          </a:endParaRPr>
        </a:p>
      </xdr:txBody>
    </xdr:sp>
    <xdr:clientData/>
  </xdr:twoCellAnchor>
</xdr:wsDr>
</file>

<file path=xl/drawings/drawing20.xml><?xml version="1.0" encoding="utf-8"?>
<xdr:wsDr xmlns:xdr="http://schemas.openxmlformats.org/drawingml/2006/spreadsheetDrawing" xmlns:a="http://schemas.openxmlformats.org/drawingml/2006/main">
  <xdr:twoCellAnchor editAs="oneCell">
    <xdr:from>
      <xdr:col>26</xdr:col>
      <xdr:colOff>200841</xdr:colOff>
      <xdr:row>0</xdr:row>
      <xdr:rowOff>0</xdr:rowOff>
    </xdr:from>
    <xdr:to>
      <xdr:col>26</xdr:col>
      <xdr:colOff>767747</xdr:colOff>
      <xdr:row>1</xdr:row>
      <xdr:rowOff>358040</xdr:rowOff>
    </xdr:to>
    <xdr:pic>
      <xdr:nvPicPr>
        <xdr:cNvPr id="2" name="Picture 1">
          <a:extLst>
            <a:ext uri="{FF2B5EF4-FFF2-40B4-BE49-F238E27FC236}">
              <a16:creationId xmlns:a16="http://schemas.microsoft.com/office/drawing/2014/main" id="{646FAFDB-538B-45AC-8D2F-B3D0100C0B43}"/>
            </a:ext>
          </a:extLst>
        </xdr:cNvPr>
        <xdr:cNvPicPr>
          <a:picLocks noChangeAspect="1"/>
        </xdr:cNvPicPr>
      </xdr:nvPicPr>
      <xdr:blipFill>
        <a:blip xmlns:r="http://schemas.openxmlformats.org/officeDocument/2006/relationships" r:embed="rId1"/>
        <a:stretch>
          <a:fillRect/>
        </a:stretch>
      </xdr:blipFill>
      <xdr:spPr>
        <a:xfrm>
          <a:off x="16660041" y="0"/>
          <a:ext cx="566906" cy="548540"/>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26</xdr:col>
      <xdr:colOff>200841</xdr:colOff>
      <xdr:row>0</xdr:row>
      <xdr:rowOff>0</xdr:rowOff>
    </xdr:from>
    <xdr:to>
      <xdr:col>26</xdr:col>
      <xdr:colOff>767747</xdr:colOff>
      <xdr:row>1</xdr:row>
      <xdr:rowOff>358040</xdr:rowOff>
    </xdr:to>
    <xdr:pic>
      <xdr:nvPicPr>
        <xdr:cNvPr id="2" name="Picture 1">
          <a:extLst>
            <a:ext uri="{FF2B5EF4-FFF2-40B4-BE49-F238E27FC236}">
              <a16:creationId xmlns:a16="http://schemas.microsoft.com/office/drawing/2014/main" id="{210E2634-B954-4C71-ACA5-421D22184C13}"/>
            </a:ext>
          </a:extLst>
        </xdr:cNvPr>
        <xdr:cNvPicPr>
          <a:picLocks noChangeAspect="1"/>
        </xdr:cNvPicPr>
      </xdr:nvPicPr>
      <xdr:blipFill>
        <a:blip xmlns:r="http://schemas.openxmlformats.org/officeDocument/2006/relationships" r:embed="rId1"/>
        <a:stretch>
          <a:fillRect/>
        </a:stretch>
      </xdr:blipFill>
      <xdr:spPr>
        <a:xfrm>
          <a:off x="15878991" y="0"/>
          <a:ext cx="566906" cy="548540"/>
        </a:xfrm>
        <a:prstGeom prst="rect">
          <a:avLst/>
        </a:prstGeom>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26</xdr:col>
      <xdr:colOff>200841</xdr:colOff>
      <xdr:row>0</xdr:row>
      <xdr:rowOff>0</xdr:rowOff>
    </xdr:from>
    <xdr:to>
      <xdr:col>26</xdr:col>
      <xdr:colOff>767747</xdr:colOff>
      <xdr:row>1</xdr:row>
      <xdr:rowOff>358040</xdr:rowOff>
    </xdr:to>
    <xdr:pic>
      <xdr:nvPicPr>
        <xdr:cNvPr id="2" name="Picture 1">
          <a:extLst>
            <a:ext uri="{FF2B5EF4-FFF2-40B4-BE49-F238E27FC236}">
              <a16:creationId xmlns:a16="http://schemas.microsoft.com/office/drawing/2014/main" id="{D849879A-4C7D-4698-9034-48E14A6DDC7A}"/>
            </a:ext>
          </a:extLst>
        </xdr:cNvPr>
        <xdr:cNvPicPr>
          <a:picLocks noChangeAspect="1"/>
        </xdr:cNvPicPr>
      </xdr:nvPicPr>
      <xdr:blipFill>
        <a:blip xmlns:r="http://schemas.openxmlformats.org/officeDocument/2006/relationships" r:embed="rId1"/>
        <a:stretch>
          <a:fillRect/>
        </a:stretch>
      </xdr:blipFill>
      <xdr:spPr>
        <a:xfrm>
          <a:off x="15781020" y="0"/>
          <a:ext cx="566906" cy="550808"/>
        </a:xfrm>
        <a:prstGeom prst="rect">
          <a:avLst/>
        </a:prstGeom>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26</xdr:col>
      <xdr:colOff>64770</xdr:colOff>
      <xdr:row>0</xdr:row>
      <xdr:rowOff>24765</xdr:rowOff>
    </xdr:from>
    <xdr:to>
      <xdr:col>26</xdr:col>
      <xdr:colOff>631676</xdr:colOff>
      <xdr:row>1</xdr:row>
      <xdr:rowOff>382805</xdr:rowOff>
    </xdr:to>
    <xdr:pic>
      <xdr:nvPicPr>
        <xdr:cNvPr id="2" name="Picture 1">
          <a:extLst>
            <a:ext uri="{FF2B5EF4-FFF2-40B4-BE49-F238E27FC236}">
              <a16:creationId xmlns:a16="http://schemas.microsoft.com/office/drawing/2014/main" id="{BE5E051B-8963-479C-AD31-69154F498DE0}"/>
            </a:ext>
          </a:extLst>
        </xdr:cNvPr>
        <xdr:cNvPicPr>
          <a:picLocks noChangeAspect="1"/>
        </xdr:cNvPicPr>
      </xdr:nvPicPr>
      <xdr:blipFill>
        <a:blip xmlns:r="http://schemas.openxmlformats.org/officeDocument/2006/relationships" r:embed="rId1"/>
        <a:stretch>
          <a:fillRect/>
        </a:stretch>
      </xdr:blipFill>
      <xdr:spPr>
        <a:xfrm>
          <a:off x="15133320" y="24765"/>
          <a:ext cx="566906" cy="548540"/>
        </a:xfrm>
        <a:prstGeom prst="rect">
          <a:avLst/>
        </a:prstGeom>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26</xdr:col>
      <xdr:colOff>64770</xdr:colOff>
      <xdr:row>0</xdr:row>
      <xdr:rowOff>24765</xdr:rowOff>
    </xdr:from>
    <xdr:to>
      <xdr:col>26</xdr:col>
      <xdr:colOff>631676</xdr:colOff>
      <xdr:row>1</xdr:row>
      <xdr:rowOff>382805</xdr:rowOff>
    </xdr:to>
    <xdr:pic>
      <xdr:nvPicPr>
        <xdr:cNvPr id="2" name="Picture 1">
          <a:extLst>
            <a:ext uri="{FF2B5EF4-FFF2-40B4-BE49-F238E27FC236}">
              <a16:creationId xmlns:a16="http://schemas.microsoft.com/office/drawing/2014/main" id="{46DA15B1-25B2-46A9-B2EC-0529DF1C48DD}"/>
            </a:ext>
          </a:extLst>
        </xdr:cNvPr>
        <xdr:cNvPicPr>
          <a:picLocks noChangeAspect="1"/>
        </xdr:cNvPicPr>
      </xdr:nvPicPr>
      <xdr:blipFill>
        <a:blip xmlns:r="http://schemas.openxmlformats.org/officeDocument/2006/relationships" r:embed="rId1"/>
        <a:stretch>
          <a:fillRect/>
        </a:stretch>
      </xdr:blipFill>
      <xdr:spPr>
        <a:xfrm>
          <a:off x="15038070" y="24765"/>
          <a:ext cx="566906" cy="548540"/>
        </a:xfrm>
        <a:prstGeom prst="rect">
          <a:avLst/>
        </a:prstGeom>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26</xdr:col>
      <xdr:colOff>64770</xdr:colOff>
      <xdr:row>0</xdr:row>
      <xdr:rowOff>24765</xdr:rowOff>
    </xdr:from>
    <xdr:to>
      <xdr:col>26</xdr:col>
      <xdr:colOff>631676</xdr:colOff>
      <xdr:row>1</xdr:row>
      <xdr:rowOff>382805</xdr:rowOff>
    </xdr:to>
    <xdr:pic>
      <xdr:nvPicPr>
        <xdr:cNvPr id="2" name="Picture 1">
          <a:extLst>
            <a:ext uri="{FF2B5EF4-FFF2-40B4-BE49-F238E27FC236}">
              <a16:creationId xmlns:a16="http://schemas.microsoft.com/office/drawing/2014/main" id="{3F44234E-8D88-4A0E-9F72-C9B6A37737C0}"/>
            </a:ext>
          </a:extLst>
        </xdr:cNvPr>
        <xdr:cNvPicPr>
          <a:picLocks noChangeAspect="1"/>
        </xdr:cNvPicPr>
      </xdr:nvPicPr>
      <xdr:blipFill>
        <a:blip xmlns:r="http://schemas.openxmlformats.org/officeDocument/2006/relationships" r:embed="rId1"/>
        <a:stretch>
          <a:fillRect/>
        </a:stretch>
      </xdr:blipFill>
      <xdr:spPr>
        <a:xfrm>
          <a:off x="15038070" y="24765"/>
          <a:ext cx="566906" cy="548540"/>
        </a:xfrm>
        <a:prstGeom prst="rect">
          <a:avLst/>
        </a:prstGeom>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26</xdr:col>
      <xdr:colOff>64770</xdr:colOff>
      <xdr:row>0</xdr:row>
      <xdr:rowOff>24765</xdr:rowOff>
    </xdr:from>
    <xdr:to>
      <xdr:col>26</xdr:col>
      <xdr:colOff>631676</xdr:colOff>
      <xdr:row>1</xdr:row>
      <xdr:rowOff>382805</xdr:rowOff>
    </xdr:to>
    <xdr:pic>
      <xdr:nvPicPr>
        <xdr:cNvPr id="3" name="Picture 2">
          <a:extLst>
            <a:ext uri="{FF2B5EF4-FFF2-40B4-BE49-F238E27FC236}">
              <a16:creationId xmlns:a16="http://schemas.microsoft.com/office/drawing/2014/main" id="{D5534AB7-2096-4532-A6A4-0156396E9001}"/>
            </a:ext>
          </a:extLst>
        </xdr:cNvPr>
        <xdr:cNvPicPr>
          <a:picLocks noChangeAspect="1"/>
        </xdr:cNvPicPr>
      </xdr:nvPicPr>
      <xdr:blipFill>
        <a:blip xmlns:r="http://schemas.openxmlformats.org/officeDocument/2006/relationships" r:embed="rId1"/>
        <a:stretch>
          <a:fillRect/>
        </a:stretch>
      </xdr:blipFill>
      <xdr:spPr>
        <a:xfrm>
          <a:off x="14971395" y="24765"/>
          <a:ext cx="566906" cy="539015"/>
        </a:xfrm>
        <a:prstGeom prst="rect">
          <a:avLst/>
        </a:prstGeom>
      </xdr:spPr>
    </xdr:pic>
    <xdr:clientData/>
  </xdr:twoCellAnchor>
</xdr:wsDr>
</file>

<file path=xl/drawings/drawing27.xml><?xml version="1.0" encoding="utf-8"?>
<xdr:wsDr xmlns:xdr="http://schemas.openxmlformats.org/drawingml/2006/spreadsheetDrawing" xmlns:a="http://schemas.openxmlformats.org/drawingml/2006/main">
  <xdr:twoCellAnchor editAs="oneCell">
    <xdr:from>
      <xdr:col>26</xdr:col>
      <xdr:colOff>231626</xdr:colOff>
      <xdr:row>0</xdr:row>
      <xdr:rowOff>0</xdr:rowOff>
    </xdr:from>
    <xdr:to>
      <xdr:col>26</xdr:col>
      <xdr:colOff>740261</xdr:colOff>
      <xdr:row>1</xdr:row>
      <xdr:rowOff>228119</xdr:rowOff>
    </xdr:to>
    <xdr:pic>
      <xdr:nvPicPr>
        <xdr:cNvPr id="2" name="Picture 1">
          <a:extLst>
            <a:ext uri="{FF2B5EF4-FFF2-40B4-BE49-F238E27FC236}">
              <a16:creationId xmlns:a16="http://schemas.microsoft.com/office/drawing/2014/main" id="{B3E60561-CBC0-4FBC-9ED1-EABF68F5E681}"/>
            </a:ext>
          </a:extLst>
        </xdr:cNvPr>
        <xdr:cNvPicPr>
          <a:picLocks noChangeAspect="1"/>
        </xdr:cNvPicPr>
      </xdr:nvPicPr>
      <xdr:blipFill>
        <a:blip xmlns:r="http://schemas.openxmlformats.org/officeDocument/2006/relationships" r:embed="rId1"/>
        <a:stretch>
          <a:fillRect/>
        </a:stretch>
      </xdr:blipFill>
      <xdr:spPr>
        <a:xfrm>
          <a:off x="13955246" y="0"/>
          <a:ext cx="508635" cy="410999"/>
        </a:xfrm>
        <a:prstGeom prst="rect">
          <a:avLst/>
        </a:prstGeom>
      </xdr:spPr>
    </xdr:pic>
    <xdr:clientData/>
  </xdr:twoCellAnchor>
</xdr:wsDr>
</file>

<file path=xl/drawings/drawing28.xml><?xml version="1.0" encoding="utf-8"?>
<xdr:wsDr xmlns:xdr="http://schemas.openxmlformats.org/drawingml/2006/spreadsheetDrawing" xmlns:a="http://schemas.openxmlformats.org/drawingml/2006/main">
  <xdr:twoCellAnchor editAs="oneCell">
    <xdr:from>
      <xdr:col>21</xdr:col>
      <xdr:colOff>231626</xdr:colOff>
      <xdr:row>0</xdr:row>
      <xdr:rowOff>0</xdr:rowOff>
    </xdr:from>
    <xdr:to>
      <xdr:col>21</xdr:col>
      <xdr:colOff>740261</xdr:colOff>
      <xdr:row>1</xdr:row>
      <xdr:rowOff>228119</xdr:rowOff>
    </xdr:to>
    <xdr:pic>
      <xdr:nvPicPr>
        <xdr:cNvPr id="2" name="Picture 1">
          <a:extLst>
            <a:ext uri="{FF2B5EF4-FFF2-40B4-BE49-F238E27FC236}">
              <a16:creationId xmlns:a16="http://schemas.microsoft.com/office/drawing/2014/main" id="{33C8C8C1-12CE-4C4C-B3BF-DD912E51E5B0}"/>
            </a:ext>
          </a:extLst>
        </xdr:cNvPr>
        <xdr:cNvPicPr>
          <a:picLocks noChangeAspect="1"/>
        </xdr:cNvPicPr>
      </xdr:nvPicPr>
      <xdr:blipFill>
        <a:blip xmlns:r="http://schemas.openxmlformats.org/officeDocument/2006/relationships" r:embed="rId1"/>
        <a:stretch>
          <a:fillRect/>
        </a:stretch>
      </xdr:blipFill>
      <xdr:spPr>
        <a:xfrm>
          <a:off x="13938101" y="0"/>
          <a:ext cx="508635" cy="409094"/>
        </a:xfrm>
        <a:prstGeom prst="rect">
          <a:avLst/>
        </a:prstGeom>
      </xdr:spPr>
    </xdr:pic>
    <xdr:clientData/>
  </xdr:twoCellAnchor>
</xdr:wsDr>
</file>

<file path=xl/drawings/drawing29.xml><?xml version="1.0" encoding="utf-8"?>
<xdr:wsDr xmlns:xdr="http://schemas.openxmlformats.org/drawingml/2006/spreadsheetDrawing" xmlns:a="http://schemas.openxmlformats.org/drawingml/2006/main">
  <xdr:twoCellAnchor editAs="oneCell">
    <xdr:from>
      <xdr:col>21</xdr:col>
      <xdr:colOff>231626</xdr:colOff>
      <xdr:row>0</xdr:row>
      <xdr:rowOff>0</xdr:rowOff>
    </xdr:from>
    <xdr:to>
      <xdr:col>21</xdr:col>
      <xdr:colOff>744071</xdr:colOff>
      <xdr:row>1</xdr:row>
      <xdr:rowOff>228119</xdr:rowOff>
    </xdr:to>
    <xdr:pic>
      <xdr:nvPicPr>
        <xdr:cNvPr id="2" name="Picture 1">
          <a:extLst>
            <a:ext uri="{FF2B5EF4-FFF2-40B4-BE49-F238E27FC236}">
              <a16:creationId xmlns:a16="http://schemas.microsoft.com/office/drawing/2014/main" id="{61420032-A9BD-45DD-9753-0BC75D5BCD6D}"/>
            </a:ext>
          </a:extLst>
        </xdr:cNvPr>
        <xdr:cNvPicPr>
          <a:picLocks noChangeAspect="1"/>
        </xdr:cNvPicPr>
      </xdr:nvPicPr>
      <xdr:blipFill>
        <a:blip xmlns:r="http://schemas.openxmlformats.org/officeDocument/2006/relationships" r:embed="rId1"/>
        <a:stretch>
          <a:fillRect/>
        </a:stretch>
      </xdr:blipFill>
      <xdr:spPr>
        <a:xfrm>
          <a:off x="13938101" y="0"/>
          <a:ext cx="512445" cy="40909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2</xdr:col>
      <xdr:colOff>74856</xdr:colOff>
      <xdr:row>2</xdr:row>
      <xdr:rowOff>65329</xdr:rowOff>
    </xdr:from>
    <xdr:to>
      <xdr:col>17</xdr:col>
      <xdr:colOff>571500</xdr:colOff>
      <xdr:row>30</xdr:row>
      <xdr:rowOff>11206</xdr:rowOff>
    </xdr:to>
    <xdr:sp macro="" textlink="">
      <xdr:nvSpPr>
        <xdr:cNvPr id="3" name="TextBox 2">
          <a:extLst>
            <a:ext uri="{FF2B5EF4-FFF2-40B4-BE49-F238E27FC236}">
              <a16:creationId xmlns:a16="http://schemas.microsoft.com/office/drawing/2014/main" id="{2BE752AC-B3EA-46D8-AAC8-D62225A037E0}"/>
            </a:ext>
          </a:extLst>
        </xdr:cNvPr>
        <xdr:cNvSpPr txBox="1"/>
      </xdr:nvSpPr>
      <xdr:spPr>
        <a:xfrm>
          <a:off x="411032" y="715270"/>
          <a:ext cx="9965615" cy="616514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latinLnBrk="0" hangingPunct="1">
            <a:spcBef>
              <a:spcPts val="600"/>
            </a:spcBef>
          </a:pPr>
          <a:r>
            <a:rPr lang="de-DE" sz="1000" b="1" i="1" u="none" strike="noStrike">
              <a:solidFill>
                <a:schemeClr val="bg1">
                  <a:lumMod val="50000"/>
                </a:schemeClr>
              </a:solidFill>
              <a:effectLst/>
              <a:latin typeface="+mn-lt"/>
              <a:ea typeface="+mn-ea"/>
              <a:cs typeface="+mn-cs"/>
            </a:rPr>
            <a:t>Scope</a:t>
          </a:r>
          <a:r>
            <a:rPr lang="de-DE" sz="1000" b="0" i="1" u="none" strike="noStrike">
              <a:solidFill>
                <a:schemeClr val="dk1"/>
              </a:solidFill>
              <a:effectLst/>
              <a:latin typeface="+mn-lt"/>
              <a:ea typeface="+mn-ea"/>
              <a:cs typeface="+mn-cs"/>
            </a:rPr>
            <a:t> </a:t>
          </a:r>
          <a:r>
            <a:rPr lang="de-DE" sz="1000">
              <a:latin typeface="+mn-lt"/>
            </a:rPr>
            <a:t> </a:t>
          </a:r>
          <a:r>
            <a:rPr lang="de-DE" sz="1000" b="0" i="0" u="none" strike="noStrike">
              <a:solidFill>
                <a:schemeClr val="dk1"/>
              </a:solidFill>
              <a:effectLst/>
              <a:latin typeface="+mn-lt"/>
              <a:ea typeface="+mn-ea"/>
              <a:cs typeface="+mn-cs"/>
            </a:rPr>
            <a:t> </a:t>
          </a:r>
        </a:p>
        <a:p>
          <a:pPr rtl="0" eaLnBrk="1" latinLnBrk="0" hangingPunct="1">
            <a:spcBef>
              <a:spcPts val="600"/>
            </a:spcBef>
          </a:pPr>
          <a:r>
            <a:rPr lang="de-DE" sz="1000" b="0" i="0" u="none" strike="noStrike">
              <a:solidFill>
                <a:schemeClr val="dk1"/>
              </a:solidFill>
              <a:effectLst/>
              <a:latin typeface="+mn-lt"/>
              <a:ea typeface="+mn-ea"/>
              <a:cs typeface="+mn-cs"/>
            </a:rPr>
            <a:t>Traffic stats for cruise</a:t>
          </a:r>
          <a:r>
            <a:rPr lang="de-DE" sz="1000" b="0" i="0" u="none" strike="noStrike" baseline="0">
              <a:solidFill>
                <a:schemeClr val="dk1"/>
              </a:solidFill>
              <a:effectLst/>
              <a:latin typeface="+mn-lt"/>
              <a:ea typeface="+mn-ea"/>
              <a:cs typeface="+mn-cs"/>
            </a:rPr>
            <a:t> </a:t>
          </a:r>
          <a:r>
            <a:rPr lang="de-DE" sz="1000" b="0" i="0" u="none" strike="noStrike">
              <a:solidFill>
                <a:schemeClr val="dk1"/>
              </a:solidFill>
              <a:effectLst/>
              <a:latin typeface="+mn-lt"/>
              <a:ea typeface="+mn-ea"/>
              <a:cs typeface="+mn-cs"/>
            </a:rPr>
            <a:t>ports fully consolidated in the audited financial</a:t>
          </a:r>
          <a:r>
            <a:rPr lang="de-DE" sz="1000" b="0" i="0" u="none" strike="noStrike" baseline="0">
              <a:solidFill>
                <a:schemeClr val="dk1"/>
              </a:solidFill>
              <a:effectLst/>
              <a:latin typeface="+mn-lt"/>
              <a:ea typeface="+mn-ea"/>
              <a:cs typeface="+mn-cs"/>
            </a:rPr>
            <a:t> statements </a:t>
          </a:r>
          <a:r>
            <a:rPr lang="de-DE" sz="1000" b="0" i="0" u="none" strike="noStrike">
              <a:solidFill>
                <a:schemeClr val="dk1"/>
              </a:solidFill>
              <a:effectLst/>
              <a:latin typeface="+mn-lt"/>
              <a:ea typeface="+mn-ea"/>
              <a:cs typeface="+mn-cs"/>
            </a:rPr>
            <a:t>of Global Ports Holding Plc ("GPH" or "Company"). Passenger numbers refer to consolidated portfolio consolidation perimeter, hence excludes equity accounted associate ports La Goulette, Lisbon, Singapore and Venice. </a:t>
          </a:r>
          <a:r>
            <a:rPr lang="de-DE" sz="1000">
              <a:latin typeface="+mn-lt"/>
            </a:rPr>
            <a:t> </a:t>
          </a:r>
          <a:r>
            <a:rPr lang="de-DE" sz="1000" b="0" i="1" u="none" strike="noStrike">
              <a:solidFill>
                <a:schemeClr val="dk1"/>
              </a:solidFill>
              <a:effectLst/>
              <a:latin typeface="+mn-lt"/>
              <a:ea typeface="+mn-ea"/>
              <a:cs typeface="+mn-cs"/>
            </a:rPr>
            <a:t> </a:t>
          </a:r>
        </a:p>
        <a:p>
          <a:pPr marL="0" marR="0" lvl="0" indent="0" defTabSz="914400" rtl="0" eaLnBrk="1" fontAlgn="auto" latinLnBrk="0" hangingPunct="1">
            <a:lnSpc>
              <a:spcPct val="100000"/>
            </a:lnSpc>
            <a:spcBef>
              <a:spcPts val="600"/>
            </a:spcBef>
            <a:spcAft>
              <a:spcPts val="0"/>
            </a:spcAft>
            <a:buClrTx/>
            <a:buSzTx/>
            <a:buFontTx/>
            <a:buNone/>
            <a:tabLst/>
            <a:defRPr/>
          </a:pPr>
          <a:r>
            <a:rPr kumimoji="0" lang="de-DE" sz="1000" b="1" i="1" u="none" strike="noStrike" kern="0" cap="none" spc="0" normalizeH="0" baseline="0" noProof="0">
              <a:ln>
                <a:noFill/>
              </a:ln>
              <a:solidFill>
                <a:prstClr val="white">
                  <a:lumMod val="50000"/>
                </a:prstClr>
              </a:solidFill>
              <a:effectLst/>
              <a:uLnTx/>
              <a:uFillTx/>
              <a:latin typeface="+mn-lt"/>
              <a:ea typeface="+mn-ea"/>
              <a:cs typeface="+mn-cs"/>
            </a:rPr>
            <a:t>Glossary</a:t>
          </a:r>
          <a:r>
            <a:rPr kumimoji="0" lang="de-DE" sz="1000" b="0" i="1" u="none" strike="noStrike" kern="0" cap="none" spc="0" normalizeH="0" baseline="0" noProof="0">
              <a:ln>
                <a:noFill/>
              </a:ln>
              <a:solidFill>
                <a:prstClr val="white">
                  <a:lumMod val="50000"/>
                </a:prstClr>
              </a:solidFill>
              <a:effectLst/>
              <a:uLnTx/>
              <a:uFillTx/>
              <a:latin typeface="+mn-lt"/>
              <a:ea typeface="+mn-ea"/>
              <a:cs typeface="+mn-cs"/>
            </a:rPr>
            <a:t> </a:t>
          </a:r>
          <a:endParaRPr kumimoji="0" lang="de-DE" sz="1000" b="0" i="0" u="none" strike="noStrike" kern="0" cap="none" spc="0" normalizeH="0" baseline="0" noProof="0">
            <a:ln>
              <a:noFill/>
            </a:ln>
            <a:solidFill>
              <a:prstClr val="black"/>
            </a:solidFill>
            <a:effectLst/>
            <a:uLnTx/>
            <a:uFillTx/>
            <a:latin typeface="+mn-lt"/>
            <a:ea typeface="+mn-ea"/>
            <a:cs typeface="+mn-cs"/>
          </a:endParaRPr>
        </a:p>
        <a:p>
          <a:pPr rtl="0" eaLnBrk="1" latinLnBrk="0" hangingPunct="1">
            <a:spcBef>
              <a:spcPts val="600"/>
            </a:spcBef>
          </a:pPr>
          <a:r>
            <a:rPr lang="de-DE" sz="1000" b="1" i="0" u="none" strike="noStrike">
              <a:solidFill>
                <a:schemeClr val="dk1"/>
              </a:solidFill>
              <a:effectLst/>
              <a:latin typeface="+mn-lt"/>
              <a:ea typeface="+mn-ea"/>
              <a:cs typeface="+mn-cs"/>
            </a:rPr>
            <a:t>Calls		</a:t>
          </a:r>
          <a:r>
            <a:rPr lang="de-DE" sz="1000" b="0" i="0" u="none" strike="noStrike">
              <a:solidFill>
                <a:schemeClr val="dk1"/>
              </a:solidFill>
              <a:effectLst/>
              <a:latin typeface="+mn-lt"/>
              <a:ea typeface="+mn-ea"/>
              <a:cs typeface="+mn-cs"/>
            </a:rPr>
            <a:t>Cruise ship calls </a:t>
          </a:r>
          <a:r>
            <a:rPr lang="de-DE" sz="1000">
              <a:latin typeface="+mn-lt"/>
            </a:rPr>
            <a:t> </a:t>
          </a:r>
          <a:r>
            <a:rPr lang="de-DE" sz="1000" b="0" i="0" u="none" strike="noStrike">
              <a:solidFill>
                <a:schemeClr val="dk1"/>
              </a:solidFill>
              <a:effectLst/>
              <a:latin typeface="+mn-lt"/>
              <a:ea typeface="+mn-ea"/>
              <a:cs typeface="+mn-cs"/>
            </a:rPr>
            <a:t> </a:t>
          </a:r>
        </a:p>
        <a:p>
          <a:pPr rtl="0" eaLnBrk="1" latinLnBrk="0" hangingPunct="1">
            <a:spcBef>
              <a:spcPts val="600"/>
            </a:spcBef>
          </a:pPr>
          <a:r>
            <a:rPr lang="de-DE" sz="1000" b="1" i="0" u="none" strike="noStrike">
              <a:solidFill>
                <a:schemeClr val="dk1"/>
              </a:solidFill>
              <a:effectLst/>
              <a:latin typeface="+mn-lt"/>
              <a:ea typeface="+mn-ea"/>
              <a:cs typeface="+mn-cs"/>
            </a:rPr>
            <a:t>Passenger movements	</a:t>
          </a:r>
          <a:r>
            <a:rPr lang="de-DE" sz="1000" b="0" i="0" u="none" strike="noStrike">
              <a:solidFill>
                <a:schemeClr val="dk1"/>
              </a:solidFill>
              <a:effectLst/>
              <a:latin typeface="+mn-lt"/>
              <a:ea typeface="+mn-ea"/>
              <a:cs typeface="+mn-cs"/>
            </a:rPr>
            <a:t>Represents passenger movements based on passengers</a:t>
          </a:r>
          <a:r>
            <a:rPr lang="de-DE" sz="1000" b="0" i="0" u="none" strike="noStrike" baseline="0">
              <a:solidFill>
                <a:schemeClr val="dk1"/>
              </a:solidFill>
              <a:effectLst/>
              <a:latin typeface="+mn-lt"/>
              <a:ea typeface="+mn-ea"/>
              <a:cs typeface="+mn-cs"/>
            </a:rPr>
            <a:t> on board of the cruise ship, without the need for passengers to actually leave the ship</a:t>
          </a:r>
          <a:r>
            <a:rPr lang="de-DE" sz="1000" b="0" i="0" u="none" strike="noStrike">
              <a:solidFill>
                <a:schemeClr val="dk1"/>
              </a:solidFill>
              <a:effectLst/>
              <a:latin typeface="+mn-lt"/>
              <a:ea typeface="+mn-ea"/>
              <a:cs typeface="+mn-cs"/>
            </a:rPr>
            <a:t>. </a:t>
          </a:r>
        </a:p>
        <a:p>
          <a:pPr rtl="0" eaLnBrk="1" latinLnBrk="0" hangingPunct="1">
            <a:spcBef>
              <a:spcPts val="600"/>
            </a:spcBef>
          </a:pPr>
          <a:r>
            <a:rPr lang="de-DE" sz="1000" b="0" i="0" u="none" strike="noStrike">
              <a:solidFill>
                <a:schemeClr val="dk1"/>
              </a:solidFill>
              <a:effectLst/>
              <a:latin typeface="+mn-lt"/>
              <a:ea typeface="+mn-ea"/>
              <a:cs typeface="+mn-cs"/>
            </a:rPr>
            <a:t>		For homeporting or interporting calls,</a:t>
          </a:r>
          <a:r>
            <a:rPr lang="de-DE" sz="1000" b="0" i="0" u="none" strike="noStrike" baseline="0">
              <a:solidFill>
                <a:schemeClr val="dk1"/>
              </a:solidFill>
              <a:effectLst/>
              <a:latin typeface="+mn-lt"/>
              <a:ea typeface="+mn-ea"/>
              <a:cs typeface="+mn-cs"/>
            </a:rPr>
            <a:t> </a:t>
          </a:r>
          <a:r>
            <a:rPr lang="de-DE" sz="1000" b="0" i="0" u="none" strike="noStrike">
              <a:solidFill>
                <a:schemeClr val="dk1"/>
              </a:solidFill>
              <a:effectLst/>
              <a:latin typeface="+mn-lt"/>
              <a:ea typeface="+mn-ea"/>
              <a:cs typeface="+mn-cs"/>
            </a:rPr>
            <a:t>embarking and disembarking passenger movements are counted. </a:t>
          </a:r>
        </a:p>
        <a:p>
          <a:pPr rtl="0" eaLnBrk="1" latinLnBrk="0" hangingPunct="1">
            <a:spcBef>
              <a:spcPts val="600"/>
            </a:spcBef>
          </a:pPr>
          <a:r>
            <a:rPr lang="de-DE" sz="1000" b="0" i="0" u="none" strike="noStrike">
              <a:solidFill>
                <a:schemeClr val="dk1"/>
              </a:solidFill>
              <a:effectLst/>
              <a:latin typeface="+mn-lt"/>
              <a:ea typeface="+mn-ea"/>
              <a:cs typeface="+mn-cs"/>
            </a:rPr>
            <a:t>		Passengers from transit cruise calls and ferry calls are repesenting one passenger movement each. </a:t>
          </a:r>
          <a:r>
            <a:rPr lang="de-DE" sz="1000">
              <a:latin typeface="+mn-lt"/>
            </a:rPr>
            <a:t> </a:t>
          </a:r>
          <a:r>
            <a:rPr lang="de-DE" sz="1000" b="0" i="0" u="none" strike="noStrike">
              <a:solidFill>
                <a:schemeClr val="dk1"/>
              </a:solidFill>
              <a:effectLst/>
              <a:latin typeface="+mn-lt"/>
              <a:ea typeface="+mn-ea"/>
              <a:cs typeface="+mn-cs"/>
            </a:rPr>
            <a:t> </a:t>
          </a:r>
        </a:p>
        <a:p>
          <a:pPr rtl="0" eaLnBrk="1" latinLnBrk="0" hangingPunct="1">
            <a:spcBef>
              <a:spcPts val="600"/>
            </a:spcBef>
          </a:pPr>
          <a:r>
            <a:rPr lang="de-DE" sz="1000" b="1" i="0" u="none" strike="noStrike">
              <a:solidFill>
                <a:schemeClr val="dk1"/>
              </a:solidFill>
              <a:effectLst/>
              <a:latin typeface="+mn-lt"/>
              <a:ea typeface="+mn-ea"/>
              <a:cs typeface="+mn-cs"/>
            </a:rPr>
            <a:t>2019 data:</a:t>
          </a:r>
          <a:r>
            <a:rPr lang="de-DE" sz="1000" b="1" i="0" u="none" strike="noStrike" baseline="0">
              <a:solidFill>
                <a:schemeClr val="dk1"/>
              </a:solidFill>
              <a:effectLst/>
              <a:latin typeface="+mn-lt"/>
              <a:ea typeface="+mn-ea"/>
              <a:cs typeface="+mn-cs"/>
            </a:rPr>
            <a:t> 		</a:t>
          </a:r>
          <a:r>
            <a:rPr lang="de-DE" sz="1000" b="0" i="0" u="none" strike="noStrike">
              <a:solidFill>
                <a:schemeClr val="dk1"/>
              </a:solidFill>
              <a:effectLst/>
              <a:latin typeface="+mn-lt"/>
              <a:ea typeface="+mn-ea"/>
              <a:cs typeface="+mn-cs"/>
            </a:rPr>
            <a:t>Comparative information for the major ports acquired during the calendar year 2019 Antigua Cruise Port and Nassau Cruise Port do</a:t>
          </a:r>
          <a:r>
            <a:rPr lang="de-DE" sz="1000" b="0" i="0" u="none" strike="noStrike" baseline="0">
              <a:solidFill>
                <a:schemeClr val="dk1"/>
              </a:solidFill>
              <a:effectLst/>
              <a:latin typeface="+mn-lt"/>
              <a:ea typeface="+mn-ea"/>
              <a:cs typeface="+mn-cs"/>
            </a:rPr>
            <a:t> represent </a:t>
          </a:r>
          <a:r>
            <a:rPr lang="de-DE" sz="1000" b="0" i="0" u="none" strike="noStrike">
              <a:solidFill>
                <a:schemeClr val="dk1"/>
              </a:solidFill>
              <a:effectLst/>
              <a:latin typeface="+mn-lt"/>
              <a:ea typeface="+mn-ea"/>
              <a:cs typeface="+mn-cs"/>
            </a:rPr>
            <a:t>12M 		volumes</a:t>
          </a:r>
          <a:r>
            <a:rPr lang="de-DE" sz="1000" b="0" i="0" u="none" strike="noStrike" baseline="0">
              <a:solidFill>
                <a:schemeClr val="dk1"/>
              </a:solidFill>
              <a:effectLst/>
              <a:latin typeface="+mn-lt"/>
              <a:ea typeface="+mn-ea"/>
              <a:cs typeface="+mn-cs"/>
            </a:rPr>
            <a:t> </a:t>
          </a:r>
          <a:r>
            <a:rPr lang="de-DE" sz="1000" b="0" i="0" u="none" strike="noStrike">
              <a:solidFill>
                <a:schemeClr val="dk1"/>
              </a:solidFill>
              <a:effectLst/>
              <a:latin typeface="+mn-lt"/>
              <a:ea typeface="+mn-ea"/>
              <a:cs typeface="+mn-cs"/>
            </a:rPr>
            <a:t>the</a:t>
          </a:r>
          <a:r>
            <a:rPr lang="de-DE" sz="1000" b="0" i="0" u="none" strike="noStrike" baseline="0">
              <a:solidFill>
                <a:schemeClr val="dk1"/>
              </a:solidFill>
              <a:effectLst/>
              <a:latin typeface="+mn-lt"/>
              <a:ea typeface="+mn-ea"/>
              <a:cs typeface="+mn-cs"/>
            </a:rPr>
            <a:t> </a:t>
          </a:r>
          <a:r>
            <a:rPr lang="de-DE" sz="1000" b="0" i="0" u="none" strike="noStrike">
              <a:solidFill>
                <a:schemeClr val="dk1"/>
              </a:solidFill>
              <a:effectLst/>
              <a:latin typeface="+mn-lt"/>
              <a:ea typeface="+mn-ea"/>
              <a:cs typeface="+mn-cs"/>
            </a:rPr>
            <a:t>entire</a:t>
          </a:r>
          <a:r>
            <a:rPr lang="de-DE" sz="1000" b="0" i="0" u="none" strike="noStrike" baseline="0">
              <a:solidFill>
                <a:schemeClr val="dk1"/>
              </a:solidFill>
              <a:effectLst/>
              <a:latin typeface="+mn-lt"/>
              <a:ea typeface="+mn-ea"/>
              <a:cs typeface="+mn-cs"/>
            </a:rPr>
            <a:t> calendar year </a:t>
          </a:r>
          <a:r>
            <a:rPr lang="de-DE" sz="1000" b="0" i="0" u="none" strike="noStrike">
              <a:solidFill>
                <a:schemeClr val="dk1"/>
              </a:solidFill>
              <a:effectLst/>
              <a:latin typeface="+mn-lt"/>
              <a:ea typeface="+mn-ea"/>
              <a:cs typeface="+mn-cs"/>
            </a:rPr>
            <a:t>for those ports - not the pro-rata</a:t>
          </a:r>
          <a:r>
            <a:rPr lang="de-DE" sz="1000" b="0" i="0" u="none" strike="noStrike" baseline="0">
              <a:solidFill>
                <a:schemeClr val="dk1"/>
              </a:solidFill>
              <a:effectLst/>
              <a:latin typeface="+mn-lt"/>
              <a:ea typeface="+mn-ea"/>
              <a:cs typeface="+mn-cs"/>
            </a:rPr>
            <a:t> </a:t>
          </a:r>
          <a:r>
            <a:rPr lang="de-DE" sz="1000" b="0" i="0" u="none" strike="noStrike">
              <a:solidFill>
                <a:schemeClr val="dk1"/>
              </a:solidFill>
              <a:effectLst/>
              <a:latin typeface="+mn-lt"/>
              <a:ea typeface="+mn-ea"/>
              <a:cs typeface="+mn-cs"/>
            </a:rPr>
            <a:t>period under GPH control as</a:t>
          </a:r>
          <a:r>
            <a:rPr lang="de-DE" sz="1000" b="0" i="0" u="none" strike="noStrike" baseline="0">
              <a:solidFill>
                <a:schemeClr val="dk1"/>
              </a:solidFill>
              <a:effectLst/>
              <a:latin typeface="+mn-lt"/>
              <a:ea typeface="+mn-ea"/>
              <a:cs typeface="+mn-cs"/>
            </a:rPr>
            <a:t> presented in the Company's financial statements</a:t>
          </a:r>
          <a:r>
            <a:rPr lang="de-DE" sz="1000" b="0" i="0" u="none" strike="noStrike">
              <a:solidFill>
                <a:schemeClr val="dk1"/>
              </a:solidFill>
              <a:effectLst/>
              <a:latin typeface="+mn-lt"/>
              <a:ea typeface="+mn-ea"/>
              <a:cs typeface="+mn-cs"/>
            </a:rPr>
            <a:t>. </a:t>
          </a:r>
        </a:p>
        <a:p>
          <a:pPr rtl="0" eaLnBrk="1" fontAlgn="auto" latinLnBrk="0" hangingPunct="1"/>
          <a:endParaRPr lang="de-DE" sz="1100" b="1" i="1" baseline="0">
            <a:solidFill>
              <a:schemeClr val="dk1"/>
            </a:solidFill>
            <a:effectLst/>
            <a:latin typeface="+mn-lt"/>
            <a:ea typeface="+mn-ea"/>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kumimoji="0" lang="de-DE" sz="1000" b="1" i="1" u="none" strike="noStrike" kern="0" cap="none" spc="0" normalizeH="0" baseline="0" noProof="0">
              <a:ln>
                <a:noFill/>
              </a:ln>
              <a:solidFill>
                <a:prstClr val="black"/>
              </a:solidFill>
              <a:effectLst/>
              <a:uLnTx/>
              <a:uFillTx/>
              <a:latin typeface="+mn-lt"/>
              <a:ea typeface="+mn-ea"/>
              <a:cs typeface="+mn-cs"/>
            </a:rPr>
            <a:t>Segmental Reporting Port Breakdown as at 31 March 2023:</a:t>
          </a:r>
          <a:endParaRPr kumimoji="0" lang="en-GB" sz="10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kumimoji="0" lang="de-DE" sz="1000" b="1" i="0" u="none" strike="noStrike" kern="0" cap="none" spc="0" normalizeH="0" baseline="0" noProof="0">
              <a:ln>
                <a:noFill/>
              </a:ln>
              <a:solidFill>
                <a:prstClr val="black"/>
              </a:solidFill>
              <a:effectLst/>
              <a:uLnTx/>
              <a:uFillTx/>
              <a:latin typeface="+mn-lt"/>
              <a:ea typeface="+mn-ea"/>
              <a:cs typeface="+mn-cs"/>
            </a:rPr>
            <a:t>Americas: </a:t>
          </a:r>
          <a:r>
            <a:rPr kumimoji="0" lang="de-DE" sz="1000" b="0" i="0" u="none" strike="noStrike" kern="0" cap="none" spc="0" normalizeH="0" baseline="0" noProof="0">
              <a:ln>
                <a:noFill/>
              </a:ln>
              <a:solidFill>
                <a:prstClr val="black"/>
              </a:solidFill>
              <a:effectLst/>
              <a:uLnTx/>
              <a:uFillTx/>
              <a:latin typeface="+mn-lt"/>
              <a:ea typeface="+mn-ea"/>
              <a:cs typeface="+mn-cs"/>
            </a:rPr>
            <a:t>Antigua Cruise Port, Nassau Cruise Port &amp; Prince Rupert Cruise Port (operations started in the end of April 2023), San Juan Cruise Port, Puerto Rico, </a:t>
          </a:r>
          <a:r>
            <a:rPr kumimoji="0" lang="de-DE" sz="1000" b="0" i="0" u="none" strike="noStrike" kern="0" cap="none" spc="0" normalizeH="0" baseline="0" noProof="0">
              <a:ln>
                <a:noFill/>
              </a:ln>
              <a:solidFill>
                <a:schemeClr val="tx1"/>
              </a:solidFill>
              <a:effectLst/>
              <a:uLnTx/>
              <a:uFillTx/>
              <a:latin typeface="+mn-lt"/>
              <a:ea typeface="+mn-ea"/>
              <a:cs typeface="+mn-cs"/>
            </a:rPr>
            <a:t>St. Lucia</a:t>
          </a:r>
          <a:endParaRPr kumimoji="0" lang="en-GB" sz="1000" b="0" i="0" u="none" strike="noStrike" kern="0" cap="none" spc="0" normalizeH="0" baseline="0" noProof="0">
            <a:ln>
              <a:noFill/>
            </a:ln>
            <a:solidFill>
              <a:schemeClr val="tx1"/>
            </a:solidFill>
            <a:effectLst/>
            <a:uLnTx/>
            <a:uFillTx/>
            <a:latin typeface="+mn-lt"/>
            <a:ea typeface="+mn-ea"/>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kumimoji="0" lang="de-DE" sz="1000" b="1" i="0" u="none" strike="noStrike" kern="0" cap="none" spc="0" normalizeH="0" baseline="0" noProof="0">
              <a:ln>
                <a:noFill/>
              </a:ln>
              <a:solidFill>
                <a:prstClr val="black"/>
              </a:solidFill>
              <a:effectLst/>
              <a:uLnTx/>
              <a:uFillTx/>
              <a:latin typeface="+mn-lt"/>
              <a:ea typeface="+mn-ea"/>
              <a:cs typeface="+mn-cs"/>
            </a:rPr>
            <a:t>West Med &amp; Atlantic:</a:t>
          </a:r>
          <a:r>
            <a:rPr kumimoji="0" lang="de-DE" sz="1000" b="0" i="0" u="none" strike="noStrike" kern="0" cap="none" spc="0" normalizeH="0" baseline="0" noProof="0">
              <a:ln>
                <a:noFill/>
              </a:ln>
              <a:solidFill>
                <a:prstClr val="black"/>
              </a:solidFill>
              <a:effectLst/>
              <a:uLnTx/>
              <a:uFillTx/>
              <a:latin typeface="+mn-lt"/>
              <a:ea typeface="+mn-ea"/>
              <a:cs typeface="+mn-cs"/>
            </a:rPr>
            <a:t> Spanish ports (Alicante Cruise Port*, Barcelona Cruise Port, Fuerteventura Cruise Port, Lanzarote Cruise Port, Las Palmas Cruise Port, Malaga Cruise Port, Tarragona Cruise Port and Vigo Cruise Port), and the equity pick up contribution from Lisbon Cruise Port, Portugal and Singapore Cruise Port, Singapore.</a:t>
          </a:r>
          <a:endParaRPr kumimoji="0" lang="en-GB" sz="10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kumimoji="0" lang="de-DE" sz="1000" b="1" i="0" u="none" strike="noStrike" kern="0" cap="none" spc="0" normalizeH="0" baseline="0" noProof="0">
              <a:ln>
                <a:noFill/>
              </a:ln>
              <a:solidFill>
                <a:prstClr val="black"/>
              </a:solidFill>
              <a:effectLst/>
              <a:uLnTx/>
              <a:uFillTx/>
              <a:latin typeface="+mn-lt"/>
              <a:ea typeface="+mn-ea"/>
              <a:cs typeface="+mn-cs"/>
            </a:rPr>
            <a:t>Northern Europe &amp; Central Med: </a:t>
          </a:r>
          <a:r>
            <a:rPr kumimoji="0" lang="en-GB" sz="1000" b="0" i="0" u="none" strike="noStrike" kern="0" cap="none" spc="0" normalizeH="0" baseline="0" noProof="0">
              <a:ln>
                <a:noFill/>
              </a:ln>
              <a:solidFill>
                <a:prstClr val="black"/>
              </a:solidFill>
              <a:effectLst/>
              <a:uLnTx/>
              <a:uFillTx/>
              <a:latin typeface="+mn-lt"/>
              <a:ea typeface="+mn-ea"/>
              <a:cs typeface="+mn-cs"/>
            </a:rPr>
            <a:t>Italian ports (Cagliari Cruise Port, Catania Cruise Port, Crotone Cruise Port and Taranto Cruise Port) and Valletta Cruise Port, Malta, </a:t>
          </a:r>
          <a:r>
            <a:rPr kumimoji="0" lang="en-GB" sz="1000" b="0" i="0" u="none" strike="noStrike" kern="0" cap="none" spc="0" normalizeH="0" baseline="0" noProof="0">
              <a:ln>
                <a:noFill/>
              </a:ln>
              <a:solidFill>
                <a:schemeClr val="tx1"/>
              </a:solidFill>
              <a:effectLst/>
              <a:uLnTx/>
              <a:uFillTx/>
              <a:latin typeface="+mn-lt"/>
              <a:ea typeface="+mn-ea"/>
              <a:cs typeface="+mn-cs"/>
            </a:rPr>
            <a:t>Kalundborg Cruise Port, Denmark, Liverpool Cruise Port, UK </a:t>
          </a:r>
          <a:r>
            <a:rPr kumimoji="0" lang="en-GB" sz="1000" b="0" i="0" u="none" strike="noStrike" kern="0" cap="none" spc="0" normalizeH="0" baseline="0" noProof="0">
              <a:ln>
                <a:noFill/>
              </a:ln>
              <a:solidFill>
                <a:prstClr val="black"/>
              </a:solidFill>
              <a:effectLst/>
              <a:uLnTx/>
              <a:uFillTx/>
              <a:latin typeface="+mn-lt"/>
              <a:ea typeface="+mn-ea"/>
              <a:cs typeface="+mn-cs"/>
            </a:rPr>
            <a:t>and the equity pick-up contribution from La Goulette Cruise Port, Tunisia and Venice Cruise Port, Italy. </a:t>
          </a:r>
        </a:p>
        <a:p>
          <a:pPr marL="0" marR="0" lvl="0" indent="0" defTabSz="914400" rtl="0" eaLnBrk="1" fontAlgn="auto" latinLnBrk="0" hangingPunct="1">
            <a:lnSpc>
              <a:spcPct val="100000"/>
            </a:lnSpc>
            <a:spcBef>
              <a:spcPts val="0"/>
            </a:spcBef>
            <a:spcAft>
              <a:spcPts val="0"/>
            </a:spcAft>
            <a:buClrTx/>
            <a:buSzTx/>
            <a:buFontTx/>
            <a:buNone/>
            <a:tabLst/>
            <a:defRPr/>
          </a:pPr>
          <a:r>
            <a:rPr kumimoji="0" lang="en-GB" sz="1000" b="1" i="0" u="none" strike="noStrike" kern="0" cap="none" spc="0" normalizeH="0" baseline="0" noProof="0">
              <a:ln>
                <a:noFill/>
              </a:ln>
              <a:solidFill>
                <a:prstClr val="black"/>
              </a:solidFill>
              <a:effectLst/>
              <a:uLnTx/>
              <a:uFillTx/>
              <a:latin typeface="+mn-lt"/>
              <a:ea typeface="+mn-ea"/>
              <a:cs typeface="+mn-cs"/>
            </a:rPr>
            <a:t>East Med &amp; Adriatic:</a:t>
          </a:r>
          <a:r>
            <a:rPr kumimoji="0" lang="en-GB" sz="1000" b="0" i="0" u="none" strike="noStrike" kern="0" cap="none" spc="0" normalizeH="0" baseline="0" noProof="0">
              <a:ln>
                <a:noFill/>
              </a:ln>
              <a:solidFill>
                <a:prstClr val="black"/>
              </a:solidFill>
              <a:effectLst/>
              <a:uLnTx/>
              <a:uFillTx/>
              <a:latin typeface="+mn-lt"/>
              <a:ea typeface="+mn-ea"/>
              <a:cs typeface="+mn-cs"/>
            </a:rPr>
            <a:t> Turkish Cruise Ports (Bodrum Cruise Port and Ege Cruise Port) and Zadar Cruise Port, Croatia.</a:t>
          </a:r>
        </a:p>
        <a:p>
          <a:pPr marL="0" marR="0" lvl="0" indent="0" defTabSz="914400" rtl="0" eaLnBrk="1" fontAlgn="auto" latinLnBrk="0" hangingPunct="1">
            <a:lnSpc>
              <a:spcPct val="100000"/>
            </a:lnSpc>
            <a:spcBef>
              <a:spcPts val="0"/>
            </a:spcBef>
            <a:spcAft>
              <a:spcPts val="0"/>
            </a:spcAft>
            <a:buClrTx/>
            <a:buSzTx/>
            <a:buFontTx/>
            <a:buNone/>
            <a:tabLst/>
            <a:defRPr/>
          </a:pPr>
          <a:r>
            <a:rPr kumimoji="0" lang="en-GB" sz="1000" b="1" i="0" u="none" strike="noStrike" kern="0" cap="none" spc="0" normalizeH="0" baseline="0" noProof="0">
              <a:ln>
                <a:noFill/>
              </a:ln>
              <a:solidFill>
                <a:prstClr val="black"/>
              </a:solidFill>
              <a:effectLst/>
              <a:uLnTx/>
              <a:uFillTx/>
              <a:latin typeface="+mn-lt"/>
              <a:ea typeface="+mn-ea"/>
              <a:cs typeface="+mn-cs"/>
            </a:rPr>
            <a:t>Other:</a:t>
          </a:r>
          <a:r>
            <a:rPr kumimoji="0" lang="en-GB" sz="1000" b="0" i="0" u="none" strike="noStrike" kern="0" cap="none" spc="0" normalizeH="0" baseline="0" noProof="0">
              <a:ln>
                <a:noFill/>
              </a:ln>
              <a:solidFill>
                <a:prstClr val="black"/>
              </a:solidFill>
              <a:effectLst/>
              <a:uLnTx/>
              <a:uFillTx/>
              <a:latin typeface="+mn-lt"/>
              <a:ea typeface="+mn-ea"/>
              <a:cs typeface="+mn-cs"/>
            </a:rPr>
            <a:t> Port of Adria, Montenegro and Ha Long Bay Cruise Port management agreement, Vietnam and Port Services operations</a:t>
          </a:r>
          <a:r>
            <a:rPr kumimoji="0" lang="de-DE" sz="1000" b="0" i="0" u="none" strike="noStrike" kern="0" cap="none" spc="0" normalizeH="0" baseline="0" noProof="0">
              <a:ln>
                <a:noFill/>
              </a:ln>
              <a:solidFill>
                <a:prstClr val="black"/>
              </a:solidFill>
              <a:effectLst/>
              <a:uLnTx/>
              <a:uFillTx/>
              <a:latin typeface="+mn-lt"/>
              <a:ea typeface="+mn-ea"/>
              <a:cs typeface="+mn-cs"/>
            </a:rPr>
            <a:t> </a:t>
          </a:r>
          <a:endParaRPr kumimoji="0" lang="en-GB" sz="1000" b="0" i="0" u="none" strike="noStrike" kern="0" cap="none" spc="0" normalizeH="0" baseline="0" noProof="0">
            <a:ln>
              <a:noFill/>
            </a:ln>
            <a:solidFill>
              <a:prstClr val="black"/>
            </a:solidFill>
            <a:effectLst/>
            <a:uLnTx/>
            <a:uFillTx/>
            <a:latin typeface="+mn-lt"/>
            <a:ea typeface="+mn-ea"/>
            <a:cs typeface="+mn-cs"/>
          </a:endParaRPr>
        </a:p>
        <a:p>
          <a:pPr marL="0" marR="0" indent="0" defTabSz="914400" rtl="0" eaLnBrk="1" fontAlgn="auto" latinLnBrk="0" hangingPunct="1">
            <a:lnSpc>
              <a:spcPct val="100000"/>
            </a:lnSpc>
            <a:spcBef>
              <a:spcPts val="600"/>
            </a:spcBef>
            <a:spcAft>
              <a:spcPts val="0"/>
            </a:spcAft>
            <a:buClrTx/>
            <a:buSzTx/>
            <a:buFontTx/>
            <a:buNone/>
            <a:tabLst/>
            <a:defRPr/>
          </a:pPr>
          <a:r>
            <a:rPr lang="en-GB" sz="1000" b="1">
              <a:solidFill>
                <a:schemeClr val="dk1"/>
              </a:solidFill>
              <a:effectLst/>
              <a:latin typeface="+mn-lt"/>
              <a:ea typeface="+mn-ea"/>
              <a:cs typeface="+mn-cs"/>
            </a:rPr>
            <a:t>Occupancy</a:t>
          </a:r>
          <a:r>
            <a:rPr lang="en-GB" sz="1000" b="1" baseline="0">
              <a:solidFill>
                <a:schemeClr val="dk1"/>
              </a:solidFill>
              <a:effectLst/>
              <a:latin typeface="+mn-lt"/>
              <a:ea typeface="+mn-ea"/>
              <a:cs typeface="+mn-cs"/>
            </a:rPr>
            <a:t> Ratio</a:t>
          </a:r>
          <a:r>
            <a:rPr lang="en-GB" sz="1000">
              <a:solidFill>
                <a:schemeClr val="dk1"/>
              </a:solidFill>
              <a:effectLst/>
              <a:latin typeface="+mn-lt"/>
              <a:ea typeface="+mn-ea"/>
              <a:cs typeface="+mn-cs"/>
            </a:rPr>
            <a:t>		Calculated as follows: [Transit pax +(Embark + Disembark pax)/2] / Ship's Capacity (lower berth); calculated for each ship and then aggregated, volume-		weighted average across the consolidated cruise ports.</a:t>
          </a:r>
          <a:endParaRPr lang="de-DE" sz="1000" b="1" i="1" u="none" strike="noStrike">
            <a:solidFill>
              <a:schemeClr val="dk1"/>
            </a:solidFill>
            <a:effectLst/>
            <a:latin typeface="+mn-lt"/>
            <a:ea typeface="+mn-ea"/>
            <a:cs typeface="+mn-cs"/>
          </a:endParaRPr>
        </a:p>
        <a:p>
          <a:pPr rtl="0" eaLnBrk="1" latinLnBrk="0" hangingPunct="1">
            <a:spcBef>
              <a:spcPts val="600"/>
            </a:spcBef>
          </a:pPr>
          <a:r>
            <a:rPr lang="de-DE" sz="1000" b="1" i="1" u="none" strike="noStrike">
              <a:solidFill>
                <a:schemeClr val="bg1">
                  <a:lumMod val="50000"/>
                </a:schemeClr>
              </a:solidFill>
              <a:effectLst/>
              <a:latin typeface="+mn-lt"/>
              <a:ea typeface="+mn-ea"/>
              <a:cs typeface="+mn-cs"/>
            </a:rPr>
            <a:t>Sources</a:t>
          </a:r>
        </a:p>
        <a:p>
          <a:pPr rtl="0" eaLnBrk="1" latinLnBrk="0" hangingPunct="1">
            <a:spcBef>
              <a:spcPts val="600"/>
            </a:spcBef>
          </a:pPr>
          <a:r>
            <a:rPr lang="de-DE" sz="1000" b="0" i="0" u="none" strike="noStrike">
              <a:solidFill>
                <a:schemeClr val="dk1"/>
              </a:solidFill>
              <a:effectLst/>
              <a:latin typeface="+mn-lt"/>
              <a:ea typeface="+mn-ea"/>
              <a:cs typeface="+mn-cs"/>
            </a:rPr>
            <a:t>Operational port statistics, minor differences possible compared to financial reporting due to overnight cruise ships or different</a:t>
          </a:r>
          <a:r>
            <a:rPr lang="de-DE" sz="1000" b="0" i="0" u="none" strike="noStrike" baseline="0">
              <a:solidFill>
                <a:schemeClr val="dk1"/>
              </a:solidFill>
              <a:effectLst/>
              <a:latin typeface="+mn-lt"/>
              <a:ea typeface="+mn-ea"/>
              <a:cs typeface="+mn-cs"/>
            </a:rPr>
            <a:t> cut-off times </a:t>
          </a:r>
          <a:r>
            <a:rPr lang="de-DE" sz="1000" b="0" i="0" u="none" strike="noStrike">
              <a:solidFill>
                <a:schemeClr val="dk1"/>
              </a:solidFill>
              <a:effectLst/>
              <a:latin typeface="+mn-lt"/>
              <a:ea typeface="+mn-ea"/>
              <a:cs typeface="+mn-cs"/>
            </a:rPr>
            <a:t>at month-end </a:t>
          </a:r>
          <a:r>
            <a:rPr lang="de-DE" sz="1000">
              <a:latin typeface="+mn-lt"/>
            </a:rPr>
            <a:t> </a:t>
          </a:r>
        </a:p>
        <a:p>
          <a:pPr rtl="0" eaLnBrk="1" latinLnBrk="0" hangingPunct="1">
            <a:spcBef>
              <a:spcPts val="600"/>
            </a:spcBef>
          </a:pPr>
          <a:r>
            <a:rPr lang="en-GB" sz="1000" i="1">
              <a:solidFill>
                <a:sysClr val="windowText" lastClr="000000"/>
              </a:solidFill>
              <a:latin typeface="+mn-lt"/>
            </a:rPr>
            <a:t>*Alicante which recently started operations has been retrospectively added to April.</a:t>
          </a:r>
        </a:p>
        <a:p>
          <a:pPr rtl="0" eaLnBrk="1" latinLnBrk="0" hangingPunct="1">
            <a:spcBef>
              <a:spcPts val="600"/>
            </a:spcBef>
          </a:pPr>
          <a:r>
            <a:rPr lang="de-DE" sz="1000" i="1">
              <a:solidFill>
                <a:sysClr val="windowText" lastClr="000000"/>
              </a:solidFill>
              <a:latin typeface="+mn-lt"/>
            </a:rPr>
            <a:t>* Apr and May 2023 date was updated</a:t>
          </a:r>
          <a:r>
            <a:rPr lang="de-DE" sz="1000" i="1" baseline="0">
              <a:solidFill>
                <a:sysClr val="windowText" lastClr="000000"/>
              </a:solidFill>
              <a:latin typeface="+mn-lt"/>
            </a:rPr>
            <a:t> in the June 2023 </a:t>
          </a:r>
        </a:p>
        <a:p>
          <a:pPr rtl="0" eaLnBrk="1" latinLnBrk="0" hangingPunct="1">
            <a:spcBef>
              <a:spcPts val="600"/>
            </a:spcBef>
            <a:spcAft>
              <a:spcPts val="0"/>
            </a:spcAft>
          </a:pPr>
          <a:r>
            <a:rPr lang="de-DE" sz="1000" i="1" baseline="0">
              <a:solidFill>
                <a:sysClr val="windowText" lastClr="000000"/>
              </a:solidFill>
              <a:latin typeface="+mn-lt"/>
            </a:rPr>
            <a:t>* Passenger number for December 2023 were updated following upload of the December 2023 traffic originally on 15 January 2024, the overall impact of these corrections to total passengers in December 2023 is immaterial (&lt;1.5%).</a:t>
          </a:r>
          <a:endParaRPr lang="en-GB" sz="1000">
            <a:effectLst/>
          </a:endParaRPr>
        </a:p>
        <a:p>
          <a:pPr rtl="0" eaLnBrk="1" latinLnBrk="0" hangingPunct="1">
            <a:spcBef>
              <a:spcPts val="600"/>
            </a:spcBef>
            <a:spcAft>
              <a:spcPts val="0"/>
            </a:spcAft>
          </a:pPr>
          <a:r>
            <a:rPr lang="de-DE" sz="1000" i="1" baseline="0">
              <a:solidFill>
                <a:schemeClr val="dk1"/>
              </a:solidFill>
              <a:effectLst/>
              <a:latin typeface="+mn-lt"/>
              <a:ea typeface="+mn-ea"/>
              <a:cs typeface="+mn-cs"/>
            </a:rPr>
            <a:t>* February 2024 includes San Juan Cruise Port for the first time.</a:t>
          </a:r>
        </a:p>
        <a:p>
          <a:pPr rtl="0" eaLnBrk="1" latinLnBrk="0" hangingPunct="1">
            <a:spcBef>
              <a:spcPts val="600"/>
            </a:spcBef>
            <a:spcAft>
              <a:spcPts val="0"/>
            </a:spcAft>
          </a:pPr>
          <a:r>
            <a:rPr lang="en-GB" sz="1000" i="1" baseline="0">
              <a:solidFill>
                <a:schemeClr val="tx1"/>
              </a:solidFill>
              <a:effectLst/>
              <a:latin typeface="+mn-lt"/>
              <a:ea typeface="+mn-ea"/>
              <a:cs typeface="+mn-cs"/>
            </a:rPr>
            <a:t>*Formerly known as the Central Med region, the May 2024 report, now titled Central Med and Northern Europe, includes the Liverpool Cruise Port, acquired in April 2024. Additionally, the Kalundborg Cruise Port has been reclassified from the West Med region to this region.</a:t>
          </a:r>
          <a:endParaRPr lang="en-GB" sz="800">
            <a:solidFill>
              <a:schemeClr val="tx1"/>
            </a:solidFill>
            <a:effectLst/>
          </a:endParaRPr>
        </a:p>
        <a:p>
          <a:pPr rtl="0" eaLnBrk="1" latinLnBrk="0" hangingPunct="1">
            <a:spcBef>
              <a:spcPts val="600"/>
            </a:spcBef>
            <a:spcAft>
              <a:spcPts val="600"/>
            </a:spcAft>
          </a:pPr>
          <a:r>
            <a:rPr lang="de-DE" sz="1000" i="1" baseline="0">
              <a:solidFill>
                <a:schemeClr val="tx1"/>
              </a:solidFill>
              <a:latin typeface="+mn-lt"/>
            </a:rPr>
            <a:t>*June 2024 includes St. Lucia Cruise Port for the first time.</a:t>
          </a:r>
        </a:p>
        <a:p>
          <a:pPr rtl="0" eaLnBrk="1" latinLnBrk="0" hangingPunct="1">
            <a:spcBef>
              <a:spcPts val="600"/>
            </a:spcBef>
            <a:spcAft>
              <a:spcPts val="600"/>
            </a:spcAft>
          </a:pPr>
          <a:endParaRPr lang="de-DE" sz="1000" i="1" baseline="0">
            <a:solidFill>
              <a:sysClr val="windowText" lastClr="000000"/>
            </a:solidFill>
            <a:latin typeface="+mn-lt"/>
          </a:endParaRPr>
        </a:p>
        <a:p>
          <a:pPr rtl="0" eaLnBrk="1" latinLnBrk="0" hangingPunct="1">
            <a:spcBef>
              <a:spcPts val="600"/>
            </a:spcBef>
          </a:pPr>
          <a:endParaRPr lang="de-DE" sz="1000" i="1" baseline="0">
            <a:solidFill>
              <a:sysClr val="windowText" lastClr="000000"/>
            </a:solidFill>
            <a:latin typeface="+mn-lt"/>
          </a:endParaRPr>
        </a:p>
      </xdr:txBody>
    </xdr:sp>
    <xdr:clientData/>
  </xdr:twoCellAnchor>
</xdr:wsDr>
</file>

<file path=xl/drawings/drawing30.xml><?xml version="1.0" encoding="utf-8"?>
<xdr:wsDr xmlns:xdr="http://schemas.openxmlformats.org/drawingml/2006/spreadsheetDrawing" xmlns:a="http://schemas.openxmlformats.org/drawingml/2006/main">
  <xdr:twoCellAnchor editAs="oneCell">
    <xdr:from>
      <xdr:col>21</xdr:col>
      <xdr:colOff>231626</xdr:colOff>
      <xdr:row>0</xdr:row>
      <xdr:rowOff>0</xdr:rowOff>
    </xdr:from>
    <xdr:to>
      <xdr:col>21</xdr:col>
      <xdr:colOff>740261</xdr:colOff>
      <xdr:row>1</xdr:row>
      <xdr:rowOff>228119</xdr:rowOff>
    </xdr:to>
    <xdr:pic>
      <xdr:nvPicPr>
        <xdr:cNvPr id="2" name="Picture 1">
          <a:extLst>
            <a:ext uri="{FF2B5EF4-FFF2-40B4-BE49-F238E27FC236}">
              <a16:creationId xmlns:a16="http://schemas.microsoft.com/office/drawing/2014/main" id="{299B550F-93CC-4D99-8CBC-F32434CB18ED}"/>
            </a:ext>
          </a:extLst>
        </xdr:cNvPr>
        <xdr:cNvPicPr>
          <a:picLocks noChangeAspect="1"/>
        </xdr:cNvPicPr>
      </xdr:nvPicPr>
      <xdr:blipFill>
        <a:blip xmlns:r="http://schemas.openxmlformats.org/officeDocument/2006/relationships" r:embed="rId1"/>
        <a:stretch>
          <a:fillRect/>
        </a:stretch>
      </xdr:blipFill>
      <xdr:spPr>
        <a:xfrm>
          <a:off x="13938101" y="0"/>
          <a:ext cx="512445" cy="409094"/>
        </a:xfrm>
        <a:prstGeom prst="rect">
          <a:avLst/>
        </a:prstGeom>
      </xdr:spPr>
    </xdr:pic>
    <xdr:clientData/>
  </xdr:twoCellAnchor>
</xdr:wsDr>
</file>

<file path=xl/drawings/drawing31.xml><?xml version="1.0" encoding="utf-8"?>
<xdr:wsDr xmlns:xdr="http://schemas.openxmlformats.org/drawingml/2006/spreadsheetDrawing" xmlns:a="http://schemas.openxmlformats.org/drawingml/2006/main">
  <xdr:twoCellAnchor editAs="oneCell">
    <xdr:from>
      <xdr:col>21</xdr:col>
      <xdr:colOff>231626</xdr:colOff>
      <xdr:row>0</xdr:row>
      <xdr:rowOff>0</xdr:rowOff>
    </xdr:from>
    <xdr:to>
      <xdr:col>21</xdr:col>
      <xdr:colOff>744071</xdr:colOff>
      <xdr:row>1</xdr:row>
      <xdr:rowOff>228119</xdr:rowOff>
    </xdr:to>
    <xdr:pic>
      <xdr:nvPicPr>
        <xdr:cNvPr id="2" name="Picture 1">
          <a:extLst>
            <a:ext uri="{FF2B5EF4-FFF2-40B4-BE49-F238E27FC236}">
              <a16:creationId xmlns:a16="http://schemas.microsoft.com/office/drawing/2014/main" id="{E6798B32-8837-4549-8C43-0F56FEEA167F}"/>
            </a:ext>
          </a:extLst>
        </xdr:cNvPr>
        <xdr:cNvPicPr>
          <a:picLocks noChangeAspect="1"/>
        </xdr:cNvPicPr>
      </xdr:nvPicPr>
      <xdr:blipFill>
        <a:blip xmlns:r="http://schemas.openxmlformats.org/officeDocument/2006/relationships" r:embed="rId1"/>
        <a:stretch>
          <a:fillRect/>
        </a:stretch>
      </xdr:blipFill>
      <xdr:spPr>
        <a:xfrm>
          <a:off x="13924766" y="0"/>
          <a:ext cx="508635" cy="410999"/>
        </a:xfrm>
        <a:prstGeom prst="rect">
          <a:avLst/>
        </a:prstGeom>
      </xdr:spPr>
    </xdr:pic>
    <xdr:clientData/>
  </xdr:twoCellAnchor>
</xdr:wsDr>
</file>

<file path=xl/drawings/drawing32.xml><?xml version="1.0" encoding="utf-8"?>
<xdr:wsDr xmlns:xdr="http://schemas.openxmlformats.org/drawingml/2006/spreadsheetDrawing" xmlns:a="http://schemas.openxmlformats.org/drawingml/2006/main">
  <xdr:twoCellAnchor editAs="oneCell">
    <xdr:from>
      <xdr:col>21</xdr:col>
      <xdr:colOff>231626</xdr:colOff>
      <xdr:row>0</xdr:row>
      <xdr:rowOff>0</xdr:rowOff>
    </xdr:from>
    <xdr:to>
      <xdr:col>21</xdr:col>
      <xdr:colOff>744071</xdr:colOff>
      <xdr:row>1</xdr:row>
      <xdr:rowOff>228119</xdr:rowOff>
    </xdr:to>
    <xdr:pic>
      <xdr:nvPicPr>
        <xdr:cNvPr id="2" name="Picture 1">
          <a:extLst>
            <a:ext uri="{FF2B5EF4-FFF2-40B4-BE49-F238E27FC236}">
              <a16:creationId xmlns:a16="http://schemas.microsoft.com/office/drawing/2014/main" id="{45B96A45-A881-42CF-9E67-C3C77A85C205}"/>
            </a:ext>
          </a:extLst>
        </xdr:cNvPr>
        <xdr:cNvPicPr>
          <a:picLocks noChangeAspect="1"/>
        </xdr:cNvPicPr>
      </xdr:nvPicPr>
      <xdr:blipFill>
        <a:blip xmlns:r="http://schemas.openxmlformats.org/officeDocument/2006/relationships" r:embed="rId1"/>
        <a:stretch>
          <a:fillRect/>
        </a:stretch>
      </xdr:blipFill>
      <xdr:spPr>
        <a:xfrm>
          <a:off x="13924766" y="0"/>
          <a:ext cx="508635" cy="410999"/>
        </a:xfrm>
        <a:prstGeom prst="rect">
          <a:avLst/>
        </a:prstGeom>
      </xdr:spPr>
    </xdr:pic>
    <xdr:clientData/>
  </xdr:twoCellAnchor>
</xdr:wsDr>
</file>

<file path=xl/drawings/drawing33.xml><?xml version="1.0" encoding="utf-8"?>
<xdr:wsDr xmlns:xdr="http://schemas.openxmlformats.org/drawingml/2006/spreadsheetDrawing" xmlns:a="http://schemas.openxmlformats.org/drawingml/2006/main">
  <xdr:twoCellAnchor editAs="oneCell">
    <xdr:from>
      <xdr:col>21</xdr:col>
      <xdr:colOff>231626</xdr:colOff>
      <xdr:row>0</xdr:row>
      <xdr:rowOff>0</xdr:rowOff>
    </xdr:from>
    <xdr:to>
      <xdr:col>21</xdr:col>
      <xdr:colOff>744071</xdr:colOff>
      <xdr:row>1</xdr:row>
      <xdr:rowOff>228119</xdr:rowOff>
    </xdr:to>
    <xdr:pic>
      <xdr:nvPicPr>
        <xdr:cNvPr id="3" name="Picture 2">
          <a:extLst>
            <a:ext uri="{FF2B5EF4-FFF2-40B4-BE49-F238E27FC236}">
              <a16:creationId xmlns:a16="http://schemas.microsoft.com/office/drawing/2014/main" id="{8BE1E6AD-39D6-4C85-A812-725FC92567D3}"/>
            </a:ext>
          </a:extLst>
        </xdr:cNvPr>
        <xdr:cNvPicPr>
          <a:picLocks noChangeAspect="1"/>
        </xdr:cNvPicPr>
      </xdr:nvPicPr>
      <xdr:blipFill>
        <a:blip xmlns:r="http://schemas.openxmlformats.org/officeDocument/2006/relationships" r:embed="rId1"/>
        <a:stretch>
          <a:fillRect/>
        </a:stretch>
      </xdr:blipFill>
      <xdr:spPr>
        <a:xfrm>
          <a:off x="14048479" y="0"/>
          <a:ext cx="508635" cy="407413"/>
        </a:xfrm>
        <a:prstGeom prst="rect">
          <a:avLst/>
        </a:prstGeom>
      </xdr:spPr>
    </xdr:pic>
    <xdr:clientData/>
  </xdr:twoCellAnchor>
</xdr:wsDr>
</file>

<file path=xl/drawings/drawing34.xml><?xml version="1.0" encoding="utf-8"?>
<xdr:wsDr xmlns:xdr="http://schemas.openxmlformats.org/drawingml/2006/spreadsheetDrawing" xmlns:a="http://schemas.openxmlformats.org/drawingml/2006/main">
  <xdr:twoCellAnchor editAs="oneCell">
    <xdr:from>
      <xdr:col>21</xdr:col>
      <xdr:colOff>314325</xdr:colOff>
      <xdr:row>0</xdr:row>
      <xdr:rowOff>0</xdr:rowOff>
    </xdr:from>
    <xdr:to>
      <xdr:col>21</xdr:col>
      <xdr:colOff>323850</xdr:colOff>
      <xdr:row>2</xdr:row>
      <xdr:rowOff>98579</xdr:rowOff>
    </xdr:to>
    <xdr:pic>
      <xdr:nvPicPr>
        <xdr:cNvPr id="2" name="Picture 1">
          <a:extLst>
            <a:ext uri="{FF2B5EF4-FFF2-40B4-BE49-F238E27FC236}">
              <a16:creationId xmlns:a16="http://schemas.microsoft.com/office/drawing/2014/main" id="{7B2CEB9A-E137-46BF-B0BC-EDB928B3CFB6}"/>
            </a:ext>
          </a:extLst>
        </xdr:cNvPr>
        <xdr:cNvPicPr>
          <a:picLocks noChangeAspect="1"/>
        </xdr:cNvPicPr>
      </xdr:nvPicPr>
      <xdr:blipFill>
        <a:blip xmlns:r="http://schemas.openxmlformats.org/officeDocument/2006/relationships" r:embed="rId1"/>
        <a:stretch>
          <a:fillRect/>
        </a:stretch>
      </xdr:blipFill>
      <xdr:spPr>
        <a:xfrm>
          <a:off x="14356080" y="0"/>
          <a:ext cx="3810" cy="513869"/>
        </a:xfrm>
        <a:prstGeom prst="rect">
          <a:avLst/>
        </a:prstGeom>
      </xdr:spPr>
    </xdr:pic>
    <xdr:clientData/>
  </xdr:twoCellAnchor>
  <xdr:twoCellAnchor editAs="oneCell">
    <xdr:from>
      <xdr:col>21</xdr:col>
      <xdr:colOff>285750</xdr:colOff>
      <xdr:row>0</xdr:row>
      <xdr:rowOff>0</xdr:rowOff>
    </xdr:from>
    <xdr:to>
      <xdr:col>21</xdr:col>
      <xdr:colOff>800100</xdr:colOff>
      <xdr:row>1</xdr:row>
      <xdr:rowOff>228119</xdr:rowOff>
    </xdr:to>
    <xdr:pic>
      <xdr:nvPicPr>
        <xdr:cNvPr id="3" name="Picture 2">
          <a:extLst>
            <a:ext uri="{FF2B5EF4-FFF2-40B4-BE49-F238E27FC236}">
              <a16:creationId xmlns:a16="http://schemas.microsoft.com/office/drawing/2014/main" id="{67A3880E-75D2-4801-9DCE-0E1DCC1DD855}"/>
            </a:ext>
          </a:extLst>
        </xdr:cNvPr>
        <xdr:cNvPicPr>
          <a:picLocks noChangeAspect="1"/>
        </xdr:cNvPicPr>
      </xdr:nvPicPr>
      <xdr:blipFill>
        <a:blip xmlns:r="http://schemas.openxmlformats.org/officeDocument/2006/relationships" r:embed="rId1"/>
        <a:stretch>
          <a:fillRect/>
        </a:stretch>
      </xdr:blipFill>
      <xdr:spPr>
        <a:xfrm>
          <a:off x="14321790" y="0"/>
          <a:ext cx="518160" cy="409094"/>
        </a:xfrm>
        <a:prstGeom prst="rect">
          <a:avLst/>
        </a:prstGeom>
      </xdr:spPr>
    </xdr:pic>
    <xdr:clientData/>
  </xdr:twoCellAnchor>
</xdr:wsDr>
</file>

<file path=xl/drawings/drawing35.xml><?xml version="1.0" encoding="utf-8"?>
<xdr:wsDr xmlns:xdr="http://schemas.openxmlformats.org/drawingml/2006/spreadsheetDrawing" xmlns:a="http://schemas.openxmlformats.org/drawingml/2006/main">
  <xdr:twoCellAnchor editAs="oneCell">
    <xdr:from>
      <xdr:col>21</xdr:col>
      <xdr:colOff>314325</xdr:colOff>
      <xdr:row>0</xdr:row>
      <xdr:rowOff>0</xdr:rowOff>
    </xdr:from>
    <xdr:to>
      <xdr:col>21</xdr:col>
      <xdr:colOff>320040</xdr:colOff>
      <xdr:row>2</xdr:row>
      <xdr:rowOff>94769</xdr:rowOff>
    </xdr:to>
    <xdr:pic>
      <xdr:nvPicPr>
        <xdr:cNvPr id="2" name="Picture 1">
          <a:extLst>
            <a:ext uri="{FF2B5EF4-FFF2-40B4-BE49-F238E27FC236}">
              <a16:creationId xmlns:a16="http://schemas.microsoft.com/office/drawing/2014/main" id="{472D5D7D-2A44-4D99-AD6A-286B4F374CD3}"/>
            </a:ext>
          </a:extLst>
        </xdr:cNvPr>
        <xdr:cNvPicPr>
          <a:picLocks noChangeAspect="1"/>
        </xdr:cNvPicPr>
      </xdr:nvPicPr>
      <xdr:blipFill>
        <a:blip xmlns:r="http://schemas.openxmlformats.org/officeDocument/2006/relationships" r:embed="rId1"/>
        <a:stretch>
          <a:fillRect/>
        </a:stretch>
      </xdr:blipFill>
      <xdr:spPr>
        <a:xfrm>
          <a:off x="14356080" y="0"/>
          <a:ext cx="3810" cy="513869"/>
        </a:xfrm>
        <a:prstGeom prst="rect">
          <a:avLst/>
        </a:prstGeom>
      </xdr:spPr>
    </xdr:pic>
    <xdr:clientData/>
  </xdr:twoCellAnchor>
  <xdr:twoCellAnchor editAs="oneCell">
    <xdr:from>
      <xdr:col>21</xdr:col>
      <xdr:colOff>285750</xdr:colOff>
      <xdr:row>0</xdr:row>
      <xdr:rowOff>0</xdr:rowOff>
    </xdr:from>
    <xdr:to>
      <xdr:col>21</xdr:col>
      <xdr:colOff>800100</xdr:colOff>
      <xdr:row>1</xdr:row>
      <xdr:rowOff>228119</xdr:rowOff>
    </xdr:to>
    <xdr:pic>
      <xdr:nvPicPr>
        <xdr:cNvPr id="3" name="Picture 2">
          <a:extLst>
            <a:ext uri="{FF2B5EF4-FFF2-40B4-BE49-F238E27FC236}">
              <a16:creationId xmlns:a16="http://schemas.microsoft.com/office/drawing/2014/main" id="{4B3CCA85-2C44-42CF-97D2-193366E26836}"/>
            </a:ext>
          </a:extLst>
        </xdr:cNvPr>
        <xdr:cNvPicPr>
          <a:picLocks noChangeAspect="1"/>
        </xdr:cNvPicPr>
      </xdr:nvPicPr>
      <xdr:blipFill>
        <a:blip xmlns:r="http://schemas.openxmlformats.org/officeDocument/2006/relationships" r:embed="rId1"/>
        <a:stretch>
          <a:fillRect/>
        </a:stretch>
      </xdr:blipFill>
      <xdr:spPr>
        <a:xfrm>
          <a:off x="14321790" y="0"/>
          <a:ext cx="518160" cy="409094"/>
        </a:xfrm>
        <a:prstGeom prst="rect">
          <a:avLst/>
        </a:prstGeom>
      </xdr:spPr>
    </xdr:pic>
    <xdr:clientData/>
  </xdr:twoCellAnchor>
</xdr:wsDr>
</file>

<file path=xl/drawings/drawing36.xml><?xml version="1.0" encoding="utf-8"?>
<xdr:wsDr xmlns:xdr="http://schemas.openxmlformats.org/drawingml/2006/spreadsheetDrawing" xmlns:a="http://schemas.openxmlformats.org/drawingml/2006/main">
  <xdr:twoCellAnchor editAs="oneCell">
    <xdr:from>
      <xdr:col>21</xdr:col>
      <xdr:colOff>314325</xdr:colOff>
      <xdr:row>0</xdr:row>
      <xdr:rowOff>0</xdr:rowOff>
    </xdr:from>
    <xdr:to>
      <xdr:col>21</xdr:col>
      <xdr:colOff>323850</xdr:colOff>
      <xdr:row>2</xdr:row>
      <xdr:rowOff>98579</xdr:rowOff>
    </xdr:to>
    <xdr:pic>
      <xdr:nvPicPr>
        <xdr:cNvPr id="2" name="Picture 1">
          <a:extLst>
            <a:ext uri="{FF2B5EF4-FFF2-40B4-BE49-F238E27FC236}">
              <a16:creationId xmlns:a16="http://schemas.microsoft.com/office/drawing/2014/main" id="{955E1A86-AB23-4764-B0D5-FE4AFD1C2ADA}"/>
            </a:ext>
          </a:extLst>
        </xdr:cNvPr>
        <xdr:cNvPicPr>
          <a:picLocks noChangeAspect="1"/>
        </xdr:cNvPicPr>
      </xdr:nvPicPr>
      <xdr:blipFill>
        <a:blip xmlns:r="http://schemas.openxmlformats.org/officeDocument/2006/relationships" r:embed="rId1"/>
        <a:stretch>
          <a:fillRect/>
        </a:stretch>
      </xdr:blipFill>
      <xdr:spPr>
        <a:xfrm>
          <a:off x="14357985" y="0"/>
          <a:ext cx="9525" cy="517679"/>
        </a:xfrm>
        <a:prstGeom prst="rect">
          <a:avLst/>
        </a:prstGeom>
      </xdr:spPr>
    </xdr:pic>
    <xdr:clientData/>
  </xdr:twoCellAnchor>
  <xdr:twoCellAnchor editAs="oneCell">
    <xdr:from>
      <xdr:col>21</xdr:col>
      <xdr:colOff>285750</xdr:colOff>
      <xdr:row>0</xdr:row>
      <xdr:rowOff>0</xdr:rowOff>
    </xdr:from>
    <xdr:to>
      <xdr:col>21</xdr:col>
      <xdr:colOff>800100</xdr:colOff>
      <xdr:row>1</xdr:row>
      <xdr:rowOff>228119</xdr:rowOff>
    </xdr:to>
    <xdr:pic>
      <xdr:nvPicPr>
        <xdr:cNvPr id="3" name="Picture 2">
          <a:extLst>
            <a:ext uri="{FF2B5EF4-FFF2-40B4-BE49-F238E27FC236}">
              <a16:creationId xmlns:a16="http://schemas.microsoft.com/office/drawing/2014/main" id="{942FC8B0-7980-4F83-81CF-4A3FD9DD73A4}"/>
            </a:ext>
          </a:extLst>
        </xdr:cNvPr>
        <xdr:cNvPicPr>
          <a:picLocks noChangeAspect="1"/>
        </xdr:cNvPicPr>
      </xdr:nvPicPr>
      <xdr:blipFill>
        <a:blip xmlns:r="http://schemas.openxmlformats.org/officeDocument/2006/relationships" r:embed="rId1"/>
        <a:stretch>
          <a:fillRect/>
        </a:stretch>
      </xdr:blipFill>
      <xdr:spPr>
        <a:xfrm>
          <a:off x="14329410" y="0"/>
          <a:ext cx="514350" cy="410999"/>
        </a:xfrm>
        <a:prstGeom prst="rect">
          <a:avLst/>
        </a:prstGeom>
      </xdr:spPr>
    </xdr:pic>
    <xdr:clientData/>
  </xdr:twoCellAnchor>
</xdr:wsDr>
</file>

<file path=xl/drawings/drawing37.xml><?xml version="1.0" encoding="utf-8"?>
<xdr:wsDr xmlns:xdr="http://schemas.openxmlformats.org/drawingml/2006/spreadsheetDrawing" xmlns:a="http://schemas.openxmlformats.org/drawingml/2006/main">
  <xdr:twoCellAnchor editAs="oneCell">
    <xdr:from>
      <xdr:col>21</xdr:col>
      <xdr:colOff>314325</xdr:colOff>
      <xdr:row>0</xdr:row>
      <xdr:rowOff>0</xdr:rowOff>
    </xdr:from>
    <xdr:to>
      <xdr:col>21</xdr:col>
      <xdr:colOff>323850</xdr:colOff>
      <xdr:row>2</xdr:row>
      <xdr:rowOff>98579</xdr:rowOff>
    </xdr:to>
    <xdr:pic>
      <xdr:nvPicPr>
        <xdr:cNvPr id="2" name="Picture 1">
          <a:extLst>
            <a:ext uri="{FF2B5EF4-FFF2-40B4-BE49-F238E27FC236}">
              <a16:creationId xmlns:a16="http://schemas.microsoft.com/office/drawing/2014/main" id="{C4EADCC4-54DB-4631-8BF8-B01740986C3E}"/>
            </a:ext>
          </a:extLst>
        </xdr:cNvPr>
        <xdr:cNvPicPr>
          <a:picLocks noChangeAspect="1"/>
        </xdr:cNvPicPr>
      </xdr:nvPicPr>
      <xdr:blipFill>
        <a:blip xmlns:r="http://schemas.openxmlformats.org/officeDocument/2006/relationships" r:embed="rId1"/>
        <a:stretch>
          <a:fillRect/>
        </a:stretch>
      </xdr:blipFill>
      <xdr:spPr>
        <a:xfrm>
          <a:off x="13862685" y="0"/>
          <a:ext cx="9525" cy="517679"/>
        </a:xfrm>
        <a:prstGeom prst="rect">
          <a:avLst/>
        </a:prstGeom>
      </xdr:spPr>
    </xdr:pic>
    <xdr:clientData/>
  </xdr:twoCellAnchor>
  <xdr:twoCellAnchor editAs="oneCell">
    <xdr:from>
      <xdr:col>21</xdr:col>
      <xdr:colOff>285750</xdr:colOff>
      <xdr:row>0</xdr:row>
      <xdr:rowOff>0</xdr:rowOff>
    </xdr:from>
    <xdr:to>
      <xdr:col>21</xdr:col>
      <xdr:colOff>800100</xdr:colOff>
      <xdr:row>1</xdr:row>
      <xdr:rowOff>228119</xdr:rowOff>
    </xdr:to>
    <xdr:pic>
      <xdr:nvPicPr>
        <xdr:cNvPr id="3" name="Picture 2">
          <a:extLst>
            <a:ext uri="{FF2B5EF4-FFF2-40B4-BE49-F238E27FC236}">
              <a16:creationId xmlns:a16="http://schemas.microsoft.com/office/drawing/2014/main" id="{B463C70D-374C-4280-84D4-3191F939655D}"/>
            </a:ext>
          </a:extLst>
        </xdr:cNvPr>
        <xdr:cNvPicPr>
          <a:picLocks noChangeAspect="1"/>
        </xdr:cNvPicPr>
      </xdr:nvPicPr>
      <xdr:blipFill>
        <a:blip xmlns:r="http://schemas.openxmlformats.org/officeDocument/2006/relationships" r:embed="rId1"/>
        <a:stretch>
          <a:fillRect/>
        </a:stretch>
      </xdr:blipFill>
      <xdr:spPr>
        <a:xfrm>
          <a:off x="13834110" y="0"/>
          <a:ext cx="514350" cy="410999"/>
        </a:xfrm>
        <a:prstGeom prst="rect">
          <a:avLst/>
        </a:prstGeom>
      </xdr:spPr>
    </xdr:pic>
    <xdr:clientData/>
  </xdr:twoCellAnchor>
</xdr:wsDr>
</file>

<file path=xl/drawings/drawing38.xml><?xml version="1.0" encoding="utf-8"?>
<xdr:wsDr xmlns:xdr="http://schemas.openxmlformats.org/drawingml/2006/spreadsheetDrawing" xmlns:a="http://schemas.openxmlformats.org/drawingml/2006/main">
  <xdr:twoCellAnchor editAs="oneCell">
    <xdr:from>
      <xdr:col>21</xdr:col>
      <xdr:colOff>314325</xdr:colOff>
      <xdr:row>0</xdr:row>
      <xdr:rowOff>0</xdr:rowOff>
    </xdr:from>
    <xdr:to>
      <xdr:col>21</xdr:col>
      <xdr:colOff>323850</xdr:colOff>
      <xdr:row>2</xdr:row>
      <xdr:rowOff>98579</xdr:rowOff>
    </xdr:to>
    <xdr:pic>
      <xdr:nvPicPr>
        <xdr:cNvPr id="2" name="Picture 1">
          <a:extLst>
            <a:ext uri="{FF2B5EF4-FFF2-40B4-BE49-F238E27FC236}">
              <a16:creationId xmlns:a16="http://schemas.microsoft.com/office/drawing/2014/main" id="{A829D523-075E-401B-958E-A28529227D9A}"/>
            </a:ext>
          </a:extLst>
        </xdr:cNvPr>
        <xdr:cNvPicPr>
          <a:picLocks noChangeAspect="1"/>
        </xdr:cNvPicPr>
      </xdr:nvPicPr>
      <xdr:blipFill>
        <a:blip xmlns:r="http://schemas.openxmlformats.org/officeDocument/2006/relationships" r:embed="rId1"/>
        <a:stretch>
          <a:fillRect/>
        </a:stretch>
      </xdr:blipFill>
      <xdr:spPr>
        <a:xfrm>
          <a:off x="13862685" y="0"/>
          <a:ext cx="9525" cy="517679"/>
        </a:xfrm>
        <a:prstGeom prst="rect">
          <a:avLst/>
        </a:prstGeom>
      </xdr:spPr>
    </xdr:pic>
    <xdr:clientData/>
  </xdr:twoCellAnchor>
  <xdr:twoCellAnchor editAs="oneCell">
    <xdr:from>
      <xdr:col>21</xdr:col>
      <xdr:colOff>285750</xdr:colOff>
      <xdr:row>0</xdr:row>
      <xdr:rowOff>0</xdr:rowOff>
    </xdr:from>
    <xdr:to>
      <xdr:col>21</xdr:col>
      <xdr:colOff>800100</xdr:colOff>
      <xdr:row>1</xdr:row>
      <xdr:rowOff>228119</xdr:rowOff>
    </xdr:to>
    <xdr:pic>
      <xdr:nvPicPr>
        <xdr:cNvPr id="3" name="Picture 2">
          <a:extLst>
            <a:ext uri="{FF2B5EF4-FFF2-40B4-BE49-F238E27FC236}">
              <a16:creationId xmlns:a16="http://schemas.microsoft.com/office/drawing/2014/main" id="{B1ACE80B-0AE6-4812-9B35-1E99B7B66353}"/>
            </a:ext>
          </a:extLst>
        </xdr:cNvPr>
        <xdr:cNvPicPr>
          <a:picLocks noChangeAspect="1"/>
        </xdr:cNvPicPr>
      </xdr:nvPicPr>
      <xdr:blipFill>
        <a:blip xmlns:r="http://schemas.openxmlformats.org/officeDocument/2006/relationships" r:embed="rId1"/>
        <a:stretch>
          <a:fillRect/>
        </a:stretch>
      </xdr:blipFill>
      <xdr:spPr>
        <a:xfrm>
          <a:off x="13834110" y="0"/>
          <a:ext cx="514350" cy="410999"/>
        </a:xfrm>
        <a:prstGeom prst="rect">
          <a:avLst/>
        </a:prstGeom>
      </xdr:spPr>
    </xdr:pic>
    <xdr:clientData/>
  </xdr:twoCellAnchor>
</xdr:wsDr>
</file>

<file path=xl/drawings/drawing39.xml><?xml version="1.0" encoding="utf-8"?>
<xdr:wsDr xmlns:xdr="http://schemas.openxmlformats.org/drawingml/2006/spreadsheetDrawing" xmlns:a="http://schemas.openxmlformats.org/drawingml/2006/main">
  <xdr:twoCellAnchor editAs="oneCell">
    <xdr:from>
      <xdr:col>21</xdr:col>
      <xdr:colOff>314325</xdr:colOff>
      <xdr:row>0</xdr:row>
      <xdr:rowOff>0</xdr:rowOff>
    </xdr:from>
    <xdr:to>
      <xdr:col>21</xdr:col>
      <xdr:colOff>320040</xdr:colOff>
      <xdr:row>2</xdr:row>
      <xdr:rowOff>94769</xdr:rowOff>
    </xdr:to>
    <xdr:pic>
      <xdr:nvPicPr>
        <xdr:cNvPr id="2" name="Picture 1">
          <a:extLst>
            <a:ext uri="{FF2B5EF4-FFF2-40B4-BE49-F238E27FC236}">
              <a16:creationId xmlns:a16="http://schemas.microsoft.com/office/drawing/2014/main" id="{D27DED90-4327-4E78-BD7E-02F425298B14}"/>
            </a:ext>
          </a:extLst>
        </xdr:cNvPr>
        <xdr:cNvPicPr>
          <a:picLocks noChangeAspect="1"/>
        </xdr:cNvPicPr>
      </xdr:nvPicPr>
      <xdr:blipFill>
        <a:blip xmlns:r="http://schemas.openxmlformats.org/officeDocument/2006/relationships" r:embed="rId1"/>
        <a:stretch>
          <a:fillRect/>
        </a:stretch>
      </xdr:blipFill>
      <xdr:spPr>
        <a:xfrm>
          <a:off x="10365105" y="0"/>
          <a:ext cx="5715" cy="513869"/>
        </a:xfrm>
        <a:prstGeom prst="rect">
          <a:avLst/>
        </a:prstGeom>
      </xdr:spPr>
    </xdr:pic>
    <xdr:clientData/>
  </xdr:twoCellAnchor>
  <xdr:twoCellAnchor editAs="oneCell">
    <xdr:from>
      <xdr:col>21</xdr:col>
      <xdr:colOff>285750</xdr:colOff>
      <xdr:row>0</xdr:row>
      <xdr:rowOff>0</xdr:rowOff>
    </xdr:from>
    <xdr:to>
      <xdr:col>21</xdr:col>
      <xdr:colOff>800100</xdr:colOff>
      <xdr:row>1</xdr:row>
      <xdr:rowOff>228119</xdr:rowOff>
    </xdr:to>
    <xdr:pic>
      <xdr:nvPicPr>
        <xdr:cNvPr id="3" name="Picture 2">
          <a:extLst>
            <a:ext uri="{FF2B5EF4-FFF2-40B4-BE49-F238E27FC236}">
              <a16:creationId xmlns:a16="http://schemas.microsoft.com/office/drawing/2014/main" id="{62AA4977-3483-45CA-847C-DFB8C2CD85E7}"/>
            </a:ext>
          </a:extLst>
        </xdr:cNvPr>
        <xdr:cNvPicPr>
          <a:picLocks noChangeAspect="1"/>
        </xdr:cNvPicPr>
      </xdr:nvPicPr>
      <xdr:blipFill>
        <a:blip xmlns:r="http://schemas.openxmlformats.org/officeDocument/2006/relationships" r:embed="rId1"/>
        <a:stretch>
          <a:fillRect/>
        </a:stretch>
      </xdr:blipFill>
      <xdr:spPr>
        <a:xfrm>
          <a:off x="10336530" y="0"/>
          <a:ext cx="514350" cy="41099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35</xdr:col>
      <xdr:colOff>147530</xdr:colOff>
      <xdr:row>0</xdr:row>
      <xdr:rowOff>0</xdr:rowOff>
    </xdr:from>
    <xdr:to>
      <xdr:col>36</xdr:col>
      <xdr:colOff>148166</xdr:colOff>
      <xdr:row>1</xdr:row>
      <xdr:rowOff>228119</xdr:rowOff>
    </xdr:to>
    <xdr:pic>
      <xdr:nvPicPr>
        <xdr:cNvPr id="2" name="Picture 1">
          <a:extLst>
            <a:ext uri="{FF2B5EF4-FFF2-40B4-BE49-F238E27FC236}">
              <a16:creationId xmlns:a16="http://schemas.microsoft.com/office/drawing/2014/main" id="{0964AFCE-0271-4AF7-9EC8-B13642973BAE}"/>
            </a:ext>
          </a:extLst>
        </xdr:cNvPr>
        <xdr:cNvPicPr>
          <a:picLocks noChangeAspect="1"/>
        </xdr:cNvPicPr>
      </xdr:nvPicPr>
      <xdr:blipFill>
        <a:blip xmlns:r="http://schemas.openxmlformats.org/officeDocument/2006/relationships" r:embed="rId1"/>
        <a:stretch>
          <a:fillRect/>
        </a:stretch>
      </xdr:blipFill>
      <xdr:spPr>
        <a:xfrm>
          <a:off x="12297197" y="0"/>
          <a:ext cx="508635" cy="418619"/>
        </a:xfrm>
        <a:prstGeom prst="rect">
          <a:avLst/>
        </a:prstGeom>
      </xdr:spPr>
    </xdr:pic>
    <xdr:clientData/>
  </xdr:twoCellAnchor>
</xdr:wsDr>
</file>

<file path=xl/drawings/drawing40.xml><?xml version="1.0" encoding="utf-8"?>
<xdr:wsDr xmlns:xdr="http://schemas.openxmlformats.org/drawingml/2006/spreadsheetDrawing" xmlns:a="http://schemas.openxmlformats.org/drawingml/2006/main">
  <xdr:twoCellAnchor editAs="oneCell">
    <xdr:from>
      <xdr:col>16</xdr:col>
      <xdr:colOff>314325</xdr:colOff>
      <xdr:row>0</xdr:row>
      <xdr:rowOff>0</xdr:rowOff>
    </xdr:from>
    <xdr:to>
      <xdr:col>16</xdr:col>
      <xdr:colOff>323850</xdr:colOff>
      <xdr:row>2</xdr:row>
      <xdr:rowOff>98579</xdr:rowOff>
    </xdr:to>
    <xdr:pic>
      <xdr:nvPicPr>
        <xdr:cNvPr id="2" name="Picture 1">
          <a:extLst>
            <a:ext uri="{FF2B5EF4-FFF2-40B4-BE49-F238E27FC236}">
              <a16:creationId xmlns:a16="http://schemas.microsoft.com/office/drawing/2014/main" id="{09140FAD-B0EB-4602-A1E3-36A43055586A}"/>
            </a:ext>
          </a:extLst>
        </xdr:cNvPr>
        <xdr:cNvPicPr>
          <a:picLocks noChangeAspect="1"/>
        </xdr:cNvPicPr>
      </xdr:nvPicPr>
      <xdr:blipFill>
        <a:blip xmlns:r="http://schemas.openxmlformats.org/officeDocument/2006/relationships" r:embed="rId1"/>
        <a:stretch>
          <a:fillRect/>
        </a:stretch>
      </xdr:blipFill>
      <xdr:spPr>
        <a:xfrm>
          <a:off x="10365105" y="0"/>
          <a:ext cx="5715" cy="513869"/>
        </a:xfrm>
        <a:prstGeom prst="rect">
          <a:avLst/>
        </a:prstGeom>
      </xdr:spPr>
    </xdr:pic>
    <xdr:clientData/>
  </xdr:twoCellAnchor>
  <xdr:twoCellAnchor editAs="oneCell">
    <xdr:from>
      <xdr:col>16</xdr:col>
      <xdr:colOff>285750</xdr:colOff>
      <xdr:row>0</xdr:row>
      <xdr:rowOff>0</xdr:rowOff>
    </xdr:from>
    <xdr:to>
      <xdr:col>16</xdr:col>
      <xdr:colOff>800100</xdr:colOff>
      <xdr:row>1</xdr:row>
      <xdr:rowOff>228119</xdr:rowOff>
    </xdr:to>
    <xdr:pic>
      <xdr:nvPicPr>
        <xdr:cNvPr id="3" name="Picture 2">
          <a:extLst>
            <a:ext uri="{FF2B5EF4-FFF2-40B4-BE49-F238E27FC236}">
              <a16:creationId xmlns:a16="http://schemas.microsoft.com/office/drawing/2014/main" id="{871F5A05-C55D-4759-8B5D-D771856C1D0C}"/>
            </a:ext>
          </a:extLst>
        </xdr:cNvPr>
        <xdr:cNvPicPr>
          <a:picLocks noChangeAspect="1"/>
        </xdr:cNvPicPr>
      </xdr:nvPicPr>
      <xdr:blipFill>
        <a:blip xmlns:r="http://schemas.openxmlformats.org/officeDocument/2006/relationships" r:embed="rId1"/>
        <a:stretch>
          <a:fillRect/>
        </a:stretch>
      </xdr:blipFill>
      <xdr:spPr>
        <a:xfrm>
          <a:off x="10336530" y="0"/>
          <a:ext cx="514350" cy="410999"/>
        </a:xfrm>
        <a:prstGeom prst="rect">
          <a:avLst/>
        </a:prstGeom>
      </xdr:spPr>
    </xdr:pic>
    <xdr:clientData/>
  </xdr:twoCellAnchor>
</xdr:wsDr>
</file>

<file path=xl/drawings/drawing41.xml><?xml version="1.0" encoding="utf-8"?>
<xdr:wsDr xmlns:xdr="http://schemas.openxmlformats.org/drawingml/2006/spreadsheetDrawing" xmlns:a="http://schemas.openxmlformats.org/drawingml/2006/main">
  <xdr:twoCellAnchor editAs="oneCell">
    <xdr:from>
      <xdr:col>16</xdr:col>
      <xdr:colOff>314325</xdr:colOff>
      <xdr:row>0</xdr:row>
      <xdr:rowOff>0</xdr:rowOff>
    </xdr:from>
    <xdr:to>
      <xdr:col>16</xdr:col>
      <xdr:colOff>323850</xdr:colOff>
      <xdr:row>2</xdr:row>
      <xdr:rowOff>98579</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9286875" y="0"/>
          <a:ext cx="0" cy="475769"/>
        </a:xfrm>
        <a:prstGeom prst="rect">
          <a:avLst/>
        </a:prstGeom>
      </xdr:spPr>
    </xdr:pic>
    <xdr:clientData/>
  </xdr:twoCellAnchor>
  <xdr:twoCellAnchor editAs="oneCell">
    <xdr:from>
      <xdr:col>16</xdr:col>
      <xdr:colOff>285750</xdr:colOff>
      <xdr:row>0</xdr:row>
      <xdr:rowOff>0</xdr:rowOff>
    </xdr:from>
    <xdr:to>
      <xdr:col>16</xdr:col>
      <xdr:colOff>800100</xdr:colOff>
      <xdr:row>1</xdr:row>
      <xdr:rowOff>228119</xdr:rowOff>
    </xdr:to>
    <xdr:pic>
      <xdr:nvPicPr>
        <xdr:cNvPr id="3" name="Picture 2">
          <a:extLst>
            <a:ext uri="{FF2B5EF4-FFF2-40B4-BE49-F238E27FC236}">
              <a16:creationId xmlns:a16="http://schemas.microsoft.com/office/drawing/2014/main" id="{1A880344-0346-420F-9B66-D2BB737F1799}"/>
            </a:ext>
          </a:extLst>
        </xdr:cNvPr>
        <xdr:cNvPicPr>
          <a:picLocks noChangeAspect="1"/>
        </xdr:cNvPicPr>
      </xdr:nvPicPr>
      <xdr:blipFill>
        <a:blip xmlns:r="http://schemas.openxmlformats.org/officeDocument/2006/relationships" r:embed="rId1"/>
        <a:stretch>
          <a:fillRect/>
        </a:stretch>
      </xdr:blipFill>
      <xdr:spPr>
        <a:xfrm>
          <a:off x="9496425" y="0"/>
          <a:ext cx="514350" cy="418619"/>
        </a:xfrm>
        <a:prstGeom prst="rect">
          <a:avLst/>
        </a:prstGeom>
      </xdr:spPr>
    </xdr:pic>
    <xdr:clientData/>
  </xdr:twoCellAnchor>
</xdr:wsDr>
</file>

<file path=xl/drawings/drawing42.xml><?xml version="1.0" encoding="utf-8"?>
<xdr:wsDr xmlns:xdr="http://schemas.openxmlformats.org/drawingml/2006/spreadsheetDrawing" xmlns:a="http://schemas.openxmlformats.org/drawingml/2006/main">
  <xdr:twoCellAnchor editAs="oneCell">
    <xdr:from>
      <xdr:col>16</xdr:col>
      <xdr:colOff>314325</xdr:colOff>
      <xdr:row>0</xdr:row>
      <xdr:rowOff>0</xdr:rowOff>
    </xdr:from>
    <xdr:to>
      <xdr:col>16</xdr:col>
      <xdr:colOff>320040</xdr:colOff>
      <xdr:row>2</xdr:row>
      <xdr:rowOff>37619</xdr:rowOff>
    </xdr:to>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9286875" y="0"/>
          <a:ext cx="514350" cy="418619"/>
        </a:xfrm>
        <a:prstGeom prst="rect">
          <a:avLst/>
        </a:prstGeom>
      </xdr:spPr>
    </xdr:pic>
    <xdr:clientData/>
  </xdr:twoCellAnchor>
  <xdr:twoCellAnchor editAs="oneCell">
    <xdr:from>
      <xdr:col>16</xdr:col>
      <xdr:colOff>333375</xdr:colOff>
      <xdr:row>0</xdr:row>
      <xdr:rowOff>0</xdr:rowOff>
    </xdr:from>
    <xdr:to>
      <xdr:col>17</xdr:col>
      <xdr:colOff>19050</xdr:colOff>
      <xdr:row>1</xdr:row>
      <xdr:rowOff>228119</xdr:rowOff>
    </xdr:to>
    <xdr:pic>
      <xdr:nvPicPr>
        <xdr:cNvPr id="4" name="Picture 3">
          <a:extLst>
            <a:ext uri="{FF2B5EF4-FFF2-40B4-BE49-F238E27FC236}">
              <a16:creationId xmlns:a16="http://schemas.microsoft.com/office/drawing/2014/main" id="{C162254C-6828-42BB-B01B-0D78A3739FF5}"/>
            </a:ext>
          </a:extLst>
        </xdr:cNvPr>
        <xdr:cNvPicPr>
          <a:picLocks noChangeAspect="1"/>
        </xdr:cNvPicPr>
      </xdr:nvPicPr>
      <xdr:blipFill>
        <a:blip xmlns:r="http://schemas.openxmlformats.org/officeDocument/2006/relationships" r:embed="rId1"/>
        <a:stretch>
          <a:fillRect/>
        </a:stretch>
      </xdr:blipFill>
      <xdr:spPr>
        <a:xfrm>
          <a:off x="9544050" y="0"/>
          <a:ext cx="514350" cy="418619"/>
        </a:xfrm>
        <a:prstGeom prst="rect">
          <a:avLst/>
        </a:prstGeom>
      </xdr:spPr>
    </xdr:pic>
    <xdr:clientData/>
  </xdr:twoCellAnchor>
</xdr:wsDr>
</file>

<file path=xl/drawings/drawing43.xml><?xml version="1.0" encoding="utf-8"?>
<xdr:wsDr xmlns:xdr="http://schemas.openxmlformats.org/drawingml/2006/spreadsheetDrawing" xmlns:a="http://schemas.openxmlformats.org/drawingml/2006/main">
  <xdr:twoCellAnchor editAs="oneCell">
    <xdr:from>
      <xdr:col>16</xdr:col>
      <xdr:colOff>314325</xdr:colOff>
      <xdr:row>0</xdr:row>
      <xdr:rowOff>0</xdr:rowOff>
    </xdr:from>
    <xdr:to>
      <xdr:col>17</xdr:col>
      <xdr:colOff>0</xdr:colOff>
      <xdr:row>1</xdr:row>
      <xdr:rowOff>228119</xdr:rowOff>
    </xdr:to>
    <xdr:pic>
      <xdr:nvPicPr>
        <xdr:cNvPr id="3" name="Picture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a:stretch>
          <a:fillRect/>
        </a:stretch>
      </xdr:blipFill>
      <xdr:spPr>
        <a:xfrm>
          <a:off x="9896475" y="0"/>
          <a:ext cx="514350" cy="41861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31</xdr:col>
      <xdr:colOff>200841</xdr:colOff>
      <xdr:row>0</xdr:row>
      <xdr:rowOff>0</xdr:rowOff>
    </xdr:from>
    <xdr:to>
      <xdr:col>31</xdr:col>
      <xdr:colOff>767747</xdr:colOff>
      <xdr:row>1</xdr:row>
      <xdr:rowOff>358040</xdr:rowOff>
    </xdr:to>
    <xdr:pic>
      <xdr:nvPicPr>
        <xdr:cNvPr id="2" name="Picture 1">
          <a:extLst>
            <a:ext uri="{FF2B5EF4-FFF2-40B4-BE49-F238E27FC236}">
              <a16:creationId xmlns:a16="http://schemas.microsoft.com/office/drawing/2014/main" id="{85AD035E-4F98-4F4B-8B78-7E27728AC7ED}"/>
            </a:ext>
          </a:extLst>
        </xdr:cNvPr>
        <xdr:cNvPicPr>
          <a:picLocks noChangeAspect="1"/>
        </xdr:cNvPicPr>
      </xdr:nvPicPr>
      <xdr:blipFill>
        <a:blip xmlns:r="http://schemas.openxmlformats.org/officeDocument/2006/relationships" r:embed="rId1"/>
        <a:stretch>
          <a:fillRect/>
        </a:stretch>
      </xdr:blipFill>
      <xdr:spPr>
        <a:xfrm>
          <a:off x="21714641" y="0"/>
          <a:ext cx="566906" cy="54219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31</xdr:col>
      <xdr:colOff>200841</xdr:colOff>
      <xdr:row>0</xdr:row>
      <xdr:rowOff>0</xdr:rowOff>
    </xdr:from>
    <xdr:to>
      <xdr:col>31</xdr:col>
      <xdr:colOff>767747</xdr:colOff>
      <xdr:row>1</xdr:row>
      <xdr:rowOff>358040</xdr:rowOff>
    </xdr:to>
    <xdr:pic>
      <xdr:nvPicPr>
        <xdr:cNvPr id="2" name="Picture 1">
          <a:extLst>
            <a:ext uri="{FF2B5EF4-FFF2-40B4-BE49-F238E27FC236}">
              <a16:creationId xmlns:a16="http://schemas.microsoft.com/office/drawing/2014/main" id="{10F47BA7-3CA9-44A8-8208-9B1D94B8003E}"/>
            </a:ext>
          </a:extLst>
        </xdr:cNvPr>
        <xdr:cNvPicPr>
          <a:picLocks noChangeAspect="1"/>
        </xdr:cNvPicPr>
      </xdr:nvPicPr>
      <xdr:blipFill>
        <a:blip xmlns:r="http://schemas.openxmlformats.org/officeDocument/2006/relationships" r:embed="rId1"/>
        <a:stretch>
          <a:fillRect/>
        </a:stretch>
      </xdr:blipFill>
      <xdr:spPr>
        <a:xfrm>
          <a:off x="21720991" y="0"/>
          <a:ext cx="566906" cy="54219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31</xdr:col>
      <xdr:colOff>200841</xdr:colOff>
      <xdr:row>0</xdr:row>
      <xdr:rowOff>0</xdr:rowOff>
    </xdr:from>
    <xdr:to>
      <xdr:col>31</xdr:col>
      <xdr:colOff>767747</xdr:colOff>
      <xdr:row>1</xdr:row>
      <xdr:rowOff>358040</xdr:rowOff>
    </xdr:to>
    <xdr:pic>
      <xdr:nvPicPr>
        <xdr:cNvPr id="2" name="Picture 1">
          <a:extLst>
            <a:ext uri="{FF2B5EF4-FFF2-40B4-BE49-F238E27FC236}">
              <a16:creationId xmlns:a16="http://schemas.microsoft.com/office/drawing/2014/main" id="{000F5A3D-7EE1-4050-8FDE-5794660F0642}"/>
            </a:ext>
          </a:extLst>
        </xdr:cNvPr>
        <xdr:cNvPicPr>
          <a:picLocks noChangeAspect="1"/>
        </xdr:cNvPicPr>
      </xdr:nvPicPr>
      <xdr:blipFill>
        <a:blip xmlns:r="http://schemas.openxmlformats.org/officeDocument/2006/relationships" r:embed="rId1"/>
        <a:stretch>
          <a:fillRect/>
        </a:stretch>
      </xdr:blipFill>
      <xdr:spPr>
        <a:xfrm>
          <a:off x="20622441" y="0"/>
          <a:ext cx="566906" cy="54854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31</xdr:col>
      <xdr:colOff>200841</xdr:colOff>
      <xdr:row>0</xdr:row>
      <xdr:rowOff>0</xdr:rowOff>
    </xdr:from>
    <xdr:to>
      <xdr:col>31</xdr:col>
      <xdr:colOff>767747</xdr:colOff>
      <xdr:row>1</xdr:row>
      <xdr:rowOff>358040</xdr:rowOff>
    </xdr:to>
    <xdr:pic>
      <xdr:nvPicPr>
        <xdr:cNvPr id="2" name="Picture 1">
          <a:extLst>
            <a:ext uri="{FF2B5EF4-FFF2-40B4-BE49-F238E27FC236}">
              <a16:creationId xmlns:a16="http://schemas.microsoft.com/office/drawing/2014/main" id="{57CF0FE1-D5CC-476F-A643-574F596F9C31}"/>
            </a:ext>
          </a:extLst>
        </xdr:cNvPr>
        <xdr:cNvPicPr>
          <a:picLocks noChangeAspect="1"/>
        </xdr:cNvPicPr>
      </xdr:nvPicPr>
      <xdr:blipFill>
        <a:blip xmlns:r="http://schemas.openxmlformats.org/officeDocument/2006/relationships" r:embed="rId1"/>
        <a:stretch>
          <a:fillRect/>
        </a:stretch>
      </xdr:blipFill>
      <xdr:spPr>
        <a:xfrm>
          <a:off x="20622441" y="0"/>
          <a:ext cx="566906" cy="54854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31</xdr:col>
      <xdr:colOff>200841</xdr:colOff>
      <xdr:row>0</xdr:row>
      <xdr:rowOff>0</xdr:rowOff>
    </xdr:from>
    <xdr:to>
      <xdr:col>31</xdr:col>
      <xdr:colOff>767747</xdr:colOff>
      <xdr:row>1</xdr:row>
      <xdr:rowOff>358040</xdr:rowOff>
    </xdr:to>
    <xdr:pic>
      <xdr:nvPicPr>
        <xdr:cNvPr id="2" name="Picture 1">
          <a:extLst>
            <a:ext uri="{FF2B5EF4-FFF2-40B4-BE49-F238E27FC236}">
              <a16:creationId xmlns:a16="http://schemas.microsoft.com/office/drawing/2014/main" id="{88E2F847-37A7-4F02-AA0B-05FFA1916F95}"/>
            </a:ext>
          </a:extLst>
        </xdr:cNvPr>
        <xdr:cNvPicPr>
          <a:picLocks noChangeAspect="1"/>
        </xdr:cNvPicPr>
      </xdr:nvPicPr>
      <xdr:blipFill>
        <a:blip xmlns:r="http://schemas.openxmlformats.org/officeDocument/2006/relationships" r:embed="rId1"/>
        <a:stretch>
          <a:fillRect/>
        </a:stretch>
      </xdr:blipFill>
      <xdr:spPr>
        <a:xfrm>
          <a:off x="20079516" y="0"/>
          <a:ext cx="566906" cy="54854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gyholding.sharepoint.com/personal/ist_janf2_globalportsholding_com/Documents/Corporate%20Finance%20Matters/Project%20Vaccine/Financial%20Model/1.13.5.1_2020%2012%20Bodrum_Financial%20model_vF.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
      <sheetName val="Disclaimer"/>
      <sheetName val="Inputs"/>
      <sheetName val="Summary"/>
      <sheetName val="Standalone&gt;&gt;"/>
      <sheetName val="Consolidated"/>
      <sheetName val="HoldCo"/>
      <sheetName val="Combined"/>
      <sheetName val="Combined - Cruise"/>
      <sheetName val="Acq Impact&gt;&gt;"/>
      <sheetName val="Consolidated incl. Acq"/>
      <sheetName val="HoldCo incl. Acq"/>
      <sheetName val="Combined incl. Acq"/>
      <sheetName val="Combined - Cruise incl. Acq"/>
      <sheetName val="Cruise&gt;&gt;"/>
      <sheetName val="Nassau"/>
      <sheetName val="Antigua"/>
      <sheetName val="Tunisia"/>
      <sheetName val="Ege Port"/>
      <sheetName val="Bodrum"/>
      <sheetName val="Valletta"/>
      <sheetName val="Cagliari"/>
      <sheetName val="Catania"/>
      <sheetName val="Ravenna"/>
      <sheetName val="Zadar"/>
      <sheetName val="Barcelona"/>
      <sheetName val="Malaga"/>
      <sheetName val="Lisbon"/>
      <sheetName val="Singapore"/>
      <sheetName val="Ha Long Bay"/>
      <sheetName val="Acquisitions&gt;&gt;"/>
      <sheetName val="AcqOpp"/>
      <sheetName val="Valencia"/>
      <sheetName val="Kalundborg"/>
      <sheetName val="Tortola"/>
      <sheetName val="SanJuan"/>
      <sheetName val="Management&gt;&gt;"/>
      <sheetName val="GPH Projections - Running Case"/>
      <sheetName val="GPH Projections - Base Case"/>
      <sheetName val="GPH Projections - Low Case"/>
      <sheetName val="Bermello&gt;&gt;"/>
      <sheetName val="Asia Pacific"/>
      <sheetName val="Med"/>
      <sheetName val="Nassau F."/>
      <sheetName val="Antigua F."/>
      <sheetName val="Med - Ege F."/>
      <sheetName val="Med - Valletta F."/>
      <sheetName val="Med - Barcelona F."/>
      <sheetName val="Med - Malaga F."/>
      <sheetName val="Med - Lisbon F."/>
      <sheetName val="Asia - Singapore F."/>
      <sheetName val="San Juan F."/>
      <sheetName val="Commercial&gt;&gt;"/>
      <sheetName val="Combined - Commercial"/>
      <sheetName val="Port Akdeniz"/>
      <sheetName val="Port of Adria"/>
      <sheetName val="Other&gt;&gt;"/>
      <sheetName val="2020 calc."/>
    </sheetNames>
    <sheetDataSet>
      <sheetData sheetId="0"/>
      <sheetData sheetId="1"/>
      <sheetData sheetId="2">
        <row r="13">
          <cell r="E13">
            <v>1</v>
          </cell>
        </row>
        <row r="14">
          <cell r="E14">
            <v>1</v>
          </cell>
        </row>
        <row r="44">
          <cell r="E44">
            <v>0</v>
          </cell>
        </row>
        <row r="48">
          <cell r="E48">
            <v>0</v>
          </cell>
        </row>
        <row r="49">
          <cell r="E49">
            <v>0</v>
          </cell>
        </row>
        <row r="50">
          <cell r="E50">
            <v>0</v>
          </cell>
        </row>
        <row r="51">
          <cell r="E51">
            <v>0</v>
          </cell>
        </row>
      </sheetData>
      <sheetData sheetId="3"/>
      <sheetData sheetId="4"/>
      <sheetData sheetId="5"/>
      <sheetData sheetId="6"/>
      <sheetData sheetId="7"/>
      <sheetData sheetId="8"/>
      <sheetData sheetId="9"/>
      <sheetData sheetId="10"/>
      <sheetData sheetId="11"/>
      <sheetData sheetId="12"/>
      <sheetData sheetId="13"/>
      <sheetData sheetId="14"/>
      <sheetData sheetId="15">
        <row r="57">
          <cell r="Z57">
            <v>0</v>
          </cell>
        </row>
      </sheetData>
      <sheetData sheetId="16">
        <row r="353">
          <cell r="E353">
            <v>1</v>
          </cell>
        </row>
      </sheetData>
      <sheetData sheetId="17">
        <row r="297">
          <cell r="E297">
            <v>0.5</v>
          </cell>
        </row>
      </sheetData>
      <sheetData sheetId="18">
        <row r="295">
          <cell r="E295">
            <v>0.72499999999999998</v>
          </cell>
        </row>
      </sheetData>
      <sheetData sheetId="19">
        <row r="323">
          <cell r="E323">
            <v>0.6</v>
          </cell>
        </row>
      </sheetData>
      <sheetData sheetId="20">
        <row r="328">
          <cell r="E328">
            <v>0.55589999999999995</v>
          </cell>
        </row>
      </sheetData>
      <sheetData sheetId="21">
        <row r="333">
          <cell r="E333">
            <v>0.70889999999999997</v>
          </cell>
        </row>
      </sheetData>
      <sheetData sheetId="22">
        <row r="304">
          <cell r="E304">
            <v>0.622</v>
          </cell>
        </row>
      </sheetData>
      <sheetData sheetId="23">
        <row r="292">
          <cell r="E292">
            <v>0.53670587999999997</v>
          </cell>
        </row>
      </sheetData>
      <sheetData sheetId="24">
        <row r="321">
          <cell r="E321">
            <v>1</v>
          </cell>
        </row>
      </sheetData>
      <sheetData sheetId="25">
        <row r="383">
          <cell r="E383">
            <v>0.62</v>
          </cell>
        </row>
      </sheetData>
      <sheetData sheetId="26">
        <row r="385">
          <cell r="E385">
            <v>0.62</v>
          </cell>
        </row>
      </sheetData>
      <sheetData sheetId="27">
        <row r="298">
          <cell r="E298">
            <v>0.4</v>
          </cell>
        </row>
      </sheetData>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row r="283">
          <cell r="E283">
            <v>0.99990000000000001</v>
          </cell>
        </row>
      </sheetData>
      <sheetData sheetId="55">
        <row r="322">
          <cell r="E322">
            <v>0.63180000000000003</v>
          </cell>
        </row>
      </sheetData>
      <sheetData sheetId="56"/>
      <sheetData sheetId="57"/>
    </sheetDataSet>
  </externalBook>
</externalLink>
</file>

<file path=xl/persons/person.xml><?xml version="1.0" encoding="utf-8"?>
<personList xmlns="http://schemas.microsoft.com/office/spreadsheetml/2018/threadedcomments" xmlns:x="http://schemas.openxmlformats.org/spreadsheetml/2006/main">
  <person displayName="Irmak Kirilmaz" id="{F0C96493-9F20-4B79-AE3E-4D3502E9F7A6}" userId="S::gph_irmakk@globalportsholding.com::08524e7c-7be5-40a2-9e80-8d2835353686" providerId="AD"/>
</personList>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F28" dT="2023-04-12T08:22:06.97" personId="{F0C96493-9F20-4B79-AE3E-4D3502E9F7A6}" id="{EB20F34A-B1CA-4390-9F24-C60481D66B6C}">
    <text>Las Palmas and Alicante is included</text>
  </threadedComment>
</ThreadedComments>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3.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4.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5.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6.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7.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8.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9.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20.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21.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2.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3.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4.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5.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24.xml"/></Relationships>
</file>

<file path=xl/worksheets/_rels/sheet2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25.xml"/><Relationship Id="rId4" Type="http://schemas.microsoft.com/office/2017/10/relationships/threadedComment" Target="../threadedComments/threadedComment1.xml"/></Relationships>
</file>

<file path=xl/worksheets/_rels/sheet27.xml.rels><?xml version="1.0" encoding="UTF-8" standalone="yes"?>
<Relationships xmlns="http://schemas.openxmlformats.org/package/2006/relationships"><Relationship Id="rId1" Type="http://schemas.openxmlformats.org/officeDocument/2006/relationships/drawing" Target="../drawings/drawing26.xml"/></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6.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8.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29.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0.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1.bin"/></Relationships>
</file>

<file path=xl/worksheets/_rels/sheet34.xml.rels><?xml version="1.0" encoding="UTF-8" standalone="yes"?>
<Relationships xmlns="http://schemas.openxmlformats.org/package/2006/relationships"><Relationship Id="rId3" Type="http://schemas.openxmlformats.org/officeDocument/2006/relationships/drawing" Target="../drawings/drawing33.xml"/><Relationship Id="rId2" Type="http://schemas.openxmlformats.org/officeDocument/2006/relationships/printerSettings" Target="../printerSettings/printerSettings33.bin"/><Relationship Id="rId1" Type="http://schemas.openxmlformats.org/officeDocument/2006/relationships/printerSettings" Target="../printerSettings/printerSettings32.bin"/></Relationships>
</file>

<file path=xl/worksheets/_rels/sheet35.xml.rels><?xml version="1.0" encoding="UTF-8" standalone="yes"?>
<Relationships xmlns="http://schemas.openxmlformats.org/package/2006/relationships"><Relationship Id="rId3" Type="http://schemas.openxmlformats.org/officeDocument/2006/relationships/drawing" Target="../drawings/drawing34.xml"/><Relationship Id="rId2" Type="http://schemas.openxmlformats.org/officeDocument/2006/relationships/printerSettings" Target="../printerSettings/printerSettings35.bin"/><Relationship Id="rId1" Type="http://schemas.openxmlformats.org/officeDocument/2006/relationships/printerSettings" Target="../printerSettings/printerSettings34.bin"/></Relationships>
</file>

<file path=xl/worksheets/_rels/sheet36.xml.rels><?xml version="1.0" encoding="UTF-8" standalone="yes"?>
<Relationships xmlns="http://schemas.openxmlformats.org/package/2006/relationships"><Relationship Id="rId3" Type="http://schemas.openxmlformats.org/officeDocument/2006/relationships/drawing" Target="../drawings/drawing35.xml"/><Relationship Id="rId2" Type="http://schemas.openxmlformats.org/officeDocument/2006/relationships/printerSettings" Target="../printerSettings/printerSettings37.bin"/><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3" Type="http://schemas.openxmlformats.org/officeDocument/2006/relationships/drawing" Target="../drawings/drawing36.xml"/><Relationship Id="rId2" Type="http://schemas.openxmlformats.org/officeDocument/2006/relationships/printerSettings" Target="../printerSettings/printerSettings39.bin"/><Relationship Id="rId1" Type="http://schemas.openxmlformats.org/officeDocument/2006/relationships/printerSettings" Target="../printerSettings/printerSettings38.bin"/></Relationships>
</file>

<file path=xl/worksheets/_rels/sheet38.xml.rels><?xml version="1.0" encoding="UTF-8" standalone="yes"?>
<Relationships xmlns="http://schemas.openxmlformats.org/package/2006/relationships"><Relationship Id="rId3" Type="http://schemas.openxmlformats.org/officeDocument/2006/relationships/drawing" Target="../drawings/drawing37.xml"/><Relationship Id="rId2" Type="http://schemas.openxmlformats.org/officeDocument/2006/relationships/printerSettings" Target="../printerSettings/printerSettings41.bin"/><Relationship Id="rId1" Type="http://schemas.openxmlformats.org/officeDocument/2006/relationships/printerSettings" Target="../printerSettings/printerSettings40.bin"/></Relationships>
</file>

<file path=xl/worksheets/_rels/sheet39.xml.rels><?xml version="1.0" encoding="UTF-8" standalone="yes"?>
<Relationships xmlns="http://schemas.openxmlformats.org/package/2006/relationships"><Relationship Id="rId3" Type="http://schemas.openxmlformats.org/officeDocument/2006/relationships/drawing" Target="../drawings/drawing38.xml"/><Relationship Id="rId2" Type="http://schemas.openxmlformats.org/officeDocument/2006/relationships/printerSettings" Target="../printerSettings/printerSettings43.bin"/><Relationship Id="rId1" Type="http://schemas.openxmlformats.org/officeDocument/2006/relationships/printerSettings" Target="../printerSettings/printerSettings4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40.xml.rels><?xml version="1.0" encoding="UTF-8" standalone="yes"?>
<Relationships xmlns="http://schemas.openxmlformats.org/package/2006/relationships"><Relationship Id="rId3" Type="http://schemas.openxmlformats.org/officeDocument/2006/relationships/drawing" Target="../drawings/drawing39.xml"/><Relationship Id="rId2" Type="http://schemas.openxmlformats.org/officeDocument/2006/relationships/printerSettings" Target="../printerSettings/printerSettings45.bin"/><Relationship Id="rId1" Type="http://schemas.openxmlformats.org/officeDocument/2006/relationships/printerSettings" Target="../printerSettings/printerSettings44.bin"/></Relationships>
</file>

<file path=xl/worksheets/_rels/sheet41.xml.rels><?xml version="1.0" encoding="UTF-8" standalone="yes"?>
<Relationships xmlns="http://schemas.openxmlformats.org/package/2006/relationships"><Relationship Id="rId3" Type="http://schemas.openxmlformats.org/officeDocument/2006/relationships/drawing" Target="../drawings/drawing40.xml"/><Relationship Id="rId2" Type="http://schemas.openxmlformats.org/officeDocument/2006/relationships/printerSettings" Target="../printerSettings/printerSettings47.bin"/><Relationship Id="rId1" Type="http://schemas.openxmlformats.org/officeDocument/2006/relationships/printerSettings" Target="../printerSettings/printerSettings46.bin"/></Relationships>
</file>

<file path=xl/worksheets/_rels/sheet42.xml.rels><?xml version="1.0" encoding="UTF-8" standalone="yes"?>
<Relationships xmlns="http://schemas.openxmlformats.org/package/2006/relationships"><Relationship Id="rId3" Type="http://schemas.openxmlformats.org/officeDocument/2006/relationships/drawing" Target="../drawings/drawing41.xml"/><Relationship Id="rId2" Type="http://schemas.openxmlformats.org/officeDocument/2006/relationships/printerSettings" Target="../printerSettings/printerSettings49.bin"/><Relationship Id="rId1" Type="http://schemas.openxmlformats.org/officeDocument/2006/relationships/printerSettings" Target="../printerSettings/printerSettings48.bin"/></Relationships>
</file>

<file path=xl/worksheets/_rels/sheet43.xml.rels><?xml version="1.0" encoding="UTF-8" standalone="yes"?>
<Relationships xmlns="http://schemas.openxmlformats.org/package/2006/relationships"><Relationship Id="rId3" Type="http://schemas.openxmlformats.org/officeDocument/2006/relationships/drawing" Target="../drawings/drawing42.xml"/><Relationship Id="rId2" Type="http://schemas.openxmlformats.org/officeDocument/2006/relationships/printerSettings" Target="../printerSettings/printerSettings51.bin"/><Relationship Id="rId1" Type="http://schemas.openxmlformats.org/officeDocument/2006/relationships/printerSettings" Target="../printerSettings/printerSettings50.bin"/></Relationships>
</file>

<file path=xl/worksheets/_rels/sheet44.xml.rels><?xml version="1.0" encoding="UTF-8" standalone="yes"?>
<Relationships xmlns="http://schemas.openxmlformats.org/package/2006/relationships"><Relationship Id="rId3" Type="http://schemas.openxmlformats.org/officeDocument/2006/relationships/drawing" Target="../drawings/drawing43.xml"/><Relationship Id="rId2" Type="http://schemas.openxmlformats.org/officeDocument/2006/relationships/printerSettings" Target="../printerSettings/printerSettings53.bin"/><Relationship Id="rId1" Type="http://schemas.openxmlformats.org/officeDocument/2006/relationships/printerSettings" Target="../printerSettings/printerSettings5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0" tint="-0.14999847407452621"/>
    <pageSetUpPr fitToPage="1"/>
  </sheetPr>
  <dimension ref="A1:Q43"/>
  <sheetViews>
    <sheetView showGridLines="0" showRowColHeaders="0" zoomScale="85" zoomScaleNormal="85" workbookViewId="0">
      <selection activeCell="I18" sqref="I18"/>
    </sheetView>
  </sheetViews>
  <sheetFormatPr defaultColWidth="0" defaultRowHeight="0" customHeight="1" zeroHeight="1"/>
  <cols>
    <col min="1" max="2" width="2.5703125" style="2" customWidth="1"/>
    <col min="3" max="3" width="9.140625" style="2" customWidth="1"/>
    <col min="4" max="4" width="10.5703125" style="2" bestFit="1" customWidth="1"/>
    <col min="5" max="8" width="9.140625" style="2" customWidth="1"/>
    <col min="9" max="9" width="14.140625" style="2" customWidth="1"/>
    <col min="10" max="10" width="5" style="2" customWidth="1"/>
    <col min="11" max="11" width="9.140625" style="2" customWidth="1"/>
    <col min="12" max="12" width="4.85546875" style="2" customWidth="1"/>
    <col min="13" max="16" width="9.140625" style="2" hidden="1" customWidth="1"/>
    <col min="17" max="17" width="3.5703125" style="2" hidden="1" customWidth="1"/>
    <col min="18" max="16384" width="10.140625" style="2" hidden="1"/>
  </cols>
  <sheetData>
    <row r="1" spans="3:11" ht="23.25">
      <c r="C1" s="1"/>
      <c r="D1" s="1"/>
      <c r="E1" s="1"/>
      <c r="F1" s="1"/>
      <c r="G1" s="1"/>
      <c r="H1" s="1"/>
    </row>
    <row r="2" spans="3:11" ht="28.5" thickBot="1">
      <c r="C2" s="3" t="s">
        <v>0</v>
      </c>
      <c r="D2" s="4"/>
      <c r="E2" s="4"/>
      <c r="F2" s="4"/>
      <c r="G2" s="4"/>
      <c r="H2" s="4"/>
      <c r="I2" s="4"/>
      <c r="J2" s="4"/>
      <c r="K2" s="4"/>
    </row>
    <row r="3" spans="3:11" ht="13.5"/>
    <row r="4" spans="3:11" ht="15.75">
      <c r="C4" s="5"/>
    </row>
    <row r="5" spans="3:11" ht="28.5">
      <c r="C5" s="6" t="s">
        <v>2</v>
      </c>
    </row>
    <row r="6" spans="3:11" ht="15.75">
      <c r="C6" s="5"/>
    </row>
    <row r="7" spans="3:11" ht="13.5" customHeight="1"/>
    <row r="8" spans="3:11" ht="13.5" customHeight="1"/>
    <row r="9" spans="3:11" ht="13.5" customHeight="1"/>
    <row r="10" spans="3:11" ht="13.5" customHeight="1"/>
    <row r="11" spans="3:11" ht="13.5" customHeight="1"/>
    <row r="12" spans="3:11" ht="13.5" customHeight="1"/>
    <row r="13" spans="3:11" ht="13.5" customHeight="1"/>
    <row r="14" spans="3:11" ht="13.5" customHeight="1"/>
    <row r="15" spans="3:11" ht="13.5" customHeight="1"/>
    <row r="16" spans="3:11" ht="13.5" customHeight="1"/>
    <row r="17" spans="3:11" ht="13.5" customHeight="1">
      <c r="H17" s="7" t="s">
        <v>1</v>
      </c>
      <c r="I17" s="122">
        <v>45582</v>
      </c>
    </row>
    <row r="18" spans="3:11" ht="13.5" customHeight="1"/>
    <row r="19" spans="3:11" ht="13.5" customHeight="1"/>
    <row r="20" spans="3:11" ht="13.5" customHeight="1"/>
    <row r="21" spans="3:11" ht="13.5" customHeight="1"/>
    <row r="22" spans="3:11" ht="13.5" customHeight="1"/>
    <row r="23" spans="3:11" ht="13.5" customHeight="1" thickBot="1">
      <c r="C23" s="4"/>
      <c r="D23" s="4"/>
      <c r="E23" s="4"/>
      <c r="F23" s="4"/>
      <c r="G23" s="4"/>
      <c r="H23" s="4"/>
      <c r="I23" s="4"/>
      <c r="J23" s="4"/>
      <c r="K23" s="4"/>
    </row>
    <row r="24" spans="3:11" ht="13.5" customHeight="1"/>
    <row r="25" spans="3:11" ht="13.5" customHeight="1"/>
    <row r="26" spans="3:11" ht="13.5" customHeight="1"/>
    <row r="27" spans="3:11" ht="13.5" customHeight="1"/>
    <row r="28" spans="3:11" ht="13.5" customHeight="1"/>
    <row r="29" spans="3:11" ht="13.5" hidden="1" customHeight="1"/>
    <row r="30" spans="3:11" ht="13.5" hidden="1" customHeight="1"/>
    <row r="31" spans="3:11" ht="13.5" hidden="1"/>
    <row r="32" spans="3:11" ht="13.5" hidden="1"/>
    <row r="33" ht="13.5" hidden="1"/>
    <row r="34" ht="13.5" hidden="1"/>
    <row r="35" ht="13.5" hidden="1"/>
    <row r="36" ht="13.5" hidden="1"/>
    <row r="37" ht="13.5" hidden="1"/>
    <row r="38" ht="12.6" hidden="1" customHeight="1"/>
    <row r="39" ht="12.6" hidden="1" customHeight="1"/>
    <row r="40" ht="12.6" hidden="1" customHeight="1"/>
    <row r="41" ht="12.6" hidden="1" customHeight="1"/>
    <row r="42" ht="12.6" hidden="1" customHeight="1"/>
    <row r="43" ht="12.6" hidden="1" customHeight="1"/>
  </sheetData>
  <customSheetViews>
    <customSheetView guid="{5F6D01E3-9E6F-4D7F-980F-63899AF95899}" scale="85" showGridLines="0" showRowCol="0" fitToPage="1" hiddenRows="1" hiddenColumns="1">
      <pageMargins left="0.7" right="0.7" top="0.75" bottom="0.75" header="0.3" footer="0.3"/>
      <pageSetup paperSize="9" orientation="landscape" r:id="rId1"/>
    </customSheetView>
  </customSheetViews>
  <pageMargins left="0.7" right="0.7" top="0.75" bottom="0.75" header="0.3" footer="0.3"/>
  <pageSetup paperSize="9" orientation="landscape"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66"/>
  <sheetViews>
    <sheetView showGridLines="0" topLeftCell="S25" zoomScale="95" zoomScaleNormal="75" workbookViewId="0">
      <selection activeCell="AH7" sqref="AH7"/>
    </sheetView>
  </sheetViews>
  <sheetFormatPr defaultColWidth="0" defaultRowHeight="0" customHeight="1" zeroHeight="1"/>
  <cols>
    <col min="1" max="2" width="4.140625" customWidth="1"/>
    <col min="3" max="3" width="3.85546875" customWidth="1"/>
    <col min="4" max="4" width="17" bestFit="1" customWidth="1"/>
    <col min="5" max="6" width="13" customWidth="1"/>
    <col min="7" max="7" width="11.140625" bestFit="1" customWidth="1"/>
    <col min="8" max="8" width="10.140625" bestFit="1" customWidth="1"/>
    <col min="9" max="10" width="8.85546875" customWidth="1"/>
    <col min="11" max="11" width="10.140625" bestFit="1" customWidth="1"/>
    <col min="12" max="12" width="8" customWidth="1"/>
    <col min="13" max="13" width="8.85546875" bestFit="1" customWidth="1"/>
    <col min="14" max="16" width="8" customWidth="1"/>
    <col min="17" max="17" width="10.140625" bestFit="1" customWidth="1"/>
    <col min="18" max="18" width="12" bestFit="1" customWidth="1"/>
    <col min="19" max="19" width="11.5703125" bestFit="1" customWidth="1"/>
    <col min="20" max="20" width="10.42578125" bestFit="1" customWidth="1"/>
    <col min="21" max="21" width="11.5703125" bestFit="1" customWidth="1"/>
    <col min="22" max="22" width="11.85546875" bestFit="1" customWidth="1"/>
    <col min="23" max="23" width="9.140625" bestFit="1" customWidth="1"/>
    <col min="24" max="24" width="8.85546875" bestFit="1" customWidth="1"/>
    <col min="25" max="25" width="8.85546875" customWidth="1"/>
    <col min="26" max="26" width="9" bestFit="1" customWidth="1"/>
    <col min="27" max="27" width="7.85546875" customWidth="1"/>
    <col min="28" max="28" width="10.140625" bestFit="1" customWidth="1"/>
    <col min="29" max="29" width="13.42578125" bestFit="1" customWidth="1"/>
    <col min="30" max="30" width="13.140625" bestFit="1" customWidth="1"/>
    <col min="31" max="31" width="12.85546875" bestFit="1" customWidth="1"/>
    <col min="32" max="32" width="15.42578125" bestFit="1" customWidth="1"/>
    <col min="33" max="33" width="11.140625" customWidth="1"/>
    <col min="34" max="34" width="3.42578125" customWidth="1"/>
    <col min="35" max="16384" width="8.85546875" hidden="1"/>
  </cols>
  <sheetData>
    <row r="1" spans="1:34" ht="15">
      <c r="A1" s="9"/>
      <c r="B1" s="9"/>
      <c r="C1" s="9"/>
      <c r="D1" s="9"/>
      <c r="E1" s="9"/>
      <c r="F1" s="9"/>
      <c r="G1" s="9"/>
      <c r="H1" s="9"/>
      <c r="I1" s="9"/>
      <c r="J1" s="9"/>
      <c r="K1" s="9"/>
      <c r="L1" s="9"/>
      <c r="M1" s="9"/>
      <c r="N1" s="9"/>
      <c r="O1" s="9"/>
      <c r="P1" s="9"/>
      <c r="Q1" s="9"/>
      <c r="R1" s="9"/>
      <c r="S1" s="9"/>
      <c r="T1" s="9"/>
      <c r="U1" s="9"/>
      <c r="V1" s="9"/>
      <c r="W1" s="9"/>
      <c r="X1" s="9"/>
      <c r="Y1" s="9"/>
      <c r="Z1" s="9"/>
      <c r="AA1" s="9"/>
      <c r="AB1" s="9"/>
      <c r="AC1" s="9"/>
      <c r="AD1" s="9"/>
      <c r="AE1" s="9"/>
      <c r="AF1" s="9"/>
      <c r="AG1" s="9"/>
      <c r="AH1" s="9"/>
    </row>
    <row r="2" spans="1:34" ht="31.35" customHeight="1" thickBot="1">
      <c r="A2" s="9"/>
      <c r="B2" s="8" t="s">
        <v>6</v>
      </c>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4"/>
      <c r="AH2" s="9"/>
    </row>
    <row r="3" spans="1:34" ht="15">
      <c r="A3" s="9"/>
      <c r="B3" s="10"/>
      <c r="C3" s="24"/>
      <c r="D3" s="24"/>
      <c r="E3" s="24"/>
      <c r="F3" s="24"/>
      <c r="G3" s="24"/>
      <c r="H3" s="24"/>
      <c r="I3" s="24"/>
      <c r="J3" s="24"/>
      <c r="K3" s="24"/>
      <c r="L3" s="24"/>
      <c r="M3" s="24"/>
      <c r="N3" s="24"/>
      <c r="O3" s="24"/>
      <c r="P3" s="24"/>
      <c r="Q3" s="24"/>
      <c r="R3" s="24"/>
      <c r="S3" s="24"/>
      <c r="T3" s="24"/>
      <c r="U3" s="24"/>
      <c r="V3" s="24"/>
      <c r="W3" s="24"/>
      <c r="X3" s="24"/>
      <c r="Y3" s="24"/>
      <c r="Z3" s="24"/>
      <c r="AA3" s="24"/>
      <c r="AB3" s="24"/>
      <c r="AC3" s="24"/>
      <c r="AD3" s="24"/>
      <c r="AE3" s="24"/>
      <c r="AF3" s="25">
        <v>45488</v>
      </c>
      <c r="AG3" s="25"/>
      <c r="AH3" s="9"/>
    </row>
    <row r="4" spans="1:34" ht="15.75">
      <c r="A4" s="9"/>
      <c r="B4" s="11" t="s">
        <v>7</v>
      </c>
      <c r="C4" s="26"/>
      <c r="D4" s="93" t="s">
        <v>51</v>
      </c>
      <c r="E4" s="134" t="s">
        <v>127</v>
      </c>
      <c r="F4" s="134"/>
      <c r="G4" s="24"/>
      <c r="H4" s="24"/>
      <c r="I4" s="24"/>
      <c r="J4" s="24"/>
      <c r="K4" s="24"/>
      <c r="L4" s="24"/>
      <c r="M4" s="24"/>
      <c r="N4" s="24"/>
      <c r="O4" s="24"/>
      <c r="P4" s="24"/>
      <c r="Q4" s="24"/>
      <c r="R4" s="24"/>
      <c r="S4" s="24"/>
      <c r="T4" s="24"/>
      <c r="U4" s="24"/>
      <c r="V4" s="24"/>
      <c r="W4" s="24"/>
      <c r="X4" s="24"/>
      <c r="Y4" s="24"/>
      <c r="Z4" s="24"/>
      <c r="AA4" s="24"/>
      <c r="AB4" s="24"/>
      <c r="AC4" s="24"/>
      <c r="AD4" s="24"/>
      <c r="AE4" s="24"/>
      <c r="AF4" s="24"/>
      <c r="AG4" s="24"/>
      <c r="AH4" s="9"/>
    </row>
    <row r="5" spans="1:34" ht="15">
      <c r="A5" s="9"/>
      <c r="B5" s="10"/>
      <c r="C5" s="24"/>
      <c r="D5" s="24"/>
      <c r="E5" s="24"/>
      <c r="F5" s="24"/>
      <c r="G5" s="24"/>
      <c r="H5" s="24"/>
      <c r="I5" s="24"/>
      <c r="J5" s="24"/>
      <c r="K5" s="24"/>
      <c r="L5" s="24"/>
      <c r="M5" s="24"/>
      <c r="N5" s="24"/>
      <c r="O5" s="24"/>
      <c r="P5" s="24"/>
      <c r="Q5" s="24"/>
      <c r="R5" s="24"/>
      <c r="S5" s="24"/>
      <c r="T5" s="24"/>
      <c r="U5" s="24"/>
      <c r="V5" s="24"/>
      <c r="W5" s="24"/>
      <c r="X5" s="24"/>
      <c r="Y5" s="24"/>
      <c r="Z5" s="24"/>
      <c r="AA5" s="24"/>
      <c r="AB5" s="24"/>
      <c r="AC5" s="24"/>
      <c r="AD5" s="24"/>
      <c r="AE5" s="24"/>
      <c r="AF5" s="24"/>
      <c r="AG5" s="24"/>
      <c r="AH5" s="9"/>
    </row>
    <row r="6" spans="1:34" ht="15">
      <c r="A6" s="9"/>
      <c r="B6" s="10"/>
      <c r="C6" s="24"/>
      <c r="D6" s="24"/>
      <c r="E6" s="24"/>
      <c r="F6" s="24"/>
      <c r="G6" s="24"/>
      <c r="H6" s="24"/>
      <c r="I6" s="24"/>
      <c r="J6" s="24"/>
      <c r="K6" s="24"/>
      <c r="L6" s="24"/>
      <c r="M6" s="24"/>
      <c r="N6" s="24"/>
      <c r="O6" s="24"/>
      <c r="P6" s="24"/>
      <c r="Q6" s="24"/>
      <c r="R6" s="24"/>
      <c r="S6" s="24"/>
      <c r="T6" s="24"/>
      <c r="U6" s="24"/>
      <c r="V6" s="24"/>
      <c r="W6" s="24"/>
      <c r="X6" s="24"/>
      <c r="Y6" s="24"/>
      <c r="Z6" s="24"/>
      <c r="AA6" s="24"/>
      <c r="AB6" s="24"/>
      <c r="AC6" s="24"/>
      <c r="AD6" s="24"/>
      <c r="AE6" s="24"/>
      <c r="AF6" s="24"/>
      <c r="AG6" s="24"/>
      <c r="AH6" s="9"/>
    </row>
    <row r="7" spans="1:34" ht="15">
      <c r="A7" s="9"/>
      <c r="B7" s="10"/>
      <c r="C7" s="86" t="s">
        <v>62</v>
      </c>
      <c r="D7" s="24"/>
      <c r="E7" s="24"/>
      <c r="F7" s="24"/>
      <c r="G7" s="24"/>
      <c r="H7" s="24"/>
      <c r="I7" s="24"/>
      <c r="J7" s="24"/>
      <c r="K7" s="24"/>
      <c r="L7" s="24"/>
      <c r="M7" s="24"/>
      <c r="N7" s="24"/>
      <c r="O7" s="24"/>
      <c r="P7" s="24"/>
      <c r="Q7" s="24"/>
      <c r="R7" s="24"/>
      <c r="S7" s="24"/>
      <c r="T7" s="24"/>
      <c r="U7" s="24"/>
      <c r="V7" s="24"/>
      <c r="W7" s="24"/>
      <c r="X7" s="24"/>
      <c r="Y7" s="24"/>
      <c r="Z7" s="24"/>
      <c r="AA7" s="24"/>
      <c r="AB7" s="24"/>
      <c r="AC7" s="24"/>
      <c r="AD7" s="24"/>
      <c r="AE7" s="24"/>
      <c r="AF7" s="24"/>
      <c r="AG7" s="24"/>
      <c r="AH7" s="9"/>
    </row>
    <row r="8" spans="1:34" ht="15">
      <c r="A8" s="9"/>
      <c r="B8" s="10"/>
      <c r="C8" s="24"/>
      <c r="D8" s="24"/>
      <c r="E8" s="24"/>
      <c r="F8" s="24"/>
      <c r="G8" s="24"/>
      <c r="H8" s="24"/>
      <c r="I8" s="24"/>
      <c r="J8" s="24"/>
      <c r="K8" s="24"/>
      <c r="L8" s="24"/>
      <c r="M8" s="24"/>
      <c r="N8" s="24"/>
      <c r="O8" s="24"/>
      <c r="P8" s="24"/>
      <c r="Q8" s="24"/>
      <c r="R8" s="24"/>
      <c r="S8" s="24"/>
      <c r="T8" s="24"/>
      <c r="U8" s="24"/>
      <c r="V8" s="24"/>
      <c r="W8" s="24"/>
      <c r="X8" s="24"/>
      <c r="Y8" s="24"/>
      <c r="Z8" s="24"/>
      <c r="AA8" s="24"/>
      <c r="AB8" s="24"/>
      <c r="AC8" s="24"/>
      <c r="AD8" s="24"/>
      <c r="AE8" s="24"/>
      <c r="AF8" s="24"/>
      <c r="AG8" s="24"/>
      <c r="AH8" s="9"/>
    </row>
    <row r="9" spans="1:34" s="124" customFormat="1" ht="15" customHeight="1">
      <c r="A9" s="123"/>
      <c r="C9" s="27" t="s">
        <v>7</v>
      </c>
      <c r="D9" s="28"/>
      <c r="E9" s="28"/>
      <c r="F9" s="155" t="str">
        <f>D4</f>
        <v>June</v>
      </c>
      <c r="G9" s="155"/>
      <c r="H9" s="155"/>
      <c r="I9" s="155"/>
      <c r="J9" s="155"/>
      <c r="K9" s="155"/>
      <c r="L9" s="155"/>
      <c r="M9" s="155"/>
      <c r="N9" s="155"/>
      <c r="O9" s="155"/>
      <c r="P9" s="156"/>
      <c r="Q9" s="157" t="str">
        <f>"January to "&amp; D4</f>
        <v>January to June</v>
      </c>
      <c r="R9" s="158"/>
      <c r="S9" s="158"/>
      <c r="T9" s="158"/>
      <c r="U9" s="158"/>
      <c r="V9" s="158"/>
      <c r="W9" s="158"/>
      <c r="X9" s="158"/>
      <c r="Y9" s="158"/>
      <c r="Z9" s="158"/>
      <c r="AA9" s="159"/>
      <c r="AB9" s="157" t="s">
        <v>57</v>
      </c>
      <c r="AC9" s="158"/>
      <c r="AD9" s="158"/>
      <c r="AE9" s="158"/>
      <c r="AF9" s="160"/>
      <c r="AG9" s="123"/>
      <c r="AH9" s="123"/>
    </row>
    <row r="10" spans="1:34" s="124" customFormat="1" ht="13.5">
      <c r="A10" s="123"/>
      <c r="B10" s="125"/>
      <c r="C10" s="29"/>
      <c r="D10" s="30"/>
      <c r="E10" s="30"/>
      <c r="F10" s="152"/>
      <c r="G10" s="153"/>
      <c r="H10" s="153"/>
      <c r="I10" s="153"/>
      <c r="J10" s="153"/>
      <c r="K10" s="153"/>
      <c r="L10" s="153"/>
      <c r="M10" s="153"/>
      <c r="N10" s="153"/>
      <c r="O10" s="153"/>
      <c r="P10" s="154"/>
      <c r="Q10" s="152"/>
      <c r="R10" s="153"/>
      <c r="S10" s="153"/>
      <c r="T10" s="153"/>
      <c r="U10" s="153"/>
      <c r="V10" s="153"/>
      <c r="W10" s="153"/>
      <c r="X10" s="153"/>
      <c r="Y10" s="153"/>
      <c r="Z10" s="153"/>
      <c r="AA10" s="154"/>
      <c r="AB10" s="30"/>
      <c r="AC10" s="30"/>
      <c r="AD10" s="30"/>
      <c r="AE10" s="30"/>
      <c r="AF10" s="56"/>
      <c r="AG10" s="123"/>
      <c r="AH10" s="123"/>
    </row>
    <row r="11" spans="1:34" s="124" customFormat="1" ht="26.1" customHeight="1">
      <c r="A11" s="126"/>
      <c r="B11" s="127"/>
      <c r="C11" s="59" t="s">
        <v>29</v>
      </c>
      <c r="D11" s="50"/>
      <c r="E11" s="51"/>
      <c r="F11" s="55">
        <v>2024</v>
      </c>
      <c r="G11" s="52">
        <v>2023</v>
      </c>
      <c r="H11" s="52">
        <v>2022</v>
      </c>
      <c r="I11" s="52">
        <v>2021</v>
      </c>
      <c r="J11" s="52">
        <v>2020</v>
      </c>
      <c r="K11" s="52">
        <v>2019</v>
      </c>
      <c r="L11" s="53" t="s">
        <v>116</v>
      </c>
      <c r="M11" s="53" t="s">
        <v>117</v>
      </c>
      <c r="N11" s="53" t="s">
        <v>118</v>
      </c>
      <c r="O11" s="53" t="s">
        <v>119</v>
      </c>
      <c r="P11" s="57" t="s">
        <v>101</v>
      </c>
      <c r="Q11" s="53">
        <v>2024</v>
      </c>
      <c r="R11" s="53">
        <v>2023</v>
      </c>
      <c r="S11" s="53">
        <v>2022</v>
      </c>
      <c r="T11" s="52">
        <v>2021</v>
      </c>
      <c r="U11" s="52">
        <v>2020</v>
      </c>
      <c r="V11" s="52">
        <v>2019</v>
      </c>
      <c r="W11" s="53" t="s">
        <v>116</v>
      </c>
      <c r="X11" s="53" t="s">
        <v>117</v>
      </c>
      <c r="Y11" s="53" t="s">
        <v>118</v>
      </c>
      <c r="Z11" s="53" t="s">
        <v>119</v>
      </c>
      <c r="AA11" s="57" t="s">
        <v>101</v>
      </c>
      <c r="AB11" s="53">
        <v>2023</v>
      </c>
      <c r="AC11" s="53">
        <v>2022</v>
      </c>
      <c r="AD11" s="53">
        <v>2021</v>
      </c>
      <c r="AE11" s="52">
        <v>2020</v>
      </c>
      <c r="AF11" s="77">
        <v>2019</v>
      </c>
      <c r="AG11" s="126"/>
      <c r="AH11" s="126"/>
    </row>
    <row r="12" spans="1:34" s="124" customFormat="1" ht="12.75">
      <c r="A12" s="123"/>
      <c r="B12" s="128"/>
      <c r="C12" s="31" t="s">
        <v>108</v>
      </c>
      <c r="D12" s="26"/>
      <c r="E12" s="32"/>
      <c r="F12" s="26"/>
      <c r="G12" s="26"/>
      <c r="H12" s="26"/>
      <c r="I12" s="26"/>
      <c r="J12" s="26"/>
      <c r="K12" s="26"/>
      <c r="L12" s="26"/>
      <c r="M12" s="26"/>
      <c r="N12" s="26"/>
      <c r="O12" s="26"/>
      <c r="P12" s="32"/>
      <c r="Q12" s="26"/>
      <c r="R12" s="26"/>
      <c r="S12" s="26"/>
      <c r="T12" s="26"/>
      <c r="U12" s="26"/>
      <c r="V12" s="26"/>
      <c r="W12" s="26"/>
      <c r="X12" s="26"/>
      <c r="Y12" s="26"/>
      <c r="Z12" s="26"/>
      <c r="AA12" s="32"/>
      <c r="AB12" s="26"/>
      <c r="AC12" s="26"/>
      <c r="AD12" s="26"/>
      <c r="AE12" s="26"/>
      <c r="AF12" s="32"/>
      <c r="AG12" s="123"/>
      <c r="AH12" s="123"/>
    </row>
    <row r="13" spans="1:34" s="124" customFormat="1" ht="12.75">
      <c r="A13" s="123"/>
      <c r="B13" s="128"/>
      <c r="C13" s="33"/>
      <c r="D13" s="26" t="s">
        <v>5</v>
      </c>
      <c r="E13" s="32"/>
      <c r="F13" s="71">
        <v>156</v>
      </c>
      <c r="G13" s="73">
        <v>95</v>
      </c>
      <c r="H13" s="71">
        <v>77</v>
      </c>
      <c r="I13" s="71">
        <v>0</v>
      </c>
      <c r="J13" s="71">
        <v>0</v>
      </c>
      <c r="K13" s="71">
        <v>90</v>
      </c>
      <c r="L13" s="64">
        <f>IFERROR(F13/G13-1,"n/a")</f>
        <v>0.64210526315789473</v>
      </c>
      <c r="M13" s="64">
        <f>IFERROR(F13/H13-1,"n/a")</f>
        <v>1.0259740259740258</v>
      </c>
      <c r="N13" s="64" t="str">
        <f>IFERROR(F13/I13-1,"n/a")</f>
        <v>n/a</v>
      </c>
      <c r="O13" s="64" t="str">
        <f>IFERROR(F13/J13-1,"n/a")</f>
        <v>n/a</v>
      </c>
      <c r="P13" s="60">
        <f>IFERROR(F13/K13-1,"n/a")</f>
        <v>0.73333333333333339</v>
      </c>
      <c r="Q13" s="68">
        <f>'May-24'!Q13+F13</f>
        <v>1208</v>
      </c>
      <c r="R13" s="68">
        <f>'May-24'!R13+G13</f>
        <v>853</v>
      </c>
      <c r="S13" s="68">
        <f>'May-24'!S13+H13</f>
        <v>826</v>
      </c>
      <c r="T13" s="68">
        <f>'May-24'!T13+I13</f>
        <v>0</v>
      </c>
      <c r="U13" s="68">
        <f>'May-24'!U13+J13</f>
        <v>551</v>
      </c>
      <c r="V13" s="68">
        <f>'May-24'!V13+K13</f>
        <v>825</v>
      </c>
      <c r="W13" s="64">
        <f>IFERROR(Q13/R13-1,"n/a")</f>
        <v>0.41617819460726846</v>
      </c>
      <c r="X13" s="64">
        <f>IFERROR(Q13/S13-1,"n/a")</f>
        <v>0.46246973365617428</v>
      </c>
      <c r="Y13" s="64" t="str">
        <f>IFERROR(Q13/T13-1,"n/a")</f>
        <v>n/a</v>
      </c>
      <c r="Z13" s="64">
        <f>IFERROR(Q13/U13-1,"n/a")</f>
        <v>1.1923774954627948</v>
      </c>
      <c r="AA13" s="60">
        <f>IFERROR(Q13/V13-1,"n/a")</f>
        <v>0.46424242424242435</v>
      </c>
      <c r="AB13" s="68">
        <v>1630</v>
      </c>
      <c r="AC13" s="68">
        <v>1486</v>
      </c>
      <c r="AD13" s="68">
        <v>522</v>
      </c>
      <c r="AE13" s="68">
        <v>551</v>
      </c>
      <c r="AF13" s="135">
        <v>1591</v>
      </c>
      <c r="AG13" s="123"/>
      <c r="AH13" s="123"/>
    </row>
    <row r="14" spans="1:34" s="124" customFormat="1" ht="12.75">
      <c r="A14" s="123"/>
      <c r="B14" s="128"/>
      <c r="C14" s="33"/>
      <c r="D14" s="26" t="s">
        <v>11</v>
      </c>
      <c r="E14" s="32"/>
      <c r="F14" s="71">
        <v>557443</v>
      </c>
      <c r="G14" s="73">
        <v>359885</v>
      </c>
      <c r="H14" s="71">
        <v>251675</v>
      </c>
      <c r="I14" s="71">
        <v>0</v>
      </c>
      <c r="J14" s="71">
        <v>0</v>
      </c>
      <c r="K14" s="71">
        <v>303053</v>
      </c>
      <c r="L14" s="64">
        <f>IFERROR(F14/G14-1,"n/a")</f>
        <v>0.54894758047709691</v>
      </c>
      <c r="M14" s="64">
        <f>IFERROR(F14/H14-1,"n/a")</f>
        <v>1.2149319558955001</v>
      </c>
      <c r="N14" s="64" t="str">
        <f>IFERROR(F14/I14-1,"n/a")</f>
        <v>n/a</v>
      </c>
      <c r="O14" s="64" t="str">
        <f>IFERROR(F14/J14-1,"n/a")</f>
        <v>n/a</v>
      </c>
      <c r="P14" s="60">
        <f>IFERROR(F14/K14-1,"n/a")</f>
        <v>0.83942412713287773</v>
      </c>
      <c r="Q14" s="68">
        <f>'May-24'!Q14+F14</f>
        <v>3955040</v>
      </c>
      <c r="R14" s="68">
        <f>'May-24'!R14+G14</f>
        <v>2701062</v>
      </c>
      <c r="S14" s="68">
        <f>'May-24'!S14+H14</f>
        <v>1544089</v>
      </c>
      <c r="T14" s="68">
        <f>'May-24'!T14+I14</f>
        <v>0</v>
      </c>
      <c r="U14" s="68">
        <f>'May-24'!U14+J14</f>
        <v>1092884</v>
      </c>
      <c r="V14" s="68">
        <f>'May-24'!V14+K14</f>
        <v>2451255</v>
      </c>
      <c r="W14" s="64">
        <f>IFERROR(Q14/R14-1,"n/a")</f>
        <v>0.46425368984495718</v>
      </c>
      <c r="X14" s="64">
        <f>IFERROR(Q14/S14-1,"n/a")</f>
        <v>1.5614067582891917</v>
      </c>
      <c r="Y14" s="64" t="str">
        <f>IFERROR(Q14/T14-1,"n/a")</f>
        <v>n/a</v>
      </c>
      <c r="Z14" s="64">
        <f>IFERROR(Q14/U14-1,"n/a")</f>
        <v>2.6189019145673282</v>
      </c>
      <c r="AA14" s="60">
        <f>IFERROR(Q14/V14-1,"n/a")</f>
        <v>0.61347554619980382</v>
      </c>
      <c r="AB14" s="68">
        <v>5232537</v>
      </c>
      <c r="AC14" s="68">
        <v>3592413</v>
      </c>
      <c r="AD14" s="68">
        <v>768312</v>
      </c>
      <c r="AE14" s="68">
        <v>1092884</v>
      </c>
      <c r="AF14" s="135">
        <v>4592479</v>
      </c>
      <c r="AG14" s="123"/>
      <c r="AH14" s="123"/>
    </row>
    <row r="15" spans="1:34" s="124" customFormat="1" ht="12.75">
      <c r="A15" s="123"/>
      <c r="B15" s="128"/>
      <c r="C15" s="31" t="s">
        <v>135</v>
      </c>
      <c r="D15" s="26"/>
      <c r="E15" s="32"/>
      <c r="F15" s="97"/>
      <c r="G15" s="97"/>
      <c r="H15" s="26"/>
      <c r="I15" s="26"/>
      <c r="J15" s="26"/>
      <c r="K15" s="26"/>
      <c r="L15" s="64"/>
      <c r="M15" s="64"/>
      <c r="N15" s="64"/>
      <c r="O15" s="64"/>
      <c r="P15" s="61"/>
      <c r="Q15" s="87"/>
      <c r="R15" s="87"/>
      <c r="S15" s="87"/>
      <c r="T15" s="87"/>
      <c r="U15" s="87"/>
      <c r="V15" s="87"/>
      <c r="W15" s="64"/>
      <c r="X15" s="64"/>
      <c r="Y15" s="64"/>
      <c r="Z15" s="64"/>
      <c r="AA15" s="61"/>
      <c r="AB15" s="43"/>
      <c r="AC15" s="43"/>
      <c r="AD15" s="43"/>
      <c r="AE15" s="43"/>
      <c r="AF15" s="136"/>
      <c r="AG15" s="123"/>
      <c r="AH15" s="123"/>
    </row>
    <row r="16" spans="1:34" s="124" customFormat="1" ht="12.75">
      <c r="A16" s="123"/>
      <c r="B16" s="128"/>
      <c r="C16" s="33"/>
      <c r="D16" s="26" t="s">
        <v>5</v>
      </c>
      <c r="E16" s="32"/>
      <c r="F16" s="71">
        <v>114</v>
      </c>
      <c r="G16" s="74">
        <v>73</v>
      </c>
      <c r="H16" s="71">
        <v>89</v>
      </c>
      <c r="I16" s="71">
        <v>17</v>
      </c>
      <c r="J16" s="71">
        <v>0</v>
      </c>
      <c r="K16" s="71">
        <v>71</v>
      </c>
      <c r="L16" s="64">
        <f>IFERROR(F16/G16-1,"n/a")</f>
        <v>0.56164383561643838</v>
      </c>
      <c r="M16" s="64">
        <f>IFERROR(F16/H16-1,"n/a")</f>
        <v>0.2808988764044944</v>
      </c>
      <c r="N16" s="64">
        <f>IFERROR(F16/I16-1,"n/a")</f>
        <v>5.7058823529411766</v>
      </c>
      <c r="O16" s="64" t="str">
        <f>IFERROR(F16/J16-1,"n/a")</f>
        <v>n/a</v>
      </c>
      <c r="P16" s="60">
        <f>IFERROR(F16/K16-1,"n/a")</f>
        <v>0.60563380281690149</v>
      </c>
      <c r="Q16" s="68">
        <f>'May-24'!Q16+F16</f>
        <v>298</v>
      </c>
      <c r="R16" s="68">
        <f>'May-24'!R16+G16</f>
        <v>216</v>
      </c>
      <c r="S16" s="68">
        <f>'May-24'!S16+H16</f>
        <v>252</v>
      </c>
      <c r="T16" s="68">
        <f>'May-24'!T16+I16</f>
        <v>51</v>
      </c>
      <c r="U16" s="68">
        <f>'May-24'!U16+J16</f>
        <v>10</v>
      </c>
      <c r="V16" s="68">
        <f>'May-24'!V16+K16</f>
        <v>216</v>
      </c>
      <c r="W16" s="64">
        <f>IFERROR(Q16/R16-1,"n/a")</f>
        <v>0.37962962962962954</v>
      </c>
      <c r="X16" s="64">
        <f>IFERROR(Q16/S16-1,"n/a")</f>
        <v>0.18253968253968256</v>
      </c>
      <c r="Y16" s="64">
        <f>IFERROR(Q16/T16-1,"n/a")</f>
        <v>4.8431372549019605</v>
      </c>
      <c r="Z16" s="64">
        <f>IFERROR(Q16/U16-1,"n/a")</f>
        <v>28.8</v>
      </c>
      <c r="AA16" s="60">
        <f>IFERROR(Q16/V16-1,"n/a")</f>
        <v>0.37962962962962954</v>
      </c>
      <c r="AB16" s="68">
        <v>575</v>
      </c>
      <c r="AC16" s="68">
        <v>572</v>
      </c>
      <c r="AD16" s="68">
        <v>202</v>
      </c>
      <c r="AE16" s="68">
        <v>54</v>
      </c>
      <c r="AF16" s="135">
        <v>586</v>
      </c>
      <c r="AG16" s="123"/>
      <c r="AH16" s="123"/>
    </row>
    <row r="17" spans="1:34" s="124" customFormat="1" ht="12.75">
      <c r="A17" s="123"/>
      <c r="B17" s="128"/>
      <c r="C17" s="33"/>
      <c r="D17" s="26" t="s">
        <v>11</v>
      </c>
      <c r="E17" s="32"/>
      <c r="F17" s="71">
        <v>313005</v>
      </c>
      <c r="G17" s="74">
        <v>224892</v>
      </c>
      <c r="H17" s="71">
        <v>121649</v>
      </c>
      <c r="I17" s="71">
        <v>24481</v>
      </c>
      <c r="J17" s="71">
        <v>0</v>
      </c>
      <c r="K17" s="71">
        <v>165399</v>
      </c>
      <c r="L17" s="64">
        <f>IFERROR(F17/G17-1,"n/a")</f>
        <v>0.39180139800437552</v>
      </c>
      <c r="M17" s="64">
        <f>IFERROR(F17/H17-1,"n/a")</f>
        <v>1.5730174518491724</v>
      </c>
      <c r="N17" s="64">
        <f>IFERROR(F17/I17-1,"n/a")</f>
        <v>11.785629671990524</v>
      </c>
      <c r="O17" s="64" t="str">
        <f>IFERROR(F17/J17-1,"n/a")</f>
        <v>n/a</v>
      </c>
      <c r="P17" s="60">
        <f>IFERROR(F17/K17-1,"n/a")</f>
        <v>0.89242377523443306</v>
      </c>
      <c r="Q17" s="68">
        <f>'May-24'!Q17+F17</f>
        <v>773753</v>
      </c>
      <c r="R17" s="68">
        <f>'May-24'!R17+G17</f>
        <v>576378</v>
      </c>
      <c r="S17" s="68">
        <f>'May-24'!S17+H17</f>
        <v>300562</v>
      </c>
      <c r="T17" s="68">
        <f>'May-24'!T17+I17</f>
        <v>65067</v>
      </c>
      <c r="U17" s="68">
        <f>'May-24'!U17+J17</f>
        <v>41113</v>
      </c>
      <c r="V17" s="68">
        <f>'May-24'!V17+K17</f>
        <v>558503</v>
      </c>
      <c r="W17" s="64">
        <f>IFERROR(Q17/R17-1,"n/a")</f>
        <v>0.34244020417156795</v>
      </c>
      <c r="X17" s="64">
        <f>IFERROR(Q17/S17-1,"n/a")</f>
        <v>1.5743540434253167</v>
      </c>
      <c r="Y17" s="64">
        <f>IFERROR(Q17/T17-1,"n/a")</f>
        <v>10.891634776461187</v>
      </c>
      <c r="Z17" s="64">
        <f>IFERROR(Q17/U17-1,"n/a")</f>
        <v>17.820154209130934</v>
      </c>
      <c r="AA17" s="60">
        <f>IFERROR(Q17/V17-1,"n/a")</f>
        <v>0.38540527087589505</v>
      </c>
      <c r="AB17" s="68">
        <v>1660685</v>
      </c>
      <c r="AC17" s="68">
        <v>965963</v>
      </c>
      <c r="AD17" s="68">
        <v>301521</v>
      </c>
      <c r="AE17" s="68">
        <v>70675</v>
      </c>
      <c r="AF17" s="135">
        <v>1400932</v>
      </c>
      <c r="AG17" s="123"/>
      <c r="AH17" s="123"/>
    </row>
    <row r="18" spans="1:34" s="124" customFormat="1" ht="12.75">
      <c r="A18" s="123"/>
      <c r="B18" s="128"/>
      <c r="C18" s="31" t="s">
        <v>110</v>
      </c>
      <c r="D18" s="26"/>
      <c r="E18" s="32"/>
      <c r="F18" s="72"/>
      <c r="G18" s="72"/>
      <c r="H18" s="72"/>
      <c r="I18" s="72"/>
      <c r="J18" s="72"/>
      <c r="K18" s="72"/>
      <c r="L18" s="64"/>
      <c r="M18" s="64"/>
      <c r="N18" s="64"/>
      <c r="O18" s="64"/>
      <c r="P18" s="60"/>
      <c r="Q18" s="87"/>
      <c r="R18" s="87"/>
      <c r="S18" s="87"/>
      <c r="T18" s="87"/>
      <c r="U18" s="87"/>
      <c r="V18" s="87"/>
      <c r="W18" s="64"/>
      <c r="X18" s="64"/>
      <c r="Y18" s="64"/>
      <c r="Z18" s="64"/>
      <c r="AA18" s="60"/>
      <c r="AB18" s="43"/>
      <c r="AC18" s="43"/>
      <c r="AD18" s="43"/>
      <c r="AE18" s="43"/>
      <c r="AF18" s="136"/>
      <c r="AG18" s="123"/>
      <c r="AH18" s="123"/>
    </row>
    <row r="19" spans="1:34" s="124" customFormat="1" ht="12.75">
      <c r="A19" s="123"/>
      <c r="B19" s="128"/>
      <c r="C19" s="33"/>
      <c r="D19" s="26" t="s">
        <v>5</v>
      </c>
      <c r="E19" s="32"/>
      <c r="F19" s="71">
        <v>95</v>
      </c>
      <c r="G19" s="73">
        <v>87</v>
      </c>
      <c r="H19" s="71">
        <v>91</v>
      </c>
      <c r="I19" s="71">
        <v>0</v>
      </c>
      <c r="J19" s="71">
        <v>0</v>
      </c>
      <c r="K19" s="71">
        <v>42</v>
      </c>
      <c r="L19" s="64">
        <f>IFERROR(F19/G19-1,"n/a")</f>
        <v>9.1954022988505857E-2</v>
      </c>
      <c r="M19" s="64">
        <f>IFERROR(F19/H19-1,"n/a")</f>
        <v>4.3956043956044022E-2</v>
      </c>
      <c r="N19" s="64" t="str">
        <f>IFERROR(F19/I19-1,"n/a")</f>
        <v>n/a</v>
      </c>
      <c r="O19" s="64" t="str">
        <f>IFERROR(F19/J19-1,"n/a")</f>
        <v>n/a</v>
      </c>
      <c r="P19" s="60">
        <f>IFERROR(F19/K19-1,"n/a")</f>
        <v>1.2619047619047619</v>
      </c>
      <c r="Q19" s="68">
        <f>'May-24'!Q19+F19</f>
        <v>265</v>
      </c>
      <c r="R19" s="68">
        <f>'May-24'!R19+G19</f>
        <v>256</v>
      </c>
      <c r="S19" s="68">
        <f>'May-24'!S19+H19</f>
        <v>229</v>
      </c>
      <c r="T19" s="68">
        <f>'May-24'!T19+I19</f>
        <v>3</v>
      </c>
      <c r="U19" s="68">
        <f>'May-24'!U19+J19</f>
        <v>3</v>
      </c>
      <c r="V19" s="68">
        <f>'May-24'!V19+K19</f>
        <v>106</v>
      </c>
      <c r="W19" s="64">
        <f>IFERROR(Q19/R19-1,"n/a")</f>
        <v>3.515625E-2</v>
      </c>
      <c r="X19" s="64">
        <f>IFERROR(Q19/S19-1,"n/a")</f>
        <v>0.15720524017467241</v>
      </c>
      <c r="Y19" s="64">
        <f>IFERROR(Q19/T19-1,"n/a")</f>
        <v>87.333333333333329</v>
      </c>
      <c r="Z19" s="64">
        <f>IFERROR(Q19/U19-1,"n/a")</f>
        <v>87.333333333333329</v>
      </c>
      <c r="AA19" s="60">
        <f>IFERROR(Q19/V19-1,"n/a")</f>
        <v>1.5</v>
      </c>
      <c r="AB19" s="68">
        <v>708</v>
      </c>
      <c r="AC19" s="68">
        <v>658</v>
      </c>
      <c r="AD19" s="68">
        <v>47</v>
      </c>
      <c r="AE19" s="68">
        <v>9</v>
      </c>
      <c r="AF19" s="135">
        <v>290</v>
      </c>
      <c r="AG19" s="123"/>
      <c r="AH19" s="123"/>
    </row>
    <row r="20" spans="1:34" s="124" customFormat="1" ht="12.75">
      <c r="A20" s="123"/>
      <c r="B20" s="128"/>
      <c r="C20" s="33"/>
      <c r="D20" s="26" t="s">
        <v>11</v>
      </c>
      <c r="E20" s="32"/>
      <c r="F20" s="71">
        <v>203091</v>
      </c>
      <c r="G20" s="73">
        <f>132170+37144</f>
        <v>169314</v>
      </c>
      <c r="H20" s="71">
        <v>118355</v>
      </c>
      <c r="I20" s="71">
        <v>0</v>
      </c>
      <c r="J20" s="71">
        <v>2213</v>
      </c>
      <c r="K20" s="71">
        <f>46798+31061</f>
        <v>77859</v>
      </c>
      <c r="L20" s="64">
        <f>IFERROR(F20/G20-1,"n/a")</f>
        <v>0.19949324922924272</v>
      </c>
      <c r="M20" s="64">
        <f>IFERROR(F20/H20-1,"n/a")</f>
        <v>0.71594778420852512</v>
      </c>
      <c r="N20" s="64" t="str">
        <f>IFERROR(F20/I20-1,"n/a")</f>
        <v>n/a</v>
      </c>
      <c r="O20" s="64">
        <f>IFERROR(F20/J20-1,"n/a")</f>
        <v>90.771802982376869</v>
      </c>
      <c r="P20" s="60">
        <f>IFERROR(F20/K20-1,"n/a")</f>
        <v>1.6084460370670057</v>
      </c>
      <c r="Q20" s="68">
        <f>'May-24'!Q20+F20</f>
        <v>475388.4</v>
      </c>
      <c r="R20" s="68">
        <f>'May-24'!R20+G20</f>
        <v>393780</v>
      </c>
      <c r="S20" s="68">
        <f>'May-24'!S20+H20</f>
        <v>242591</v>
      </c>
      <c r="T20" s="68">
        <f>'May-24'!T20+I20</f>
        <v>0</v>
      </c>
      <c r="U20" s="68">
        <f>'May-24'!U20+J20</f>
        <v>3966</v>
      </c>
      <c r="V20" s="68">
        <f>'May-24'!V20+K20</f>
        <v>186782</v>
      </c>
      <c r="W20" s="64">
        <f>IFERROR(Q20/R20-1,"n/a")</f>
        <v>0.20724363857991768</v>
      </c>
      <c r="X20" s="64">
        <f>IFERROR(Q20/S20-1,"n/a")</f>
        <v>0.95962917008462822</v>
      </c>
      <c r="Y20" s="64" t="str">
        <f>IFERROR(Q20/T20-1,"n/a")</f>
        <v>n/a</v>
      </c>
      <c r="Z20" s="64">
        <f>IFERROR(Q20/U20-1,"n/a")</f>
        <v>118.86596066565809</v>
      </c>
      <c r="AA20" s="60">
        <f>IFERROR(Q20/V20-1,"n/a")</f>
        <v>1.5451510316839956</v>
      </c>
      <c r="AB20" s="68">
        <v>1277526</v>
      </c>
      <c r="AC20" s="68">
        <v>887495</v>
      </c>
      <c r="AD20" s="68">
        <v>17541</v>
      </c>
      <c r="AE20" s="68">
        <v>10046.999999999998</v>
      </c>
      <c r="AF20" s="135">
        <v>585930</v>
      </c>
      <c r="AG20" s="123"/>
      <c r="AH20" s="123"/>
    </row>
    <row r="21" spans="1:34" s="124" customFormat="1" ht="12.75">
      <c r="A21" s="123"/>
      <c r="B21" s="128"/>
      <c r="C21" s="31" t="s">
        <v>111</v>
      </c>
      <c r="D21" s="26"/>
      <c r="E21" s="34"/>
      <c r="F21" s="72"/>
      <c r="G21" s="72"/>
      <c r="H21" s="72"/>
      <c r="I21" s="72"/>
      <c r="J21" s="72"/>
      <c r="K21" s="72"/>
      <c r="L21" s="64"/>
      <c r="M21" s="64"/>
      <c r="N21" s="64"/>
      <c r="O21" s="64"/>
      <c r="P21" s="60"/>
      <c r="Q21" s="87"/>
      <c r="R21" s="87"/>
      <c r="S21" s="87"/>
      <c r="T21" s="87"/>
      <c r="U21" s="87"/>
      <c r="V21" s="87"/>
      <c r="W21" s="64"/>
      <c r="X21" s="64"/>
      <c r="Y21" s="64"/>
      <c r="Z21" s="64"/>
      <c r="AA21" s="60"/>
      <c r="AB21" s="43"/>
      <c r="AC21" s="43"/>
      <c r="AD21" s="43"/>
      <c r="AE21" s="43"/>
      <c r="AF21" s="136"/>
      <c r="AG21" s="123"/>
      <c r="AH21" s="123"/>
    </row>
    <row r="22" spans="1:34" s="124" customFormat="1" ht="12.75">
      <c r="A22" s="123"/>
      <c r="B22" s="128"/>
      <c r="C22" s="33"/>
      <c r="D22" s="26" t="s">
        <v>5</v>
      </c>
      <c r="E22" s="34"/>
      <c r="F22" s="71">
        <v>96</v>
      </c>
      <c r="G22" s="74">
        <v>88</v>
      </c>
      <c r="H22" s="71">
        <v>69</v>
      </c>
      <c r="I22" s="71">
        <v>4</v>
      </c>
      <c r="J22" s="71">
        <v>0</v>
      </c>
      <c r="K22" s="71">
        <v>70</v>
      </c>
      <c r="L22" s="64">
        <f>IFERROR(F22/G22-1,"n/a")</f>
        <v>9.0909090909090828E-2</v>
      </c>
      <c r="M22" s="64">
        <f>IFERROR(F22/H22-1,"n/a")</f>
        <v>0.39130434782608692</v>
      </c>
      <c r="N22" s="64">
        <f>IFERROR(F22/I22-1,"n/a")</f>
        <v>23</v>
      </c>
      <c r="O22" s="64" t="str">
        <f>IFERROR(F22/J22-1,"n/a")</f>
        <v>n/a</v>
      </c>
      <c r="P22" s="60">
        <f>IFERROR(F22/K22-1,"n/a")</f>
        <v>0.37142857142857144</v>
      </c>
      <c r="Q22" s="68">
        <f>'May-24'!Q22+F22</f>
        <v>696</v>
      </c>
      <c r="R22" s="68">
        <f>'May-24'!R22+G22</f>
        <v>696</v>
      </c>
      <c r="S22" s="68">
        <f>'May-24'!S22+H22</f>
        <v>329</v>
      </c>
      <c r="T22" s="68">
        <f>'May-24'!T22+I22</f>
        <v>4</v>
      </c>
      <c r="U22" s="68">
        <f>'May-24'!U22+J22</f>
        <v>43</v>
      </c>
      <c r="V22" s="68">
        <f>'May-24'!V22+K22</f>
        <v>362</v>
      </c>
      <c r="W22" s="64">
        <f>IFERROR(Q22/R22-1,"n/a")</f>
        <v>0</v>
      </c>
      <c r="X22" s="64">
        <f>IFERROR(Q22/S22-1,"n/a")</f>
        <v>1.115501519756839</v>
      </c>
      <c r="Y22" s="64">
        <f>IFERROR(Q22/T22-1,"n/a")</f>
        <v>173</v>
      </c>
      <c r="Z22" s="64">
        <f>IFERROR(Q22/U22-1,"n/a")</f>
        <v>15.186046511627907</v>
      </c>
      <c r="AA22" s="60">
        <f>IFERROR(Q22/V22-1,"n/a")</f>
        <v>0.92265193370165743</v>
      </c>
      <c r="AB22" s="68">
        <v>1500</v>
      </c>
      <c r="AC22" s="68">
        <v>895</v>
      </c>
      <c r="AD22" s="68">
        <v>283</v>
      </c>
      <c r="AE22" s="68">
        <v>43</v>
      </c>
      <c r="AF22" s="135">
        <v>827</v>
      </c>
      <c r="AG22" s="123"/>
      <c r="AH22" s="123"/>
    </row>
    <row r="23" spans="1:34" s="124" customFormat="1" ht="12.75">
      <c r="A23" s="123"/>
      <c r="B23" s="128"/>
      <c r="C23" s="33"/>
      <c r="D23" s="26" t="s">
        <v>11</v>
      </c>
      <c r="E23" s="32"/>
      <c r="F23" s="71">
        <v>382725</v>
      </c>
      <c r="G23" s="73">
        <v>334459</v>
      </c>
      <c r="H23" s="71">
        <v>183895</v>
      </c>
      <c r="I23" s="71">
        <v>4923</v>
      </c>
      <c r="J23" s="71">
        <v>0</v>
      </c>
      <c r="K23" s="71">
        <v>275367</v>
      </c>
      <c r="L23" s="64">
        <f>IFERROR(F23/G23-1,"n/a")</f>
        <v>0.1443106628914157</v>
      </c>
      <c r="M23" s="64">
        <f>IFERROR(F23/H23-1,"n/a")</f>
        <v>1.0812148236765546</v>
      </c>
      <c r="N23" s="64">
        <f>IFERROR(F23/I23-1,"n/a")</f>
        <v>76.742230347349178</v>
      </c>
      <c r="O23" s="64" t="str">
        <f>IFERROR(F23/J23-1,"n/a")</f>
        <v>n/a</v>
      </c>
      <c r="P23" s="60">
        <f>IFERROR(F23/K23-1,"n/a")</f>
        <v>0.38987242480035733</v>
      </c>
      <c r="Q23" s="68">
        <f>'May-24'!Q23+F23</f>
        <v>2154725</v>
      </c>
      <c r="R23" s="68">
        <f>'May-24'!R23+G23</f>
        <v>1913752</v>
      </c>
      <c r="S23" s="68">
        <f>'May-24'!S23+H23</f>
        <v>542087</v>
      </c>
      <c r="T23" s="68">
        <f>'May-24'!T23+I23</f>
        <v>4923</v>
      </c>
      <c r="U23" s="68">
        <f>'May-24'!U23+J23</f>
        <v>140552</v>
      </c>
      <c r="V23" s="68">
        <f>'May-24'!V23+K23</f>
        <v>1040452</v>
      </c>
      <c r="W23" s="64">
        <f>IFERROR(Q23/R23-1,"n/a")</f>
        <v>0.12591652418913224</v>
      </c>
      <c r="X23" s="64">
        <f>IFERROR(Q23/S23-1,"n/a")</f>
        <v>2.9748693475401549</v>
      </c>
      <c r="Y23" s="64">
        <f>IFERROR(Q23/T23-1,"n/a")</f>
        <v>436.68535445866343</v>
      </c>
      <c r="Z23" s="64">
        <f>IFERROR(Q23/U23-1,"n/a")</f>
        <v>14.330447094313849</v>
      </c>
      <c r="AA23" s="60">
        <f>IFERROR(Q23/V23-1,"n/a")</f>
        <v>1.0709508944189641</v>
      </c>
      <c r="AB23" s="68">
        <v>4449177</v>
      </c>
      <c r="AC23" s="68">
        <v>2165161</v>
      </c>
      <c r="AD23" s="68">
        <v>465109</v>
      </c>
      <c r="AE23" s="68">
        <v>140552</v>
      </c>
      <c r="AF23" s="135">
        <v>2552942</v>
      </c>
      <c r="AG23" s="123"/>
      <c r="AH23" s="123"/>
    </row>
    <row r="24" spans="1:34" s="124" customFormat="1" ht="12.75">
      <c r="A24" s="123"/>
      <c r="B24" s="128"/>
      <c r="C24" s="31" t="s">
        <v>112</v>
      </c>
      <c r="D24" s="26"/>
      <c r="E24" s="32"/>
      <c r="F24" s="72"/>
      <c r="G24" s="72"/>
      <c r="H24" s="72"/>
      <c r="I24" s="72"/>
      <c r="J24" s="72"/>
      <c r="K24" s="72"/>
      <c r="L24" s="64"/>
      <c r="M24" s="64"/>
      <c r="N24" s="64"/>
      <c r="O24" s="64"/>
      <c r="P24" s="60"/>
      <c r="Q24" s="87"/>
      <c r="R24" s="87"/>
      <c r="S24" s="87"/>
      <c r="T24" s="87"/>
      <c r="U24" s="87"/>
      <c r="V24" s="87"/>
      <c r="W24" s="64"/>
      <c r="X24" s="64"/>
      <c r="Y24" s="64"/>
      <c r="Z24" s="64"/>
      <c r="AA24" s="60"/>
      <c r="AB24" s="43"/>
      <c r="AC24" s="43"/>
      <c r="AD24" s="43"/>
      <c r="AE24" s="43"/>
      <c r="AF24" s="136"/>
      <c r="AG24" s="123"/>
      <c r="AH24" s="123"/>
    </row>
    <row r="25" spans="1:34" s="124" customFormat="1" ht="12.75">
      <c r="B25" s="128"/>
      <c r="C25" s="33"/>
      <c r="D25" s="26" t="s">
        <v>5</v>
      </c>
      <c r="E25" s="32"/>
      <c r="F25" s="71">
        <v>2</v>
      </c>
      <c r="G25" s="71">
        <v>4</v>
      </c>
      <c r="H25" s="71">
        <v>1</v>
      </c>
      <c r="I25" s="71">
        <v>0</v>
      </c>
      <c r="J25" s="71">
        <v>0</v>
      </c>
      <c r="K25" s="71">
        <v>5</v>
      </c>
      <c r="L25" s="64">
        <f>IFERROR(F25/G25-1,"n/a")</f>
        <v>-0.5</v>
      </c>
      <c r="M25" s="64">
        <f>IFERROR(F25/H25-1,"n/a")</f>
        <v>1</v>
      </c>
      <c r="N25" s="64" t="str">
        <f>IFERROR(F25/I25-1,"n/a")</f>
        <v>n/a</v>
      </c>
      <c r="O25" s="64" t="str">
        <f>IFERROR(F25/J25-1,"n/a")</f>
        <v>n/a</v>
      </c>
      <c r="P25" s="60">
        <f>IFERROR(F25/K25-1,"n/a")</f>
        <v>-0.6</v>
      </c>
      <c r="Q25" s="68">
        <f>'May-24'!Q25+F25</f>
        <v>5</v>
      </c>
      <c r="R25" s="68">
        <f>'May-24'!R25+G25</f>
        <v>8</v>
      </c>
      <c r="S25" s="68">
        <f>'May-24'!S25+H25</f>
        <v>2</v>
      </c>
      <c r="T25" s="68">
        <f>'May-24'!T25+I25</f>
        <v>0</v>
      </c>
      <c r="U25" s="68">
        <f>'May-24'!U25+J25</f>
        <v>0</v>
      </c>
      <c r="V25" s="68">
        <f>'May-24'!V25+K25</f>
        <v>8</v>
      </c>
      <c r="W25" s="64">
        <f>IFERROR(Q25/R25-1,"n/a")</f>
        <v>-0.375</v>
      </c>
      <c r="X25" s="64">
        <f>IFERROR(Q25/S25-1,"n/a")</f>
        <v>1.5</v>
      </c>
      <c r="Y25" s="64" t="str">
        <f>IFERROR(Q25/T25-1,"n/a")</f>
        <v>n/a</v>
      </c>
      <c r="Z25" s="64" t="str">
        <f>IFERROR(Q25/U25-1,"n/a")</f>
        <v>n/a</v>
      </c>
      <c r="AA25" s="60">
        <f>IFERROR(Q25/V25-1,"n/a")</f>
        <v>-0.375</v>
      </c>
      <c r="AB25" s="68">
        <v>21</v>
      </c>
      <c r="AC25" s="68">
        <v>9</v>
      </c>
      <c r="AD25" s="68">
        <v>0</v>
      </c>
      <c r="AE25" s="68">
        <v>0</v>
      </c>
      <c r="AF25" s="135">
        <v>16</v>
      </c>
      <c r="AG25" s="123"/>
      <c r="AH25" s="123"/>
    </row>
    <row r="26" spans="1:34" s="124" customFormat="1" ht="12.75">
      <c r="A26" s="123"/>
      <c r="B26" s="128"/>
      <c r="C26" s="33"/>
      <c r="D26" s="26" t="s">
        <v>11</v>
      </c>
      <c r="E26" s="32"/>
      <c r="F26" s="71">
        <v>6222</v>
      </c>
      <c r="G26" s="71">
        <v>9205</v>
      </c>
      <c r="H26" s="71">
        <v>2226</v>
      </c>
      <c r="I26" s="71">
        <v>0</v>
      </c>
      <c r="J26" s="71">
        <v>0</v>
      </c>
      <c r="K26" s="71">
        <v>6817</v>
      </c>
      <c r="L26" s="64">
        <f>IFERROR(F26/G26-1,"n/a")</f>
        <v>-0.32406300923411191</v>
      </c>
      <c r="M26" s="64">
        <f>IFERROR(F26/H26-1,"n/a")</f>
        <v>1.7951482479784366</v>
      </c>
      <c r="N26" s="64" t="str">
        <f>IFERROR(F26/I26-1,"n/a")</f>
        <v>n/a</v>
      </c>
      <c r="O26" s="64" t="str">
        <f>IFERROR(F26/J26-1,"n/a")</f>
        <v>n/a</v>
      </c>
      <c r="P26" s="60">
        <f>IFERROR(F26/K26-1,"n/a")</f>
        <v>-8.7281795511221949E-2</v>
      </c>
      <c r="Q26" s="68">
        <f>'May-24'!Q26+F26</f>
        <v>18659</v>
      </c>
      <c r="R26" s="68">
        <f>'May-24'!R26+G26</f>
        <v>13587</v>
      </c>
      <c r="S26" s="68">
        <f>'May-24'!S26+H26</f>
        <v>3151</v>
      </c>
      <c r="T26" s="68">
        <f>'May-24'!T26+I26</f>
        <v>0</v>
      </c>
      <c r="U26" s="68">
        <f>'May-24'!U26+J26</f>
        <v>0</v>
      </c>
      <c r="V26" s="68">
        <f>'May-24'!V26+K26</f>
        <v>10227</v>
      </c>
      <c r="W26" s="64">
        <f>IFERROR(Q26/R26-1,"n/a")</f>
        <v>0.37329800544638259</v>
      </c>
      <c r="X26" s="64">
        <f>IFERROR(Q26/S26-1,"n/a")</f>
        <v>4.9216121866074261</v>
      </c>
      <c r="Y26" s="64" t="str">
        <f>IFERROR(Q26/T26-1,"n/a")</f>
        <v>n/a</v>
      </c>
      <c r="Z26" s="64" t="str">
        <f>IFERROR(Q26/U26-1,"n/a")</f>
        <v>n/a</v>
      </c>
      <c r="AA26" s="60">
        <f>IFERROR(Q26/V26-1,"n/a")</f>
        <v>0.82448420846778125</v>
      </c>
      <c r="AB26" s="68">
        <v>38626</v>
      </c>
      <c r="AC26" s="68">
        <v>15637</v>
      </c>
      <c r="AD26" s="68">
        <v>0</v>
      </c>
      <c r="AE26" s="68">
        <v>0</v>
      </c>
      <c r="AF26" s="137">
        <v>20248</v>
      </c>
      <c r="AG26" s="123"/>
      <c r="AH26" s="123"/>
    </row>
    <row r="27" spans="1:34" s="124" customFormat="1" ht="13.5" thickBot="1">
      <c r="A27" s="123"/>
      <c r="B27" s="128"/>
      <c r="C27" s="35" t="s">
        <v>12</v>
      </c>
      <c r="D27" s="36"/>
      <c r="E27" s="37"/>
      <c r="F27" s="75">
        <f t="shared" ref="F27:K28" si="0">F13+F16+F19+F22+F25</f>
        <v>463</v>
      </c>
      <c r="G27" s="75">
        <f t="shared" si="0"/>
        <v>347</v>
      </c>
      <c r="H27" s="75">
        <f t="shared" si="0"/>
        <v>327</v>
      </c>
      <c r="I27" s="75">
        <f t="shared" si="0"/>
        <v>21</v>
      </c>
      <c r="J27" s="75">
        <f t="shared" si="0"/>
        <v>0</v>
      </c>
      <c r="K27" s="75">
        <f t="shared" si="0"/>
        <v>278</v>
      </c>
      <c r="L27" s="66">
        <f>IFERROR(F27/G27-1,"n/a")</f>
        <v>0.33429394812680124</v>
      </c>
      <c r="M27" s="66">
        <f>IFERROR(F27/H27-1,"n/a")</f>
        <v>0.41590214067278297</v>
      </c>
      <c r="N27" s="66">
        <f>IFERROR(F27/I27-1,"n/a")</f>
        <v>21.047619047619047</v>
      </c>
      <c r="O27" s="66" t="str">
        <f>IFERROR(F27/J27-1,"n/a")</f>
        <v>n/a</v>
      </c>
      <c r="P27" s="62">
        <f>IFERROR(F27/K27-1,"n/a")</f>
        <v>0.66546762589928066</v>
      </c>
      <c r="Q27" s="75">
        <f t="shared" ref="Q27:V28" si="1">Q13+Q16+Q19+Q22+Q25</f>
        <v>2472</v>
      </c>
      <c r="R27" s="75">
        <f t="shared" si="1"/>
        <v>2029</v>
      </c>
      <c r="S27" s="75">
        <f t="shared" si="1"/>
        <v>1638</v>
      </c>
      <c r="T27" s="75">
        <f t="shared" si="1"/>
        <v>58</v>
      </c>
      <c r="U27" s="75">
        <f t="shared" si="1"/>
        <v>607</v>
      </c>
      <c r="V27" s="75">
        <f t="shared" si="1"/>
        <v>1517</v>
      </c>
      <c r="W27" s="66">
        <f>IFERROR(Q27/R27-1,"n/a")</f>
        <v>0.21833415475603735</v>
      </c>
      <c r="X27" s="66">
        <f>IFERROR(Q27/S27-1,"n/a")</f>
        <v>0.50915750915750912</v>
      </c>
      <c r="Y27" s="66">
        <f>IFERROR(Q27/T27-1,"n/a")</f>
        <v>41.620689655172413</v>
      </c>
      <c r="Z27" s="66">
        <f>IFERROR(Q27/U27-1,"n/a")</f>
        <v>3.0724876441515647</v>
      </c>
      <c r="AA27" s="62">
        <f>IFERROR(Q27/V27-1,"n/a")</f>
        <v>0.62953197099538571</v>
      </c>
      <c r="AB27" s="75">
        <f>AB13+AB16+AB19+AB22+AB25</f>
        <v>4434</v>
      </c>
      <c r="AC27" s="75">
        <f>AC13+AC16+AC19+AC22+AC25</f>
        <v>3620</v>
      </c>
      <c r="AD27" s="46">
        <f t="shared" ref="AD27:AF28" si="2">AD13+AD16+AD19+AD22+AD25</f>
        <v>1054</v>
      </c>
      <c r="AE27" s="46">
        <f t="shared" si="2"/>
        <v>657</v>
      </c>
      <c r="AF27" s="80">
        <f t="shared" si="2"/>
        <v>3310</v>
      </c>
      <c r="AG27" s="123"/>
      <c r="AH27" s="123"/>
    </row>
    <row r="28" spans="1:34" s="124" customFormat="1" ht="14.25" thickTop="1" thickBot="1">
      <c r="A28" s="123"/>
      <c r="B28" s="128"/>
      <c r="C28" s="38" t="s">
        <v>13</v>
      </c>
      <c r="D28" s="39"/>
      <c r="E28" s="40"/>
      <c r="F28" s="76">
        <f t="shared" si="0"/>
        <v>1462486</v>
      </c>
      <c r="G28" s="76">
        <f t="shared" si="0"/>
        <v>1097755</v>
      </c>
      <c r="H28" s="76">
        <f t="shared" si="0"/>
        <v>677800</v>
      </c>
      <c r="I28" s="76">
        <f t="shared" si="0"/>
        <v>29404</v>
      </c>
      <c r="J28" s="76">
        <f t="shared" si="0"/>
        <v>2213</v>
      </c>
      <c r="K28" s="76">
        <f t="shared" si="0"/>
        <v>828495</v>
      </c>
      <c r="L28" s="67">
        <f>IFERROR(F28/G28-1,"n/a")</f>
        <v>0.33225173194383073</v>
      </c>
      <c r="M28" s="67">
        <f>IFERROR(F28/H28-1,"n/a")</f>
        <v>1.1576954853939214</v>
      </c>
      <c r="N28" s="67">
        <f>IFERROR(F28/I28-1,"n/a")</f>
        <v>48.737654740851582</v>
      </c>
      <c r="O28" s="67">
        <f>IFERROR(F28/J28-1,"n/a")</f>
        <v>659.86127428829639</v>
      </c>
      <c r="P28" s="63">
        <f>IFERROR(F28/K28-1,"n/a")</f>
        <v>0.76523213779202037</v>
      </c>
      <c r="Q28" s="76">
        <f t="shared" si="1"/>
        <v>7377565.4000000004</v>
      </c>
      <c r="R28" s="76">
        <f t="shared" si="1"/>
        <v>5598559</v>
      </c>
      <c r="S28" s="76">
        <f t="shared" si="1"/>
        <v>2632480</v>
      </c>
      <c r="T28" s="76">
        <f t="shared" si="1"/>
        <v>69990</v>
      </c>
      <c r="U28" s="76">
        <f t="shared" si="1"/>
        <v>1278515</v>
      </c>
      <c r="V28" s="76">
        <f t="shared" si="1"/>
        <v>4247219</v>
      </c>
      <c r="W28" s="67">
        <f>IFERROR(Q28/R28-1,"n/a")</f>
        <v>0.31776148112398217</v>
      </c>
      <c r="X28" s="67">
        <f>IFERROR(Q28/S28-1,"n/a")</f>
        <v>1.8025152707712881</v>
      </c>
      <c r="Y28" s="67">
        <f>IFERROR(Q28/T28-1,"n/a")</f>
        <v>104.40884983569082</v>
      </c>
      <c r="Z28" s="67">
        <f>IFERROR(Q28/U28-1,"n/a")</f>
        <v>4.7704175547412433</v>
      </c>
      <c r="AA28" s="63">
        <f>IFERROR(Q28/V28-1,"n/a")</f>
        <v>0.73703437472849886</v>
      </c>
      <c r="AB28" s="76">
        <f>AB14+AB17+AB20+AB23+AB26</f>
        <v>12658551</v>
      </c>
      <c r="AC28" s="76">
        <f>AC14+AC17+AC20+AC23+AC26</f>
        <v>7626669</v>
      </c>
      <c r="AD28" s="47">
        <f t="shared" si="2"/>
        <v>1552483</v>
      </c>
      <c r="AE28" s="47">
        <f t="shared" si="2"/>
        <v>1314158</v>
      </c>
      <c r="AF28" s="81">
        <f t="shared" si="2"/>
        <v>9152531</v>
      </c>
      <c r="AG28" s="123"/>
      <c r="AH28" s="123"/>
    </row>
    <row r="29" spans="1:34" s="124" customFormat="1" ht="12" thickTop="1">
      <c r="A29" s="123"/>
      <c r="B29" s="123"/>
      <c r="C29" s="123"/>
      <c r="D29" s="123"/>
      <c r="E29" s="123"/>
      <c r="F29" s="123"/>
      <c r="G29" s="129"/>
      <c r="H29" s="129"/>
      <c r="I29" s="129"/>
      <c r="J29" s="129"/>
      <c r="K29" s="129"/>
      <c r="L29" s="129"/>
      <c r="M29" s="129"/>
      <c r="N29" s="129"/>
      <c r="O29" s="129"/>
      <c r="P29" s="123"/>
      <c r="Q29" s="123"/>
      <c r="R29" s="123"/>
      <c r="S29" s="123"/>
      <c r="T29" s="123"/>
      <c r="U29" s="123"/>
      <c r="V29" s="123"/>
      <c r="W29" s="123"/>
      <c r="X29" s="123"/>
      <c r="Y29" s="123"/>
      <c r="Z29" s="123"/>
      <c r="AA29" s="123"/>
      <c r="AB29" s="123"/>
      <c r="AC29" s="123"/>
      <c r="AD29" s="123"/>
      <c r="AE29" s="123"/>
      <c r="AF29" s="123"/>
      <c r="AG29" s="123"/>
      <c r="AH29" s="123"/>
    </row>
    <row r="30" spans="1:34" s="124" customFormat="1" ht="11.25">
      <c r="A30" s="123"/>
      <c r="B30" s="123"/>
      <c r="C30" s="123"/>
      <c r="D30" s="123"/>
      <c r="E30" s="123"/>
      <c r="F30" s="123"/>
      <c r="G30" s="129"/>
      <c r="H30" s="129"/>
      <c r="I30" s="129"/>
      <c r="J30" s="129"/>
      <c r="K30" s="129"/>
      <c r="L30" s="129"/>
      <c r="M30" s="129"/>
      <c r="N30" s="129"/>
      <c r="O30" s="129"/>
      <c r="P30" s="123"/>
      <c r="Q30" s="123"/>
      <c r="R30" s="129"/>
      <c r="S30" s="123"/>
      <c r="T30" s="123"/>
      <c r="U30" s="123"/>
      <c r="V30" s="123"/>
      <c r="W30" s="123"/>
      <c r="X30" s="123"/>
      <c r="Y30" s="123"/>
      <c r="Z30" s="123"/>
      <c r="AA30" s="123"/>
      <c r="AB30" s="123"/>
      <c r="AC30" s="123"/>
      <c r="AD30" s="123"/>
      <c r="AE30" s="123"/>
      <c r="AF30" s="123"/>
      <c r="AG30" s="123"/>
      <c r="AH30" s="123"/>
    </row>
    <row r="31" spans="1:34" s="124" customFormat="1" ht="12.75">
      <c r="A31" s="123"/>
      <c r="B31" s="130"/>
      <c r="C31" s="131" t="s">
        <v>63</v>
      </c>
      <c r="D31" s="24"/>
      <c r="E31" s="24"/>
      <c r="F31" s="24"/>
      <c r="G31" s="24"/>
      <c r="H31" s="24"/>
      <c r="I31" s="24"/>
      <c r="J31" s="24"/>
      <c r="K31" s="95"/>
      <c r="L31" s="95"/>
      <c r="M31" s="95"/>
      <c r="N31" s="95"/>
      <c r="O31" s="95"/>
      <c r="P31" s="24"/>
      <c r="Q31" s="24"/>
      <c r="R31" s="24"/>
      <c r="S31" s="24"/>
      <c r="T31" s="24"/>
      <c r="U31" s="24"/>
      <c r="V31" s="24"/>
      <c r="W31" s="24"/>
      <c r="X31" s="24"/>
      <c r="Y31" s="24"/>
      <c r="Z31" s="24"/>
      <c r="AA31" s="24"/>
      <c r="AB31" s="24"/>
      <c r="AC31" s="24"/>
      <c r="AD31" s="24"/>
      <c r="AE31" s="24"/>
      <c r="AF31" s="24"/>
      <c r="AG31" s="24"/>
      <c r="AH31" s="123"/>
    </row>
    <row r="32" spans="1:34" s="124" customFormat="1" ht="12.75">
      <c r="A32" s="123"/>
      <c r="B32" s="130"/>
      <c r="C32" s="24"/>
      <c r="D32" s="24"/>
      <c r="E32" s="24"/>
      <c r="F32" s="24"/>
      <c r="G32" s="24"/>
      <c r="H32" s="24"/>
      <c r="I32" s="24"/>
      <c r="J32" s="24"/>
      <c r="K32" s="95"/>
      <c r="L32" s="95"/>
      <c r="M32" s="95"/>
      <c r="N32" s="95"/>
      <c r="O32" s="95"/>
      <c r="P32" s="24"/>
      <c r="Q32" s="24"/>
      <c r="R32" s="24"/>
      <c r="S32" s="24"/>
      <c r="T32" s="24"/>
      <c r="U32" s="24"/>
      <c r="V32" s="24"/>
      <c r="W32" s="24"/>
      <c r="X32" s="24"/>
      <c r="Y32" s="24"/>
      <c r="Z32" s="24"/>
      <c r="AA32" s="24"/>
      <c r="AB32" s="24"/>
      <c r="AC32" s="24"/>
      <c r="AD32" s="24"/>
      <c r="AE32" s="24"/>
      <c r="AF32" s="24"/>
      <c r="AG32" s="24"/>
      <c r="AH32" s="123"/>
    </row>
    <row r="33" spans="1:34" s="124" customFormat="1" ht="15" customHeight="1">
      <c r="A33" s="123"/>
      <c r="B33" s="123"/>
      <c r="C33" s="27" t="s">
        <v>7</v>
      </c>
      <c r="D33" s="28"/>
      <c r="E33" s="28"/>
      <c r="F33" s="158" t="str">
        <f>F9</f>
        <v>June</v>
      </c>
      <c r="G33" s="158"/>
      <c r="H33" s="158"/>
      <c r="I33" s="158"/>
      <c r="J33" s="158"/>
      <c r="K33" s="158"/>
      <c r="L33" s="158"/>
      <c r="M33" s="158"/>
      <c r="N33" s="158"/>
      <c r="O33" s="158"/>
      <c r="P33" s="159"/>
      <c r="Q33" s="161" t="s">
        <v>134</v>
      </c>
      <c r="R33" s="162"/>
      <c r="S33" s="162"/>
      <c r="T33" s="162"/>
      <c r="U33" s="162"/>
      <c r="V33" s="162"/>
      <c r="W33" s="162"/>
      <c r="X33" s="162"/>
      <c r="Y33" s="162"/>
      <c r="Z33" s="162"/>
      <c r="AA33" s="163"/>
      <c r="AB33" s="161" t="s">
        <v>58</v>
      </c>
      <c r="AC33" s="162"/>
      <c r="AD33" s="162"/>
      <c r="AE33" s="162"/>
      <c r="AF33" s="164"/>
    </row>
    <row r="34" spans="1:34" s="124" customFormat="1" ht="11.25">
      <c r="A34" s="123"/>
      <c r="B34" s="123"/>
      <c r="C34" s="29"/>
      <c r="D34" s="30"/>
      <c r="E34" s="30"/>
      <c r="F34" s="143"/>
      <c r="G34" s="144"/>
      <c r="H34" s="144"/>
      <c r="I34" s="144"/>
      <c r="J34" s="144"/>
      <c r="K34" s="144"/>
      <c r="L34" s="144"/>
      <c r="M34" s="144"/>
      <c r="N34" s="144"/>
      <c r="O34" s="144"/>
      <c r="P34" s="145"/>
      <c r="Q34" s="144"/>
      <c r="R34" s="144"/>
      <c r="S34" s="144"/>
      <c r="T34" s="144"/>
      <c r="U34" s="144"/>
      <c r="V34" s="144"/>
      <c r="W34" s="144"/>
      <c r="X34" s="144"/>
      <c r="Y34" s="144"/>
      <c r="Z34" s="144"/>
      <c r="AA34" s="145"/>
      <c r="AB34" s="152"/>
      <c r="AC34" s="153"/>
      <c r="AD34" s="153"/>
      <c r="AE34" s="153"/>
      <c r="AF34" s="154"/>
    </row>
    <row r="35" spans="1:34" s="124" customFormat="1" ht="22.5">
      <c r="A35" s="123"/>
      <c r="B35" s="123"/>
      <c r="C35" s="59" t="s">
        <v>29</v>
      </c>
      <c r="D35" s="50"/>
      <c r="E35" s="51"/>
      <c r="F35" s="55">
        <v>2024</v>
      </c>
      <c r="G35" s="52">
        <v>2023</v>
      </c>
      <c r="H35" s="52">
        <v>2022</v>
      </c>
      <c r="I35" s="52">
        <v>2021</v>
      </c>
      <c r="J35" s="52">
        <v>2020</v>
      </c>
      <c r="K35" s="52">
        <v>2019</v>
      </c>
      <c r="L35" s="53" t="s">
        <v>116</v>
      </c>
      <c r="M35" s="53" t="s">
        <v>117</v>
      </c>
      <c r="N35" s="53" t="s">
        <v>118</v>
      </c>
      <c r="O35" s="53" t="s">
        <v>119</v>
      </c>
      <c r="P35" s="57" t="s">
        <v>101</v>
      </c>
      <c r="Q35" s="53" t="s">
        <v>130</v>
      </c>
      <c r="R35" s="53" t="s">
        <v>115</v>
      </c>
      <c r="S35" s="53" t="s">
        <v>53</v>
      </c>
      <c r="T35" s="52" t="s">
        <v>54</v>
      </c>
      <c r="U35" s="52" t="s">
        <v>59</v>
      </c>
      <c r="V35" s="52" t="s">
        <v>64</v>
      </c>
      <c r="W35" s="53" t="s">
        <v>131</v>
      </c>
      <c r="X35" s="53" t="s">
        <v>116</v>
      </c>
      <c r="Y35" s="53" t="s">
        <v>117</v>
      </c>
      <c r="Z35" s="53" t="s">
        <v>118</v>
      </c>
      <c r="AA35" s="57" t="s">
        <v>119</v>
      </c>
      <c r="AB35" s="146"/>
      <c r="AC35" s="53" t="s">
        <v>53</v>
      </c>
      <c r="AD35" s="53" t="s">
        <v>54</v>
      </c>
      <c r="AE35" s="53" t="s">
        <v>65</v>
      </c>
      <c r="AF35" s="57" t="s">
        <v>73</v>
      </c>
      <c r="AH35" s="123"/>
    </row>
    <row r="36" spans="1:34" s="124" customFormat="1" ht="11.25">
      <c r="A36" s="123"/>
      <c r="B36" s="123"/>
      <c r="C36" s="31" t="s">
        <v>108</v>
      </c>
      <c r="D36" s="26"/>
      <c r="E36" s="32"/>
      <c r="F36" s="26"/>
      <c r="G36" s="26"/>
      <c r="H36" s="26"/>
      <c r="I36" s="26"/>
      <c r="J36" s="26"/>
      <c r="K36" s="26"/>
      <c r="L36" s="26"/>
      <c r="M36" s="26"/>
      <c r="N36" s="26"/>
      <c r="O36" s="26"/>
      <c r="P36" s="32"/>
      <c r="Q36" s="26"/>
      <c r="R36" s="26"/>
      <c r="S36" s="26"/>
      <c r="T36" s="26"/>
      <c r="U36" s="26"/>
      <c r="V36" s="123"/>
      <c r="W36" s="26"/>
      <c r="X36" s="26"/>
      <c r="Y36" s="123"/>
      <c r="Z36" s="26"/>
      <c r="AA36" s="32"/>
      <c r="AB36" s="147"/>
      <c r="AC36" s="26"/>
      <c r="AD36" s="26"/>
      <c r="AE36" s="88"/>
      <c r="AF36" s="85"/>
      <c r="AH36" s="123"/>
    </row>
    <row r="37" spans="1:34" s="124" customFormat="1" ht="11.25">
      <c r="A37" s="123"/>
      <c r="B37" s="123"/>
      <c r="C37" s="33"/>
      <c r="D37" s="26" t="s">
        <v>5</v>
      </c>
      <c r="E37" s="32"/>
      <c r="F37" s="74">
        <f t="shared" ref="F37:K38" si="3">F13</f>
        <v>156</v>
      </c>
      <c r="G37" s="74">
        <f t="shared" si="3"/>
        <v>95</v>
      </c>
      <c r="H37" s="74">
        <f t="shared" si="3"/>
        <v>77</v>
      </c>
      <c r="I37" s="74">
        <f t="shared" si="3"/>
        <v>0</v>
      </c>
      <c r="J37" s="74">
        <f t="shared" si="3"/>
        <v>0</v>
      </c>
      <c r="K37" s="74">
        <f t="shared" si="3"/>
        <v>90</v>
      </c>
      <c r="L37" s="64">
        <f>IFERROR(F37/G37-1,"n/a")</f>
        <v>0.64210526315789473</v>
      </c>
      <c r="M37" s="64">
        <f>IFERROR(F37/H37-1,"n/a")</f>
        <v>1.0259740259740258</v>
      </c>
      <c r="N37" s="64" t="str">
        <f>IFERROR(F37/I37-1,"n/a")</f>
        <v>n/a</v>
      </c>
      <c r="O37" s="64" t="str">
        <f>IFERROR(F37/J37-1,"n/a")</f>
        <v>n/a</v>
      </c>
      <c r="P37" s="60">
        <f>IFERROR(F37/K37-1,"n/a")</f>
        <v>0.73333333333333339</v>
      </c>
      <c r="Q37" s="74">
        <f>'May-24'!Q37+F37</f>
        <v>506</v>
      </c>
      <c r="R37" s="74">
        <f>'May-24'!R37+G37</f>
        <v>323</v>
      </c>
      <c r="S37" s="74">
        <f>'May-24'!S37+H37</f>
        <v>296</v>
      </c>
      <c r="T37" s="74">
        <f>'May-24'!T37+I37</f>
        <v>0</v>
      </c>
      <c r="U37" s="74">
        <f>'May-24'!U37+J37</f>
        <v>42</v>
      </c>
      <c r="V37" s="74">
        <f>'May-24'!V37+K37</f>
        <v>309</v>
      </c>
      <c r="W37" s="120">
        <f>IFERROR(Q37/R37-1,"n/a")</f>
        <v>0.56656346749226016</v>
      </c>
      <c r="X37" s="120">
        <f>IFERROR(R37/S37-1,"n/a")</f>
        <v>9.1216216216216228E-2</v>
      </c>
      <c r="Y37" s="120" t="str">
        <f>IFERROR(R37/T37-1,"n/a")</f>
        <v>n/a</v>
      </c>
      <c r="Z37" s="120">
        <f>IFERROR(R37/U37-1,"n/a")</f>
        <v>6.6904761904761907</v>
      </c>
      <c r="AA37" s="121">
        <f>IFERROR(R37/V37-1,"n/a")</f>
        <v>4.5307443365695699E-2</v>
      </c>
      <c r="AB37" s="148"/>
      <c r="AC37" s="89">
        <v>1486</v>
      </c>
      <c r="AD37" s="89">
        <v>1052</v>
      </c>
      <c r="AE37" s="70">
        <v>551</v>
      </c>
      <c r="AF37" s="78">
        <v>1584</v>
      </c>
      <c r="AH37" s="123"/>
    </row>
    <row r="38" spans="1:34" s="124" customFormat="1" ht="11.25">
      <c r="A38" s="123"/>
      <c r="B38" s="123"/>
      <c r="C38" s="33"/>
      <c r="D38" s="26" t="s">
        <v>11</v>
      </c>
      <c r="E38" s="32"/>
      <c r="F38" s="74">
        <f t="shared" si="3"/>
        <v>557443</v>
      </c>
      <c r="G38" s="74">
        <f t="shared" si="3"/>
        <v>359885</v>
      </c>
      <c r="H38" s="74">
        <f t="shared" si="3"/>
        <v>251675</v>
      </c>
      <c r="I38" s="74">
        <f t="shared" si="3"/>
        <v>0</v>
      </c>
      <c r="J38" s="74">
        <f t="shared" si="3"/>
        <v>0</v>
      </c>
      <c r="K38" s="74">
        <f t="shared" si="3"/>
        <v>303053</v>
      </c>
      <c r="L38" s="64">
        <f>IFERROR(F38/G38-1,"n/a")</f>
        <v>0.54894758047709691</v>
      </c>
      <c r="M38" s="64">
        <f>IFERROR(F38/H38-1,"n/a")</f>
        <v>1.2149319558955001</v>
      </c>
      <c r="N38" s="64" t="str">
        <f>IFERROR(F38/I38-1,"n/a")</f>
        <v>n/a</v>
      </c>
      <c r="O38" s="64" t="str">
        <f>IFERROR(F38/J38-1,"n/a")</f>
        <v>n/a</v>
      </c>
      <c r="P38" s="60">
        <f>IFERROR(F38/K38-1,"n/a")</f>
        <v>0.83942412713287773</v>
      </c>
      <c r="Q38" s="74">
        <f>'May-24'!Q38+F38</f>
        <v>1801216</v>
      </c>
      <c r="R38" s="74">
        <f>'May-24'!R38+G38</f>
        <v>1162878</v>
      </c>
      <c r="S38" s="74">
        <f>'May-24'!S38+H38</f>
        <v>784431</v>
      </c>
      <c r="T38" s="74">
        <f>'May-24'!T38+I38</f>
        <v>0</v>
      </c>
      <c r="U38" s="74">
        <f>'May-24'!U38+J38</f>
        <v>0</v>
      </c>
      <c r="V38" s="74">
        <f>'May-24'!V38+K38</f>
        <v>1000151</v>
      </c>
      <c r="W38" s="120">
        <f>IFERROR(Q38/R38-1,"n/a")</f>
        <v>0.54892946637566453</v>
      </c>
      <c r="X38" s="120">
        <f>IFERROR(R38/S38-1,"n/a")</f>
        <v>0.48244778699464952</v>
      </c>
      <c r="Y38" s="120" t="str">
        <f>IFERROR(R38/T38-1,"n/a")</f>
        <v>n/a</v>
      </c>
      <c r="Z38" s="120" t="str">
        <f>IFERROR(R38/U38-1,"n/a")</f>
        <v>n/a</v>
      </c>
      <c r="AA38" s="121">
        <f>IFERROR(R38/V38-1,"n/a")</f>
        <v>0.16270243193277811</v>
      </c>
      <c r="AB38" s="148"/>
      <c r="AC38" s="89">
        <v>4370939</v>
      </c>
      <c r="AD38" s="89">
        <v>1527970</v>
      </c>
      <c r="AE38" s="84">
        <v>1092884</v>
      </c>
      <c r="AF38" s="78">
        <v>4234259</v>
      </c>
      <c r="AH38" s="123"/>
    </row>
    <row r="39" spans="1:34" s="124" customFormat="1" ht="11.25">
      <c r="A39" s="123"/>
      <c r="B39" s="123"/>
      <c r="C39" s="31" t="s">
        <v>135</v>
      </c>
      <c r="D39" s="26"/>
      <c r="E39" s="32"/>
      <c r="F39" s="26"/>
      <c r="G39" s="26"/>
      <c r="H39" s="26"/>
      <c r="I39" s="26"/>
      <c r="J39" s="26"/>
      <c r="K39" s="26"/>
      <c r="L39" s="64"/>
      <c r="M39" s="64"/>
      <c r="N39" s="64"/>
      <c r="O39" s="64"/>
      <c r="P39" s="61"/>
      <c r="Q39" s="26"/>
      <c r="R39" s="26"/>
      <c r="S39" s="26"/>
      <c r="T39" s="26"/>
      <c r="U39" s="26"/>
      <c r="V39" s="26"/>
      <c r="W39" s="65"/>
      <c r="X39" s="65"/>
      <c r="Y39" s="65"/>
      <c r="Z39" s="65"/>
      <c r="AA39" s="61"/>
      <c r="AB39" s="149"/>
      <c r="AC39" s="90"/>
      <c r="AD39" s="90"/>
      <c r="AE39" s="44"/>
      <c r="AF39" s="79"/>
      <c r="AH39" s="123"/>
    </row>
    <row r="40" spans="1:34" s="124" customFormat="1" ht="11.25">
      <c r="A40" s="123"/>
      <c r="B40" s="123"/>
      <c r="C40" s="33"/>
      <c r="D40" s="26" t="s">
        <v>5</v>
      </c>
      <c r="E40" s="32"/>
      <c r="F40" s="74">
        <f t="shared" ref="F40:K41" si="4">F16</f>
        <v>114</v>
      </c>
      <c r="G40" s="74">
        <f t="shared" si="4"/>
        <v>73</v>
      </c>
      <c r="H40" s="74">
        <f t="shared" si="4"/>
        <v>89</v>
      </c>
      <c r="I40" s="74">
        <f t="shared" si="4"/>
        <v>17</v>
      </c>
      <c r="J40" s="74">
        <f t="shared" si="4"/>
        <v>0</v>
      </c>
      <c r="K40" s="74">
        <f t="shared" si="4"/>
        <v>71</v>
      </c>
      <c r="L40" s="64">
        <f>IFERROR(F40/G40-1,"n/a")</f>
        <v>0.56164383561643838</v>
      </c>
      <c r="M40" s="64">
        <f>IFERROR(F40/H40-1,"n/a")</f>
        <v>0.2808988764044944</v>
      </c>
      <c r="N40" s="64">
        <f>IFERROR(F40/I40-1,"n/a")</f>
        <v>5.7058823529411766</v>
      </c>
      <c r="O40" s="64" t="str">
        <f>IFERROR(F40/J40-1,"n/a")</f>
        <v>n/a</v>
      </c>
      <c r="P40" s="60">
        <f>IFERROR(F40/K40-1,"n/a")</f>
        <v>0.60563380281690149</v>
      </c>
      <c r="Q40" s="74">
        <f>'May-24'!Q40+F40</f>
        <v>261</v>
      </c>
      <c r="R40" s="74">
        <f>'May-24'!R40+G40</f>
        <v>189</v>
      </c>
      <c r="S40" s="74">
        <f>'May-24'!S40+H40</f>
        <v>216</v>
      </c>
      <c r="T40" s="74">
        <f>'May-24'!T40+I40</f>
        <v>39</v>
      </c>
      <c r="U40" s="74">
        <f>'May-24'!U40+J40</f>
        <v>0</v>
      </c>
      <c r="V40" s="74">
        <f>'May-24'!V40+K40</f>
        <v>193</v>
      </c>
      <c r="W40" s="120">
        <f>IFERROR(Q40/R40-1,"n/a")</f>
        <v>0.38095238095238093</v>
      </c>
      <c r="X40" s="120">
        <f>IFERROR(R40/S40-1,"n/a")</f>
        <v>-0.125</v>
      </c>
      <c r="Y40" s="120">
        <f>IFERROR(R40/T40-1,"n/a")</f>
        <v>3.8461538461538458</v>
      </c>
      <c r="Z40" s="120" t="str">
        <f>IFERROR(R40/U40-1,"n/a")</f>
        <v>n/a</v>
      </c>
      <c r="AA40" s="121">
        <f>IFERROR(R40/V40-1,"n/a")</f>
        <v>-2.0725388601036232E-2</v>
      </c>
      <c r="AB40" s="148"/>
      <c r="AC40" s="89">
        <v>563</v>
      </c>
      <c r="AD40" s="89">
        <v>226</v>
      </c>
      <c r="AE40" s="70">
        <v>66</v>
      </c>
      <c r="AF40" s="78">
        <v>573</v>
      </c>
      <c r="AH40" s="123"/>
    </row>
    <row r="41" spans="1:34" s="124" customFormat="1" ht="11.25">
      <c r="A41" s="123"/>
      <c r="B41" s="123"/>
      <c r="C41" s="33"/>
      <c r="D41" s="26" t="s">
        <v>11</v>
      </c>
      <c r="E41" s="32"/>
      <c r="F41" s="74">
        <f t="shared" si="4"/>
        <v>313005</v>
      </c>
      <c r="G41" s="74">
        <f t="shared" si="4"/>
        <v>224892</v>
      </c>
      <c r="H41" s="74">
        <f t="shared" si="4"/>
        <v>121649</v>
      </c>
      <c r="I41" s="74">
        <f t="shared" si="4"/>
        <v>24481</v>
      </c>
      <c r="J41" s="74">
        <f t="shared" si="4"/>
        <v>0</v>
      </c>
      <c r="K41" s="74">
        <f t="shared" si="4"/>
        <v>165399</v>
      </c>
      <c r="L41" s="64">
        <f>IFERROR(F41/G41-1,"n/a")</f>
        <v>0.39180139800437552</v>
      </c>
      <c r="M41" s="64">
        <f>IFERROR(F41/H41-1,"n/a")</f>
        <v>1.5730174518491724</v>
      </c>
      <c r="N41" s="64">
        <f>IFERROR(F41/I41-1,"n/a")</f>
        <v>11.785629671990524</v>
      </c>
      <c r="O41" s="64" t="str">
        <f>IFERROR(F41/J41-1,"n/a")</f>
        <v>n/a</v>
      </c>
      <c r="P41" s="60">
        <f>IFERROR(F41/K41-1,"n/a")</f>
        <v>0.89242377523443306</v>
      </c>
      <c r="Q41" s="74">
        <f>'May-24'!Q41+F41</f>
        <v>643179</v>
      </c>
      <c r="R41" s="74">
        <f>'May-24'!R41+G41</f>
        <v>493323</v>
      </c>
      <c r="S41" s="74">
        <f>'May-24'!S41+H41</f>
        <v>264054</v>
      </c>
      <c r="T41" s="74">
        <f>'May-24'!T41+I41</f>
        <v>54964</v>
      </c>
      <c r="U41" s="74">
        <f>'May-24'!U41+J41</f>
        <v>0</v>
      </c>
      <c r="V41" s="74">
        <f>'May-24'!V41+K41</f>
        <v>478129</v>
      </c>
      <c r="W41" s="120">
        <f>IFERROR(Q41/R41-1,"n/a")</f>
        <v>0.30376852488126449</v>
      </c>
      <c r="X41" s="120">
        <f>IFERROR(R41/S41-1,"n/a")</f>
        <v>0.86826558204003734</v>
      </c>
      <c r="Y41" s="120">
        <f>IFERROR(R41/T41-1,"n/a")</f>
        <v>7.9753838876355427</v>
      </c>
      <c r="Z41" s="120" t="str">
        <f>IFERROR(R41/U41-1,"n/a")</f>
        <v>n/a</v>
      </c>
      <c r="AA41" s="121">
        <f>IFERROR(R41/V41-1,"n/a")</f>
        <v>3.1778034798140231E-2</v>
      </c>
      <c r="AB41" s="148"/>
      <c r="AC41" s="89">
        <v>1012510</v>
      </c>
      <c r="AD41" s="89">
        <v>327926</v>
      </c>
      <c r="AE41" s="84">
        <v>80778</v>
      </c>
      <c r="AF41" s="78">
        <v>1361671</v>
      </c>
      <c r="AH41" s="123"/>
    </row>
    <row r="42" spans="1:34" s="124" customFormat="1" ht="11.25">
      <c r="A42" s="123"/>
      <c r="B42" s="123"/>
      <c r="C42" s="31" t="s">
        <v>110</v>
      </c>
      <c r="D42" s="26"/>
      <c r="E42" s="32"/>
      <c r="F42" s="87"/>
      <c r="G42" s="87"/>
      <c r="H42" s="87"/>
      <c r="I42" s="87"/>
      <c r="J42" s="87"/>
      <c r="K42" s="72"/>
      <c r="L42" s="64"/>
      <c r="M42" s="64"/>
      <c r="N42" s="64"/>
      <c r="O42" s="64"/>
      <c r="P42" s="60"/>
      <c r="Q42" s="87"/>
      <c r="R42" s="87"/>
      <c r="S42" s="87"/>
      <c r="T42" s="87"/>
      <c r="U42" s="87"/>
      <c r="V42" s="72"/>
      <c r="W42" s="64"/>
      <c r="X42" s="64"/>
      <c r="Y42" s="64"/>
      <c r="Z42" s="64"/>
      <c r="AA42" s="60"/>
      <c r="AB42" s="148"/>
      <c r="AC42" s="90"/>
      <c r="AD42" s="90"/>
      <c r="AE42" s="44"/>
      <c r="AF42" s="79"/>
      <c r="AH42" s="123"/>
    </row>
    <row r="43" spans="1:34" s="124" customFormat="1" ht="11.25">
      <c r="A43" s="123"/>
      <c r="B43" s="123"/>
      <c r="C43" s="33"/>
      <c r="D43" s="26" t="s">
        <v>5</v>
      </c>
      <c r="E43" s="32"/>
      <c r="F43" s="74">
        <f t="shared" ref="F43:K44" si="5">F19</f>
        <v>95</v>
      </c>
      <c r="G43" s="74">
        <f t="shared" si="5"/>
        <v>87</v>
      </c>
      <c r="H43" s="74">
        <f t="shared" si="5"/>
        <v>91</v>
      </c>
      <c r="I43" s="74">
        <f t="shared" si="5"/>
        <v>0</v>
      </c>
      <c r="J43" s="74">
        <f t="shared" si="5"/>
        <v>0</v>
      </c>
      <c r="K43" s="74">
        <f t="shared" si="5"/>
        <v>42</v>
      </c>
      <c r="L43" s="64">
        <f>IFERROR(F43/G43-1,"n/a")</f>
        <v>9.1954022988505857E-2</v>
      </c>
      <c r="M43" s="64">
        <f>IFERROR(F43/H43-1,"n/a")</f>
        <v>4.3956043956044022E-2</v>
      </c>
      <c r="N43" s="64" t="str">
        <f>IFERROR(F43/I43-1,"n/a")</f>
        <v>n/a</v>
      </c>
      <c r="O43" s="64" t="str">
        <f>IFERROR(F43/J43-1,"n/a")</f>
        <v>n/a</v>
      </c>
      <c r="P43" s="60">
        <f>IFERROR(F43/K43-1,"n/a")</f>
        <v>1.2619047619047619</v>
      </c>
      <c r="Q43" s="74">
        <f>'May-24'!Q43+F43</f>
        <v>238</v>
      </c>
      <c r="R43" s="74">
        <f>'May-24'!R43+G43</f>
        <v>233</v>
      </c>
      <c r="S43" s="74">
        <f>'May-24'!S43+H43</f>
        <v>217</v>
      </c>
      <c r="T43" s="74">
        <f>'May-24'!T43+I43</f>
        <v>3</v>
      </c>
      <c r="U43" s="74">
        <f>'May-24'!U43+J43</f>
        <v>0</v>
      </c>
      <c r="V43" s="74">
        <f>'May-24'!V43+K43</f>
        <v>100</v>
      </c>
      <c r="W43" s="120">
        <f>IFERROR(Q43/R43-1,"n/a")</f>
        <v>2.1459227467811148E-2</v>
      </c>
      <c r="X43" s="120">
        <f>IFERROR(R43/S43-1,"n/a")</f>
        <v>7.3732718894009119E-2</v>
      </c>
      <c r="Y43" s="120">
        <f>IFERROR(R43/T43-1,"n/a")</f>
        <v>76.666666666666671</v>
      </c>
      <c r="Z43" s="120" t="str">
        <f>IFERROR(R43/U43-1,"n/a")</f>
        <v>n/a</v>
      </c>
      <c r="AA43" s="121">
        <f>IFERROR(R43/V43-1,"n/a")</f>
        <v>1.33</v>
      </c>
      <c r="AB43" s="148"/>
      <c r="AC43" s="89">
        <v>669</v>
      </c>
      <c r="AD43" s="89">
        <v>59</v>
      </c>
      <c r="AE43" s="70">
        <v>9</v>
      </c>
      <c r="AF43" s="78">
        <v>287</v>
      </c>
      <c r="AH43" s="123"/>
    </row>
    <row r="44" spans="1:34" s="124" customFormat="1" ht="11.25">
      <c r="A44" s="123"/>
      <c r="B44" s="123"/>
      <c r="C44" s="33"/>
      <c r="D44" s="26" t="s">
        <v>11</v>
      </c>
      <c r="E44" s="32"/>
      <c r="F44" s="74">
        <f t="shared" si="5"/>
        <v>203091</v>
      </c>
      <c r="G44" s="74">
        <f t="shared" si="5"/>
        <v>169314</v>
      </c>
      <c r="H44" s="74">
        <f t="shared" si="5"/>
        <v>118355</v>
      </c>
      <c r="I44" s="74">
        <f t="shared" si="5"/>
        <v>0</v>
      </c>
      <c r="J44" s="74">
        <f t="shared" si="5"/>
        <v>2213</v>
      </c>
      <c r="K44" s="74">
        <f t="shared" si="5"/>
        <v>77859</v>
      </c>
      <c r="L44" s="64">
        <f>IFERROR(F44/G44-1,"n/a")</f>
        <v>0.19949324922924272</v>
      </c>
      <c r="M44" s="64">
        <f>IFERROR(F44/H44-1,"n/a")</f>
        <v>0.71594778420852512</v>
      </c>
      <c r="N44" s="64" t="str">
        <f>IFERROR(F44/I44-1,"n/a")</f>
        <v>n/a</v>
      </c>
      <c r="O44" s="64">
        <f>IFERROR(F44/J44-1,"n/a")</f>
        <v>90.771802982376869</v>
      </c>
      <c r="P44" s="60">
        <f>IFERROR(F44/K44-1,"n/a")</f>
        <v>1.6084460370670057</v>
      </c>
      <c r="Q44" s="74">
        <f>'May-24'!Q44+F44</f>
        <v>435647.4</v>
      </c>
      <c r="R44" s="74">
        <f>'May-24'!R44+G44</f>
        <v>372934</v>
      </c>
      <c r="S44" s="74">
        <f>'May-24'!S44+H44</f>
        <v>239506</v>
      </c>
      <c r="T44" s="74">
        <f>'May-24'!T44+I44</f>
        <v>0</v>
      </c>
      <c r="U44" s="74">
        <f>'May-24'!U44+J44</f>
        <v>2213</v>
      </c>
      <c r="V44" s="74">
        <f>'May-24'!V44+K44</f>
        <v>180298</v>
      </c>
      <c r="W44" s="120">
        <f>IFERROR(Q44/R44-1,"n/a")</f>
        <v>0.16816219491920825</v>
      </c>
      <c r="X44" s="120">
        <f>IFERROR(R44/S44-1,"n/a")</f>
        <v>0.55709669068833345</v>
      </c>
      <c r="Y44" s="120" t="str">
        <f>IFERROR(R44/T44-1,"n/a")</f>
        <v>n/a</v>
      </c>
      <c r="Z44" s="120">
        <f>IFERROR(R44/U44-1,"n/a")</f>
        <v>167.51965657478536</v>
      </c>
      <c r="AA44" s="121">
        <f>IFERROR(R44/V44-1,"n/a")</f>
        <v>1.068431152869139</v>
      </c>
      <c r="AB44" s="148"/>
      <c r="AC44" s="82">
        <v>905256</v>
      </c>
      <c r="AD44" s="82">
        <v>20626</v>
      </c>
      <c r="AE44" s="84">
        <v>10047</v>
      </c>
      <c r="AF44" s="78">
        <v>581199</v>
      </c>
      <c r="AH44" s="123"/>
    </row>
    <row r="45" spans="1:34" s="124" customFormat="1" ht="11.25">
      <c r="A45" s="123"/>
      <c r="B45" s="123"/>
      <c r="C45" s="31" t="s">
        <v>111</v>
      </c>
      <c r="D45" s="26"/>
      <c r="E45" s="34"/>
      <c r="F45" s="72"/>
      <c r="G45" s="72"/>
      <c r="H45" s="72"/>
      <c r="I45" s="72"/>
      <c r="J45" s="72"/>
      <c r="K45" s="72"/>
      <c r="L45" s="64"/>
      <c r="M45" s="64"/>
      <c r="N45" s="64"/>
      <c r="O45" s="64"/>
      <c r="P45" s="60"/>
      <c r="Q45" s="72"/>
      <c r="R45" s="72"/>
      <c r="S45" s="72"/>
      <c r="T45" s="72"/>
      <c r="U45" s="72"/>
      <c r="V45" s="72"/>
      <c r="W45" s="64"/>
      <c r="X45" s="64"/>
      <c r="Y45" s="64"/>
      <c r="Z45" s="64"/>
      <c r="AA45" s="60"/>
      <c r="AB45" s="148"/>
      <c r="AC45" s="90"/>
      <c r="AD45" s="90"/>
      <c r="AE45" s="44"/>
      <c r="AF45" s="79"/>
      <c r="AH45" s="123"/>
    </row>
    <row r="46" spans="1:34" s="124" customFormat="1" ht="11.25">
      <c r="A46" s="123"/>
      <c r="B46" s="123"/>
      <c r="C46" s="33"/>
      <c r="D46" s="26" t="s">
        <v>5</v>
      </c>
      <c r="E46" s="34"/>
      <c r="F46" s="74">
        <f t="shared" ref="F46:K47" si="6">F22</f>
        <v>96</v>
      </c>
      <c r="G46" s="74">
        <f t="shared" si="6"/>
        <v>88</v>
      </c>
      <c r="H46" s="74">
        <f t="shared" si="6"/>
        <v>69</v>
      </c>
      <c r="I46" s="74">
        <f t="shared" si="6"/>
        <v>4</v>
      </c>
      <c r="J46" s="74">
        <f t="shared" si="6"/>
        <v>0</v>
      </c>
      <c r="K46" s="74">
        <f t="shared" si="6"/>
        <v>70</v>
      </c>
      <c r="L46" s="64">
        <f>IFERROR(F46/G46-1,"n/a")</f>
        <v>9.0909090909090828E-2</v>
      </c>
      <c r="M46" s="64">
        <f>IFERROR(F46/H46-1,"n/a")</f>
        <v>0.39130434782608692</v>
      </c>
      <c r="N46" s="64">
        <f>IFERROR(F46/I46-1,"n/a")</f>
        <v>23</v>
      </c>
      <c r="O46" s="64" t="str">
        <f>IFERROR(F46/J46-1,"n/a")</f>
        <v>n/a</v>
      </c>
      <c r="P46" s="60">
        <f>IFERROR(F46/K46-1,"n/a")</f>
        <v>0.37142857142857144</v>
      </c>
      <c r="Q46" s="74">
        <f>'May-24'!Q46+F46</f>
        <v>437</v>
      </c>
      <c r="R46" s="74">
        <f>'May-24'!R46+G46</f>
        <v>409</v>
      </c>
      <c r="S46" s="74">
        <f>'May-24'!S46+H46</f>
        <v>276</v>
      </c>
      <c r="T46" s="74">
        <f>'May-24'!T46+I46</f>
        <v>4</v>
      </c>
      <c r="U46" s="74">
        <f>'May-24'!U46+J46</f>
        <v>0</v>
      </c>
      <c r="V46" s="74">
        <f>'May-24'!V46+K46</f>
        <v>273</v>
      </c>
      <c r="W46" s="120">
        <f>IFERROR(Q46/R46-1,"n/a")</f>
        <v>6.8459657701711585E-2</v>
      </c>
      <c r="X46" s="120">
        <f>IFERROR(R46/S46-1,"n/a")</f>
        <v>0.48188405797101441</v>
      </c>
      <c r="Y46" s="120">
        <f>IFERROR(R46/T46-1,"n/a")</f>
        <v>101.25</v>
      </c>
      <c r="Z46" s="120" t="str">
        <f>IFERROR(R46/U46-1,"n/a")</f>
        <v>n/a</v>
      </c>
      <c r="AA46" s="121">
        <f>IFERROR(R46/V46-1,"n/a")</f>
        <v>0.49816849816849818</v>
      </c>
      <c r="AB46" s="148"/>
      <c r="AC46" s="89">
        <v>1129</v>
      </c>
      <c r="AD46" s="89">
        <v>336</v>
      </c>
      <c r="AE46" s="84">
        <v>43</v>
      </c>
      <c r="AF46" s="78">
        <v>781</v>
      </c>
      <c r="AH46" s="123"/>
    </row>
    <row r="47" spans="1:34" s="124" customFormat="1" ht="11.25">
      <c r="A47" s="123"/>
      <c r="B47" s="123"/>
      <c r="C47" s="33"/>
      <c r="D47" s="26" t="s">
        <v>11</v>
      </c>
      <c r="E47" s="32"/>
      <c r="F47" s="74">
        <f t="shared" si="6"/>
        <v>382725</v>
      </c>
      <c r="G47" s="74">
        <f t="shared" si="6"/>
        <v>334459</v>
      </c>
      <c r="H47" s="74">
        <f t="shared" si="6"/>
        <v>183895</v>
      </c>
      <c r="I47" s="74">
        <f t="shared" si="6"/>
        <v>4923</v>
      </c>
      <c r="J47" s="74">
        <f t="shared" si="6"/>
        <v>0</v>
      </c>
      <c r="K47" s="74">
        <f t="shared" si="6"/>
        <v>275367</v>
      </c>
      <c r="L47" s="64">
        <f>IFERROR(F47/G47-1,"n/a")</f>
        <v>0.1443106628914157</v>
      </c>
      <c r="M47" s="64">
        <f>IFERROR(F47/H47-1,"n/a")</f>
        <v>1.0812148236765546</v>
      </c>
      <c r="N47" s="64">
        <f>IFERROR(F47/I47-1,"n/a")</f>
        <v>76.742230347349178</v>
      </c>
      <c r="O47" s="64" t="str">
        <f>IFERROR(F47/J47-1,"n/a")</f>
        <v>n/a</v>
      </c>
      <c r="P47" s="60">
        <f>IFERROR(F47/K47-1,"n/a")</f>
        <v>0.38987242480035733</v>
      </c>
      <c r="Q47" s="74">
        <f>'May-24'!Q47+F47</f>
        <v>1241670</v>
      </c>
      <c r="R47" s="74">
        <f>'May-24'!R47+G47</f>
        <v>1077478</v>
      </c>
      <c r="S47" s="74">
        <f>'May-24'!S47+H47</f>
        <v>473633</v>
      </c>
      <c r="T47" s="74">
        <f>'May-24'!T47+I47</f>
        <v>4923</v>
      </c>
      <c r="U47" s="74">
        <f>'May-24'!U47+J47</f>
        <v>0</v>
      </c>
      <c r="V47" s="74">
        <f>'May-24'!V47+K47</f>
        <v>788552</v>
      </c>
      <c r="W47" s="120">
        <f>IFERROR(Q47/R47-1,"n/a")</f>
        <v>0.15238547794015278</v>
      </c>
      <c r="X47" s="120">
        <f>IFERROR(R47/S47-1,"n/a")</f>
        <v>1.2749217220928442</v>
      </c>
      <c r="Y47" s="120">
        <f>IFERROR(R47/T47-1,"n/a")</f>
        <v>217.86613853341458</v>
      </c>
      <c r="Z47" s="120" t="str">
        <f>IFERROR(R47/U47-1,"n/a")</f>
        <v>n/a</v>
      </c>
      <c r="AA47" s="121">
        <f>IFERROR(R47/V47-1,"n/a")</f>
        <v>0.3664006939301403</v>
      </c>
      <c r="AB47" s="148"/>
      <c r="AC47" s="82">
        <v>2932981</v>
      </c>
      <c r="AD47" s="82">
        <v>533563</v>
      </c>
      <c r="AE47" s="84">
        <v>140552</v>
      </c>
      <c r="AF47" s="78">
        <v>2441594</v>
      </c>
      <c r="AH47" s="123"/>
    </row>
    <row r="48" spans="1:34" s="124" customFormat="1" ht="11.25">
      <c r="C48" s="31" t="s">
        <v>112</v>
      </c>
      <c r="D48" s="26"/>
      <c r="E48" s="32"/>
      <c r="F48" s="72"/>
      <c r="G48" s="72"/>
      <c r="H48" s="72"/>
      <c r="I48" s="72"/>
      <c r="J48" s="72"/>
      <c r="K48" s="72"/>
      <c r="L48" s="64"/>
      <c r="M48" s="64"/>
      <c r="N48" s="64"/>
      <c r="O48" s="64"/>
      <c r="P48" s="60"/>
      <c r="Q48" s="72"/>
      <c r="R48" s="72"/>
      <c r="S48" s="72"/>
      <c r="T48" s="72"/>
      <c r="U48" s="72"/>
      <c r="V48" s="72"/>
      <c r="W48" s="64"/>
      <c r="X48" s="64"/>
      <c r="Y48" s="64"/>
      <c r="Z48" s="64"/>
      <c r="AA48" s="60"/>
      <c r="AB48" s="148"/>
      <c r="AC48" s="90"/>
      <c r="AD48" s="90"/>
      <c r="AE48" s="44"/>
      <c r="AF48" s="79"/>
      <c r="AH48" s="123"/>
    </row>
    <row r="49" spans="3:34" s="124" customFormat="1" ht="11.25">
      <c r="C49" s="33"/>
      <c r="D49" s="26" t="s">
        <v>5</v>
      </c>
      <c r="E49" s="32"/>
      <c r="F49" s="74">
        <f t="shared" ref="F49:K50" si="7">F25</f>
        <v>2</v>
      </c>
      <c r="G49" s="74">
        <f t="shared" si="7"/>
        <v>4</v>
      </c>
      <c r="H49" s="74">
        <f t="shared" si="7"/>
        <v>1</v>
      </c>
      <c r="I49" s="74">
        <f t="shared" si="7"/>
        <v>0</v>
      </c>
      <c r="J49" s="74">
        <f t="shared" si="7"/>
        <v>0</v>
      </c>
      <c r="K49" s="74">
        <f t="shared" si="7"/>
        <v>5</v>
      </c>
      <c r="L49" s="64">
        <f>IFERROR(F49/G49-1,"n/a")</f>
        <v>-0.5</v>
      </c>
      <c r="M49" s="64">
        <f>IFERROR(F49/H49-1,"n/a")</f>
        <v>1</v>
      </c>
      <c r="N49" s="64" t="str">
        <f>IFERROR(F49/I49-1,"n/a")</f>
        <v>n/a</v>
      </c>
      <c r="O49" s="64" t="str">
        <f>IFERROR(F49/J49-1,"n/a")</f>
        <v>n/a</v>
      </c>
      <c r="P49" s="60">
        <f>IFERROR(F49/K49-1,"n/a")</f>
        <v>-0.6</v>
      </c>
      <c r="Q49" s="74">
        <f>'May-24'!Q49+F49</f>
        <v>5</v>
      </c>
      <c r="R49" s="74">
        <f>'May-24'!R49+G49</f>
        <v>8</v>
      </c>
      <c r="S49" s="74">
        <f>'May-24'!S49+H49</f>
        <v>2</v>
      </c>
      <c r="T49" s="74">
        <f>'May-24'!T49+I49</f>
        <v>0</v>
      </c>
      <c r="U49" s="74">
        <f>'May-24'!U49+J49</f>
        <v>0</v>
      </c>
      <c r="V49" s="74">
        <f>'May-24'!V49+K49</f>
        <v>8</v>
      </c>
      <c r="W49" s="120">
        <f t="shared" ref="W49:X52" si="8">IFERROR(Q49/R49-1,"n/a")</f>
        <v>-0.375</v>
      </c>
      <c r="X49" s="120">
        <f t="shared" si="8"/>
        <v>3</v>
      </c>
      <c r="Y49" s="120" t="str">
        <f>IFERROR(R49/T49-1,"n/a")</f>
        <v>n/a</v>
      </c>
      <c r="Z49" s="120" t="str">
        <f>IFERROR(R49/U49-1,"n/a")</f>
        <v>n/a</v>
      </c>
      <c r="AA49" s="121">
        <f>IFERROR(R49/V49-1,"n/a")</f>
        <v>0</v>
      </c>
      <c r="AB49" s="148"/>
      <c r="AC49" s="89">
        <v>9</v>
      </c>
      <c r="AD49" s="68">
        <v>0</v>
      </c>
      <c r="AE49" s="68">
        <v>0</v>
      </c>
      <c r="AF49" s="78">
        <v>16</v>
      </c>
      <c r="AH49" s="123"/>
    </row>
    <row r="50" spans="3:34" s="124" customFormat="1" ht="11.25">
      <c r="C50" s="33"/>
      <c r="D50" s="26" t="s">
        <v>11</v>
      </c>
      <c r="E50" s="32"/>
      <c r="F50" s="74">
        <f t="shared" si="7"/>
        <v>6222</v>
      </c>
      <c r="G50" s="74">
        <f t="shared" si="7"/>
        <v>9205</v>
      </c>
      <c r="H50" s="74">
        <f t="shared" si="7"/>
        <v>2226</v>
      </c>
      <c r="I50" s="74">
        <f t="shared" si="7"/>
        <v>0</v>
      </c>
      <c r="J50" s="74">
        <f t="shared" si="7"/>
        <v>0</v>
      </c>
      <c r="K50" s="74">
        <f t="shared" si="7"/>
        <v>6817</v>
      </c>
      <c r="L50" s="64">
        <f>IFERROR(F50/G50-1,"n/a")</f>
        <v>-0.32406300923411191</v>
      </c>
      <c r="M50" s="64">
        <f>IFERROR(F50/H50-1,"n/a")</f>
        <v>1.7951482479784366</v>
      </c>
      <c r="N50" s="64" t="str">
        <f>IFERROR(F50/I50-1,"n/a")</f>
        <v>n/a</v>
      </c>
      <c r="O50" s="64" t="str">
        <f>IFERROR(F50/J50-1,"n/a")</f>
        <v>n/a</v>
      </c>
      <c r="P50" s="60">
        <f>IFERROR(F50/K50-1,"n/a")</f>
        <v>-8.7281795511221949E-2</v>
      </c>
      <c r="Q50" s="74">
        <f>'May-24'!Q50+F50</f>
        <v>18659</v>
      </c>
      <c r="R50" s="74">
        <f>'May-24'!R50+G50</f>
        <v>13587</v>
      </c>
      <c r="S50" s="74">
        <f>'May-24'!S50+H50</f>
        <v>3151</v>
      </c>
      <c r="T50" s="74">
        <f>'May-24'!T50+I50</f>
        <v>0</v>
      </c>
      <c r="U50" s="74">
        <f>'May-24'!U50+J50</f>
        <v>0</v>
      </c>
      <c r="V50" s="74">
        <f>'May-24'!V50+K50</f>
        <v>10227</v>
      </c>
      <c r="W50" s="120">
        <f t="shared" si="8"/>
        <v>0.37329800544638259</v>
      </c>
      <c r="X50" s="120">
        <f t="shared" si="8"/>
        <v>3.3119644557283401</v>
      </c>
      <c r="Y50" s="120" t="str">
        <f>IFERROR(R50/T50-1,"n/a")</f>
        <v>n/a</v>
      </c>
      <c r="Z50" s="120" t="str">
        <f>IFERROR(R50/U50-1,"n/a")</f>
        <v>n/a</v>
      </c>
      <c r="AA50" s="121">
        <f>IFERROR(R50/V50-1,"n/a")</f>
        <v>0.32854209445585214</v>
      </c>
      <c r="AB50" s="148"/>
      <c r="AC50" s="82">
        <v>15637</v>
      </c>
      <c r="AD50" s="68">
        <v>0</v>
      </c>
      <c r="AE50" s="68">
        <v>0</v>
      </c>
      <c r="AF50" s="78">
        <v>20248</v>
      </c>
      <c r="AH50" s="123"/>
    </row>
    <row r="51" spans="3:34" s="124" customFormat="1" ht="12" thickBot="1">
      <c r="C51" s="35" t="s">
        <v>12</v>
      </c>
      <c r="D51" s="36"/>
      <c r="E51" s="37"/>
      <c r="F51" s="75">
        <f>F37+F40+F43+F46+F49</f>
        <v>463</v>
      </c>
      <c r="G51" s="75">
        <f>G37+G40+G43+G46+G49</f>
        <v>347</v>
      </c>
      <c r="H51" s="75">
        <f t="shared" ref="H51:K52" si="9">H37+H40+H43+H46+H49</f>
        <v>327</v>
      </c>
      <c r="I51" s="75">
        <f t="shared" si="9"/>
        <v>21</v>
      </c>
      <c r="J51" s="75">
        <f t="shared" si="9"/>
        <v>0</v>
      </c>
      <c r="K51" s="75">
        <f t="shared" si="9"/>
        <v>278</v>
      </c>
      <c r="L51" s="66">
        <f>IFERROR(F51/G51-1,"n/a")</f>
        <v>0.33429394812680124</v>
      </c>
      <c r="M51" s="66">
        <f>IFERROR(F51/H51-1,"n/a")</f>
        <v>0.41590214067278297</v>
      </c>
      <c r="N51" s="66">
        <f>IFERROR(F51/I51-1,"n/a")</f>
        <v>21.047619047619047</v>
      </c>
      <c r="O51" s="66" t="str">
        <f>IFERROR(F51/J51-1,"n/a")</f>
        <v>n/a</v>
      </c>
      <c r="P51" s="62">
        <f>IFERROR(F51/K51-1,"n/a")</f>
        <v>0.66546762589928066</v>
      </c>
      <c r="Q51" s="75">
        <f t="shared" ref="Q51:V52" si="10">Q37+Q40+Q43+Q46+Q49</f>
        <v>1447</v>
      </c>
      <c r="R51" s="75">
        <f t="shared" si="10"/>
        <v>1162</v>
      </c>
      <c r="S51" s="75">
        <f>S37+S40+S43+S46+S49</f>
        <v>1007</v>
      </c>
      <c r="T51" s="75">
        <f t="shared" si="10"/>
        <v>46</v>
      </c>
      <c r="U51" s="75">
        <f t="shared" si="10"/>
        <v>42</v>
      </c>
      <c r="V51" s="75">
        <f t="shared" si="10"/>
        <v>883</v>
      </c>
      <c r="W51" s="66">
        <f t="shared" si="8"/>
        <v>0.24526678141135982</v>
      </c>
      <c r="X51" s="66">
        <f t="shared" si="8"/>
        <v>0.15392254220456802</v>
      </c>
      <c r="Y51" s="66">
        <f>IFERROR(R51/T51-1,"n/a")</f>
        <v>24.260869565217391</v>
      </c>
      <c r="Z51" s="66">
        <f t="shared" ref="Z51:Z52" si="11">IFERROR(R51/U51-1,"n/a")</f>
        <v>26.666666666666668</v>
      </c>
      <c r="AA51" s="62">
        <f>IFERROR(R51/V51-1,"n/a")</f>
        <v>0.31596828992072479</v>
      </c>
      <c r="AB51" s="66"/>
      <c r="AC51" s="46">
        <f t="shared" ref="AC51:AE52" si="12">AC37+AC40+AC43+AC46+AC49</f>
        <v>3856</v>
      </c>
      <c r="AD51" s="46">
        <f t="shared" si="12"/>
        <v>1673</v>
      </c>
      <c r="AE51" s="46">
        <f t="shared" si="12"/>
        <v>669</v>
      </c>
      <c r="AF51" s="80">
        <f>AF37+AF40+AF43+AF46+AF49</f>
        <v>3241</v>
      </c>
      <c r="AH51" s="123"/>
    </row>
    <row r="52" spans="3:34" s="124" customFormat="1" ht="12.75" thickTop="1" thickBot="1">
      <c r="C52" s="38" t="s">
        <v>13</v>
      </c>
      <c r="D52" s="39"/>
      <c r="E52" s="40"/>
      <c r="F52" s="76">
        <f>F38+F41+F44+F47+F50</f>
        <v>1462486</v>
      </c>
      <c r="G52" s="76">
        <f>G38+G41+G44+G47+G50</f>
        <v>1097755</v>
      </c>
      <c r="H52" s="76">
        <f t="shared" si="9"/>
        <v>677800</v>
      </c>
      <c r="I52" s="76">
        <f t="shared" si="9"/>
        <v>29404</v>
      </c>
      <c r="J52" s="76">
        <f t="shared" si="9"/>
        <v>2213</v>
      </c>
      <c r="K52" s="76">
        <f t="shared" si="9"/>
        <v>828495</v>
      </c>
      <c r="L52" s="67">
        <f>IFERROR(F52/G52-1,"n/a")</f>
        <v>0.33225173194383073</v>
      </c>
      <c r="M52" s="67">
        <f>IFERROR(F52/H52-1,"n/a")</f>
        <v>1.1576954853939214</v>
      </c>
      <c r="N52" s="67">
        <f>IFERROR(F52/I52-1,"n/a")</f>
        <v>48.737654740851582</v>
      </c>
      <c r="O52" s="67">
        <f>IFERROR(F52/J52-1,"n/a")</f>
        <v>659.86127428829639</v>
      </c>
      <c r="P52" s="63">
        <f>IFERROR(F52/K52-1,"n/a")</f>
        <v>0.76523213779202037</v>
      </c>
      <c r="Q52" s="76">
        <f t="shared" si="10"/>
        <v>4140371.4</v>
      </c>
      <c r="R52" s="76">
        <f t="shared" si="10"/>
        <v>3120200</v>
      </c>
      <c r="S52" s="76">
        <f t="shared" si="10"/>
        <v>1764775</v>
      </c>
      <c r="T52" s="76">
        <f t="shared" si="10"/>
        <v>59887</v>
      </c>
      <c r="U52" s="76">
        <f t="shared" si="10"/>
        <v>2213</v>
      </c>
      <c r="V52" s="76">
        <f t="shared" si="10"/>
        <v>2457357</v>
      </c>
      <c r="W52" s="67">
        <f t="shared" si="8"/>
        <v>0.32695705403499775</v>
      </c>
      <c r="X52" s="67">
        <f t="shared" si="8"/>
        <v>0.76804408494000653</v>
      </c>
      <c r="Y52" s="118">
        <f>IFERROR(R52/T52-1,"n/a")</f>
        <v>51.101457745420539</v>
      </c>
      <c r="Z52" s="118">
        <f t="shared" si="11"/>
        <v>1408.9412562132852</v>
      </c>
      <c r="AA52" s="119">
        <f>IFERROR(R52/V52-1,"n/a")</f>
        <v>0.26973817805064537</v>
      </c>
      <c r="AB52" s="118"/>
      <c r="AC52" s="47">
        <f t="shared" si="12"/>
        <v>9237323</v>
      </c>
      <c r="AD52" s="47">
        <f t="shared" si="12"/>
        <v>2410085</v>
      </c>
      <c r="AE52" s="47">
        <f t="shared" si="12"/>
        <v>1324261</v>
      </c>
      <c r="AF52" s="81">
        <f>AF38+AF41+AF44+AF47+AF50</f>
        <v>8638971</v>
      </c>
      <c r="AH52" s="123"/>
    </row>
    <row r="53" spans="3:34" s="124" customFormat="1" ht="12" thickTop="1">
      <c r="AH53" s="123"/>
    </row>
    <row r="54" spans="3:34" s="124" customFormat="1" ht="11.25">
      <c r="S54" s="132"/>
      <c r="T54" s="132"/>
      <c r="U54" s="132"/>
      <c r="V54" s="132"/>
      <c r="AH54" s="123"/>
    </row>
    <row r="55" spans="3:34" ht="15">
      <c r="S55" s="111"/>
      <c r="T55" s="111"/>
      <c r="U55" s="111"/>
      <c r="V55" s="111"/>
      <c r="AH55" s="9"/>
    </row>
    <row r="56" spans="3:34" ht="15">
      <c r="S56" s="111"/>
      <c r="T56" s="111"/>
      <c r="U56" s="111"/>
      <c r="V56" s="111"/>
      <c r="AH56" s="9"/>
    </row>
    <row r="57" spans="3:34" ht="15">
      <c r="S57" s="111"/>
      <c r="T57" s="111"/>
      <c r="U57" s="111"/>
      <c r="V57" s="111"/>
      <c r="AH57" s="9"/>
    </row>
    <row r="58" spans="3:34" ht="15">
      <c r="AH58" s="9"/>
    </row>
    <row r="59" spans="3:34" ht="15">
      <c r="AH59" s="9"/>
    </row>
    <row r="60" spans="3:34" ht="15">
      <c r="AH60" s="9"/>
    </row>
    <row r="61" spans="3:34" ht="15" customHeight="1"/>
    <row r="62" spans="3:34" ht="15" customHeight="1"/>
    <row r="63" spans="3:34" ht="15" customHeight="1"/>
    <row r="64" spans="3:34" ht="15" customHeight="1"/>
    <row r="65" ht="15" customHeight="1"/>
    <row r="66" ht="15" customHeight="1"/>
  </sheetData>
  <mergeCells count="9">
    <mergeCell ref="AB34:AF34"/>
    <mergeCell ref="F9:P9"/>
    <mergeCell ref="Q9:AA9"/>
    <mergeCell ref="AB9:AF9"/>
    <mergeCell ref="F10:P10"/>
    <mergeCell ref="Q10:AA10"/>
    <mergeCell ref="F33:P33"/>
    <mergeCell ref="Q33:AA33"/>
    <mergeCell ref="AB33:AF33"/>
  </mergeCells>
  <pageMargins left="0.7" right="0.7" top="0.75" bottom="0.75" header="0.3" footer="0.3"/>
  <pageSetup paperSize="9" orientation="portrait" horizontalDpi="0" verticalDpi="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66"/>
  <sheetViews>
    <sheetView showGridLines="0" topLeftCell="I32" zoomScale="95" zoomScaleNormal="75" workbookViewId="0">
      <selection activeCell="Q13" sqref="Q13"/>
    </sheetView>
  </sheetViews>
  <sheetFormatPr defaultColWidth="0" defaultRowHeight="0" customHeight="1" zeroHeight="1"/>
  <cols>
    <col min="1" max="2" width="4.140625" customWidth="1"/>
    <col min="3" max="3" width="3.85546875" customWidth="1"/>
    <col min="4" max="4" width="8.85546875" customWidth="1"/>
    <col min="5" max="6" width="13" customWidth="1"/>
    <col min="7" max="7" width="11.140625" bestFit="1" customWidth="1"/>
    <col min="8" max="8" width="10.140625" bestFit="1" customWidth="1"/>
    <col min="9" max="10" width="8.85546875" customWidth="1"/>
    <col min="11" max="11" width="10.140625" bestFit="1" customWidth="1"/>
    <col min="12" max="12" width="8" customWidth="1"/>
    <col min="13" max="13" width="8.85546875" bestFit="1" customWidth="1"/>
    <col min="14" max="16" width="8" customWidth="1"/>
    <col min="17" max="17" width="10.140625" bestFit="1" customWidth="1"/>
    <col min="18" max="18" width="12" bestFit="1" customWidth="1"/>
    <col min="19" max="19" width="11.5703125" bestFit="1" customWidth="1"/>
    <col min="20" max="20" width="10.42578125" bestFit="1" customWidth="1"/>
    <col min="21" max="21" width="11.5703125" bestFit="1" customWidth="1"/>
    <col min="22" max="22" width="11.85546875" bestFit="1" customWidth="1"/>
    <col min="23" max="23" width="9.140625" bestFit="1" customWidth="1"/>
    <col min="24" max="24" width="8.85546875" bestFit="1" customWidth="1"/>
    <col min="25" max="25" width="8.85546875" customWidth="1"/>
    <col min="26" max="26" width="9" bestFit="1" customWidth="1"/>
    <col min="27" max="27" width="7.85546875" customWidth="1"/>
    <col min="28" max="28" width="10.140625" bestFit="1" customWidth="1"/>
    <col min="29" max="29" width="13.42578125" bestFit="1" customWidth="1"/>
    <col min="30" max="30" width="13.140625" bestFit="1" customWidth="1"/>
    <col min="31" max="31" width="12.85546875" bestFit="1" customWidth="1"/>
    <col min="32" max="32" width="15.42578125" bestFit="1" customWidth="1"/>
    <col min="33" max="33" width="11.140625" customWidth="1"/>
    <col min="34" max="34" width="3.42578125" customWidth="1"/>
    <col min="35" max="16384" width="8.85546875" hidden="1"/>
  </cols>
  <sheetData>
    <row r="1" spans="1:34" ht="15">
      <c r="A1" s="9"/>
      <c r="B1" s="9"/>
      <c r="C1" s="9"/>
      <c r="D1" s="9"/>
      <c r="E1" s="9"/>
      <c r="F1" s="9"/>
      <c r="G1" s="9"/>
      <c r="H1" s="9"/>
      <c r="I1" s="9"/>
      <c r="J1" s="9"/>
      <c r="K1" s="9"/>
      <c r="L1" s="9"/>
      <c r="M1" s="9"/>
      <c r="N1" s="9"/>
      <c r="O1" s="9"/>
      <c r="P1" s="9"/>
      <c r="Q1" s="9"/>
      <c r="R1" s="9"/>
      <c r="S1" s="9"/>
      <c r="T1" s="9"/>
      <c r="U1" s="9"/>
      <c r="V1" s="9"/>
      <c r="W1" s="9"/>
      <c r="X1" s="9"/>
      <c r="Y1" s="9"/>
      <c r="Z1" s="9"/>
      <c r="AA1" s="9"/>
      <c r="AB1" s="9"/>
      <c r="AC1" s="9"/>
      <c r="AD1" s="9"/>
      <c r="AE1" s="9"/>
      <c r="AF1" s="9"/>
      <c r="AG1" s="9"/>
      <c r="AH1" s="9"/>
    </row>
    <row r="2" spans="1:34" ht="31.35" customHeight="1" thickBot="1">
      <c r="A2" s="9"/>
      <c r="B2" s="8" t="s">
        <v>6</v>
      </c>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4"/>
      <c r="AH2" s="9"/>
    </row>
    <row r="3" spans="1:34" ht="15">
      <c r="A3" s="9"/>
      <c r="B3" s="10"/>
      <c r="C3" s="24"/>
      <c r="D3" s="24"/>
      <c r="E3" s="24"/>
      <c r="F3" s="24"/>
      <c r="G3" s="24"/>
      <c r="H3" s="24"/>
      <c r="I3" s="24"/>
      <c r="J3" s="24"/>
      <c r="K3" s="24"/>
      <c r="L3" s="24"/>
      <c r="M3" s="24"/>
      <c r="N3" s="24"/>
      <c r="O3" s="24"/>
      <c r="P3" s="24"/>
      <c r="Q3" s="24"/>
      <c r="R3" s="24"/>
      <c r="S3" s="24"/>
      <c r="T3" s="24"/>
      <c r="U3" s="24"/>
      <c r="V3" s="24"/>
      <c r="W3" s="24"/>
      <c r="X3" s="24"/>
      <c r="Y3" s="24"/>
      <c r="Z3" s="24"/>
      <c r="AA3" s="24"/>
      <c r="AB3" s="24"/>
      <c r="AC3" s="24"/>
      <c r="AD3" s="24"/>
      <c r="AE3" s="24"/>
      <c r="AF3" s="25">
        <v>45458</v>
      </c>
      <c r="AG3" s="25"/>
      <c r="AH3" s="9"/>
    </row>
    <row r="4" spans="1:34" ht="15.75">
      <c r="A4" s="9"/>
      <c r="B4" s="11" t="s">
        <v>7</v>
      </c>
      <c r="C4" s="26"/>
      <c r="D4" s="93" t="s">
        <v>47</v>
      </c>
      <c r="E4" s="134" t="s">
        <v>127</v>
      </c>
      <c r="F4" s="134"/>
      <c r="G4" s="24"/>
      <c r="H4" s="24"/>
      <c r="I4" s="24"/>
      <c r="J4" s="24"/>
      <c r="K4" s="24"/>
      <c r="L4" s="24"/>
      <c r="M4" s="24"/>
      <c r="N4" s="24"/>
      <c r="O4" s="24"/>
      <c r="P4" s="24"/>
      <c r="Q4" s="24"/>
      <c r="R4" s="24"/>
      <c r="S4" s="24"/>
      <c r="T4" s="24"/>
      <c r="U4" s="24"/>
      <c r="V4" s="24"/>
      <c r="W4" s="24"/>
      <c r="X4" s="24"/>
      <c r="Y4" s="24"/>
      <c r="Z4" s="24"/>
      <c r="AA4" s="24"/>
      <c r="AB4" s="24"/>
      <c r="AC4" s="24"/>
      <c r="AD4" s="24"/>
      <c r="AE4" s="24"/>
      <c r="AF4" s="24"/>
      <c r="AG4" s="24"/>
      <c r="AH4" s="9"/>
    </row>
    <row r="5" spans="1:34" ht="15">
      <c r="A5" s="9"/>
      <c r="B5" s="10"/>
      <c r="C5" s="24"/>
      <c r="D5" s="24"/>
      <c r="E5" s="24"/>
      <c r="F5" s="24"/>
      <c r="G5" s="24"/>
      <c r="H5" s="24"/>
      <c r="I5" s="24"/>
      <c r="J5" s="24"/>
      <c r="K5" s="24"/>
      <c r="L5" s="24"/>
      <c r="M5" s="24"/>
      <c r="N5" s="24"/>
      <c r="O5" s="24"/>
      <c r="P5" s="24"/>
      <c r="Q5" s="24"/>
      <c r="R5" s="24"/>
      <c r="S5" s="24"/>
      <c r="T5" s="24"/>
      <c r="U5" s="24"/>
      <c r="V5" s="24"/>
      <c r="W5" s="24"/>
      <c r="X5" s="24"/>
      <c r="Y5" s="24"/>
      <c r="Z5" s="24"/>
      <c r="AA5" s="24"/>
      <c r="AB5" s="24"/>
      <c r="AC5" s="24"/>
      <c r="AD5" s="24"/>
      <c r="AE5" s="24"/>
      <c r="AF5" s="24"/>
      <c r="AG5" s="24"/>
      <c r="AH5" s="9"/>
    </row>
    <row r="6" spans="1:34" ht="15">
      <c r="A6" s="9"/>
      <c r="B6" s="10"/>
      <c r="C6" s="24"/>
      <c r="D6" s="24"/>
      <c r="E6" s="24"/>
      <c r="F6" s="24"/>
      <c r="G6" s="24"/>
      <c r="H6" s="24"/>
      <c r="I6" s="24"/>
      <c r="J6" s="24"/>
      <c r="K6" s="24"/>
      <c r="L6" s="24"/>
      <c r="M6" s="24"/>
      <c r="N6" s="24"/>
      <c r="O6" s="24"/>
      <c r="P6" s="24"/>
      <c r="Q6" s="24"/>
      <c r="R6" s="24"/>
      <c r="S6" s="24"/>
      <c r="T6" s="24"/>
      <c r="U6" s="24"/>
      <c r="V6" s="24"/>
      <c r="W6" s="24"/>
      <c r="X6" s="24"/>
      <c r="Y6" s="24"/>
      <c r="Z6" s="24"/>
      <c r="AA6" s="24"/>
      <c r="AB6" s="24"/>
      <c r="AC6" s="24"/>
      <c r="AD6" s="24"/>
      <c r="AE6" s="24"/>
      <c r="AF6" s="24"/>
      <c r="AG6" s="24"/>
      <c r="AH6" s="9"/>
    </row>
    <row r="7" spans="1:34" ht="15">
      <c r="A7" s="9"/>
      <c r="B7" s="10"/>
      <c r="C7" s="86" t="s">
        <v>62</v>
      </c>
      <c r="D7" s="24"/>
      <c r="E7" s="24"/>
      <c r="F7" s="24"/>
      <c r="G7" s="24"/>
      <c r="H7" s="24"/>
      <c r="I7" s="24"/>
      <c r="J7" s="24"/>
      <c r="K7" s="24"/>
      <c r="L7" s="24"/>
      <c r="M7" s="24"/>
      <c r="N7" s="24"/>
      <c r="O7" s="24"/>
      <c r="P7" s="24"/>
      <c r="Q7" s="24"/>
      <c r="R7" s="24"/>
      <c r="S7" s="24"/>
      <c r="T7" s="24"/>
      <c r="U7" s="24"/>
      <c r="V7" s="24"/>
      <c r="W7" s="24"/>
      <c r="X7" s="24"/>
      <c r="Y7" s="24"/>
      <c r="Z7" s="24"/>
      <c r="AA7" s="24"/>
      <c r="AB7" s="24"/>
      <c r="AC7" s="24"/>
      <c r="AD7" s="24"/>
      <c r="AE7" s="24"/>
      <c r="AF7" s="24"/>
      <c r="AG7" s="24"/>
      <c r="AH7" s="9"/>
    </row>
    <row r="8" spans="1:34" ht="15">
      <c r="A8" s="9"/>
      <c r="B8" s="10"/>
      <c r="C8" s="24"/>
      <c r="D8" s="24"/>
      <c r="E8" s="24"/>
      <c r="F8" s="24"/>
      <c r="G8" s="24"/>
      <c r="H8" s="24"/>
      <c r="I8" s="24"/>
      <c r="J8" s="24"/>
      <c r="K8" s="24"/>
      <c r="L8" s="24"/>
      <c r="M8" s="24"/>
      <c r="N8" s="24"/>
      <c r="O8" s="24"/>
      <c r="P8" s="24"/>
      <c r="Q8" s="24"/>
      <c r="R8" s="24"/>
      <c r="S8" s="24"/>
      <c r="T8" s="24"/>
      <c r="U8" s="24"/>
      <c r="V8" s="24"/>
      <c r="W8" s="24"/>
      <c r="X8" s="24"/>
      <c r="Y8" s="24"/>
      <c r="Z8" s="24"/>
      <c r="AA8" s="24"/>
      <c r="AB8" s="24"/>
      <c r="AC8" s="24"/>
      <c r="AD8" s="24"/>
      <c r="AE8" s="24"/>
      <c r="AF8" s="24"/>
      <c r="AG8" s="24"/>
      <c r="AH8" s="9"/>
    </row>
    <row r="9" spans="1:34" s="124" customFormat="1" ht="15" customHeight="1">
      <c r="A9" s="123"/>
      <c r="C9" s="27" t="s">
        <v>7</v>
      </c>
      <c r="D9" s="28"/>
      <c r="E9" s="28"/>
      <c r="F9" s="155" t="str">
        <f>D4</f>
        <v>May</v>
      </c>
      <c r="G9" s="155"/>
      <c r="H9" s="155"/>
      <c r="I9" s="155"/>
      <c r="J9" s="155"/>
      <c r="K9" s="155"/>
      <c r="L9" s="155"/>
      <c r="M9" s="155"/>
      <c r="N9" s="155"/>
      <c r="O9" s="155"/>
      <c r="P9" s="156"/>
      <c r="Q9" s="157" t="str">
        <f>"January to "&amp; D4</f>
        <v>January to May</v>
      </c>
      <c r="R9" s="158"/>
      <c r="S9" s="158"/>
      <c r="T9" s="158"/>
      <c r="U9" s="158"/>
      <c r="V9" s="158"/>
      <c r="W9" s="158"/>
      <c r="X9" s="158"/>
      <c r="Y9" s="158"/>
      <c r="Z9" s="158"/>
      <c r="AA9" s="159"/>
      <c r="AB9" s="157" t="s">
        <v>57</v>
      </c>
      <c r="AC9" s="158"/>
      <c r="AD9" s="158"/>
      <c r="AE9" s="158"/>
      <c r="AF9" s="160"/>
      <c r="AG9" s="123"/>
      <c r="AH9" s="123"/>
    </row>
    <row r="10" spans="1:34" s="124" customFormat="1" ht="13.5">
      <c r="A10" s="123"/>
      <c r="B10" s="125"/>
      <c r="C10" s="29"/>
      <c r="D10" s="30"/>
      <c r="E10" s="30"/>
      <c r="F10" s="152"/>
      <c r="G10" s="153"/>
      <c r="H10" s="153"/>
      <c r="I10" s="153"/>
      <c r="J10" s="153"/>
      <c r="K10" s="153"/>
      <c r="L10" s="153"/>
      <c r="M10" s="153"/>
      <c r="N10" s="153"/>
      <c r="O10" s="153"/>
      <c r="P10" s="154"/>
      <c r="Q10" s="152"/>
      <c r="R10" s="153"/>
      <c r="S10" s="153"/>
      <c r="T10" s="153"/>
      <c r="U10" s="153"/>
      <c r="V10" s="153"/>
      <c r="W10" s="153"/>
      <c r="X10" s="153"/>
      <c r="Y10" s="153"/>
      <c r="Z10" s="153"/>
      <c r="AA10" s="154"/>
      <c r="AB10" s="30"/>
      <c r="AC10" s="30"/>
      <c r="AD10" s="30"/>
      <c r="AE10" s="30"/>
      <c r="AF10" s="56"/>
      <c r="AG10" s="123"/>
      <c r="AH10" s="123"/>
    </row>
    <row r="11" spans="1:34" s="124" customFormat="1" ht="26.1" customHeight="1">
      <c r="A11" s="126"/>
      <c r="B11" s="127"/>
      <c r="C11" s="59" t="s">
        <v>29</v>
      </c>
      <c r="D11" s="50"/>
      <c r="E11" s="51"/>
      <c r="F11" s="55">
        <v>2024</v>
      </c>
      <c r="G11" s="52">
        <v>2023</v>
      </c>
      <c r="H11" s="52">
        <v>2022</v>
      </c>
      <c r="I11" s="52">
        <v>2021</v>
      </c>
      <c r="J11" s="52">
        <v>2020</v>
      </c>
      <c r="K11" s="52">
        <v>2019</v>
      </c>
      <c r="L11" s="53" t="s">
        <v>116</v>
      </c>
      <c r="M11" s="53" t="s">
        <v>117</v>
      </c>
      <c r="N11" s="53" t="s">
        <v>118</v>
      </c>
      <c r="O11" s="53" t="s">
        <v>119</v>
      </c>
      <c r="P11" s="57" t="s">
        <v>101</v>
      </c>
      <c r="Q11" s="53">
        <v>2024</v>
      </c>
      <c r="R11" s="53">
        <v>2023</v>
      </c>
      <c r="S11" s="53">
        <v>2022</v>
      </c>
      <c r="T11" s="52">
        <v>2021</v>
      </c>
      <c r="U11" s="52">
        <v>2020</v>
      </c>
      <c r="V11" s="52">
        <v>2019</v>
      </c>
      <c r="W11" s="53" t="s">
        <v>116</v>
      </c>
      <c r="X11" s="53" t="s">
        <v>117</v>
      </c>
      <c r="Y11" s="53" t="s">
        <v>118</v>
      </c>
      <c r="Z11" s="53" t="s">
        <v>119</v>
      </c>
      <c r="AA11" s="57" t="s">
        <v>101</v>
      </c>
      <c r="AB11" s="53">
        <v>2023</v>
      </c>
      <c r="AC11" s="53">
        <v>2022</v>
      </c>
      <c r="AD11" s="53">
        <v>2021</v>
      </c>
      <c r="AE11" s="52">
        <v>2020</v>
      </c>
      <c r="AF11" s="77">
        <v>2019</v>
      </c>
      <c r="AG11" s="126"/>
      <c r="AH11" s="126"/>
    </row>
    <row r="12" spans="1:34" s="124" customFormat="1" ht="12.75">
      <c r="A12" s="123"/>
      <c r="B12" s="128"/>
      <c r="C12" s="31" t="s">
        <v>108</v>
      </c>
      <c r="D12" s="26"/>
      <c r="E12" s="32"/>
      <c r="F12" s="26"/>
      <c r="G12" s="26"/>
      <c r="H12" s="26"/>
      <c r="I12" s="26"/>
      <c r="J12" s="26"/>
      <c r="K12" s="26"/>
      <c r="L12" s="26"/>
      <c r="M12" s="26"/>
      <c r="N12" s="26"/>
      <c r="O12" s="26"/>
      <c r="P12" s="32"/>
      <c r="Q12" s="26"/>
      <c r="R12" s="26"/>
      <c r="S12" s="26"/>
      <c r="T12" s="26"/>
      <c r="U12" s="26"/>
      <c r="V12" s="26"/>
      <c r="W12" s="26"/>
      <c r="X12" s="26"/>
      <c r="Y12" s="26"/>
      <c r="Z12" s="26"/>
      <c r="AA12" s="32"/>
      <c r="AB12" s="26"/>
      <c r="AC12" s="26"/>
      <c r="AD12" s="26"/>
      <c r="AE12" s="26"/>
      <c r="AF12" s="32"/>
      <c r="AG12" s="123"/>
      <c r="AH12" s="123"/>
    </row>
    <row r="13" spans="1:34" s="124" customFormat="1" ht="12.75">
      <c r="A13" s="123"/>
      <c r="B13" s="128"/>
      <c r="C13" s="33"/>
      <c r="D13" s="26" t="s">
        <v>5</v>
      </c>
      <c r="E13" s="32"/>
      <c r="F13" s="71">
        <v>163</v>
      </c>
      <c r="G13" s="71">
        <v>99</v>
      </c>
      <c r="H13" s="71">
        <v>83</v>
      </c>
      <c r="I13" s="71">
        <v>0</v>
      </c>
      <c r="J13" s="71">
        <v>0</v>
      </c>
      <c r="K13" s="71">
        <v>90</v>
      </c>
      <c r="L13" s="64">
        <f>IFERROR(F13/G13-1,"n/a")</f>
        <v>0.64646464646464641</v>
      </c>
      <c r="M13" s="64">
        <f>IFERROR(F13/H13-1,"n/a")</f>
        <v>0.96385542168674698</v>
      </c>
      <c r="N13" s="64" t="str">
        <f>IFERROR(F13/I13-1,"n/a")</f>
        <v>n/a</v>
      </c>
      <c r="O13" s="64" t="str">
        <f>IFERROR(F13/J13-1,"n/a")</f>
        <v>n/a</v>
      </c>
      <c r="P13" s="60">
        <f>IFERROR(F13/K13-1,"n/a")</f>
        <v>0.81111111111111112</v>
      </c>
      <c r="Q13" s="68">
        <f>'Apr-24'!Q13+F13</f>
        <v>1052</v>
      </c>
      <c r="R13" s="68">
        <f>'Apr-24'!R13+G13</f>
        <v>758</v>
      </c>
      <c r="S13" s="68">
        <f>'Apr-24'!S13+H13</f>
        <v>749</v>
      </c>
      <c r="T13" s="68">
        <f>'Apr-24'!T13+I13</f>
        <v>0</v>
      </c>
      <c r="U13" s="68">
        <f>'Apr-24'!U13+J13</f>
        <v>551</v>
      </c>
      <c r="V13" s="68">
        <f>'Apr-24'!V13+K13</f>
        <v>735</v>
      </c>
      <c r="W13" s="64">
        <f>IFERROR(Q13/R13-1,"n/a")</f>
        <v>0.38786279683377312</v>
      </c>
      <c r="X13" s="64">
        <f>IFERROR(Q13/S13-1,"n/a")</f>
        <v>0.40453938584779703</v>
      </c>
      <c r="Y13" s="64" t="str">
        <f>IFERROR(Q13/T13-1,"n/a")</f>
        <v>n/a</v>
      </c>
      <c r="Z13" s="64">
        <f>IFERROR(Q13/U13-1,"n/a")</f>
        <v>0.90925589836660614</v>
      </c>
      <c r="AA13" s="60">
        <f>IFERROR(Q13/V13-1,"n/a")</f>
        <v>0.43129251700680271</v>
      </c>
      <c r="AB13" s="68">
        <v>1630</v>
      </c>
      <c r="AC13" s="68">
        <v>1486</v>
      </c>
      <c r="AD13" s="68">
        <v>522</v>
      </c>
      <c r="AE13" s="68">
        <v>551</v>
      </c>
      <c r="AF13" s="135">
        <v>1591</v>
      </c>
      <c r="AG13" s="123"/>
      <c r="AH13" s="123"/>
    </row>
    <row r="14" spans="1:34" s="124" customFormat="1" ht="12.75">
      <c r="A14" s="123"/>
      <c r="B14" s="128"/>
      <c r="C14" s="33"/>
      <c r="D14" s="26" t="s">
        <v>11</v>
      </c>
      <c r="E14" s="32"/>
      <c r="F14" s="71">
        <v>584059</v>
      </c>
      <c r="G14" s="71">
        <v>353242</v>
      </c>
      <c r="H14" s="71">
        <v>234968</v>
      </c>
      <c r="I14" s="71">
        <v>0</v>
      </c>
      <c r="J14" s="71">
        <v>0</v>
      </c>
      <c r="K14" s="71">
        <v>303053</v>
      </c>
      <c r="L14" s="64">
        <f>IFERROR(F14/G14-1,"n/a")</f>
        <v>0.65342456446288955</v>
      </c>
      <c r="M14" s="64">
        <f>IFERROR(F14/H14-1,"n/a")</f>
        <v>1.4856959245514281</v>
      </c>
      <c r="N14" s="64" t="str">
        <f>IFERROR(F14/I14-1,"n/a")</f>
        <v>n/a</v>
      </c>
      <c r="O14" s="64" t="str">
        <f>IFERROR(F14/J14-1,"n/a")</f>
        <v>n/a</v>
      </c>
      <c r="P14" s="60">
        <f>IFERROR(F14/K14-1,"n/a")</f>
        <v>0.92725034894886371</v>
      </c>
      <c r="Q14" s="68">
        <f>'Apr-24'!Q14+F14</f>
        <v>3397597</v>
      </c>
      <c r="R14" s="68">
        <f>'Apr-24'!R14+G14</f>
        <v>2341177</v>
      </c>
      <c r="S14" s="68">
        <f>'Apr-24'!S14+H14</f>
        <v>1292414</v>
      </c>
      <c r="T14" s="68">
        <f>'Apr-24'!T14+I14</f>
        <v>0</v>
      </c>
      <c r="U14" s="68">
        <f>'Apr-24'!U14+J14</f>
        <v>1092884</v>
      </c>
      <c r="V14" s="68">
        <f>'Apr-24'!V14+K14</f>
        <v>2148202</v>
      </c>
      <c r="W14" s="64">
        <f>IFERROR(Q14/R14-1,"n/a")</f>
        <v>0.45123457132886569</v>
      </c>
      <c r="X14" s="64">
        <f>IFERROR(Q14/S14-1,"n/a")</f>
        <v>1.6288766602652092</v>
      </c>
      <c r="Y14" s="64" t="str">
        <f>IFERROR(Q14/T14-1,"n/a")</f>
        <v>n/a</v>
      </c>
      <c r="Z14" s="64">
        <f>IFERROR(Q14/U14-1,"n/a")</f>
        <v>2.1088358874317858</v>
      </c>
      <c r="AA14" s="60">
        <f>IFERROR(Q14/V14-1,"n/a")</f>
        <v>0.58160033367439379</v>
      </c>
      <c r="AB14" s="68">
        <v>5232537</v>
      </c>
      <c r="AC14" s="68">
        <v>3592413</v>
      </c>
      <c r="AD14" s="68">
        <v>768312</v>
      </c>
      <c r="AE14" s="68">
        <v>1092884</v>
      </c>
      <c r="AF14" s="135">
        <v>4592479</v>
      </c>
      <c r="AG14" s="123"/>
      <c r="AH14" s="123"/>
    </row>
    <row r="15" spans="1:34" s="124" customFormat="1" ht="12.75">
      <c r="A15" s="123"/>
      <c r="B15" s="128"/>
      <c r="C15" s="31" t="s">
        <v>132</v>
      </c>
      <c r="D15" s="26"/>
      <c r="E15" s="32"/>
      <c r="F15" s="97"/>
      <c r="G15" s="97"/>
      <c r="H15" s="26"/>
      <c r="I15" s="26"/>
      <c r="J15" s="26"/>
      <c r="K15" s="26"/>
      <c r="L15" s="64"/>
      <c r="M15" s="64"/>
      <c r="N15" s="64"/>
      <c r="O15" s="64"/>
      <c r="P15" s="61"/>
      <c r="Q15" s="87"/>
      <c r="R15" s="87"/>
      <c r="S15" s="87"/>
      <c r="T15" s="87"/>
      <c r="U15" s="87"/>
      <c r="V15" s="87"/>
      <c r="W15" s="64"/>
      <c r="X15" s="64"/>
      <c r="Y15" s="64"/>
      <c r="Z15" s="64"/>
      <c r="AA15" s="61"/>
      <c r="AB15" s="43"/>
      <c r="AC15" s="43"/>
      <c r="AD15" s="43"/>
      <c r="AE15" s="43"/>
      <c r="AF15" s="136"/>
      <c r="AG15" s="123"/>
      <c r="AH15" s="123"/>
    </row>
    <row r="16" spans="1:34" s="124" customFormat="1" ht="12.75">
      <c r="A16" s="123"/>
      <c r="B16" s="128"/>
      <c r="C16" s="33"/>
      <c r="D16" s="26" t="s">
        <v>5</v>
      </c>
      <c r="E16" s="32"/>
      <c r="F16" s="71">
        <v>92</v>
      </c>
      <c r="G16" s="71">
        <v>70</v>
      </c>
      <c r="H16" s="71">
        <v>71</v>
      </c>
      <c r="I16" s="71">
        <v>17</v>
      </c>
      <c r="J16" s="71">
        <v>0</v>
      </c>
      <c r="K16" s="71">
        <v>71</v>
      </c>
      <c r="L16" s="64">
        <f>IFERROR(F16/G16-1,"n/a")</f>
        <v>0.31428571428571428</v>
      </c>
      <c r="M16" s="64">
        <f>IFERROR(F16/H16-1,"n/a")</f>
        <v>0.29577464788732399</v>
      </c>
      <c r="N16" s="64">
        <f>IFERROR(F16/I16-1,"n/a")</f>
        <v>4.4117647058823533</v>
      </c>
      <c r="O16" s="64" t="str">
        <f>IFERROR(F16/J16-1,"n/a")</f>
        <v>n/a</v>
      </c>
      <c r="P16" s="60">
        <f>IFERROR(F16/K16-1,"n/a")</f>
        <v>0.29577464788732399</v>
      </c>
      <c r="Q16" s="68">
        <f>'Apr-24'!Q16+F16</f>
        <v>184</v>
      </c>
      <c r="R16" s="68">
        <f>'Apr-24'!R16+G16</f>
        <v>143</v>
      </c>
      <c r="S16" s="68">
        <f>'Apr-24'!S16+H16</f>
        <v>163</v>
      </c>
      <c r="T16" s="68">
        <f>'Apr-24'!T16+I16</f>
        <v>34</v>
      </c>
      <c r="U16" s="68">
        <f>'Apr-24'!U16+J16</f>
        <v>10</v>
      </c>
      <c r="V16" s="68">
        <f>'Apr-24'!V16+K16</f>
        <v>145</v>
      </c>
      <c r="W16" s="64">
        <f>IFERROR(Q16/R16-1,"n/a")</f>
        <v>0.28671328671328666</v>
      </c>
      <c r="X16" s="64">
        <f>IFERROR(Q16/S16-1,"n/a")</f>
        <v>0.12883435582822078</v>
      </c>
      <c r="Y16" s="64">
        <f>IFERROR(Q16/T16-1,"n/a")</f>
        <v>4.4117647058823533</v>
      </c>
      <c r="Z16" s="64">
        <f>IFERROR(Q16/U16-1,"n/a")</f>
        <v>17.399999999999999</v>
      </c>
      <c r="AA16" s="60">
        <f>IFERROR(Q16/V16-1,"n/a")</f>
        <v>0.2689655172413794</v>
      </c>
      <c r="AB16" s="68">
        <v>575</v>
      </c>
      <c r="AC16" s="68">
        <v>572</v>
      </c>
      <c r="AD16" s="68">
        <v>202</v>
      </c>
      <c r="AE16" s="68">
        <v>54</v>
      </c>
      <c r="AF16" s="135">
        <v>586</v>
      </c>
      <c r="AG16" s="123"/>
      <c r="AH16" s="123"/>
    </row>
    <row r="17" spans="1:34" s="124" customFormat="1" ht="12.75">
      <c r="A17" s="123"/>
      <c r="B17" s="128"/>
      <c r="C17" s="33"/>
      <c r="D17" s="26" t="s">
        <v>11</v>
      </c>
      <c r="E17" s="32"/>
      <c r="F17" s="71">
        <v>200577</v>
      </c>
      <c r="G17" s="71">
        <v>161083</v>
      </c>
      <c r="H17" s="71">
        <v>82038</v>
      </c>
      <c r="I17" s="71">
        <v>24481</v>
      </c>
      <c r="J17" s="71">
        <v>0</v>
      </c>
      <c r="K17" s="71">
        <v>165399</v>
      </c>
      <c r="L17" s="64">
        <f>IFERROR(F17/G17-1,"n/a")</f>
        <v>0.24517795173916546</v>
      </c>
      <c r="M17" s="64">
        <f>IFERROR(F17/H17-1,"n/a")</f>
        <v>1.4449279602135596</v>
      </c>
      <c r="N17" s="64">
        <f>IFERROR(F17/I17-1,"n/a")</f>
        <v>7.1931702136350637</v>
      </c>
      <c r="O17" s="64" t="str">
        <f>IFERROR(F17/J17-1,"n/a")</f>
        <v>n/a</v>
      </c>
      <c r="P17" s="60">
        <f>IFERROR(F17/K17-1,"n/a")</f>
        <v>0.21268568733789195</v>
      </c>
      <c r="Q17" s="68">
        <f>'Apr-24'!Q17+F17</f>
        <v>460748</v>
      </c>
      <c r="R17" s="68">
        <f>'Apr-24'!R17+G17</f>
        <v>351486</v>
      </c>
      <c r="S17" s="68">
        <f>'Apr-24'!S17+H17</f>
        <v>178913</v>
      </c>
      <c r="T17" s="68">
        <f>'Apr-24'!T17+I17</f>
        <v>40586</v>
      </c>
      <c r="U17" s="68">
        <f>'Apr-24'!U17+J17</f>
        <v>41113</v>
      </c>
      <c r="V17" s="68">
        <f>'Apr-24'!V17+K17</f>
        <v>393104</v>
      </c>
      <c r="W17" s="64">
        <f>IFERROR(Q17/R17-1,"n/a")</f>
        <v>0.31085733144421113</v>
      </c>
      <c r="X17" s="64">
        <f>IFERROR(Q17/S17-1,"n/a")</f>
        <v>1.5752628372449178</v>
      </c>
      <c r="Y17" s="64">
        <f>IFERROR(Q17/T17-1,"n/a")</f>
        <v>10.35238752279111</v>
      </c>
      <c r="Z17" s="64">
        <f>IFERROR(Q17/U17-1,"n/a")</f>
        <v>10.206868873592294</v>
      </c>
      <c r="AA17" s="60">
        <f>IFERROR(Q17/V17-1,"n/a")</f>
        <v>0.17207660059424468</v>
      </c>
      <c r="AB17" s="68">
        <v>1660685</v>
      </c>
      <c r="AC17" s="68">
        <v>965963</v>
      </c>
      <c r="AD17" s="68">
        <v>301521</v>
      </c>
      <c r="AE17" s="68">
        <v>70675</v>
      </c>
      <c r="AF17" s="135">
        <v>1400932</v>
      </c>
      <c r="AG17" s="123"/>
      <c r="AH17" s="123"/>
    </row>
    <row r="18" spans="1:34" s="124" customFormat="1" ht="12.75">
      <c r="A18" s="123"/>
      <c r="B18" s="128"/>
      <c r="C18" s="31" t="s">
        <v>110</v>
      </c>
      <c r="D18" s="26"/>
      <c r="E18" s="32"/>
      <c r="F18" s="72"/>
      <c r="G18" s="72"/>
      <c r="H18" s="72"/>
      <c r="I18" s="72"/>
      <c r="J18" s="72"/>
      <c r="K18" s="72"/>
      <c r="L18" s="64"/>
      <c r="M18" s="64"/>
      <c r="N18" s="64"/>
      <c r="O18" s="64"/>
      <c r="P18" s="60"/>
      <c r="Q18" s="87"/>
      <c r="R18" s="87"/>
      <c r="S18" s="87"/>
      <c r="T18" s="87"/>
      <c r="U18" s="87"/>
      <c r="V18" s="87"/>
      <c r="W18" s="64"/>
      <c r="X18" s="64"/>
      <c r="Y18" s="64"/>
      <c r="Z18" s="64"/>
      <c r="AA18" s="60"/>
      <c r="AB18" s="43"/>
      <c r="AC18" s="43"/>
      <c r="AD18" s="43"/>
      <c r="AE18" s="43"/>
      <c r="AF18" s="136"/>
      <c r="AG18" s="123"/>
      <c r="AH18" s="123"/>
    </row>
    <row r="19" spans="1:34" s="124" customFormat="1" ht="12.75">
      <c r="A19" s="123"/>
      <c r="B19" s="128"/>
      <c r="C19" s="33"/>
      <c r="D19" s="26" t="s">
        <v>5</v>
      </c>
      <c r="E19" s="32"/>
      <c r="F19" s="71">
        <v>91</v>
      </c>
      <c r="G19" s="71">
        <v>99</v>
      </c>
      <c r="H19" s="71">
        <v>91</v>
      </c>
      <c r="I19" s="71">
        <v>1</v>
      </c>
      <c r="J19" s="71">
        <v>0</v>
      </c>
      <c r="K19" s="71">
        <v>37</v>
      </c>
      <c r="L19" s="64">
        <f>IFERROR(F19/G19-1,"n/a")</f>
        <v>-8.0808080808080773E-2</v>
      </c>
      <c r="M19" s="64">
        <f>IFERROR(F19/H19-1,"n/a")</f>
        <v>0</v>
      </c>
      <c r="N19" s="64">
        <f>IFERROR(F19/I19-1,"n/a")</f>
        <v>90</v>
      </c>
      <c r="O19" s="64" t="str">
        <f>IFERROR(F19/J19-1,"n/a")</f>
        <v>n/a</v>
      </c>
      <c r="P19" s="60">
        <f>IFERROR(F19/K19-1,"n/a")</f>
        <v>1.4594594594594597</v>
      </c>
      <c r="Q19" s="68">
        <f>'Apr-24'!Q19+F19</f>
        <v>170</v>
      </c>
      <c r="R19" s="68">
        <f>'Apr-24'!R19+G19</f>
        <v>169</v>
      </c>
      <c r="S19" s="68">
        <f>'Apr-24'!S19+H19</f>
        <v>138</v>
      </c>
      <c r="T19" s="68">
        <f>'Apr-24'!T19+I19</f>
        <v>3</v>
      </c>
      <c r="U19" s="68">
        <f>'Apr-24'!U19+J19</f>
        <v>3</v>
      </c>
      <c r="V19" s="68">
        <f>'Apr-24'!V19+K19</f>
        <v>64</v>
      </c>
      <c r="W19" s="64">
        <f>IFERROR(Q19/R19-1,"n/a")</f>
        <v>5.9171597633136397E-3</v>
      </c>
      <c r="X19" s="64">
        <f>IFERROR(Q19/S19-1,"n/a")</f>
        <v>0.23188405797101441</v>
      </c>
      <c r="Y19" s="64">
        <f>IFERROR(Q19/T19-1,"n/a")</f>
        <v>55.666666666666664</v>
      </c>
      <c r="Z19" s="64">
        <f>IFERROR(Q19/U19-1,"n/a")</f>
        <v>55.666666666666664</v>
      </c>
      <c r="AA19" s="60">
        <f>IFERROR(Q19/V19-1,"n/a")</f>
        <v>1.65625</v>
      </c>
      <c r="AB19" s="68">
        <v>708</v>
      </c>
      <c r="AC19" s="68">
        <v>658</v>
      </c>
      <c r="AD19" s="68">
        <v>47</v>
      </c>
      <c r="AE19" s="68">
        <v>9</v>
      </c>
      <c r="AF19" s="135">
        <v>290</v>
      </c>
      <c r="AG19" s="123"/>
      <c r="AH19" s="123"/>
    </row>
    <row r="20" spans="1:34" s="124" customFormat="1" ht="12.75">
      <c r="A20" s="123"/>
      <c r="B20" s="128"/>
      <c r="C20" s="33"/>
      <c r="D20" s="26" t="s">
        <v>11</v>
      </c>
      <c r="E20" s="32"/>
      <c r="F20" s="71">
        <v>156985</v>
      </c>
      <c r="G20" s="71">
        <v>137318</v>
      </c>
      <c r="H20" s="71">
        <v>88575</v>
      </c>
      <c r="I20" s="71">
        <v>0</v>
      </c>
      <c r="J20" s="71">
        <v>0</v>
      </c>
      <c r="K20" s="71">
        <v>66376</v>
      </c>
      <c r="L20" s="64">
        <f>IFERROR(F20/G20-1,"n/a")</f>
        <v>0.14322230151910165</v>
      </c>
      <c r="M20" s="64">
        <f>IFERROR(F20/H20-1,"n/a")</f>
        <v>0.77233982500705611</v>
      </c>
      <c r="N20" s="64" t="str">
        <f>IFERROR(F20/I20-1,"n/a")</f>
        <v>n/a</v>
      </c>
      <c r="O20" s="64" t="str">
        <f>IFERROR(F20/J20-1,"n/a")</f>
        <v>n/a</v>
      </c>
      <c r="P20" s="60">
        <f>IFERROR(F20/K20-1,"n/a")</f>
        <v>1.3650867783536218</v>
      </c>
      <c r="Q20" s="68">
        <f>'Apr-24'!Q20+F20</f>
        <v>272297.40000000002</v>
      </c>
      <c r="R20" s="68">
        <f>'Apr-24'!R20+G20</f>
        <v>224466</v>
      </c>
      <c r="S20" s="68">
        <f>'Apr-24'!S20+H20</f>
        <v>124236</v>
      </c>
      <c r="T20" s="68">
        <f>'Apr-24'!T20+I20</f>
        <v>0</v>
      </c>
      <c r="U20" s="68">
        <f>'Apr-24'!U20+J20</f>
        <v>1753</v>
      </c>
      <c r="V20" s="68">
        <f>'Apr-24'!V20+K20</f>
        <v>108923</v>
      </c>
      <c r="W20" s="64">
        <f>IFERROR(Q20/R20-1,"n/a")</f>
        <v>0.21308973296624001</v>
      </c>
      <c r="X20" s="64">
        <f>IFERROR(Q20/S20-1,"n/a")</f>
        <v>1.1917753308219843</v>
      </c>
      <c r="Y20" s="64" t="str">
        <f>IFERROR(Q20/T20-1,"n/a")</f>
        <v>n/a</v>
      </c>
      <c r="Z20" s="64">
        <f>IFERROR(Q20/U20-1,"n/a")</f>
        <v>154.33223046206504</v>
      </c>
      <c r="AA20" s="60">
        <f>IFERROR(Q20/V20-1,"n/a")</f>
        <v>1.4999072739458152</v>
      </c>
      <c r="AB20" s="68">
        <v>1277526</v>
      </c>
      <c r="AC20" s="68">
        <v>887495</v>
      </c>
      <c r="AD20" s="68">
        <v>17541</v>
      </c>
      <c r="AE20" s="68">
        <v>10046.999999999998</v>
      </c>
      <c r="AF20" s="135">
        <v>585930</v>
      </c>
      <c r="AG20" s="123"/>
      <c r="AH20" s="123"/>
    </row>
    <row r="21" spans="1:34" s="124" customFormat="1" ht="12.75">
      <c r="A21" s="123"/>
      <c r="B21" s="128"/>
      <c r="C21" s="31" t="s">
        <v>111</v>
      </c>
      <c r="D21" s="26"/>
      <c r="E21" s="34"/>
      <c r="F21" s="72"/>
      <c r="G21" s="72"/>
      <c r="H21" s="72"/>
      <c r="I21" s="72"/>
      <c r="J21" s="72"/>
      <c r="K21" s="72"/>
      <c r="L21" s="64"/>
      <c r="M21" s="64"/>
      <c r="N21" s="64"/>
      <c r="O21" s="64"/>
      <c r="P21" s="60"/>
      <c r="Q21" s="87"/>
      <c r="R21" s="87"/>
      <c r="S21" s="87"/>
      <c r="T21" s="87"/>
      <c r="U21" s="87"/>
      <c r="V21" s="87"/>
      <c r="W21" s="64"/>
      <c r="X21" s="64"/>
      <c r="Y21" s="64"/>
      <c r="Z21" s="64"/>
      <c r="AA21" s="60"/>
      <c r="AB21" s="43"/>
      <c r="AC21" s="43"/>
      <c r="AD21" s="43"/>
      <c r="AE21" s="43"/>
      <c r="AF21" s="136"/>
      <c r="AG21" s="123"/>
      <c r="AH21" s="123"/>
    </row>
    <row r="22" spans="1:34" s="124" customFormat="1" ht="12.75">
      <c r="A22" s="123"/>
      <c r="B22" s="128"/>
      <c r="C22" s="33"/>
      <c r="D22" s="26" t="s">
        <v>5</v>
      </c>
      <c r="E22" s="34"/>
      <c r="F22" s="71">
        <v>147</v>
      </c>
      <c r="G22" s="71">
        <v>159</v>
      </c>
      <c r="H22" s="71">
        <v>107</v>
      </c>
      <c r="I22" s="71">
        <v>0</v>
      </c>
      <c r="J22" s="71">
        <v>0</v>
      </c>
      <c r="K22" s="71">
        <v>113</v>
      </c>
      <c r="L22" s="64">
        <f>IFERROR(F22/G22-1,"n/a")</f>
        <v>-7.547169811320753E-2</v>
      </c>
      <c r="M22" s="64">
        <f>IFERROR(F22/H22-1,"n/a")</f>
        <v>0.37383177570093462</v>
      </c>
      <c r="N22" s="64" t="str">
        <f>IFERROR(F22/I22-1,"n/a")</f>
        <v>n/a</v>
      </c>
      <c r="O22" s="64" t="str">
        <f>IFERROR(F22/J22-1,"n/a")</f>
        <v>n/a</v>
      </c>
      <c r="P22" s="60">
        <f>IFERROR(F22/K22-1,"n/a")</f>
        <v>0.30088495575221241</v>
      </c>
      <c r="Q22" s="68">
        <f>'Apr-24'!Q22+F22</f>
        <v>600</v>
      </c>
      <c r="R22" s="68">
        <f>'Apr-24'!R22+G22</f>
        <v>608</v>
      </c>
      <c r="S22" s="68">
        <f>'Apr-24'!S22+H22</f>
        <v>260</v>
      </c>
      <c r="T22" s="68">
        <f>'Apr-24'!T22+I22</f>
        <v>0</v>
      </c>
      <c r="U22" s="68">
        <f>'Apr-24'!U22+J22</f>
        <v>43</v>
      </c>
      <c r="V22" s="68">
        <f>'Apr-24'!V22+K22</f>
        <v>292</v>
      </c>
      <c r="W22" s="64">
        <f>IFERROR(Q22/R22-1,"n/a")</f>
        <v>-1.3157894736842146E-2</v>
      </c>
      <c r="X22" s="64">
        <f>IFERROR(Q22/S22-1,"n/a")</f>
        <v>1.3076923076923075</v>
      </c>
      <c r="Y22" s="64" t="str">
        <f>IFERROR(Q22/T22-1,"n/a")</f>
        <v>n/a</v>
      </c>
      <c r="Z22" s="64">
        <f>IFERROR(Q22/U22-1,"n/a")</f>
        <v>12.953488372093023</v>
      </c>
      <c r="AA22" s="60">
        <f>IFERROR(Q22/V22-1,"n/a")</f>
        <v>1.0547945205479454</v>
      </c>
      <c r="AB22" s="68">
        <v>1500</v>
      </c>
      <c r="AC22" s="68">
        <v>895</v>
      </c>
      <c r="AD22" s="68">
        <v>283</v>
      </c>
      <c r="AE22" s="68">
        <v>43</v>
      </c>
      <c r="AF22" s="135">
        <v>827</v>
      </c>
      <c r="AG22" s="123"/>
      <c r="AH22" s="123"/>
    </row>
    <row r="23" spans="1:34" s="124" customFormat="1" ht="12.75">
      <c r="A23" s="123"/>
      <c r="B23" s="128"/>
      <c r="C23" s="33"/>
      <c r="D23" s="26" t="s">
        <v>11</v>
      </c>
      <c r="E23" s="32"/>
      <c r="F23" s="71">
        <v>425839</v>
      </c>
      <c r="G23" s="71">
        <v>390316</v>
      </c>
      <c r="H23" s="71">
        <v>173929</v>
      </c>
      <c r="I23" s="71">
        <v>0</v>
      </c>
      <c r="J23" s="71">
        <v>0</v>
      </c>
      <c r="K23" s="71">
        <v>300445</v>
      </c>
      <c r="L23" s="64">
        <f>IFERROR(F23/G23-1,"n/a")</f>
        <v>9.1010873241168744E-2</v>
      </c>
      <c r="M23" s="64">
        <f>IFERROR(F23/H23-1,"n/a")</f>
        <v>1.4483496139229226</v>
      </c>
      <c r="N23" s="64" t="str">
        <f>IFERROR(F23/I23-1,"n/a")</f>
        <v>n/a</v>
      </c>
      <c r="O23" s="64" t="str">
        <f>IFERROR(F23/J23-1,"n/a")</f>
        <v>n/a</v>
      </c>
      <c r="P23" s="60">
        <f>IFERROR(F23/K23-1,"n/a")</f>
        <v>0.41736091464327907</v>
      </c>
      <c r="Q23" s="68">
        <f>'Apr-24'!Q23+F23</f>
        <v>1772000</v>
      </c>
      <c r="R23" s="68">
        <f>'Apr-24'!R23+G23</f>
        <v>1579293</v>
      </c>
      <c r="S23" s="68">
        <f>'Apr-24'!S23+H23</f>
        <v>358192</v>
      </c>
      <c r="T23" s="68">
        <f>'Apr-24'!T23+I23</f>
        <v>0</v>
      </c>
      <c r="U23" s="68">
        <f>'Apr-24'!U23+J23</f>
        <v>140552</v>
      </c>
      <c r="V23" s="68">
        <f>'Apr-24'!V23+K23</f>
        <v>765085</v>
      </c>
      <c r="W23" s="64">
        <f>IFERROR(Q23/R23-1,"n/a")</f>
        <v>0.12202105625745197</v>
      </c>
      <c r="X23" s="64">
        <f>IFERROR(Q23/S23-1,"n/a")</f>
        <v>3.9470674945280741</v>
      </c>
      <c r="Y23" s="64" t="str">
        <f>IFERROR(Q23/T23-1,"n/a")</f>
        <v>n/a</v>
      </c>
      <c r="Z23" s="64">
        <f>IFERROR(Q23/U23-1,"n/a")</f>
        <v>11.607433547726108</v>
      </c>
      <c r="AA23" s="60">
        <f>IFERROR(Q23/V23-1,"n/a")</f>
        <v>1.3160825267780702</v>
      </c>
      <c r="AB23" s="68">
        <v>4449177</v>
      </c>
      <c r="AC23" s="68">
        <v>2165161</v>
      </c>
      <c r="AD23" s="68">
        <v>465109</v>
      </c>
      <c r="AE23" s="68">
        <v>140552</v>
      </c>
      <c r="AF23" s="135">
        <v>2552942</v>
      </c>
      <c r="AG23" s="123"/>
      <c r="AH23" s="123"/>
    </row>
    <row r="24" spans="1:34" s="124" customFormat="1" ht="12.75">
      <c r="A24" s="123"/>
      <c r="B24" s="128"/>
      <c r="C24" s="31" t="s">
        <v>112</v>
      </c>
      <c r="D24" s="26"/>
      <c r="E24" s="32"/>
      <c r="F24" s="72"/>
      <c r="G24" s="72"/>
      <c r="H24" s="72"/>
      <c r="I24" s="72"/>
      <c r="J24" s="72"/>
      <c r="K24" s="72"/>
      <c r="L24" s="64"/>
      <c r="M24" s="64"/>
      <c r="N24" s="64"/>
      <c r="O24" s="64"/>
      <c r="P24" s="60"/>
      <c r="Q24" s="87"/>
      <c r="R24" s="87"/>
      <c r="S24" s="87"/>
      <c r="T24" s="87"/>
      <c r="U24" s="87"/>
      <c r="V24" s="87"/>
      <c r="W24" s="64"/>
      <c r="X24" s="64"/>
      <c r="Y24" s="64"/>
      <c r="Z24" s="64"/>
      <c r="AA24" s="60"/>
      <c r="AB24" s="43"/>
      <c r="AC24" s="43"/>
      <c r="AD24" s="43"/>
      <c r="AE24" s="43"/>
      <c r="AF24" s="136"/>
      <c r="AG24" s="123"/>
      <c r="AH24" s="123"/>
    </row>
    <row r="25" spans="1:34" s="124" customFormat="1" ht="12.75">
      <c r="B25" s="128"/>
      <c r="C25" s="33"/>
      <c r="D25" s="26" t="s">
        <v>5</v>
      </c>
      <c r="E25" s="32"/>
      <c r="F25" s="71">
        <v>2</v>
      </c>
      <c r="G25" s="71">
        <v>3</v>
      </c>
      <c r="H25" s="71">
        <v>0</v>
      </c>
      <c r="I25" s="71">
        <v>0</v>
      </c>
      <c r="J25" s="71">
        <v>0</v>
      </c>
      <c r="K25" s="71">
        <v>2</v>
      </c>
      <c r="L25" s="64">
        <f>IFERROR(F25/G25-1,"n/a")</f>
        <v>-0.33333333333333337</v>
      </c>
      <c r="M25" s="64" t="str">
        <f>IFERROR(F25/H25-1,"n/a")</f>
        <v>n/a</v>
      </c>
      <c r="N25" s="64" t="str">
        <f>IFERROR(F25/I25-1,"n/a")</f>
        <v>n/a</v>
      </c>
      <c r="O25" s="64" t="str">
        <f>IFERROR(F25/J25-1,"n/a")</f>
        <v>n/a</v>
      </c>
      <c r="P25" s="60">
        <f>IFERROR(F25/K25-1,"n/a")</f>
        <v>0</v>
      </c>
      <c r="Q25" s="68">
        <f>'Apr-24'!Q25+F25</f>
        <v>3</v>
      </c>
      <c r="R25" s="68">
        <f>'Apr-24'!R25+G25</f>
        <v>4</v>
      </c>
      <c r="S25" s="68">
        <f>'Apr-24'!S25+H25</f>
        <v>1</v>
      </c>
      <c r="T25" s="68">
        <f>'Apr-24'!T25+I25</f>
        <v>0</v>
      </c>
      <c r="U25" s="68">
        <f>'Apr-24'!U25+J25</f>
        <v>0</v>
      </c>
      <c r="V25" s="68">
        <f>'Apr-24'!V25+K25</f>
        <v>3</v>
      </c>
      <c r="W25" s="64">
        <f>IFERROR(Q25/R25-1,"n/a")</f>
        <v>-0.25</v>
      </c>
      <c r="X25" s="64">
        <f>IFERROR(Q25/S25-1,"n/a")</f>
        <v>2</v>
      </c>
      <c r="Y25" s="64" t="str">
        <f>IFERROR(Q25/T25-1,"n/a")</f>
        <v>n/a</v>
      </c>
      <c r="Z25" s="64" t="str">
        <f>IFERROR(Q25/U25-1,"n/a")</f>
        <v>n/a</v>
      </c>
      <c r="AA25" s="60">
        <f>IFERROR(Q25/V25-1,"n/a")</f>
        <v>0</v>
      </c>
      <c r="AB25" s="68">
        <v>21</v>
      </c>
      <c r="AC25" s="68">
        <v>9</v>
      </c>
      <c r="AD25" s="68">
        <v>0</v>
      </c>
      <c r="AE25" s="68">
        <v>0</v>
      </c>
      <c r="AF25" s="135">
        <v>16</v>
      </c>
      <c r="AG25" s="123"/>
      <c r="AH25" s="123"/>
    </row>
    <row r="26" spans="1:34" s="124" customFormat="1" ht="12.75">
      <c r="A26" s="123"/>
      <c r="B26" s="128"/>
      <c r="C26" s="33"/>
      <c r="D26" s="26" t="s">
        <v>11</v>
      </c>
      <c r="E26" s="32"/>
      <c r="F26" s="71">
        <v>8306</v>
      </c>
      <c r="G26" s="71">
        <v>2124</v>
      </c>
      <c r="H26" s="71">
        <v>0</v>
      </c>
      <c r="I26" s="71">
        <v>0</v>
      </c>
      <c r="J26" s="71">
        <v>0</v>
      </c>
      <c r="K26" s="71">
        <v>2351</v>
      </c>
      <c r="L26" s="64">
        <f>IFERROR(F26/G26-1,"n/a")</f>
        <v>2.9105461393596985</v>
      </c>
      <c r="M26" s="64" t="str">
        <f>IFERROR(F26/H26-1,"n/a")</f>
        <v>n/a</v>
      </c>
      <c r="N26" s="64" t="str">
        <f>IFERROR(F26/I26-1,"n/a")</f>
        <v>n/a</v>
      </c>
      <c r="O26" s="64" t="str">
        <f>IFERROR(F26/J26-1,"n/a")</f>
        <v>n/a</v>
      </c>
      <c r="P26" s="60">
        <f>IFERROR(F26/K26-1,"n/a")</f>
        <v>2.5329646958740963</v>
      </c>
      <c r="Q26" s="68">
        <f>'Apr-24'!Q26+F26</f>
        <v>12437</v>
      </c>
      <c r="R26" s="68">
        <f>'Apr-24'!R26+G26</f>
        <v>4382</v>
      </c>
      <c r="S26" s="68">
        <f>'Apr-24'!S26+H26</f>
        <v>925</v>
      </c>
      <c r="T26" s="68">
        <f>'Apr-24'!T26+I26</f>
        <v>0</v>
      </c>
      <c r="U26" s="68">
        <f>'Apr-24'!U26+J26</f>
        <v>0</v>
      </c>
      <c r="V26" s="68">
        <f>'Apr-24'!V26+K26</f>
        <v>3410</v>
      </c>
      <c r="W26" s="64">
        <f>IFERROR(Q26/R26-1,"n/a")</f>
        <v>1.8382017343678685</v>
      </c>
      <c r="X26" s="64">
        <f>IFERROR(Q26/S26-1,"n/a")</f>
        <v>12.445405405405406</v>
      </c>
      <c r="Y26" s="64" t="str">
        <f>IFERROR(Q26/T26-1,"n/a")</f>
        <v>n/a</v>
      </c>
      <c r="Z26" s="64" t="str">
        <f>IFERROR(Q26/U26-1,"n/a")</f>
        <v>n/a</v>
      </c>
      <c r="AA26" s="60">
        <f>IFERROR(Q26/V26-1,"n/a")</f>
        <v>2.6472140762463341</v>
      </c>
      <c r="AB26" s="68">
        <v>38626</v>
      </c>
      <c r="AC26" s="68">
        <v>15637</v>
      </c>
      <c r="AD26" s="68">
        <v>0</v>
      </c>
      <c r="AE26" s="68">
        <v>0</v>
      </c>
      <c r="AF26" s="137">
        <v>20248</v>
      </c>
      <c r="AG26" s="123"/>
      <c r="AH26" s="123"/>
    </row>
    <row r="27" spans="1:34" s="124" customFormat="1" ht="13.5" thickBot="1">
      <c r="A27" s="123"/>
      <c r="B27" s="128"/>
      <c r="C27" s="35" t="s">
        <v>12</v>
      </c>
      <c r="D27" s="36"/>
      <c r="E27" s="37"/>
      <c r="F27" s="75">
        <f t="shared" ref="F27:K28" si="0">F13+F16+F19+F22+F25</f>
        <v>495</v>
      </c>
      <c r="G27" s="75">
        <f t="shared" si="0"/>
        <v>430</v>
      </c>
      <c r="H27" s="75">
        <f t="shared" si="0"/>
        <v>352</v>
      </c>
      <c r="I27" s="75">
        <f t="shared" si="0"/>
        <v>18</v>
      </c>
      <c r="J27" s="75">
        <f t="shared" si="0"/>
        <v>0</v>
      </c>
      <c r="K27" s="75">
        <f t="shared" si="0"/>
        <v>313</v>
      </c>
      <c r="L27" s="66">
        <f>IFERROR(F27/G27-1,"n/a")</f>
        <v>0.15116279069767447</v>
      </c>
      <c r="M27" s="66">
        <f>IFERROR(F27/H27-1,"n/a")</f>
        <v>0.40625</v>
      </c>
      <c r="N27" s="66">
        <f>IFERROR(F27/I27-1,"n/a")</f>
        <v>26.5</v>
      </c>
      <c r="O27" s="66" t="str">
        <f>IFERROR(F27/J27-1,"n/a")</f>
        <v>n/a</v>
      </c>
      <c r="P27" s="62">
        <f>IFERROR(F27/K27-1,"n/a")</f>
        <v>0.58146964856230032</v>
      </c>
      <c r="Q27" s="75">
        <f t="shared" ref="Q27:V28" si="1">Q13+Q16+Q19+Q22+Q25</f>
        <v>2009</v>
      </c>
      <c r="R27" s="75">
        <f t="shared" si="1"/>
        <v>1682</v>
      </c>
      <c r="S27" s="75">
        <f t="shared" si="1"/>
        <v>1311</v>
      </c>
      <c r="T27" s="75">
        <f t="shared" si="1"/>
        <v>37</v>
      </c>
      <c r="U27" s="75">
        <f t="shared" si="1"/>
        <v>607</v>
      </c>
      <c r="V27" s="75">
        <f t="shared" si="1"/>
        <v>1239</v>
      </c>
      <c r="W27" s="66">
        <f>IFERROR(Q27/R27-1,"n/a")</f>
        <v>0.19441141498216408</v>
      </c>
      <c r="X27" s="66">
        <f>IFERROR(Q27/S27-1,"n/a")</f>
        <v>0.53241800152555308</v>
      </c>
      <c r="Y27" s="66">
        <f>IFERROR(Q27/T27-1,"n/a")</f>
        <v>53.297297297297298</v>
      </c>
      <c r="Z27" s="66">
        <f>IFERROR(Q27/U27-1,"n/a")</f>
        <v>2.3097199341021417</v>
      </c>
      <c r="AA27" s="62">
        <f>IFERROR(Q27/V27-1,"n/a")</f>
        <v>0.62146892655367236</v>
      </c>
      <c r="AB27" s="75">
        <f>AB13+AB16+AB19+AB22+AB25</f>
        <v>4434</v>
      </c>
      <c r="AC27" s="75">
        <f>AC13+AC16+AC19+AC22+AC25</f>
        <v>3620</v>
      </c>
      <c r="AD27" s="46">
        <f t="shared" ref="AD27:AF28" si="2">AD13+AD16+AD19+AD22+AD25</f>
        <v>1054</v>
      </c>
      <c r="AE27" s="46">
        <f t="shared" si="2"/>
        <v>657</v>
      </c>
      <c r="AF27" s="80">
        <f t="shared" si="2"/>
        <v>3310</v>
      </c>
      <c r="AG27" s="123"/>
      <c r="AH27" s="123"/>
    </row>
    <row r="28" spans="1:34" s="124" customFormat="1" ht="14.25" thickTop="1" thickBot="1">
      <c r="A28" s="123"/>
      <c r="B28" s="128"/>
      <c r="C28" s="38" t="s">
        <v>13</v>
      </c>
      <c r="D28" s="39"/>
      <c r="E28" s="40"/>
      <c r="F28" s="76">
        <f t="shared" si="0"/>
        <v>1375766</v>
      </c>
      <c r="G28" s="76">
        <f t="shared" si="0"/>
        <v>1044083</v>
      </c>
      <c r="H28" s="76">
        <f t="shared" si="0"/>
        <v>579510</v>
      </c>
      <c r="I28" s="76">
        <f t="shared" si="0"/>
        <v>24481</v>
      </c>
      <c r="J28" s="76">
        <f t="shared" si="0"/>
        <v>0</v>
      </c>
      <c r="K28" s="76">
        <f t="shared" si="0"/>
        <v>837624</v>
      </c>
      <c r="L28" s="67">
        <f>IFERROR(F28/G28-1,"n/a")</f>
        <v>0.31767876691795571</v>
      </c>
      <c r="M28" s="67">
        <f>IFERROR(F28/H28-1,"n/a")</f>
        <v>1.3740159790167557</v>
      </c>
      <c r="N28" s="67">
        <f>IFERROR(F28/I28-1,"n/a")</f>
        <v>55.197295862097135</v>
      </c>
      <c r="O28" s="67" t="str">
        <f>IFERROR(F28/J28-1,"n/a")</f>
        <v>n/a</v>
      </c>
      <c r="P28" s="63">
        <f>IFERROR(F28/K28-1,"n/a")</f>
        <v>0.64246248913593695</v>
      </c>
      <c r="Q28" s="76">
        <f t="shared" si="1"/>
        <v>5915079.4000000004</v>
      </c>
      <c r="R28" s="76">
        <f t="shared" si="1"/>
        <v>4500804</v>
      </c>
      <c r="S28" s="76">
        <f t="shared" si="1"/>
        <v>1954680</v>
      </c>
      <c r="T28" s="76">
        <f t="shared" si="1"/>
        <v>40586</v>
      </c>
      <c r="U28" s="76">
        <f t="shared" si="1"/>
        <v>1276302</v>
      </c>
      <c r="V28" s="76">
        <f t="shared" si="1"/>
        <v>3418724</v>
      </c>
      <c r="W28" s="67">
        <f>IFERROR(Q28/R28-1,"n/a")</f>
        <v>0.31422728028147873</v>
      </c>
      <c r="X28" s="67">
        <f>IFERROR(Q28/S28-1,"n/a")</f>
        <v>2.0261113839605462</v>
      </c>
      <c r="Y28" s="67">
        <f>IFERROR(Q28/T28-1,"n/a")</f>
        <v>144.74186665352585</v>
      </c>
      <c r="Z28" s="67">
        <f>IFERROR(Q28/U28-1,"n/a")</f>
        <v>3.6345452722004667</v>
      </c>
      <c r="AA28" s="63">
        <f>IFERROR(Q28/V28-1,"n/a")</f>
        <v>0.73020091706730361</v>
      </c>
      <c r="AB28" s="76">
        <f>AB14+AB17+AB20+AB23+AB26</f>
        <v>12658551</v>
      </c>
      <c r="AC28" s="76">
        <f>AC14+AC17+AC20+AC23+AC26</f>
        <v>7626669</v>
      </c>
      <c r="AD28" s="47">
        <f t="shared" si="2"/>
        <v>1552483</v>
      </c>
      <c r="AE28" s="47">
        <f t="shared" si="2"/>
        <v>1314158</v>
      </c>
      <c r="AF28" s="81">
        <f t="shared" si="2"/>
        <v>9152531</v>
      </c>
      <c r="AG28" s="123"/>
      <c r="AH28" s="123"/>
    </row>
    <row r="29" spans="1:34" s="124" customFormat="1" ht="12" thickTop="1">
      <c r="A29" s="123"/>
      <c r="B29" s="123"/>
      <c r="C29" s="123"/>
      <c r="D29" s="123"/>
      <c r="E29" s="123"/>
      <c r="F29" s="123"/>
      <c r="G29" s="129"/>
      <c r="H29" s="129"/>
      <c r="I29" s="129"/>
      <c r="J29" s="129"/>
      <c r="K29" s="129"/>
      <c r="L29" s="129"/>
      <c r="M29" s="129"/>
      <c r="N29" s="129"/>
      <c r="O29" s="129"/>
      <c r="P29" s="123"/>
      <c r="Q29" s="123"/>
      <c r="R29" s="123"/>
      <c r="S29" s="123"/>
      <c r="T29" s="123"/>
      <c r="U29" s="123"/>
      <c r="V29" s="123"/>
      <c r="W29" s="123"/>
      <c r="X29" s="123"/>
      <c r="Y29" s="123"/>
      <c r="Z29" s="123"/>
      <c r="AA29" s="123"/>
      <c r="AB29" s="123"/>
      <c r="AC29" s="123"/>
      <c r="AD29" s="123"/>
      <c r="AE29" s="123"/>
      <c r="AF29" s="123"/>
      <c r="AG29" s="123"/>
      <c r="AH29" s="123"/>
    </row>
    <row r="30" spans="1:34" s="124" customFormat="1" ht="11.25">
      <c r="A30" s="123"/>
      <c r="B30" s="123"/>
      <c r="C30" s="123"/>
      <c r="D30" s="123"/>
      <c r="E30" s="123"/>
      <c r="F30" s="123"/>
      <c r="G30" s="129"/>
      <c r="H30" s="129"/>
      <c r="I30" s="129"/>
      <c r="J30" s="129"/>
      <c r="K30" s="129"/>
      <c r="L30" s="129"/>
      <c r="M30" s="129"/>
      <c r="N30" s="129"/>
      <c r="O30" s="129"/>
      <c r="P30" s="123"/>
      <c r="Q30" s="123"/>
      <c r="R30" s="129"/>
      <c r="S30" s="123"/>
      <c r="T30" s="123"/>
      <c r="U30" s="123"/>
      <c r="V30" s="123"/>
      <c r="W30" s="123"/>
      <c r="X30" s="123"/>
      <c r="Y30" s="123"/>
      <c r="Z30" s="123"/>
      <c r="AA30" s="123"/>
      <c r="AB30" s="123"/>
      <c r="AC30" s="123"/>
      <c r="AD30" s="123"/>
      <c r="AE30" s="123"/>
      <c r="AF30" s="123"/>
      <c r="AG30" s="123"/>
      <c r="AH30" s="123"/>
    </row>
    <row r="31" spans="1:34" s="124" customFormat="1" ht="12.75">
      <c r="A31" s="123"/>
      <c r="B31" s="130"/>
      <c r="C31" s="131" t="s">
        <v>63</v>
      </c>
      <c r="D31" s="24"/>
      <c r="E31" s="24"/>
      <c r="F31" s="24"/>
      <c r="G31" s="24"/>
      <c r="H31" s="24"/>
      <c r="I31" s="24"/>
      <c r="J31" s="24"/>
      <c r="K31" s="95"/>
      <c r="L31" s="95"/>
      <c r="M31" s="95"/>
      <c r="N31" s="95"/>
      <c r="O31" s="95"/>
      <c r="P31" s="24"/>
      <c r="Q31" s="24"/>
      <c r="R31" s="24"/>
      <c r="S31" s="24"/>
      <c r="T31" s="24"/>
      <c r="U31" s="24"/>
      <c r="V31" s="24"/>
      <c r="W31" s="24"/>
      <c r="X31" s="24"/>
      <c r="Y31" s="24"/>
      <c r="Z31" s="24"/>
      <c r="AA31" s="24"/>
      <c r="AB31" s="24"/>
      <c r="AC31" s="24"/>
      <c r="AD31" s="24"/>
      <c r="AE31" s="24"/>
      <c r="AF31" s="24"/>
      <c r="AG31" s="24"/>
      <c r="AH31" s="123"/>
    </row>
    <row r="32" spans="1:34" s="124" customFormat="1" ht="12.75">
      <c r="A32" s="123"/>
      <c r="B32" s="130"/>
      <c r="C32" s="24"/>
      <c r="D32" s="24"/>
      <c r="E32" s="24"/>
      <c r="F32" s="24"/>
      <c r="G32" s="24"/>
      <c r="H32" s="24"/>
      <c r="I32" s="24"/>
      <c r="J32" s="24"/>
      <c r="K32" s="95"/>
      <c r="L32" s="95"/>
      <c r="M32" s="95"/>
      <c r="N32" s="95"/>
      <c r="O32" s="95"/>
      <c r="P32" s="24"/>
      <c r="Q32" s="24"/>
      <c r="R32" s="24"/>
      <c r="S32" s="24"/>
      <c r="T32" s="24"/>
      <c r="U32" s="24"/>
      <c r="V32" s="24"/>
      <c r="W32" s="24"/>
      <c r="X32" s="24"/>
      <c r="Y32" s="24"/>
      <c r="Z32" s="24"/>
      <c r="AA32" s="24"/>
      <c r="AB32" s="24"/>
      <c r="AC32" s="24"/>
      <c r="AD32" s="24"/>
      <c r="AE32" s="24"/>
      <c r="AF32" s="24"/>
      <c r="AG32" s="24"/>
      <c r="AH32" s="123"/>
    </row>
    <row r="33" spans="1:34" s="124" customFormat="1" ht="15" customHeight="1">
      <c r="A33" s="123"/>
      <c r="B33" s="123"/>
      <c r="C33" s="27" t="s">
        <v>7</v>
      </c>
      <c r="D33" s="28"/>
      <c r="E33" s="28"/>
      <c r="F33" s="158" t="str">
        <f>F9</f>
        <v>May</v>
      </c>
      <c r="G33" s="158"/>
      <c r="H33" s="158"/>
      <c r="I33" s="158"/>
      <c r="J33" s="158"/>
      <c r="K33" s="158"/>
      <c r="L33" s="158"/>
      <c r="M33" s="158"/>
      <c r="N33" s="158"/>
      <c r="O33" s="158"/>
      <c r="P33" s="159"/>
      <c r="Q33" s="161" t="s">
        <v>133</v>
      </c>
      <c r="R33" s="162"/>
      <c r="S33" s="162"/>
      <c r="T33" s="162"/>
      <c r="U33" s="162"/>
      <c r="V33" s="162"/>
      <c r="W33" s="162"/>
      <c r="X33" s="162"/>
      <c r="Y33" s="162"/>
      <c r="Z33" s="162"/>
      <c r="AA33" s="163"/>
      <c r="AB33" s="161" t="s">
        <v>58</v>
      </c>
      <c r="AC33" s="162"/>
      <c r="AD33" s="162"/>
      <c r="AE33" s="162"/>
      <c r="AF33" s="164"/>
    </row>
    <row r="34" spans="1:34" s="124" customFormat="1" ht="11.25">
      <c r="A34" s="123"/>
      <c r="B34" s="123"/>
      <c r="C34" s="29"/>
      <c r="D34" s="30"/>
      <c r="E34" s="30"/>
      <c r="F34" s="143"/>
      <c r="G34" s="144"/>
      <c r="H34" s="144"/>
      <c r="I34" s="144"/>
      <c r="J34" s="144"/>
      <c r="K34" s="144"/>
      <c r="L34" s="144"/>
      <c r="M34" s="144"/>
      <c r="N34" s="144"/>
      <c r="O34" s="144"/>
      <c r="P34" s="145"/>
      <c r="Q34" s="144"/>
      <c r="R34" s="144"/>
      <c r="S34" s="144"/>
      <c r="T34" s="144"/>
      <c r="U34" s="144"/>
      <c r="V34" s="144"/>
      <c r="W34" s="144"/>
      <c r="X34" s="144"/>
      <c r="Y34" s="144"/>
      <c r="Z34" s="144"/>
      <c r="AA34" s="145"/>
      <c r="AB34" s="152"/>
      <c r="AC34" s="153"/>
      <c r="AD34" s="153"/>
      <c r="AE34" s="153"/>
      <c r="AF34" s="154"/>
    </row>
    <row r="35" spans="1:34" s="124" customFormat="1" ht="22.5">
      <c r="A35" s="123"/>
      <c r="B35" s="123"/>
      <c r="C35" s="59" t="s">
        <v>29</v>
      </c>
      <c r="D35" s="50"/>
      <c r="E35" s="51"/>
      <c r="F35" s="55">
        <v>2024</v>
      </c>
      <c r="G35" s="52">
        <v>2023</v>
      </c>
      <c r="H35" s="52">
        <v>2022</v>
      </c>
      <c r="I35" s="52">
        <v>2021</v>
      </c>
      <c r="J35" s="52">
        <v>2020</v>
      </c>
      <c r="K35" s="52">
        <v>2019</v>
      </c>
      <c r="L35" s="53" t="s">
        <v>116</v>
      </c>
      <c r="M35" s="53" t="s">
        <v>117</v>
      </c>
      <c r="N35" s="53" t="s">
        <v>118</v>
      </c>
      <c r="O35" s="53" t="s">
        <v>119</v>
      </c>
      <c r="P35" s="57" t="s">
        <v>101</v>
      </c>
      <c r="Q35" s="53" t="s">
        <v>130</v>
      </c>
      <c r="R35" s="53" t="s">
        <v>115</v>
      </c>
      <c r="S35" s="53" t="s">
        <v>53</v>
      </c>
      <c r="T35" s="52" t="s">
        <v>54</v>
      </c>
      <c r="U35" s="52" t="s">
        <v>59</v>
      </c>
      <c r="V35" s="52" t="s">
        <v>64</v>
      </c>
      <c r="W35" s="53" t="s">
        <v>131</v>
      </c>
      <c r="X35" s="53" t="s">
        <v>116</v>
      </c>
      <c r="Y35" s="53" t="s">
        <v>117</v>
      </c>
      <c r="Z35" s="53" t="s">
        <v>118</v>
      </c>
      <c r="AA35" s="57" t="s">
        <v>119</v>
      </c>
      <c r="AB35" s="146"/>
      <c r="AC35" s="53" t="s">
        <v>53</v>
      </c>
      <c r="AD35" s="53" t="s">
        <v>54</v>
      </c>
      <c r="AE35" s="53" t="s">
        <v>65</v>
      </c>
      <c r="AF35" s="57" t="s">
        <v>73</v>
      </c>
      <c r="AH35" s="123"/>
    </row>
    <row r="36" spans="1:34" s="124" customFormat="1" ht="11.25">
      <c r="A36" s="123"/>
      <c r="B36" s="123"/>
      <c r="C36" s="31" t="s">
        <v>108</v>
      </c>
      <c r="D36" s="26"/>
      <c r="E36" s="32"/>
      <c r="F36" s="26"/>
      <c r="G36" s="26"/>
      <c r="H36" s="26"/>
      <c r="I36" s="26"/>
      <c r="J36" s="26"/>
      <c r="K36" s="26"/>
      <c r="L36" s="26"/>
      <c r="M36" s="26"/>
      <c r="N36" s="26"/>
      <c r="O36" s="26"/>
      <c r="P36" s="32"/>
      <c r="Q36" s="26"/>
      <c r="R36" s="26"/>
      <c r="S36" s="26"/>
      <c r="T36" s="26"/>
      <c r="U36" s="26"/>
      <c r="V36" s="123"/>
      <c r="W36" s="26"/>
      <c r="X36" s="26"/>
      <c r="Y36" s="123"/>
      <c r="Z36" s="26"/>
      <c r="AA36" s="32"/>
      <c r="AB36" s="147"/>
      <c r="AC36" s="26"/>
      <c r="AD36" s="26"/>
      <c r="AE36" s="88"/>
      <c r="AF36" s="85"/>
      <c r="AH36" s="123"/>
    </row>
    <row r="37" spans="1:34" s="124" customFormat="1" ht="11.25">
      <c r="A37" s="123"/>
      <c r="B37" s="123"/>
      <c r="C37" s="33"/>
      <c r="D37" s="26" t="s">
        <v>5</v>
      </c>
      <c r="E37" s="32"/>
      <c r="F37" s="74">
        <f t="shared" ref="F37:K38" si="3">F13</f>
        <v>163</v>
      </c>
      <c r="G37" s="74">
        <f t="shared" si="3"/>
        <v>99</v>
      </c>
      <c r="H37" s="74">
        <f t="shared" si="3"/>
        <v>83</v>
      </c>
      <c r="I37" s="74">
        <f t="shared" si="3"/>
        <v>0</v>
      </c>
      <c r="J37" s="74">
        <f t="shared" si="3"/>
        <v>0</v>
      </c>
      <c r="K37" s="74">
        <f t="shared" si="3"/>
        <v>90</v>
      </c>
      <c r="L37" s="64">
        <f>IFERROR(F37/G37-1,"n/a")</f>
        <v>0.64646464646464641</v>
      </c>
      <c r="M37" s="64">
        <f>IFERROR(F37/H37-1,"n/a")</f>
        <v>0.96385542168674698</v>
      </c>
      <c r="N37" s="64" t="str">
        <f>IFERROR(F37/I37-1,"n/a")</f>
        <v>n/a</v>
      </c>
      <c r="O37" s="64" t="str">
        <f>IFERROR(F37/J37-1,"n/a")</f>
        <v>n/a</v>
      </c>
      <c r="P37" s="60">
        <f>IFERROR(F37/K37-1,"n/a")</f>
        <v>0.81111111111111112</v>
      </c>
      <c r="Q37" s="74">
        <f>'Apr-24'!Q37+F37</f>
        <v>350</v>
      </c>
      <c r="R37" s="74">
        <f>'Apr-24'!R37+G37</f>
        <v>228</v>
      </c>
      <c r="S37" s="74">
        <f>'Apr-24'!S37+H37</f>
        <v>219</v>
      </c>
      <c r="T37" s="74">
        <f>'Apr-24'!T37+I37</f>
        <v>0</v>
      </c>
      <c r="U37" s="74">
        <f>'Apr-24'!U37+J37</f>
        <v>42</v>
      </c>
      <c r="V37" s="74">
        <f>'Apr-24'!V37+K37</f>
        <v>219</v>
      </c>
      <c r="W37" s="120">
        <f>IFERROR(Q37/R37-1,"n/a")</f>
        <v>0.53508771929824572</v>
      </c>
      <c r="X37" s="120">
        <f>IFERROR(R37/S37-1,"n/a")</f>
        <v>4.1095890410958846E-2</v>
      </c>
      <c r="Y37" s="120" t="str">
        <f>IFERROR(R37/T37-1,"n/a")</f>
        <v>n/a</v>
      </c>
      <c r="Z37" s="120">
        <f>IFERROR(R37/U37-1,"n/a")</f>
        <v>4.4285714285714288</v>
      </c>
      <c r="AA37" s="121">
        <f>IFERROR(R37/V37-1,"n/a")</f>
        <v>4.1095890410958846E-2</v>
      </c>
      <c r="AB37" s="148"/>
      <c r="AC37" s="89">
        <v>1486</v>
      </c>
      <c r="AD37" s="89">
        <v>1052</v>
      </c>
      <c r="AE37" s="70">
        <v>551</v>
      </c>
      <c r="AF37" s="78">
        <v>1584</v>
      </c>
      <c r="AH37" s="123"/>
    </row>
    <row r="38" spans="1:34" s="124" customFormat="1" ht="11.25">
      <c r="A38" s="123"/>
      <c r="B38" s="123"/>
      <c r="C38" s="33"/>
      <c r="D38" s="26" t="s">
        <v>11</v>
      </c>
      <c r="E38" s="32"/>
      <c r="F38" s="74">
        <f t="shared" si="3"/>
        <v>584059</v>
      </c>
      <c r="G38" s="74">
        <f t="shared" si="3"/>
        <v>353242</v>
      </c>
      <c r="H38" s="74">
        <f t="shared" si="3"/>
        <v>234968</v>
      </c>
      <c r="I38" s="74">
        <f t="shared" si="3"/>
        <v>0</v>
      </c>
      <c r="J38" s="74">
        <f t="shared" si="3"/>
        <v>0</v>
      </c>
      <c r="K38" s="74">
        <f t="shared" si="3"/>
        <v>303053</v>
      </c>
      <c r="L38" s="64">
        <f>IFERROR(F38/G38-1,"n/a")</f>
        <v>0.65342456446288955</v>
      </c>
      <c r="M38" s="64">
        <f>IFERROR(F38/H38-1,"n/a")</f>
        <v>1.4856959245514281</v>
      </c>
      <c r="N38" s="64" t="str">
        <f>IFERROR(F38/I38-1,"n/a")</f>
        <v>n/a</v>
      </c>
      <c r="O38" s="64" t="str">
        <f>IFERROR(F38/J38-1,"n/a")</f>
        <v>n/a</v>
      </c>
      <c r="P38" s="60">
        <f>IFERROR(F38/K38-1,"n/a")</f>
        <v>0.92725034894886371</v>
      </c>
      <c r="Q38" s="74">
        <f>'Apr-24'!Q38+F38</f>
        <v>1243773</v>
      </c>
      <c r="R38" s="74">
        <f>'Apr-24'!R38+G38</f>
        <v>802993</v>
      </c>
      <c r="S38" s="74">
        <f>'Apr-24'!S38+H38</f>
        <v>532756</v>
      </c>
      <c r="T38" s="74">
        <f>'Apr-24'!T38+I38</f>
        <v>0</v>
      </c>
      <c r="U38" s="74">
        <f>'Apr-24'!U38+J38</f>
        <v>0</v>
      </c>
      <c r="V38" s="74">
        <f>'Apr-24'!V38+K38</f>
        <v>697098</v>
      </c>
      <c r="W38" s="120">
        <f>IFERROR(Q38/R38-1,"n/a")</f>
        <v>0.54892134800676962</v>
      </c>
      <c r="X38" s="120">
        <f>IFERROR(R38/S38-1,"n/a")</f>
        <v>0.50724346605200132</v>
      </c>
      <c r="Y38" s="120" t="str">
        <f>IFERROR(R38/T38-1,"n/a")</f>
        <v>n/a</v>
      </c>
      <c r="Z38" s="120" t="str">
        <f>IFERROR(R38/U38-1,"n/a")</f>
        <v>n/a</v>
      </c>
      <c r="AA38" s="121">
        <f>IFERROR(R38/V38-1,"n/a")</f>
        <v>0.15190834000384457</v>
      </c>
      <c r="AB38" s="148"/>
      <c r="AC38" s="89">
        <v>4370939</v>
      </c>
      <c r="AD38" s="89">
        <v>1527970</v>
      </c>
      <c r="AE38" s="84">
        <v>1092884</v>
      </c>
      <c r="AF38" s="78">
        <v>4234259</v>
      </c>
      <c r="AH38" s="123"/>
    </row>
    <row r="39" spans="1:34" s="124" customFormat="1" ht="11.25">
      <c r="A39" s="123"/>
      <c r="B39" s="123"/>
      <c r="C39" s="31" t="s">
        <v>109</v>
      </c>
      <c r="D39" s="26"/>
      <c r="E39" s="32"/>
      <c r="F39" s="26"/>
      <c r="G39" s="26"/>
      <c r="H39" s="26"/>
      <c r="I39" s="26"/>
      <c r="J39" s="26"/>
      <c r="K39" s="26"/>
      <c r="L39" s="64"/>
      <c r="M39" s="64"/>
      <c r="N39" s="64"/>
      <c r="O39" s="64"/>
      <c r="P39" s="61"/>
      <c r="Q39" s="26"/>
      <c r="R39" s="26"/>
      <c r="S39" s="26"/>
      <c r="T39" s="26"/>
      <c r="U39" s="26"/>
      <c r="V39" s="26"/>
      <c r="W39" s="65"/>
      <c r="X39" s="65"/>
      <c r="Y39" s="65"/>
      <c r="Z39" s="65"/>
      <c r="AA39" s="61"/>
      <c r="AB39" s="149"/>
      <c r="AC39" s="90"/>
      <c r="AD39" s="90"/>
      <c r="AE39" s="44"/>
      <c r="AF39" s="79"/>
      <c r="AH39" s="123"/>
    </row>
    <row r="40" spans="1:34" s="124" customFormat="1" ht="11.25">
      <c r="A40" s="123"/>
      <c r="B40" s="123"/>
      <c r="C40" s="33"/>
      <c r="D40" s="26" t="s">
        <v>5</v>
      </c>
      <c r="E40" s="32"/>
      <c r="F40" s="74">
        <f t="shared" ref="F40:K41" si="4">F16</f>
        <v>92</v>
      </c>
      <c r="G40" s="74">
        <f t="shared" si="4"/>
        <v>70</v>
      </c>
      <c r="H40" s="74">
        <f t="shared" si="4"/>
        <v>71</v>
      </c>
      <c r="I40" s="74">
        <f t="shared" si="4"/>
        <v>17</v>
      </c>
      <c r="J40" s="74">
        <f t="shared" si="4"/>
        <v>0</v>
      </c>
      <c r="K40" s="74">
        <f t="shared" si="4"/>
        <v>71</v>
      </c>
      <c r="L40" s="64">
        <f>IFERROR(F40/G40-1,"n/a")</f>
        <v>0.31428571428571428</v>
      </c>
      <c r="M40" s="64">
        <f>IFERROR(F40/H40-1,"n/a")</f>
        <v>0.29577464788732399</v>
      </c>
      <c r="N40" s="64">
        <f>IFERROR(F40/I40-1,"n/a")</f>
        <v>4.4117647058823533</v>
      </c>
      <c r="O40" s="64" t="str">
        <f>IFERROR(F40/J40-1,"n/a")</f>
        <v>n/a</v>
      </c>
      <c r="P40" s="60">
        <f>IFERROR(F40/K40-1,"n/a")</f>
        <v>0.29577464788732399</v>
      </c>
      <c r="Q40" s="74">
        <f>'Apr-24'!Q40+F40</f>
        <v>147</v>
      </c>
      <c r="R40" s="74">
        <f>'Apr-24'!R40+G40</f>
        <v>116</v>
      </c>
      <c r="S40" s="74">
        <f>'Apr-24'!S40+H40</f>
        <v>127</v>
      </c>
      <c r="T40" s="74">
        <f>'Apr-24'!T40+I40</f>
        <v>22</v>
      </c>
      <c r="U40" s="74">
        <f>'Apr-24'!U40+J40</f>
        <v>0</v>
      </c>
      <c r="V40" s="74">
        <f>'Apr-24'!V40+K40</f>
        <v>122</v>
      </c>
      <c r="W40" s="120">
        <f>IFERROR(Q40/R40-1,"n/a")</f>
        <v>0.26724137931034475</v>
      </c>
      <c r="X40" s="120">
        <f>IFERROR(R40/S40-1,"n/a")</f>
        <v>-8.6614173228346414E-2</v>
      </c>
      <c r="Y40" s="120">
        <f>IFERROR(R40/T40-1,"n/a")</f>
        <v>4.2727272727272725</v>
      </c>
      <c r="Z40" s="120" t="str">
        <f>IFERROR(R40/U40-1,"n/a")</f>
        <v>n/a</v>
      </c>
      <c r="AA40" s="121">
        <f>IFERROR(R40/V40-1,"n/a")</f>
        <v>-4.9180327868852514E-2</v>
      </c>
      <c r="AB40" s="148"/>
      <c r="AC40" s="89">
        <v>563</v>
      </c>
      <c r="AD40" s="89">
        <v>226</v>
      </c>
      <c r="AE40" s="70">
        <v>66</v>
      </c>
      <c r="AF40" s="78">
        <v>573</v>
      </c>
      <c r="AH40" s="123"/>
    </row>
    <row r="41" spans="1:34" s="124" customFormat="1" ht="11.25">
      <c r="A41" s="123"/>
      <c r="B41" s="123"/>
      <c r="C41" s="33"/>
      <c r="D41" s="26" t="s">
        <v>11</v>
      </c>
      <c r="E41" s="32"/>
      <c r="F41" s="74">
        <f t="shared" si="4"/>
        <v>200577</v>
      </c>
      <c r="G41" s="74">
        <f t="shared" si="4"/>
        <v>161083</v>
      </c>
      <c r="H41" s="74">
        <f t="shared" si="4"/>
        <v>82038</v>
      </c>
      <c r="I41" s="74">
        <f t="shared" si="4"/>
        <v>24481</v>
      </c>
      <c r="J41" s="74">
        <f t="shared" si="4"/>
        <v>0</v>
      </c>
      <c r="K41" s="74">
        <f t="shared" si="4"/>
        <v>165399</v>
      </c>
      <c r="L41" s="64">
        <f>IFERROR(F41/G41-1,"n/a")</f>
        <v>0.24517795173916546</v>
      </c>
      <c r="M41" s="64">
        <f>IFERROR(F41/H41-1,"n/a")</f>
        <v>1.4449279602135596</v>
      </c>
      <c r="N41" s="64">
        <f>IFERROR(F41/I41-1,"n/a")</f>
        <v>7.1931702136350637</v>
      </c>
      <c r="O41" s="64" t="str">
        <f>IFERROR(F41/J41-1,"n/a")</f>
        <v>n/a</v>
      </c>
      <c r="P41" s="60">
        <f>IFERROR(F41/K41-1,"n/a")</f>
        <v>0.21268568733789195</v>
      </c>
      <c r="Q41" s="74">
        <f>'Apr-24'!Q41+F41</f>
        <v>330174</v>
      </c>
      <c r="R41" s="74">
        <f>'Apr-24'!R41+G41</f>
        <v>268431</v>
      </c>
      <c r="S41" s="74">
        <f>'Apr-24'!S41+H41</f>
        <v>142405</v>
      </c>
      <c r="T41" s="74">
        <f>'Apr-24'!T41+I41</f>
        <v>30483</v>
      </c>
      <c r="U41" s="74">
        <f>'Apr-24'!U41+J41</f>
        <v>0</v>
      </c>
      <c r="V41" s="74">
        <f>'Apr-24'!V41+K41</f>
        <v>312730</v>
      </c>
      <c r="W41" s="120">
        <f>IFERROR(Q41/R41-1,"n/a")</f>
        <v>0.23001441711277759</v>
      </c>
      <c r="X41" s="120">
        <f>IFERROR(R41/S41-1,"n/a")</f>
        <v>0.88498297110354263</v>
      </c>
      <c r="Y41" s="120">
        <f>IFERROR(R41/T41-1,"n/a")</f>
        <v>7.8059246137191227</v>
      </c>
      <c r="Z41" s="120" t="str">
        <f>IFERROR(R41/U41-1,"n/a")</f>
        <v>n/a</v>
      </c>
      <c r="AA41" s="121">
        <f>IFERROR(R41/V41-1,"n/a")</f>
        <v>-0.14165254372781633</v>
      </c>
      <c r="AB41" s="148"/>
      <c r="AC41" s="89">
        <v>1012510</v>
      </c>
      <c r="AD41" s="89">
        <v>327926</v>
      </c>
      <c r="AE41" s="84">
        <v>80778</v>
      </c>
      <c r="AF41" s="78">
        <v>1361671</v>
      </c>
      <c r="AH41" s="123"/>
    </row>
    <row r="42" spans="1:34" s="124" customFormat="1" ht="11.25">
      <c r="A42" s="123"/>
      <c r="B42" s="123"/>
      <c r="C42" s="31" t="s">
        <v>110</v>
      </c>
      <c r="D42" s="26"/>
      <c r="E42" s="32"/>
      <c r="F42" s="87"/>
      <c r="G42" s="87"/>
      <c r="H42" s="87"/>
      <c r="I42" s="87"/>
      <c r="J42" s="87"/>
      <c r="K42" s="72"/>
      <c r="L42" s="64"/>
      <c r="M42" s="64"/>
      <c r="N42" s="64"/>
      <c r="O42" s="64"/>
      <c r="P42" s="60"/>
      <c r="Q42" s="87"/>
      <c r="R42" s="87"/>
      <c r="S42" s="87"/>
      <c r="T42" s="87"/>
      <c r="U42" s="87"/>
      <c r="V42" s="72"/>
      <c r="W42" s="64"/>
      <c r="X42" s="64"/>
      <c r="Y42" s="64"/>
      <c r="Z42" s="64"/>
      <c r="AA42" s="60"/>
      <c r="AB42" s="148"/>
      <c r="AC42" s="90"/>
      <c r="AD42" s="90"/>
      <c r="AE42" s="44"/>
      <c r="AF42" s="79"/>
      <c r="AH42" s="123"/>
    </row>
    <row r="43" spans="1:34" s="124" customFormat="1" ht="11.25">
      <c r="A43" s="123"/>
      <c r="B43" s="123"/>
      <c r="C43" s="33"/>
      <c r="D43" s="26" t="s">
        <v>5</v>
      </c>
      <c r="E43" s="32"/>
      <c r="F43" s="74">
        <f t="shared" ref="F43:K44" si="5">F19</f>
        <v>91</v>
      </c>
      <c r="G43" s="74">
        <f t="shared" si="5"/>
        <v>99</v>
      </c>
      <c r="H43" s="74">
        <f t="shared" si="5"/>
        <v>91</v>
      </c>
      <c r="I43" s="74">
        <f t="shared" si="5"/>
        <v>1</v>
      </c>
      <c r="J43" s="74">
        <f t="shared" si="5"/>
        <v>0</v>
      </c>
      <c r="K43" s="74">
        <f t="shared" si="5"/>
        <v>37</v>
      </c>
      <c r="L43" s="64">
        <f>IFERROR(F43/G43-1,"n/a")</f>
        <v>-8.0808080808080773E-2</v>
      </c>
      <c r="M43" s="64">
        <f>IFERROR(F43/H43-1,"n/a")</f>
        <v>0</v>
      </c>
      <c r="N43" s="64">
        <f>IFERROR(F43/I43-1,"n/a")</f>
        <v>90</v>
      </c>
      <c r="O43" s="64" t="str">
        <f>IFERROR(F43/J43-1,"n/a")</f>
        <v>n/a</v>
      </c>
      <c r="P43" s="60">
        <f>IFERROR(F43/K43-1,"n/a")</f>
        <v>1.4594594594594597</v>
      </c>
      <c r="Q43" s="74">
        <f>'Apr-24'!Q43+F43</f>
        <v>143</v>
      </c>
      <c r="R43" s="74">
        <f>'Apr-24'!R43+G43</f>
        <v>146</v>
      </c>
      <c r="S43" s="74">
        <f>'Apr-24'!S43+H43</f>
        <v>126</v>
      </c>
      <c r="T43" s="74">
        <f>'Apr-24'!T43+I43</f>
        <v>3</v>
      </c>
      <c r="U43" s="74">
        <f>'Apr-24'!U43+J43</f>
        <v>0</v>
      </c>
      <c r="V43" s="74">
        <f>'Apr-24'!V43+K43</f>
        <v>58</v>
      </c>
      <c r="W43" s="120">
        <f>IFERROR(Q43/R43-1,"n/a")</f>
        <v>-2.0547945205479423E-2</v>
      </c>
      <c r="X43" s="120">
        <f>IFERROR(R43/S43-1,"n/a")</f>
        <v>0.15873015873015883</v>
      </c>
      <c r="Y43" s="120">
        <f>IFERROR(R43/T43-1,"n/a")</f>
        <v>47.666666666666664</v>
      </c>
      <c r="Z43" s="120" t="str">
        <f>IFERROR(R43/U43-1,"n/a")</f>
        <v>n/a</v>
      </c>
      <c r="AA43" s="121">
        <f>IFERROR(R43/V43-1,"n/a")</f>
        <v>1.5172413793103448</v>
      </c>
      <c r="AB43" s="148"/>
      <c r="AC43" s="89">
        <v>669</v>
      </c>
      <c r="AD43" s="89">
        <v>59</v>
      </c>
      <c r="AE43" s="70">
        <v>9</v>
      </c>
      <c r="AF43" s="78">
        <v>287</v>
      </c>
      <c r="AH43" s="123"/>
    </row>
    <row r="44" spans="1:34" s="124" customFormat="1" ht="11.25">
      <c r="A44" s="123"/>
      <c r="B44" s="123"/>
      <c r="C44" s="33"/>
      <c r="D44" s="26" t="s">
        <v>11</v>
      </c>
      <c r="E44" s="32"/>
      <c r="F44" s="74">
        <f t="shared" si="5"/>
        <v>156985</v>
      </c>
      <c r="G44" s="74">
        <f t="shared" si="5"/>
        <v>137318</v>
      </c>
      <c r="H44" s="74">
        <f t="shared" si="5"/>
        <v>88575</v>
      </c>
      <c r="I44" s="74">
        <f t="shared" si="5"/>
        <v>0</v>
      </c>
      <c r="J44" s="74">
        <f t="shared" si="5"/>
        <v>0</v>
      </c>
      <c r="K44" s="74">
        <f t="shared" si="5"/>
        <v>66376</v>
      </c>
      <c r="L44" s="64">
        <f>IFERROR(F44/G44-1,"n/a")</f>
        <v>0.14322230151910165</v>
      </c>
      <c r="M44" s="64">
        <f>IFERROR(F44/H44-1,"n/a")</f>
        <v>0.77233982500705611</v>
      </c>
      <c r="N44" s="64" t="str">
        <f>IFERROR(F44/I44-1,"n/a")</f>
        <v>n/a</v>
      </c>
      <c r="O44" s="64" t="str">
        <f>IFERROR(F44/J44-1,"n/a")</f>
        <v>n/a</v>
      </c>
      <c r="P44" s="60">
        <f>IFERROR(F44/K44-1,"n/a")</f>
        <v>1.3650867783536218</v>
      </c>
      <c r="Q44" s="74">
        <f>'Apr-24'!Q44+F44</f>
        <v>232556.4</v>
      </c>
      <c r="R44" s="74">
        <f>'Apr-24'!R44+G44</f>
        <v>203620</v>
      </c>
      <c r="S44" s="74">
        <f>'Apr-24'!S44+H44</f>
        <v>121151</v>
      </c>
      <c r="T44" s="74">
        <f>'Apr-24'!T44+I44</f>
        <v>0</v>
      </c>
      <c r="U44" s="74">
        <f>'Apr-24'!U44+J44</f>
        <v>0</v>
      </c>
      <c r="V44" s="74">
        <f>'Apr-24'!V44+K44</f>
        <v>102439</v>
      </c>
      <c r="W44" s="120">
        <f>IFERROR(Q44/R44-1,"n/a")</f>
        <v>0.1421098123956388</v>
      </c>
      <c r="X44" s="120">
        <f>IFERROR(R44/S44-1,"n/a")</f>
        <v>0.6807124992777609</v>
      </c>
      <c r="Y44" s="120" t="str">
        <f>IFERROR(R44/T44-1,"n/a")</f>
        <v>n/a</v>
      </c>
      <c r="Z44" s="120" t="str">
        <f>IFERROR(R44/U44-1,"n/a")</f>
        <v>n/a</v>
      </c>
      <c r="AA44" s="121">
        <f>IFERROR(R44/V44-1,"n/a")</f>
        <v>0.98771952088560022</v>
      </c>
      <c r="AB44" s="148"/>
      <c r="AC44" s="82">
        <v>905256</v>
      </c>
      <c r="AD44" s="82">
        <v>20626</v>
      </c>
      <c r="AE44" s="84">
        <v>10047</v>
      </c>
      <c r="AF44" s="78">
        <v>581199</v>
      </c>
      <c r="AH44" s="123"/>
    </row>
    <row r="45" spans="1:34" s="124" customFormat="1" ht="11.25">
      <c r="A45" s="123"/>
      <c r="B45" s="123"/>
      <c r="C45" s="31" t="s">
        <v>111</v>
      </c>
      <c r="D45" s="26"/>
      <c r="E45" s="34"/>
      <c r="F45" s="72"/>
      <c r="G45" s="72"/>
      <c r="H45" s="72"/>
      <c r="I45" s="72"/>
      <c r="J45" s="72"/>
      <c r="K45" s="72"/>
      <c r="L45" s="64"/>
      <c r="M45" s="64"/>
      <c r="N45" s="64"/>
      <c r="O45" s="64"/>
      <c r="P45" s="60"/>
      <c r="Q45" s="72"/>
      <c r="R45" s="72"/>
      <c r="S45" s="72"/>
      <c r="T45" s="72"/>
      <c r="U45" s="72"/>
      <c r="V45" s="72"/>
      <c r="W45" s="64"/>
      <c r="X45" s="64"/>
      <c r="Y45" s="64"/>
      <c r="Z45" s="64"/>
      <c r="AA45" s="60"/>
      <c r="AB45" s="148"/>
      <c r="AC45" s="90"/>
      <c r="AD45" s="90"/>
      <c r="AE45" s="44"/>
      <c r="AF45" s="79"/>
      <c r="AH45" s="123"/>
    </row>
    <row r="46" spans="1:34" s="124" customFormat="1" ht="11.25">
      <c r="A46" s="123"/>
      <c r="B46" s="123"/>
      <c r="C46" s="33"/>
      <c r="D46" s="26" t="s">
        <v>5</v>
      </c>
      <c r="E46" s="34"/>
      <c r="F46" s="74">
        <f t="shared" ref="F46:K47" si="6">F22</f>
        <v>147</v>
      </c>
      <c r="G46" s="74">
        <f t="shared" si="6"/>
        <v>159</v>
      </c>
      <c r="H46" s="74">
        <f t="shared" si="6"/>
        <v>107</v>
      </c>
      <c r="I46" s="74">
        <f t="shared" si="6"/>
        <v>0</v>
      </c>
      <c r="J46" s="74">
        <f t="shared" si="6"/>
        <v>0</v>
      </c>
      <c r="K46" s="74">
        <f t="shared" si="6"/>
        <v>113</v>
      </c>
      <c r="L46" s="64">
        <f>IFERROR(F46/G46-1,"n/a")</f>
        <v>-7.547169811320753E-2</v>
      </c>
      <c r="M46" s="64">
        <f>IFERROR(F46/H46-1,"n/a")</f>
        <v>0.37383177570093462</v>
      </c>
      <c r="N46" s="64" t="str">
        <f>IFERROR(F46/I46-1,"n/a")</f>
        <v>n/a</v>
      </c>
      <c r="O46" s="64" t="str">
        <f>IFERROR(F46/J46-1,"n/a")</f>
        <v>n/a</v>
      </c>
      <c r="P46" s="60">
        <f>IFERROR(F46/K46-1,"n/a")</f>
        <v>0.30088495575221241</v>
      </c>
      <c r="Q46" s="74">
        <f>'Apr-24'!Q46+F46</f>
        <v>341</v>
      </c>
      <c r="R46" s="74">
        <f>'Apr-24'!R46+G46</f>
        <v>321</v>
      </c>
      <c r="S46" s="74">
        <f>'Apr-24'!S46+H46</f>
        <v>207</v>
      </c>
      <c r="T46" s="74">
        <f>'Apr-24'!T46+I46</f>
        <v>0</v>
      </c>
      <c r="U46" s="74">
        <f>'Apr-24'!U46+J46</f>
        <v>0</v>
      </c>
      <c r="V46" s="74">
        <f>'Apr-24'!V46+K46</f>
        <v>203</v>
      </c>
      <c r="W46" s="120">
        <f>IFERROR(Q46/R46-1,"n/a")</f>
        <v>6.230529595015577E-2</v>
      </c>
      <c r="X46" s="120">
        <f>IFERROR(R46/S46-1,"n/a")</f>
        <v>0.55072463768115942</v>
      </c>
      <c r="Y46" s="120" t="str">
        <f>IFERROR(R46/T46-1,"n/a")</f>
        <v>n/a</v>
      </c>
      <c r="Z46" s="120" t="str">
        <f>IFERROR(R46/U46-1,"n/a")</f>
        <v>n/a</v>
      </c>
      <c r="AA46" s="121">
        <f>IFERROR(R46/V46-1,"n/a")</f>
        <v>0.58128078817733986</v>
      </c>
      <c r="AB46" s="148"/>
      <c r="AC46" s="89">
        <v>1129</v>
      </c>
      <c r="AD46" s="89">
        <v>336</v>
      </c>
      <c r="AE46" s="84">
        <v>43</v>
      </c>
      <c r="AF46" s="78">
        <v>781</v>
      </c>
      <c r="AH46" s="123"/>
    </row>
    <row r="47" spans="1:34" s="124" customFormat="1" ht="11.25">
      <c r="A47" s="123"/>
      <c r="B47" s="123"/>
      <c r="C47" s="33"/>
      <c r="D47" s="26" t="s">
        <v>11</v>
      </c>
      <c r="E47" s="32"/>
      <c r="F47" s="74">
        <f t="shared" si="6"/>
        <v>425839</v>
      </c>
      <c r="G47" s="74">
        <f t="shared" si="6"/>
        <v>390316</v>
      </c>
      <c r="H47" s="74">
        <f t="shared" si="6"/>
        <v>173929</v>
      </c>
      <c r="I47" s="74">
        <f t="shared" si="6"/>
        <v>0</v>
      </c>
      <c r="J47" s="74">
        <f t="shared" si="6"/>
        <v>0</v>
      </c>
      <c r="K47" s="74">
        <f t="shared" si="6"/>
        <v>300445</v>
      </c>
      <c r="L47" s="64">
        <f>IFERROR(F47/G47-1,"n/a")</f>
        <v>9.1010873241168744E-2</v>
      </c>
      <c r="M47" s="64">
        <f>IFERROR(F47/H47-1,"n/a")</f>
        <v>1.4483496139229226</v>
      </c>
      <c r="N47" s="64" t="str">
        <f>IFERROR(F47/I47-1,"n/a")</f>
        <v>n/a</v>
      </c>
      <c r="O47" s="64" t="str">
        <f>IFERROR(F47/J47-1,"n/a")</f>
        <v>n/a</v>
      </c>
      <c r="P47" s="60">
        <f>IFERROR(F47/K47-1,"n/a")</f>
        <v>0.41736091464327907</v>
      </c>
      <c r="Q47" s="74">
        <f>'Apr-24'!Q47+F47</f>
        <v>858945</v>
      </c>
      <c r="R47" s="74">
        <f>'Apr-24'!R47+G47</f>
        <v>743019</v>
      </c>
      <c r="S47" s="74">
        <f>'Apr-24'!S47+H47</f>
        <v>289738</v>
      </c>
      <c r="T47" s="74">
        <f>'Apr-24'!T47+I47</f>
        <v>0</v>
      </c>
      <c r="U47" s="74">
        <f>'Apr-24'!U47+J47</f>
        <v>0</v>
      </c>
      <c r="V47" s="74">
        <f>'Apr-24'!V47+K47</f>
        <v>513185</v>
      </c>
      <c r="W47" s="120">
        <f>IFERROR(Q47/R47-1,"n/a")</f>
        <v>0.15602023636003914</v>
      </c>
      <c r="X47" s="120">
        <f>IFERROR(R47/S47-1,"n/a")</f>
        <v>1.5644513318929514</v>
      </c>
      <c r="Y47" s="120" t="str">
        <f>IFERROR(R47/T47-1,"n/a")</f>
        <v>n/a</v>
      </c>
      <c r="Z47" s="120" t="str">
        <f>IFERROR(R47/U47-1,"n/a")</f>
        <v>n/a</v>
      </c>
      <c r="AA47" s="121">
        <f>IFERROR(R47/V47-1,"n/a")</f>
        <v>0.44785798493720597</v>
      </c>
      <c r="AB47" s="148"/>
      <c r="AC47" s="82">
        <v>2932981</v>
      </c>
      <c r="AD47" s="82">
        <v>533563</v>
      </c>
      <c r="AE47" s="84">
        <v>140552</v>
      </c>
      <c r="AF47" s="78">
        <v>2441594</v>
      </c>
      <c r="AH47" s="123"/>
    </row>
    <row r="48" spans="1:34" s="124" customFormat="1" ht="11.25">
      <c r="C48" s="31" t="s">
        <v>112</v>
      </c>
      <c r="D48" s="26"/>
      <c r="E48" s="32"/>
      <c r="F48" s="72"/>
      <c r="G48" s="72"/>
      <c r="H48" s="72"/>
      <c r="I48" s="72"/>
      <c r="J48" s="72"/>
      <c r="K48" s="72"/>
      <c r="L48" s="64"/>
      <c r="M48" s="64"/>
      <c r="N48" s="64"/>
      <c r="O48" s="64"/>
      <c r="P48" s="60"/>
      <c r="Q48" s="72"/>
      <c r="R48" s="72"/>
      <c r="S48" s="72"/>
      <c r="T48" s="72"/>
      <c r="U48" s="72"/>
      <c r="V48" s="72"/>
      <c r="W48" s="64"/>
      <c r="X48" s="64"/>
      <c r="Y48" s="64"/>
      <c r="Z48" s="64"/>
      <c r="AA48" s="60"/>
      <c r="AB48" s="148"/>
      <c r="AC48" s="90"/>
      <c r="AD48" s="90"/>
      <c r="AE48" s="44"/>
      <c r="AF48" s="79"/>
      <c r="AH48" s="123"/>
    </row>
    <row r="49" spans="3:34" s="124" customFormat="1" ht="11.25">
      <c r="C49" s="33"/>
      <c r="D49" s="26" t="s">
        <v>5</v>
      </c>
      <c r="E49" s="32"/>
      <c r="F49" s="74">
        <f t="shared" ref="F49:K50" si="7">F25</f>
        <v>2</v>
      </c>
      <c r="G49" s="74">
        <f t="shared" si="7"/>
        <v>3</v>
      </c>
      <c r="H49" s="74">
        <f t="shared" si="7"/>
        <v>0</v>
      </c>
      <c r="I49" s="74">
        <f t="shared" si="7"/>
        <v>0</v>
      </c>
      <c r="J49" s="74">
        <f t="shared" si="7"/>
        <v>0</v>
      </c>
      <c r="K49" s="74">
        <f t="shared" si="7"/>
        <v>2</v>
      </c>
      <c r="L49" s="64">
        <f>IFERROR(F49/G49-1,"n/a")</f>
        <v>-0.33333333333333337</v>
      </c>
      <c r="M49" s="64" t="str">
        <f>IFERROR(F49/H49-1,"n/a")</f>
        <v>n/a</v>
      </c>
      <c r="N49" s="64" t="str">
        <f>IFERROR(F49/I49-1,"n/a")</f>
        <v>n/a</v>
      </c>
      <c r="O49" s="64" t="str">
        <f>IFERROR(F49/J49-1,"n/a")</f>
        <v>n/a</v>
      </c>
      <c r="P49" s="60">
        <f>IFERROR(F49/K49-1,"n/a")</f>
        <v>0</v>
      </c>
      <c r="Q49" s="74">
        <f>'Apr-24'!Q49+F49</f>
        <v>3</v>
      </c>
      <c r="R49" s="74">
        <f>'Apr-24'!R49+G49</f>
        <v>4</v>
      </c>
      <c r="S49" s="74">
        <f>'Apr-24'!S49+H49</f>
        <v>1</v>
      </c>
      <c r="T49" s="74">
        <f>'Apr-24'!T49+I49</f>
        <v>0</v>
      </c>
      <c r="U49" s="74">
        <f>'Apr-24'!U49+J49</f>
        <v>0</v>
      </c>
      <c r="V49" s="74">
        <f>'Apr-24'!V49+K49</f>
        <v>3</v>
      </c>
      <c r="W49" s="120">
        <f t="shared" ref="W49:X52" si="8">IFERROR(Q49/R49-1,"n/a")</f>
        <v>-0.25</v>
      </c>
      <c r="X49" s="120">
        <f t="shared" si="8"/>
        <v>3</v>
      </c>
      <c r="Y49" s="120" t="str">
        <f>IFERROR(R49/T49-1,"n/a")</f>
        <v>n/a</v>
      </c>
      <c r="Z49" s="120" t="str">
        <f>IFERROR(R49/U49-1,"n/a")</f>
        <v>n/a</v>
      </c>
      <c r="AA49" s="121">
        <f>IFERROR(R49/V49-1,"n/a")</f>
        <v>0.33333333333333326</v>
      </c>
      <c r="AB49" s="148"/>
      <c r="AC49" s="89">
        <v>9</v>
      </c>
      <c r="AD49" s="68">
        <v>0</v>
      </c>
      <c r="AE49" s="68">
        <v>0</v>
      </c>
      <c r="AF49" s="78">
        <v>16</v>
      </c>
      <c r="AH49" s="123"/>
    </row>
    <row r="50" spans="3:34" s="124" customFormat="1" ht="11.25">
      <c r="C50" s="33"/>
      <c r="D50" s="26" t="s">
        <v>11</v>
      </c>
      <c r="E50" s="32"/>
      <c r="F50" s="74">
        <f t="shared" si="7"/>
        <v>8306</v>
      </c>
      <c r="G50" s="74">
        <f t="shared" si="7"/>
        <v>2124</v>
      </c>
      <c r="H50" s="74">
        <f t="shared" si="7"/>
        <v>0</v>
      </c>
      <c r="I50" s="74">
        <f t="shared" si="7"/>
        <v>0</v>
      </c>
      <c r="J50" s="74">
        <f t="shared" si="7"/>
        <v>0</v>
      </c>
      <c r="K50" s="74">
        <f t="shared" si="7"/>
        <v>2351</v>
      </c>
      <c r="L50" s="64">
        <f>IFERROR(F50/G50-1,"n/a")</f>
        <v>2.9105461393596985</v>
      </c>
      <c r="M50" s="64" t="str">
        <f>IFERROR(F50/H50-1,"n/a")</f>
        <v>n/a</v>
      </c>
      <c r="N50" s="64" t="str">
        <f>IFERROR(F50/I50-1,"n/a")</f>
        <v>n/a</v>
      </c>
      <c r="O50" s="64" t="str">
        <f>IFERROR(F50/J50-1,"n/a")</f>
        <v>n/a</v>
      </c>
      <c r="P50" s="60">
        <f>IFERROR(F50/K50-1,"n/a")</f>
        <v>2.5329646958740963</v>
      </c>
      <c r="Q50" s="74">
        <f>'Apr-24'!Q50+F50</f>
        <v>12437</v>
      </c>
      <c r="R50" s="74">
        <f>'Apr-24'!R50+G50</f>
        <v>4382</v>
      </c>
      <c r="S50" s="74">
        <f>'Apr-24'!S50+H50</f>
        <v>925</v>
      </c>
      <c r="T50" s="74">
        <f>'Apr-24'!T50+I50</f>
        <v>0</v>
      </c>
      <c r="U50" s="74">
        <f>'Apr-24'!U50+J50</f>
        <v>0</v>
      </c>
      <c r="V50" s="74">
        <f>'Apr-24'!V50+K50</f>
        <v>3410</v>
      </c>
      <c r="W50" s="120">
        <f t="shared" si="8"/>
        <v>1.8382017343678685</v>
      </c>
      <c r="X50" s="120">
        <f t="shared" si="8"/>
        <v>3.7372972972972969</v>
      </c>
      <c r="Y50" s="120" t="str">
        <f>IFERROR(R50/T50-1,"n/a")</f>
        <v>n/a</v>
      </c>
      <c r="Z50" s="120" t="str">
        <f>IFERROR(R50/U50-1,"n/a")</f>
        <v>n/a</v>
      </c>
      <c r="AA50" s="121">
        <f>IFERROR(R50/V50-1,"n/a")</f>
        <v>0.28504398826979482</v>
      </c>
      <c r="AB50" s="148"/>
      <c r="AC50" s="82">
        <v>15637</v>
      </c>
      <c r="AD50" s="68">
        <v>0</v>
      </c>
      <c r="AE50" s="68">
        <v>0</v>
      </c>
      <c r="AF50" s="78">
        <v>20248</v>
      </c>
      <c r="AH50" s="123"/>
    </row>
    <row r="51" spans="3:34" s="124" customFormat="1" ht="12" thickBot="1">
      <c r="C51" s="35" t="s">
        <v>12</v>
      </c>
      <c r="D51" s="36"/>
      <c r="E51" s="37"/>
      <c r="F51" s="75">
        <f>F37+F40+F43+F46+F49</f>
        <v>495</v>
      </c>
      <c r="G51" s="75">
        <f>G37+G40+G43+G46+G49</f>
        <v>430</v>
      </c>
      <c r="H51" s="75">
        <f t="shared" ref="H51:K52" si="9">H37+H40+H43+H46+H49</f>
        <v>352</v>
      </c>
      <c r="I51" s="75">
        <f t="shared" si="9"/>
        <v>18</v>
      </c>
      <c r="J51" s="75">
        <f t="shared" si="9"/>
        <v>0</v>
      </c>
      <c r="K51" s="75">
        <f t="shared" si="9"/>
        <v>313</v>
      </c>
      <c r="L51" s="66">
        <f>IFERROR(F51/G51-1,"n/a")</f>
        <v>0.15116279069767447</v>
      </c>
      <c r="M51" s="66">
        <f>IFERROR(F51/H51-1,"n/a")</f>
        <v>0.40625</v>
      </c>
      <c r="N51" s="66">
        <f>IFERROR(F51/I51-1,"n/a")</f>
        <v>26.5</v>
      </c>
      <c r="O51" s="66" t="str">
        <f>IFERROR(F51/J51-1,"n/a")</f>
        <v>n/a</v>
      </c>
      <c r="P51" s="62">
        <f>IFERROR(F51/K51-1,"n/a")</f>
        <v>0.58146964856230032</v>
      </c>
      <c r="Q51" s="75">
        <f t="shared" ref="Q51:V52" si="10">Q37+Q40+Q43+Q46+Q49</f>
        <v>984</v>
      </c>
      <c r="R51" s="75">
        <f t="shared" si="10"/>
        <v>815</v>
      </c>
      <c r="S51" s="75">
        <f>S37+S40+S43+S46+S49</f>
        <v>680</v>
      </c>
      <c r="T51" s="75">
        <f t="shared" si="10"/>
        <v>25</v>
      </c>
      <c r="U51" s="75">
        <f t="shared" si="10"/>
        <v>42</v>
      </c>
      <c r="V51" s="75">
        <f t="shared" si="10"/>
        <v>605</v>
      </c>
      <c r="W51" s="66">
        <f t="shared" si="8"/>
        <v>0.20736196319018396</v>
      </c>
      <c r="X51" s="66">
        <f t="shared" si="8"/>
        <v>0.19852941176470584</v>
      </c>
      <c r="Y51" s="66">
        <f>IFERROR(R51/T51-1,"n/a")</f>
        <v>31.6</v>
      </c>
      <c r="Z51" s="66">
        <f t="shared" ref="Z51:Z52" si="11">IFERROR(R51/U51-1,"n/a")</f>
        <v>18.404761904761905</v>
      </c>
      <c r="AA51" s="62">
        <f>IFERROR(R51/V51-1,"n/a")</f>
        <v>0.34710743801652888</v>
      </c>
      <c r="AB51" s="66"/>
      <c r="AC51" s="46">
        <f t="shared" ref="AC51:AE52" si="12">AC37+AC40+AC43+AC46+AC49</f>
        <v>3856</v>
      </c>
      <c r="AD51" s="46">
        <f t="shared" si="12"/>
        <v>1673</v>
      </c>
      <c r="AE51" s="46">
        <f t="shared" si="12"/>
        <v>669</v>
      </c>
      <c r="AF51" s="80">
        <f>AF37+AF40+AF43+AF46+AF49</f>
        <v>3241</v>
      </c>
      <c r="AH51" s="123"/>
    </row>
    <row r="52" spans="3:34" s="124" customFormat="1" ht="12.75" thickTop="1" thickBot="1">
      <c r="C52" s="38" t="s">
        <v>13</v>
      </c>
      <c r="D52" s="39"/>
      <c r="E52" s="40"/>
      <c r="F52" s="76">
        <f>F38+F41+F44+F47+F50</f>
        <v>1375766</v>
      </c>
      <c r="G52" s="76">
        <f>G38+G41+G44+G47+G50</f>
        <v>1044083</v>
      </c>
      <c r="H52" s="76">
        <f t="shared" si="9"/>
        <v>579510</v>
      </c>
      <c r="I52" s="76">
        <f t="shared" si="9"/>
        <v>24481</v>
      </c>
      <c r="J52" s="76">
        <f t="shared" si="9"/>
        <v>0</v>
      </c>
      <c r="K52" s="76">
        <f t="shared" si="9"/>
        <v>837624</v>
      </c>
      <c r="L52" s="67">
        <f>IFERROR(F52/G52-1,"n/a")</f>
        <v>0.31767876691795571</v>
      </c>
      <c r="M52" s="67">
        <f>IFERROR(F52/H52-1,"n/a")</f>
        <v>1.3740159790167557</v>
      </c>
      <c r="N52" s="67">
        <f>IFERROR(F52/I52-1,"n/a")</f>
        <v>55.197295862097135</v>
      </c>
      <c r="O52" s="67" t="str">
        <f>IFERROR(F52/J52-1,"n/a")</f>
        <v>n/a</v>
      </c>
      <c r="P52" s="63">
        <f>IFERROR(F52/K52-1,"n/a")</f>
        <v>0.64246248913593695</v>
      </c>
      <c r="Q52" s="76">
        <f t="shared" si="10"/>
        <v>2677885.4</v>
      </c>
      <c r="R52" s="76">
        <f t="shared" si="10"/>
        <v>2022445</v>
      </c>
      <c r="S52" s="76">
        <f t="shared" si="10"/>
        <v>1086975</v>
      </c>
      <c r="T52" s="76">
        <f t="shared" si="10"/>
        <v>30483</v>
      </c>
      <c r="U52" s="76">
        <f t="shared" si="10"/>
        <v>0</v>
      </c>
      <c r="V52" s="76">
        <f t="shared" si="10"/>
        <v>1628862</v>
      </c>
      <c r="W52" s="67">
        <f t="shared" si="8"/>
        <v>0.32408317655115471</v>
      </c>
      <c r="X52" s="67">
        <f t="shared" si="8"/>
        <v>0.86061776949791846</v>
      </c>
      <c r="Y52" s="118">
        <f>IFERROR(R52/T52-1,"n/a")</f>
        <v>65.346652232391818</v>
      </c>
      <c r="Z52" s="118" t="str">
        <f t="shared" si="11"/>
        <v>n/a</v>
      </c>
      <c r="AA52" s="119">
        <f>IFERROR(R52/V52-1,"n/a")</f>
        <v>0.24163065993313126</v>
      </c>
      <c r="AB52" s="118"/>
      <c r="AC52" s="47">
        <f t="shared" si="12"/>
        <v>9237323</v>
      </c>
      <c r="AD52" s="47">
        <f t="shared" si="12"/>
        <v>2410085</v>
      </c>
      <c r="AE52" s="47">
        <f t="shared" si="12"/>
        <v>1324261</v>
      </c>
      <c r="AF52" s="81">
        <f>AF38+AF41+AF44+AF47+AF50</f>
        <v>8638971</v>
      </c>
      <c r="AH52" s="123"/>
    </row>
    <row r="53" spans="3:34" s="124" customFormat="1" ht="12" thickTop="1">
      <c r="AH53" s="123"/>
    </row>
    <row r="54" spans="3:34" s="124" customFormat="1" ht="11.25">
      <c r="S54" s="132"/>
      <c r="T54" s="132"/>
      <c r="U54" s="132"/>
      <c r="V54" s="132"/>
      <c r="AH54" s="123"/>
    </row>
    <row r="55" spans="3:34" ht="15">
      <c r="S55" s="111"/>
      <c r="T55" s="111"/>
      <c r="U55" s="111"/>
      <c r="V55" s="111"/>
      <c r="AH55" s="9"/>
    </row>
    <row r="56" spans="3:34" ht="15">
      <c r="S56" s="111"/>
      <c r="T56" s="111"/>
      <c r="U56" s="111"/>
      <c r="V56" s="111"/>
      <c r="AH56" s="9"/>
    </row>
    <row r="57" spans="3:34" ht="15">
      <c r="S57" s="111"/>
      <c r="T57" s="111"/>
      <c r="U57" s="111"/>
      <c r="V57" s="111"/>
      <c r="AH57" s="9"/>
    </row>
    <row r="58" spans="3:34" ht="15">
      <c r="AH58" s="9"/>
    </row>
    <row r="59" spans="3:34" ht="15">
      <c r="AH59" s="9"/>
    </row>
    <row r="60" spans="3:34" ht="15">
      <c r="AH60" s="9"/>
    </row>
    <row r="61" spans="3:34" ht="15" customHeight="1"/>
    <row r="62" spans="3:34" ht="15" customHeight="1"/>
    <row r="63" spans="3:34" ht="15" customHeight="1"/>
    <row r="64" spans="3:34" ht="15" customHeight="1"/>
    <row r="65" ht="15" customHeight="1"/>
    <row r="66" ht="15" customHeight="1"/>
  </sheetData>
  <mergeCells count="9">
    <mergeCell ref="AB34:AF34"/>
    <mergeCell ref="F9:P9"/>
    <mergeCell ref="Q9:AA9"/>
    <mergeCell ref="AB9:AF9"/>
    <mergeCell ref="F10:P10"/>
    <mergeCell ref="Q10:AA10"/>
    <mergeCell ref="F33:P33"/>
    <mergeCell ref="Q33:AA33"/>
    <mergeCell ref="AB33:AF33"/>
  </mergeCells>
  <pageMargins left="0.7" right="0.7" top="0.75" bottom="0.75" header="0.3" footer="0.3"/>
  <pageSetup paperSize="9" orientation="portrait" horizontalDpi="0" verticalDpi="0"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66"/>
  <sheetViews>
    <sheetView showGridLines="0" topLeftCell="K31" zoomScale="119" zoomScaleNormal="50" workbookViewId="0">
      <selection activeCell="G14" sqref="G14"/>
    </sheetView>
  </sheetViews>
  <sheetFormatPr defaultColWidth="0" defaultRowHeight="0" customHeight="1" zeroHeight="1"/>
  <cols>
    <col min="1" max="2" width="4.140625" customWidth="1"/>
    <col min="3" max="3" width="3.85546875" customWidth="1"/>
    <col min="4" max="4" width="8.85546875" customWidth="1"/>
    <col min="5" max="6" width="13" customWidth="1"/>
    <col min="7" max="7" width="11.140625" bestFit="1" customWidth="1"/>
    <col min="8" max="8" width="10.140625" bestFit="1" customWidth="1"/>
    <col min="9" max="10" width="8.85546875" customWidth="1"/>
    <col min="11" max="11" width="10.140625" bestFit="1" customWidth="1"/>
    <col min="12" max="12" width="8" customWidth="1"/>
    <col min="13" max="13" width="8.85546875" bestFit="1" customWidth="1"/>
    <col min="14" max="16" width="8" customWidth="1"/>
    <col min="17" max="17" width="10.140625" bestFit="1" customWidth="1"/>
    <col min="18" max="18" width="12" bestFit="1" customWidth="1"/>
    <col min="19" max="19" width="11.5703125" bestFit="1" customWidth="1"/>
    <col min="20" max="20" width="10.42578125" bestFit="1" customWidth="1"/>
    <col min="21" max="21" width="11.5703125" bestFit="1" customWidth="1"/>
    <col min="22" max="22" width="11.85546875" bestFit="1" customWidth="1"/>
    <col min="23" max="23" width="9.140625" bestFit="1" customWidth="1"/>
    <col min="24" max="24" width="8.85546875" bestFit="1" customWidth="1"/>
    <col min="25" max="25" width="8.85546875" customWidth="1"/>
    <col min="26" max="26" width="9" bestFit="1" customWidth="1"/>
    <col min="27" max="27" width="7.85546875" customWidth="1"/>
    <col min="28" max="28" width="10.140625" bestFit="1" customWidth="1"/>
    <col min="29" max="29" width="13.42578125" bestFit="1" customWidth="1"/>
    <col min="30" max="30" width="13.140625" bestFit="1" customWidth="1"/>
    <col min="31" max="31" width="12.85546875" bestFit="1" customWidth="1"/>
    <col min="32" max="32" width="15.42578125" bestFit="1" customWidth="1"/>
    <col min="33" max="33" width="11.140625" customWidth="1"/>
    <col min="34" max="34" width="3.42578125" customWidth="1"/>
    <col min="35" max="16384" width="8.85546875" hidden="1"/>
  </cols>
  <sheetData>
    <row r="1" spans="1:34" ht="15">
      <c r="A1" s="9"/>
      <c r="B1" s="9"/>
      <c r="C1" s="9"/>
      <c r="D1" s="9"/>
      <c r="E1" s="9"/>
      <c r="F1" s="9"/>
      <c r="G1" s="9"/>
      <c r="H1" s="9"/>
      <c r="I1" s="9"/>
      <c r="J1" s="9"/>
      <c r="K1" s="9"/>
      <c r="L1" s="9"/>
      <c r="M1" s="9"/>
      <c r="N1" s="9"/>
      <c r="O1" s="9"/>
      <c r="P1" s="9"/>
      <c r="Q1" s="9"/>
      <c r="R1" s="9"/>
      <c r="S1" s="9"/>
      <c r="T1" s="9"/>
      <c r="U1" s="9"/>
      <c r="V1" s="9"/>
      <c r="W1" s="9"/>
      <c r="X1" s="9"/>
      <c r="Y1" s="9"/>
      <c r="Z1" s="9"/>
      <c r="AA1" s="9"/>
      <c r="AB1" s="9"/>
      <c r="AC1" s="9"/>
      <c r="AD1" s="9"/>
      <c r="AE1" s="9"/>
      <c r="AF1" s="9"/>
      <c r="AG1" s="9"/>
      <c r="AH1" s="9"/>
    </row>
    <row r="2" spans="1:34" ht="31.35" customHeight="1" thickBot="1">
      <c r="A2" s="9"/>
      <c r="B2" s="8" t="s">
        <v>6</v>
      </c>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4"/>
      <c r="AH2" s="9"/>
    </row>
    <row r="3" spans="1:34" ht="15">
      <c r="A3" s="9"/>
      <c r="B3" s="10"/>
      <c r="C3" s="24"/>
      <c r="D3" s="24"/>
      <c r="E3" s="24"/>
      <c r="F3" s="24"/>
      <c r="G3" s="24"/>
      <c r="H3" s="24"/>
      <c r="I3" s="24"/>
      <c r="J3" s="24"/>
      <c r="K3" s="24"/>
      <c r="L3" s="24"/>
      <c r="M3" s="24"/>
      <c r="N3" s="24"/>
      <c r="O3" s="24"/>
      <c r="P3" s="24"/>
      <c r="Q3" s="24"/>
      <c r="R3" s="24"/>
      <c r="S3" s="24"/>
      <c r="T3" s="24"/>
      <c r="U3" s="24"/>
      <c r="V3" s="24"/>
      <c r="W3" s="24"/>
      <c r="X3" s="24"/>
      <c r="Y3" s="24"/>
      <c r="Z3" s="24"/>
      <c r="AA3" s="24"/>
      <c r="AB3" s="24"/>
      <c r="AC3" s="24"/>
      <c r="AD3" s="24"/>
      <c r="AE3" s="24"/>
      <c r="AF3" s="25">
        <v>45397</v>
      </c>
      <c r="AG3" s="25"/>
      <c r="AH3" s="9"/>
    </row>
    <row r="4" spans="1:34" ht="15.75">
      <c r="A4" s="9"/>
      <c r="B4" s="11" t="s">
        <v>7</v>
      </c>
      <c r="C4" s="26"/>
      <c r="D4" s="93" t="s">
        <v>45</v>
      </c>
      <c r="E4" s="134" t="s">
        <v>127</v>
      </c>
      <c r="F4" s="134"/>
      <c r="G4" s="24"/>
      <c r="H4" s="24"/>
      <c r="I4" s="24"/>
      <c r="J4" s="24"/>
      <c r="K4" s="24"/>
      <c r="L4" s="24"/>
      <c r="M4" s="24"/>
      <c r="N4" s="24"/>
      <c r="O4" s="24"/>
      <c r="P4" s="24"/>
      <c r="Q4" s="24"/>
      <c r="R4" s="24"/>
      <c r="S4" s="24"/>
      <c r="T4" s="24"/>
      <c r="U4" s="24"/>
      <c r="V4" s="24"/>
      <c r="W4" s="24"/>
      <c r="X4" s="24"/>
      <c r="Y4" s="24"/>
      <c r="Z4" s="24"/>
      <c r="AA4" s="24"/>
      <c r="AB4" s="24"/>
      <c r="AC4" s="24"/>
      <c r="AD4" s="24"/>
      <c r="AE4" s="24"/>
      <c r="AF4" s="24"/>
      <c r="AG4" s="24"/>
      <c r="AH4" s="9"/>
    </row>
    <row r="5" spans="1:34" ht="15">
      <c r="A5" s="9"/>
      <c r="B5" s="10"/>
      <c r="C5" s="24"/>
      <c r="D5" s="24"/>
      <c r="E5" s="24"/>
      <c r="F5" s="24"/>
      <c r="G5" s="24"/>
      <c r="H5" s="24"/>
      <c r="I5" s="24"/>
      <c r="J5" s="24"/>
      <c r="K5" s="24"/>
      <c r="L5" s="24"/>
      <c r="M5" s="24"/>
      <c r="N5" s="24"/>
      <c r="O5" s="24"/>
      <c r="P5" s="24"/>
      <c r="Q5" s="24"/>
      <c r="R5" s="24"/>
      <c r="S5" s="24"/>
      <c r="T5" s="24"/>
      <c r="U5" s="24"/>
      <c r="V5" s="24"/>
      <c r="W5" s="24"/>
      <c r="X5" s="24"/>
      <c r="Y5" s="24"/>
      <c r="Z5" s="24"/>
      <c r="AA5" s="24"/>
      <c r="AB5" s="24"/>
      <c r="AC5" s="24"/>
      <c r="AD5" s="24"/>
      <c r="AE5" s="24"/>
      <c r="AF5" s="24"/>
      <c r="AG5" s="24"/>
      <c r="AH5" s="9"/>
    </row>
    <row r="6" spans="1:34" ht="15">
      <c r="A6" s="9"/>
      <c r="B6" s="10"/>
      <c r="C6" s="24"/>
      <c r="D6" s="24"/>
      <c r="E6" s="24"/>
      <c r="F6" s="24"/>
      <c r="G6" s="24"/>
      <c r="H6" s="24"/>
      <c r="I6" s="24"/>
      <c r="J6" s="24"/>
      <c r="K6" s="24"/>
      <c r="L6" s="24"/>
      <c r="M6" s="24"/>
      <c r="N6" s="24"/>
      <c r="O6" s="24"/>
      <c r="P6" s="24"/>
      <c r="Q6" s="24"/>
      <c r="R6" s="24"/>
      <c r="S6" s="24"/>
      <c r="T6" s="24"/>
      <c r="U6" s="24"/>
      <c r="V6" s="24"/>
      <c r="W6" s="24"/>
      <c r="X6" s="24"/>
      <c r="Y6" s="24"/>
      <c r="Z6" s="24"/>
      <c r="AA6" s="24"/>
      <c r="AB6" s="24"/>
      <c r="AC6" s="24"/>
      <c r="AD6" s="24"/>
      <c r="AE6" s="24"/>
      <c r="AF6" s="24"/>
      <c r="AG6" s="24"/>
      <c r="AH6" s="9"/>
    </row>
    <row r="7" spans="1:34" ht="15">
      <c r="A7" s="9"/>
      <c r="B7" s="10"/>
      <c r="C7" s="86" t="s">
        <v>62</v>
      </c>
      <c r="D7" s="24"/>
      <c r="E7" s="24"/>
      <c r="F7" s="24"/>
      <c r="G7" s="24"/>
      <c r="H7" s="24"/>
      <c r="I7" s="24"/>
      <c r="J7" s="24"/>
      <c r="K7" s="24"/>
      <c r="L7" s="24"/>
      <c r="M7" s="24"/>
      <c r="N7" s="24"/>
      <c r="O7" s="24"/>
      <c r="P7" s="24"/>
      <c r="Q7" s="24"/>
      <c r="R7" s="24"/>
      <c r="S7" s="24"/>
      <c r="T7" s="24"/>
      <c r="U7" s="24"/>
      <c r="V7" s="24"/>
      <c r="W7" s="24"/>
      <c r="X7" s="24"/>
      <c r="Y7" s="24"/>
      <c r="Z7" s="24"/>
      <c r="AA7" s="24"/>
      <c r="AB7" s="24"/>
      <c r="AC7" s="24"/>
      <c r="AD7" s="24"/>
      <c r="AE7" s="24"/>
      <c r="AF7" s="24"/>
      <c r="AG7" s="24"/>
      <c r="AH7" s="9"/>
    </row>
    <row r="8" spans="1:34" ht="15">
      <c r="A8" s="9"/>
      <c r="B8" s="10"/>
      <c r="C8" s="24"/>
      <c r="D8" s="24"/>
      <c r="E8" s="24"/>
      <c r="F8" s="24"/>
      <c r="G8" s="24"/>
      <c r="H8" s="24"/>
      <c r="I8" s="24"/>
      <c r="J8" s="24"/>
      <c r="K8" s="24"/>
      <c r="L8" s="24"/>
      <c r="M8" s="24"/>
      <c r="N8" s="24"/>
      <c r="O8" s="24"/>
      <c r="P8" s="24"/>
      <c r="Q8" s="24"/>
      <c r="R8" s="24"/>
      <c r="S8" s="24"/>
      <c r="T8" s="24"/>
      <c r="U8" s="24"/>
      <c r="V8" s="24"/>
      <c r="W8" s="24"/>
      <c r="X8" s="24"/>
      <c r="Y8" s="24"/>
      <c r="Z8" s="24"/>
      <c r="AA8" s="24"/>
      <c r="AB8" s="24"/>
      <c r="AC8" s="24"/>
      <c r="AD8" s="24"/>
      <c r="AE8" s="24"/>
      <c r="AF8" s="24"/>
      <c r="AG8" s="24"/>
      <c r="AH8" s="9"/>
    </row>
    <row r="9" spans="1:34" s="124" customFormat="1" ht="15" customHeight="1">
      <c r="A9" s="123"/>
      <c r="C9" s="27" t="s">
        <v>7</v>
      </c>
      <c r="D9" s="28"/>
      <c r="E9" s="28"/>
      <c r="F9" s="155" t="str">
        <f>D4</f>
        <v>April</v>
      </c>
      <c r="G9" s="155"/>
      <c r="H9" s="155"/>
      <c r="I9" s="155"/>
      <c r="J9" s="155"/>
      <c r="K9" s="155"/>
      <c r="L9" s="155"/>
      <c r="M9" s="155"/>
      <c r="N9" s="155"/>
      <c r="O9" s="155"/>
      <c r="P9" s="156"/>
      <c r="Q9" s="157" t="str">
        <f>"January to "&amp; D4</f>
        <v>January to April</v>
      </c>
      <c r="R9" s="158"/>
      <c r="S9" s="158"/>
      <c r="T9" s="158"/>
      <c r="U9" s="158"/>
      <c r="V9" s="158"/>
      <c r="W9" s="158"/>
      <c r="X9" s="158"/>
      <c r="Y9" s="158"/>
      <c r="Z9" s="158"/>
      <c r="AA9" s="159"/>
      <c r="AB9" s="157" t="s">
        <v>57</v>
      </c>
      <c r="AC9" s="158"/>
      <c r="AD9" s="158"/>
      <c r="AE9" s="158"/>
      <c r="AF9" s="160"/>
      <c r="AG9" s="123"/>
      <c r="AH9" s="123"/>
    </row>
    <row r="10" spans="1:34" s="124" customFormat="1" ht="13.5">
      <c r="A10" s="123"/>
      <c r="B10" s="125"/>
      <c r="C10" s="29"/>
      <c r="D10" s="30"/>
      <c r="E10" s="30"/>
      <c r="F10" s="152"/>
      <c r="G10" s="153"/>
      <c r="H10" s="153"/>
      <c r="I10" s="153"/>
      <c r="J10" s="153"/>
      <c r="K10" s="153"/>
      <c r="L10" s="153"/>
      <c r="M10" s="153"/>
      <c r="N10" s="153"/>
      <c r="O10" s="153"/>
      <c r="P10" s="154"/>
      <c r="Q10" s="152"/>
      <c r="R10" s="153"/>
      <c r="S10" s="153"/>
      <c r="T10" s="153"/>
      <c r="U10" s="153"/>
      <c r="V10" s="153"/>
      <c r="W10" s="153"/>
      <c r="X10" s="153"/>
      <c r="Y10" s="153"/>
      <c r="Z10" s="153"/>
      <c r="AA10" s="154"/>
      <c r="AB10" s="30"/>
      <c r="AC10" s="30"/>
      <c r="AD10" s="30"/>
      <c r="AE10" s="30"/>
      <c r="AF10" s="56"/>
      <c r="AG10" s="123"/>
      <c r="AH10" s="123"/>
    </row>
    <row r="11" spans="1:34" s="124" customFormat="1" ht="26.1" customHeight="1">
      <c r="A11" s="126"/>
      <c r="B11" s="127"/>
      <c r="C11" s="59" t="s">
        <v>29</v>
      </c>
      <c r="D11" s="50"/>
      <c r="E11" s="51"/>
      <c r="F11" s="55">
        <v>2024</v>
      </c>
      <c r="G11" s="52">
        <v>2023</v>
      </c>
      <c r="H11" s="52">
        <v>2022</v>
      </c>
      <c r="I11" s="52">
        <v>2021</v>
      </c>
      <c r="J11" s="52">
        <v>2020</v>
      </c>
      <c r="K11" s="52">
        <v>2019</v>
      </c>
      <c r="L11" s="53" t="s">
        <v>116</v>
      </c>
      <c r="M11" s="53" t="s">
        <v>117</v>
      </c>
      <c r="N11" s="53" t="s">
        <v>118</v>
      </c>
      <c r="O11" s="53" t="s">
        <v>119</v>
      </c>
      <c r="P11" s="57" t="s">
        <v>101</v>
      </c>
      <c r="Q11" s="53">
        <v>2024</v>
      </c>
      <c r="R11" s="53">
        <v>2023</v>
      </c>
      <c r="S11" s="53">
        <v>2022</v>
      </c>
      <c r="T11" s="52">
        <v>2021</v>
      </c>
      <c r="U11" s="52">
        <v>2020</v>
      </c>
      <c r="V11" s="52">
        <v>2019</v>
      </c>
      <c r="W11" s="53" t="s">
        <v>116</v>
      </c>
      <c r="X11" s="53" t="s">
        <v>117</v>
      </c>
      <c r="Y11" s="53" t="s">
        <v>118</v>
      </c>
      <c r="Z11" s="53" t="s">
        <v>119</v>
      </c>
      <c r="AA11" s="57" t="s">
        <v>101</v>
      </c>
      <c r="AB11" s="53">
        <v>2023</v>
      </c>
      <c r="AC11" s="53">
        <v>2022</v>
      </c>
      <c r="AD11" s="53">
        <v>2021</v>
      </c>
      <c r="AE11" s="52">
        <v>2020</v>
      </c>
      <c r="AF11" s="77">
        <v>2019</v>
      </c>
      <c r="AG11" s="126"/>
      <c r="AH11" s="126"/>
    </row>
    <row r="12" spans="1:34" s="124" customFormat="1" ht="12.75">
      <c r="A12" s="123"/>
      <c r="B12" s="128"/>
      <c r="C12" s="31" t="s">
        <v>108</v>
      </c>
      <c r="D12" s="26"/>
      <c r="E12" s="32"/>
      <c r="F12" s="26"/>
      <c r="G12" s="26"/>
      <c r="H12" s="26"/>
      <c r="I12" s="26"/>
      <c r="J12" s="26"/>
      <c r="K12" s="26"/>
      <c r="L12" s="26"/>
      <c r="M12" s="26"/>
      <c r="N12" s="26"/>
      <c r="O12" s="26"/>
      <c r="P12" s="32"/>
      <c r="Q12" s="26"/>
      <c r="R12" s="26"/>
      <c r="S12" s="26"/>
      <c r="T12" s="26"/>
      <c r="U12" s="26"/>
      <c r="V12" s="26"/>
      <c r="W12" s="26"/>
      <c r="X12" s="26"/>
      <c r="Y12" s="26"/>
      <c r="Z12" s="26"/>
      <c r="AA12" s="32"/>
      <c r="AB12" s="26"/>
      <c r="AC12" s="26"/>
      <c r="AD12" s="26"/>
      <c r="AE12" s="26"/>
      <c r="AF12" s="32"/>
      <c r="AG12" s="123"/>
      <c r="AH12" s="123"/>
    </row>
    <row r="13" spans="1:34" s="124" customFormat="1" ht="12.75">
      <c r="A13" s="123"/>
      <c r="B13" s="128"/>
      <c r="C13" s="33"/>
      <c r="D13" s="26" t="s">
        <v>5</v>
      </c>
      <c r="E13" s="32"/>
      <c r="F13" s="71">
        <v>187</v>
      </c>
      <c r="G13" s="71">
        <v>129</v>
      </c>
      <c r="H13" s="71">
        <v>136</v>
      </c>
      <c r="I13" s="71">
        <v>0</v>
      </c>
      <c r="J13" s="71">
        <v>42</v>
      </c>
      <c r="K13" s="71">
        <v>129</v>
      </c>
      <c r="L13" s="64">
        <f>IFERROR(F13/G13-1,"n/a")</f>
        <v>0.4496124031007751</v>
      </c>
      <c r="M13" s="64">
        <f>IFERROR(F13/H13-1,"n/a")</f>
        <v>0.375</v>
      </c>
      <c r="N13" s="64" t="str">
        <f>IFERROR(F13/I13-1,"n/a")</f>
        <v>n/a</v>
      </c>
      <c r="O13" s="64">
        <f>IFERROR(F13/J13-1,"n/a")</f>
        <v>3.4523809523809526</v>
      </c>
      <c r="P13" s="60">
        <f>IFERROR(F13/K13-1,"n/a")</f>
        <v>0.4496124031007751</v>
      </c>
      <c r="Q13" s="68">
        <f>'Mar-24'!Q13+F13</f>
        <v>889</v>
      </c>
      <c r="R13" s="68">
        <f>'Mar-24'!R13+G13</f>
        <v>659</v>
      </c>
      <c r="S13" s="68">
        <f>'Mar-24'!S13+H13</f>
        <v>666</v>
      </c>
      <c r="T13" s="68">
        <f>'Mar-24'!T13+I13</f>
        <v>0</v>
      </c>
      <c r="U13" s="68">
        <f>'Mar-24'!U13+J13</f>
        <v>551</v>
      </c>
      <c r="V13" s="68">
        <f>'Mar-24'!V13+K13</f>
        <v>645</v>
      </c>
      <c r="W13" s="64">
        <f>IFERROR(Q13/R13-1,"n/a")</f>
        <v>0.34901365705614573</v>
      </c>
      <c r="X13" s="64">
        <f>IFERROR(Q13/S13-1,"n/a")</f>
        <v>0.33483483483483489</v>
      </c>
      <c r="Y13" s="64" t="str">
        <f>IFERROR(Q13/T13-1,"n/a")</f>
        <v>n/a</v>
      </c>
      <c r="Z13" s="64">
        <f>IFERROR(Q13/U13-1,"n/a")</f>
        <v>0.61343012704174238</v>
      </c>
      <c r="AA13" s="60">
        <f>IFERROR(Q13/V13-1,"n/a")</f>
        <v>0.3782945736434109</v>
      </c>
      <c r="AB13" s="68">
        <v>1630</v>
      </c>
      <c r="AC13" s="68">
        <v>1486</v>
      </c>
      <c r="AD13" s="68">
        <v>522</v>
      </c>
      <c r="AE13" s="68">
        <v>551</v>
      </c>
      <c r="AF13" s="135">
        <v>1591</v>
      </c>
      <c r="AG13" s="123"/>
      <c r="AH13" s="123"/>
    </row>
    <row r="14" spans="1:34" s="124" customFormat="1" ht="12.75">
      <c r="A14" s="123"/>
      <c r="B14" s="128"/>
      <c r="C14" s="33"/>
      <c r="D14" s="26" t="s">
        <v>11</v>
      </c>
      <c r="E14" s="32"/>
      <c r="F14" s="71">
        <v>659714</v>
      </c>
      <c r="G14" s="71">
        <v>449751</v>
      </c>
      <c r="H14" s="71">
        <v>297788</v>
      </c>
      <c r="I14" s="71">
        <v>0</v>
      </c>
      <c r="J14" s="71">
        <v>0</v>
      </c>
      <c r="K14" s="71">
        <v>394045</v>
      </c>
      <c r="L14" s="64">
        <f>IFERROR(F14/G14-1,"n/a")</f>
        <v>0.46684276410725056</v>
      </c>
      <c r="M14" s="64">
        <f>IFERROR(F14/H14-1,"n/a")</f>
        <v>1.2153814122798772</v>
      </c>
      <c r="N14" s="64" t="str">
        <f>IFERROR(F14/I14-1,"n/a")</f>
        <v>n/a</v>
      </c>
      <c r="O14" s="64" t="str">
        <f>IFERROR(F14/J14-1,"n/a")</f>
        <v>n/a</v>
      </c>
      <c r="P14" s="60">
        <f>IFERROR(F14/K14-1,"n/a")</f>
        <v>0.67420979837328221</v>
      </c>
      <c r="Q14" s="68">
        <f>'Mar-24'!Q14+F14</f>
        <v>2813538</v>
      </c>
      <c r="R14" s="68">
        <f>'Mar-24'!R14+G14</f>
        <v>1987935</v>
      </c>
      <c r="S14" s="68">
        <f>'Mar-24'!S14+H14</f>
        <v>1057446</v>
      </c>
      <c r="T14" s="68">
        <f>'Mar-24'!T14+I14</f>
        <v>0</v>
      </c>
      <c r="U14" s="68">
        <f>'Mar-24'!U14+J14</f>
        <v>1092884</v>
      </c>
      <c r="V14" s="68">
        <f>'Mar-24'!V14+K14</f>
        <v>1845149</v>
      </c>
      <c r="W14" s="64">
        <f>IFERROR(Q14/R14-1,"n/a")</f>
        <v>0.41530683850327099</v>
      </c>
      <c r="X14" s="64">
        <f>IFERROR(Q14/S14-1,"n/a")</f>
        <v>1.6606918934867596</v>
      </c>
      <c r="Y14" s="64" t="str">
        <f>IFERROR(Q14/T14-1,"n/a")</f>
        <v>n/a</v>
      </c>
      <c r="Z14" s="64">
        <f>IFERROR(Q14/U14-1,"n/a")</f>
        <v>1.5744159489936718</v>
      </c>
      <c r="AA14" s="60">
        <f>IFERROR(Q14/V14-1,"n/a")</f>
        <v>0.52482970209993884</v>
      </c>
      <c r="AB14" s="68">
        <v>5232537</v>
      </c>
      <c r="AC14" s="68">
        <v>3592413</v>
      </c>
      <c r="AD14" s="68">
        <v>768312</v>
      </c>
      <c r="AE14" s="68">
        <v>1092884</v>
      </c>
      <c r="AF14" s="135">
        <v>4592479</v>
      </c>
      <c r="AG14" s="123"/>
      <c r="AH14" s="123"/>
    </row>
    <row r="15" spans="1:34" s="124" customFormat="1" ht="12.75">
      <c r="A15" s="123"/>
      <c r="B15" s="128"/>
      <c r="C15" s="31" t="s">
        <v>109</v>
      </c>
      <c r="D15" s="26"/>
      <c r="E15" s="32"/>
      <c r="F15" s="97"/>
      <c r="G15" s="97"/>
      <c r="H15" s="26"/>
      <c r="I15" s="26"/>
      <c r="J15" s="26"/>
      <c r="K15" s="26"/>
      <c r="L15" s="64"/>
      <c r="M15" s="64"/>
      <c r="N15" s="64"/>
      <c r="O15" s="64"/>
      <c r="P15" s="61"/>
      <c r="Q15" s="87"/>
      <c r="R15" s="87"/>
      <c r="S15" s="87"/>
      <c r="T15" s="87"/>
      <c r="U15" s="87"/>
      <c r="V15" s="87"/>
      <c r="W15" s="64"/>
      <c r="X15" s="64"/>
      <c r="Y15" s="64"/>
      <c r="Z15" s="64"/>
      <c r="AA15" s="61"/>
      <c r="AB15" s="43"/>
      <c r="AC15" s="43"/>
      <c r="AD15" s="43"/>
      <c r="AE15" s="43"/>
      <c r="AF15" s="136"/>
      <c r="AG15" s="123"/>
      <c r="AH15" s="123"/>
    </row>
    <row r="16" spans="1:34" s="124" customFormat="1" ht="12.75">
      <c r="A16" s="123"/>
      <c r="B16" s="128"/>
      <c r="C16" s="33"/>
      <c r="D16" s="26" t="s">
        <v>5</v>
      </c>
      <c r="E16" s="32"/>
      <c r="F16" s="71">
        <v>55</v>
      </c>
      <c r="G16" s="71">
        <v>46</v>
      </c>
      <c r="H16" s="71">
        <v>56</v>
      </c>
      <c r="I16" s="71">
        <v>5</v>
      </c>
      <c r="J16" s="71">
        <v>0</v>
      </c>
      <c r="K16" s="71">
        <v>51</v>
      </c>
      <c r="L16" s="64">
        <f>IFERROR(F16/G16-1,"n/a")</f>
        <v>0.19565217391304346</v>
      </c>
      <c r="M16" s="64">
        <f>IFERROR(F16/H16-1,"n/a")</f>
        <v>-1.7857142857142905E-2</v>
      </c>
      <c r="N16" s="64">
        <f>IFERROR(F16/I16-1,"n/a")</f>
        <v>10</v>
      </c>
      <c r="O16" s="64" t="str">
        <f>IFERROR(F16/J16-1,"n/a")</f>
        <v>n/a</v>
      </c>
      <c r="P16" s="60">
        <f>IFERROR(F16/K16-1,"n/a")</f>
        <v>7.8431372549019551E-2</v>
      </c>
      <c r="Q16" s="68">
        <f>'Mar-24'!Q16+F16</f>
        <v>92</v>
      </c>
      <c r="R16" s="68">
        <f>'Mar-24'!R16+G16</f>
        <v>73</v>
      </c>
      <c r="S16" s="68">
        <f>'Mar-24'!S16+H16</f>
        <v>92</v>
      </c>
      <c r="T16" s="68">
        <f>'Mar-24'!T16+I16</f>
        <v>17</v>
      </c>
      <c r="U16" s="68">
        <f>'Mar-24'!U16+J16</f>
        <v>10</v>
      </c>
      <c r="V16" s="68">
        <f>'Mar-24'!V16+K16</f>
        <v>74</v>
      </c>
      <c r="W16" s="64">
        <f>IFERROR(Q16/R16-1,"n/a")</f>
        <v>0.26027397260273966</v>
      </c>
      <c r="X16" s="64">
        <f>IFERROR(Q16/S16-1,"n/a")</f>
        <v>0</v>
      </c>
      <c r="Y16" s="64">
        <f>IFERROR(Q16/T16-1,"n/a")</f>
        <v>4.4117647058823533</v>
      </c>
      <c r="Z16" s="64">
        <f>IFERROR(Q16/U16-1,"n/a")</f>
        <v>8.1999999999999993</v>
      </c>
      <c r="AA16" s="60">
        <f>IFERROR(Q16/V16-1,"n/a")</f>
        <v>0.2432432432432432</v>
      </c>
      <c r="AB16" s="68">
        <v>575</v>
      </c>
      <c r="AC16" s="68">
        <v>572</v>
      </c>
      <c r="AD16" s="68">
        <v>202</v>
      </c>
      <c r="AE16" s="68">
        <v>54</v>
      </c>
      <c r="AF16" s="135">
        <v>586</v>
      </c>
      <c r="AG16" s="123"/>
      <c r="AH16" s="123"/>
    </row>
    <row r="17" spans="1:34" s="124" customFormat="1" ht="12.75">
      <c r="A17" s="123"/>
      <c r="B17" s="128"/>
      <c r="C17" s="33"/>
      <c r="D17" s="26" t="s">
        <v>11</v>
      </c>
      <c r="E17" s="32"/>
      <c r="F17" s="71">
        <v>129597</v>
      </c>
      <c r="G17" s="71">
        <v>107348</v>
      </c>
      <c r="H17" s="71">
        <v>60367</v>
      </c>
      <c r="I17" s="71">
        <v>6002</v>
      </c>
      <c r="J17" s="71">
        <v>0</v>
      </c>
      <c r="K17" s="71">
        <v>147331</v>
      </c>
      <c r="L17" s="64">
        <f>IFERROR(F17/G17-1,"n/a")</f>
        <v>0.2072604985654134</v>
      </c>
      <c r="M17" s="64">
        <f>IFERROR(F17/H17-1,"n/a")</f>
        <v>1.1468186260705351</v>
      </c>
      <c r="N17" s="64">
        <f>IFERROR(F17/I17-1,"n/a")</f>
        <v>20.592302565811398</v>
      </c>
      <c r="O17" s="64" t="str">
        <f>IFERROR(F17/J17-1,"n/a")</f>
        <v>n/a</v>
      </c>
      <c r="P17" s="60">
        <f>IFERROR(F17/K17-1,"n/a")</f>
        <v>-0.1203684221243323</v>
      </c>
      <c r="Q17" s="68">
        <f>'Mar-24'!Q17+F17</f>
        <v>260171</v>
      </c>
      <c r="R17" s="68">
        <f>'Mar-24'!R17+G17</f>
        <v>190403</v>
      </c>
      <c r="S17" s="68">
        <f>'Mar-24'!S17+H17</f>
        <v>96875</v>
      </c>
      <c r="T17" s="68">
        <f>'Mar-24'!T17+I17</f>
        <v>16105</v>
      </c>
      <c r="U17" s="68">
        <f>'Mar-24'!U17+J17</f>
        <v>41113</v>
      </c>
      <c r="V17" s="68">
        <f>'Mar-24'!V17+K17</f>
        <v>227705</v>
      </c>
      <c r="W17" s="64">
        <f>IFERROR(Q17/R17-1,"n/a")</f>
        <v>0.36642279796011623</v>
      </c>
      <c r="X17" s="64">
        <f>IFERROR(Q17/S17-1,"n/a")</f>
        <v>1.6856361290322579</v>
      </c>
      <c r="Y17" s="64">
        <f>IFERROR(Q17/T17-1,"n/a")</f>
        <v>15.154672461968332</v>
      </c>
      <c r="Z17" s="64">
        <f>IFERROR(Q17/U17-1,"n/a")</f>
        <v>5.328193028968939</v>
      </c>
      <c r="AA17" s="60">
        <f>IFERROR(Q17/V17-1,"n/a")</f>
        <v>0.14257921433433607</v>
      </c>
      <c r="AB17" s="68">
        <v>1660685</v>
      </c>
      <c r="AC17" s="68">
        <v>965963</v>
      </c>
      <c r="AD17" s="68">
        <v>301521</v>
      </c>
      <c r="AE17" s="68">
        <v>70675</v>
      </c>
      <c r="AF17" s="135">
        <v>1400932</v>
      </c>
      <c r="AG17" s="123"/>
      <c r="AH17" s="123"/>
    </row>
    <row r="18" spans="1:34" s="124" customFormat="1" ht="12.75">
      <c r="A18" s="123"/>
      <c r="B18" s="128"/>
      <c r="C18" s="31" t="s">
        <v>110</v>
      </c>
      <c r="D18" s="26"/>
      <c r="E18" s="32"/>
      <c r="F18" s="72"/>
      <c r="G18" s="72"/>
      <c r="H18" s="72"/>
      <c r="I18" s="72"/>
      <c r="J18" s="72"/>
      <c r="K18" s="72"/>
      <c r="L18" s="64"/>
      <c r="M18" s="64"/>
      <c r="N18" s="64"/>
      <c r="O18" s="64"/>
      <c r="P18" s="60"/>
      <c r="Q18" s="87"/>
      <c r="R18" s="87"/>
      <c r="S18" s="87"/>
      <c r="T18" s="87"/>
      <c r="U18" s="87"/>
      <c r="V18" s="87"/>
      <c r="W18" s="64"/>
      <c r="X18" s="64"/>
      <c r="Y18" s="64"/>
      <c r="Z18" s="64"/>
      <c r="AA18" s="60"/>
      <c r="AB18" s="43"/>
      <c r="AC18" s="43"/>
      <c r="AD18" s="43"/>
      <c r="AE18" s="43"/>
      <c r="AF18" s="136"/>
      <c r="AG18" s="123"/>
      <c r="AH18" s="123"/>
    </row>
    <row r="19" spans="1:34" s="124" customFormat="1" ht="12.75">
      <c r="A19" s="123"/>
      <c r="B19" s="128"/>
      <c r="C19" s="33"/>
      <c r="D19" s="26" t="s">
        <v>5</v>
      </c>
      <c r="E19" s="32"/>
      <c r="F19" s="71">
        <v>52</v>
      </c>
      <c r="G19" s="71">
        <v>47</v>
      </c>
      <c r="H19" s="71">
        <v>35</v>
      </c>
      <c r="I19" s="71">
        <v>2</v>
      </c>
      <c r="J19" s="71">
        <v>0</v>
      </c>
      <c r="K19" s="71">
        <v>21</v>
      </c>
      <c r="L19" s="64">
        <f>IFERROR(F19/G19-1,"n/a")</f>
        <v>0.1063829787234043</v>
      </c>
      <c r="M19" s="64">
        <f>IFERROR(F19/H19-1,"n/a")</f>
        <v>0.48571428571428577</v>
      </c>
      <c r="N19" s="64">
        <f>IFERROR(F19/I19-1,"n/a")</f>
        <v>25</v>
      </c>
      <c r="O19" s="64" t="str">
        <f>IFERROR(F19/J19-1,"n/a")</f>
        <v>n/a</v>
      </c>
      <c r="P19" s="60">
        <f>IFERROR(F19/K19-1,"n/a")</f>
        <v>1.4761904761904763</v>
      </c>
      <c r="Q19" s="68">
        <f>'Mar-24'!Q19+F19</f>
        <v>79</v>
      </c>
      <c r="R19" s="68">
        <f>'Mar-24'!R19+G19</f>
        <v>70</v>
      </c>
      <c r="S19" s="68">
        <f>'Mar-24'!S19+H19</f>
        <v>47</v>
      </c>
      <c r="T19" s="68">
        <f>'Mar-24'!T19+I19</f>
        <v>2</v>
      </c>
      <c r="U19" s="68">
        <f>'Mar-24'!U19+J19</f>
        <v>3</v>
      </c>
      <c r="V19" s="68">
        <f>'Mar-24'!V19+K19</f>
        <v>27</v>
      </c>
      <c r="W19" s="64">
        <f>IFERROR(Q19/R19-1,"n/a")</f>
        <v>0.12857142857142856</v>
      </c>
      <c r="X19" s="64">
        <f>IFERROR(Q19/S19-1,"n/a")</f>
        <v>0.68085106382978733</v>
      </c>
      <c r="Y19" s="64">
        <f>IFERROR(Q19/T19-1,"n/a")</f>
        <v>38.5</v>
      </c>
      <c r="Z19" s="64">
        <f>IFERROR(Q19/U19-1,"n/a")</f>
        <v>25.333333333333332</v>
      </c>
      <c r="AA19" s="60">
        <f>IFERROR(Q19/V19-1,"n/a")</f>
        <v>1.925925925925926</v>
      </c>
      <c r="AB19" s="68">
        <v>708</v>
      </c>
      <c r="AC19" s="68">
        <v>658</v>
      </c>
      <c r="AD19" s="68">
        <v>47</v>
      </c>
      <c r="AE19" s="68">
        <v>9</v>
      </c>
      <c r="AF19" s="135">
        <v>290</v>
      </c>
      <c r="AG19" s="123"/>
      <c r="AH19" s="123"/>
    </row>
    <row r="20" spans="1:34" s="124" customFormat="1" ht="12.75">
      <c r="A20" s="123"/>
      <c r="B20" s="128"/>
      <c r="C20" s="33"/>
      <c r="D20" s="26" t="s">
        <v>11</v>
      </c>
      <c r="E20" s="32"/>
      <c r="F20" s="71">
        <v>75571.399999999994</v>
      </c>
      <c r="G20" s="71">
        <v>66302</v>
      </c>
      <c r="H20" s="71">
        <v>32576</v>
      </c>
      <c r="I20" s="71">
        <v>0</v>
      </c>
      <c r="J20" s="71">
        <v>0</v>
      </c>
      <c r="K20" s="71">
        <v>36063</v>
      </c>
      <c r="L20" s="64">
        <f>IFERROR(F20/G20-1,"n/a")</f>
        <v>0.13980573738348756</v>
      </c>
      <c r="M20" s="64">
        <f>IFERROR(F20/H20-1,"n/a")</f>
        <v>1.319848968565815</v>
      </c>
      <c r="N20" s="64" t="str">
        <f>IFERROR(F20/I20-1,"n/a")</f>
        <v>n/a</v>
      </c>
      <c r="O20" s="64" t="str">
        <f>IFERROR(F20/J20-1,"n/a")</f>
        <v>n/a</v>
      </c>
      <c r="P20" s="60">
        <f>IFERROR(F20/K20-1,"n/a")</f>
        <v>1.0955383634195712</v>
      </c>
      <c r="Q20" s="68">
        <f>'Mar-24'!Q20+F20</f>
        <v>115312.4</v>
      </c>
      <c r="R20" s="68">
        <f>'Mar-24'!R20+G20</f>
        <v>87148</v>
      </c>
      <c r="S20" s="68">
        <f>'Mar-24'!S20+H20</f>
        <v>35661</v>
      </c>
      <c r="T20" s="68">
        <f>'Mar-24'!T20+I20</f>
        <v>0</v>
      </c>
      <c r="U20" s="68">
        <f>'Mar-24'!U20+J20</f>
        <v>1753</v>
      </c>
      <c r="V20" s="68">
        <f>'Mar-24'!V20+K20</f>
        <v>42547</v>
      </c>
      <c r="W20" s="64">
        <f>IFERROR(Q20/R20-1,"n/a")</f>
        <v>0.32317895993023349</v>
      </c>
      <c r="X20" s="64">
        <f>IFERROR(Q20/S20-1,"n/a")</f>
        <v>2.2335716889599282</v>
      </c>
      <c r="Y20" s="64" t="str">
        <f>IFERROR(Q20/T20-1,"n/a")</f>
        <v>n/a</v>
      </c>
      <c r="Z20" s="64">
        <f>IFERROR(Q20/U20-1,"n/a")</f>
        <v>64.780034227039351</v>
      </c>
      <c r="AA20" s="60">
        <f>IFERROR(Q20/V20-1,"n/a")</f>
        <v>1.7102357393000682</v>
      </c>
      <c r="AB20" s="68">
        <v>1277526</v>
      </c>
      <c r="AC20" s="68">
        <v>887495</v>
      </c>
      <c r="AD20" s="68">
        <v>17541</v>
      </c>
      <c r="AE20" s="68">
        <v>10046.999999999998</v>
      </c>
      <c r="AF20" s="135">
        <v>585930</v>
      </c>
      <c r="AG20" s="123"/>
      <c r="AH20" s="123"/>
    </row>
    <row r="21" spans="1:34" s="124" customFormat="1" ht="12.75">
      <c r="A21" s="123"/>
      <c r="B21" s="128"/>
      <c r="C21" s="31" t="s">
        <v>111</v>
      </c>
      <c r="D21" s="26"/>
      <c r="E21" s="34"/>
      <c r="F21" s="72"/>
      <c r="G21" s="72"/>
      <c r="H21" s="72"/>
      <c r="I21" s="72"/>
      <c r="J21" s="72"/>
      <c r="K21" s="72"/>
      <c r="L21" s="64"/>
      <c r="M21" s="64"/>
      <c r="N21" s="64"/>
      <c r="O21" s="64"/>
      <c r="P21" s="60"/>
      <c r="Q21" s="87"/>
      <c r="R21" s="87"/>
      <c r="S21" s="87"/>
      <c r="T21" s="87"/>
      <c r="U21" s="87"/>
      <c r="V21" s="87"/>
      <c r="W21" s="64"/>
      <c r="X21" s="64"/>
      <c r="Y21" s="64"/>
      <c r="Z21" s="64"/>
      <c r="AA21" s="60"/>
      <c r="AB21" s="43"/>
      <c r="AC21" s="43"/>
      <c r="AD21" s="43"/>
      <c r="AE21" s="43"/>
      <c r="AF21" s="136"/>
      <c r="AG21" s="123"/>
      <c r="AH21" s="123"/>
    </row>
    <row r="22" spans="1:34" s="124" customFormat="1" ht="12.75">
      <c r="A22" s="123"/>
      <c r="B22" s="128"/>
      <c r="C22" s="33"/>
      <c r="D22" s="26" t="s">
        <v>5</v>
      </c>
      <c r="E22" s="34"/>
      <c r="F22" s="71">
        <v>194</v>
      </c>
      <c r="G22" s="71">
        <v>162</v>
      </c>
      <c r="H22" s="71">
        <v>100</v>
      </c>
      <c r="I22" s="71">
        <v>0</v>
      </c>
      <c r="J22" s="71">
        <v>0</v>
      </c>
      <c r="K22" s="71">
        <v>90</v>
      </c>
      <c r="L22" s="64">
        <f>IFERROR(F22/G22-1,"n/a")</f>
        <v>0.19753086419753085</v>
      </c>
      <c r="M22" s="64">
        <f>IFERROR(F22/H22-1,"n/a")</f>
        <v>0.94</v>
      </c>
      <c r="N22" s="64" t="str">
        <f>IFERROR(F22/I22-1,"n/a")</f>
        <v>n/a</v>
      </c>
      <c r="O22" s="64" t="str">
        <f>IFERROR(F22/J22-1,"n/a")</f>
        <v>n/a</v>
      </c>
      <c r="P22" s="60">
        <f>IFERROR(F22/K22-1,"n/a")</f>
        <v>1.1555555555555554</v>
      </c>
      <c r="Q22" s="68">
        <f>'Mar-24'!Q22+F22</f>
        <v>453</v>
      </c>
      <c r="R22" s="68">
        <f>'Mar-24'!R22+G22</f>
        <v>449</v>
      </c>
      <c r="S22" s="68">
        <f>'Mar-24'!S22+H22</f>
        <v>153</v>
      </c>
      <c r="T22" s="68">
        <f>'Mar-24'!T22+I22</f>
        <v>0</v>
      </c>
      <c r="U22" s="68">
        <f>'Mar-24'!U22+J22</f>
        <v>43</v>
      </c>
      <c r="V22" s="68">
        <f>'Mar-24'!V22+K22</f>
        <v>179</v>
      </c>
      <c r="W22" s="64">
        <f>IFERROR(Q22/R22-1,"n/a")</f>
        <v>8.9086859688196629E-3</v>
      </c>
      <c r="X22" s="64">
        <f>IFERROR(Q22/S22-1,"n/a")</f>
        <v>1.9607843137254903</v>
      </c>
      <c r="Y22" s="64" t="str">
        <f>IFERROR(Q22/T22-1,"n/a")</f>
        <v>n/a</v>
      </c>
      <c r="Z22" s="64">
        <f>IFERROR(Q22/U22-1,"n/a")</f>
        <v>9.5348837209302317</v>
      </c>
      <c r="AA22" s="60">
        <f>IFERROR(Q22/V22-1,"n/a")</f>
        <v>1.5307262569832401</v>
      </c>
      <c r="AB22" s="68">
        <v>1500</v>
      </c>
      <c r="AC22" s="68">
        <v>895</v>
      </c>
      <c r="AD22" s="68">
        <v>283</v>
      </c>
      <c r="AE22" s="68">
        <v>43</v>
      </c>
      <c r="AF22" s="135">
        <v>827</v>
      </c>
      <c r="AG22" s="123"/>
      <c r="AH22" s="123"/>
    </row>
    <row r="23" spans="1:34" s="124" customFormat="1" ht="12.75">
      <c r="A23" s="123"/>
      <c r="B23" s="128"/>
      <c r="C23" s="33"/>
      <c r="D23" s="26" t="s">
        <v>11</v>
      </c>
      <c r="E23" s="32"/>
      <c r="F23" s="71">
        <v>433106</v>
      </c>
      <c r="G23" s="71">
        <v>352703</v>
      </c>
      <c r="H23" s="71">
        <v>115809</v>
      </c>
      <c r="I23" s="71">
        <v>0</v>
      </c>
      <c r="J23" s="71">
        <v>0</v>
      </c>
      <c r="K23" s="71">
        <v>212740</v>
      </c>
      <c r="L23" s="64">
        <f>IFERROR(F23/G23-1,"n/a")</f>
        <v>0.22796233658347109</v>
      </c>
      <c r="M23" s="64">
        <f>IFERROR(F23/H23-1,"n/a")</f>
        <v>2.7398302377190027</v>
      </c>
      <c r="N23" s="64" t="str">
        <f>IFERROR(F23/I23-1,"n/a")</f>
        <v>n/a</v>
      </c>
      <c r="O23" s="64" t="str">
        <f>IFERROR(F23/J23-1,"n/a")</f>
        <v>n/a</v>
      </c>
      <c r="P23" s="60">
        <f>IFERROR(F23/K23-1,"n/a")</f>
        <v>1.0358465732819404</v>
      </c>
      <c r="Q23" s="68">
        <f>'Mar-24'!Q23+F23</f>
        <v>1346161</v>
      </c>
      <c r="R23" s="68">
        <f>'Mar-24'!R23+G23</f>
        <v>1188977</v>
      </c>
      <c r="S23" s="68">
        <f>'Mar-24'!S23+H23</f>
        <v>184263</v>
      </c>
      <c r="T23" s="68">
        <f>'Mar-24'!T23+I23</f>
        <v>0</v>
      </c>
      <c r="U23" s="68">
        <f>'Mar-24'!U23+J23</f>
        <v>140552</v>
      </c>
      <c r="V23" s="68">
        <f>'Mar-24'!V23+K23</f>
        <v>464640</v>
      </c>
      <c r="W23" s="64">
        <f>IFERROR(Q23/R23-1,"n/a")</f>
        <v>0.13220104341799721</v>
      </c>
      <c r="X23" s="64">
        <f>IFERROR(Q23/S23-1,"n/a")</f>
        <v>6.3056500762497079</v>
      </c>
      <c r="Y23" s="64" t="str">
        <f>IFERROR(Q23/T23-1,"n/a")</f>
        <v>n/a</v>
      </c>
      <c r="Z23" s="64">
        <f>IFERROR(Q23/U23-1,"n/a")</f>
        <v>8.5776723205646306</v>
      </c>
      <c r="AA23" s="60">
        <f>IFERROR(Q23/V23-1,"n/a")</f>
        <v>1.8972128960055095</v>
      </c>
      <c r="AB23" s="68">
        <v>4449177</v>
      </c>
      <c r="AC23" s="68">
        <v>2165161</v>
      </c>
      <c r="AD23" s="68">
        <v>465109</v>
      </c>
      <c r="AE23" s="68">
        <v>140552</v>
      </c>
      <c r="AF23" s="135">
        <v>2552942</v>
      </c>
      <c r="AG23" s="123"/>
      <c r="AH23" s="123"/>
    </row>
    <row r="24" spans="1:34" s="124" customFormat="1" ht="12.75">
      <c r="A24" s="123"/>
      <c r="B24" s="128"/>
      <c r="C24" s="31" t="s">
        <v>112</v>
      </c>
      <c r="D24" s="26"/>
      <c r="E24" s="32"/>
      <c r="F24" s="72"/>
      <c r="G24" s="72"/>
      <c r="H24" s="72"/>
      <c r="I24" s="72"/>
      <c r="J24" s="72"/>
      <c r="K24" s="72"/>
      <c r="L24" s="64"/>
      <c r="M24" s="64"/>
      <c r="N24" s="64"/>
      <c r="O24" s="64"/>
      <c r="P24" s="60"/>
      <c r="Q24" s="87"/>
      <c r="R24" s="87"/>
      <c r="S24" s="87"/>
      <c r="T24" s="87"/>
      <c r="U24" s="87"/>
      <c r="V24" s="87"/>
      <c r="W24" s="64"/>
      <c r="X24" s="64"/>
      <c r="Y24" s="64"/>
      <c r="Z24" s="64"/>
      <c r="AA24" s="60"/>
      <c r="AB24" s="43"/>
      <c r="AC24" s="43"/>
      <c r="AD24" s="43"/>
      <c r="AE24" s="43"/>
      <c r="AF24" s="136"/>
      <c r="AG24" s="123"/>
      <c r="AH24" s="123"/>
    </row>
    <row r="25" spans="1:34" s="124" customFormat="1" ht="12.75">
      <c r="B25" s="128"/>
      <c r="C25" s="33"/>
      <c r="D25" s="26" t="s">
        <v>5</v>
      </c>
      <c r="E25" s="32"/>
      <c r="F25" s="71">
        <v>1</v>
      </c>
      <c r="G25" s="71">
        <v>1</v>
      </c>
      <c r="H25" s="71">
        <v>1</v>
      </c>
      <c r="I25" s="71">
        <v>0</v>
      </c>
      <c r="J25" s="71">
        <v>0</v>
      </c>
      <c r="K25" s="71">
        <v>1</v>
      </c>
      <c r="L25" s="64">
        <f>IFERROR(F25/G25-1,"n/a")</f>
        <v>0</v>
      </c>
      <c r="M25" s="64">
        <f>IFERROR(F25/H25-1,"n/a")</f>
        <v>0</v>
      </c>
      <c r="N25" s="64" t="str">
        <f>IFERROR(F25/I25-1,"n/a")</f>
        <v>n/a</v>
      </c>
      <c r="O25" s="64" t="str">
        <f>IFERROR(F25/J25-1,"n/a")</f>
        <v>n/a</v>
      </c>
      <c r="P25" s="60">
        <f>IFERROR(F25/K25-1,"n/a")</f>
        <v>0</v>
      </c>
      <c r="Q25" s="68">
        <f>'Mar-24'!Q25+F25</f>
        <v>1</v>
      </c>
      <c r="R25" s="68">
        <f>'Mar-24'!R25+G25</f>
        <v>1</v>
      </c>
      <c r="S25" s="68">
        <f>'Mar-24'!S25+H25</f>
        <v>1</v>
      </c>
      <c r="T25" s="68">
        <f>'Mar-24'!T25+I25</f>
        <v>0</v>
      </c>
      <c r="U25" s="68">
        <f>'Mar-24'!U25+J25</f>
        <v>0</v>
      </c>
      <c r="V25" s="68">
        <f>'Mar-24'!V25+K25</f>
        <v>1</v>
      </c>
      <c r="W25" s="64">
        <f>IFERROR(Q25/R25-1,"n/a")</f>
        <v>0</v>
      </c>
      <c r="X25" s="64">
        <f>IFERROR(Q25/S25-1,"n/a")</f>
        <v>0</v>
      </c>
      <c r="Y25" s="64" t="str">
        <f>IFERROR(Q25/T25-1,"n/a")</f>
        <v>n/a</v>
      </c>
      <c r="Z25" s="64" t="str">
        <f>IFERROR(Q25/U25-1,"n/a")</f>
        <v>n/a</v>
      </c>
      <c r="AA25" s="60">
        <f>IFERROR(Q25/V25-1,"n/a")</f>
        <v>0</v>
      </c>
      <c r="AB25" s="68">
        <v>21</v>
      </c>
      <c r="AC25" s="68">
        <v>9</v>
      </c>
      <c r="AD25" s="68">
        <v>0</v>
      </c>
      <c r="AE25" s="68">
        <v>0</v>
      </c>
      <c r="AF25" s="135">
        <v>16</v>
      </c>
      <c r="AG25" s="123"/>
      <c r="AH25" s="123"/>
    </row>
    <row r="26" spans="1:34" s="124" customFormat="1" ht="12.75">
      <c r="A26" s="123"/>
      <c r="B26" s="128"/>
      <c r="C26" s="33"/>
      <c r="D26" s="26" t="s">
        <v>11</v>
      </c>
      <c r="E26" s="32"/>
      <c r="F26" s="71">
        <v>4131</v>
      </c>
      <c r="G26" s="71">
        <v>2258</v>
      </c>
      <c r="H26" s="71">
        <v>925</v>
      </c>
      <c r="I26" s="71">
        <v>0</v>
      </c>
      <c r="J26" s="71">
        <v>0</v>
      </c>
      <c r="K26" s="71">
        <v>1059</v>
      </c>
      <c r="L26" s="64">
        <f>IFERROR(F26/G26-1,"n/a")</f>
        <v>0.82949512843224094</v>
      </c>
      <c r="M26" s="64">
        <f>IFERROR(F26/H26-1,"n/a")</f>
        <v>3.4659459459459461</v>
      </c>
      <c r="N26" s="64" t="str">
        <f>IFERROR(F26/I26-1,"n/a")</f>
        <v>n/a</v>
      </c>
      <c r="O26" s="64" t="str">
        <f>IFERROR(F26/J26-1,"n/a")</f>
        <v>n/a</v>
      </c>
      <c r="P26" s="60">
        <f>IFERROR(F26/K26-1,"n/a")</f>
        <v>2.9008498583569406</v>
      </c>
      <c r="Q26" s="68">
        <f>'Mar-24'!Q26+F26</f>
        <v>4131</v>
      </c>
      <c r="R26" s="68">
        <f>'Mar-24'!R26+G26</f>
        <v>2258</v>
      </c>
      <c r="S26" s="68">
        <f>'Mar-24'!S26+H26</f>
        <v>925</v>
      </c>
      <c r="T26" s="68">
        <f>'Mar-24'!T26+I26</f>
        <v>0</v>
      </c>
      <c r="U26" s="68">
        <f>'Mar-24'!U26+J26</f>
        <v>0</v>
      </c>
      <c r="V26" s="68">
        <f>'Mar-24'!V26+K26</f>
        <v>1059</v>
      </c>
      <c r="W26" s="64">
        <f>IFERROR(Q26/R26-1,"n/a")</f>
        <v>0.82949512843224094</v>
      </c>
      <c r="X26" s="64">
        <f>IFERROR(Q26/S26-1,"n/a")</f>
        <v>3.4659459459459461</v>
      </c>
      <c r="Y26" s="64" t="str">
        <f>IFERROR(Q26/T26-1,"n/a")</f>
        <v>n/a</v>
      </c>
      <c r="Z26" s="64" t="str">
        <f>IFERROR(Q26/U26-1,"n/a")</f>
        <v>n/a</v>
      </c>
      <c r="AA26" s="60">
        <f>IFERROR(Q26/V26-1,"n/a")</f>
        <v>2.9008498583569406</v>
      </c>
      <c r="AB26" s="68">
        <v>38626</v>
      </c>
      <c r="AC26" s="68">
        <v>15637</v>
      </c>
      <c r="AD26" s="68">
        <v>0</v>
      </c>
      <c r="AE26" s="68">
        <v>0</v>
      </c>
      <c r="AF26" s="137">
        <v>20248</v>
      </c>
      <c r="AG26" s="123"/>
      <c r="AH26" s="123"/>
    </row>
    <row r="27" spans="1:34" s="124" customFormat="1" ht="13.5" thickBot="1">
      <c r="A27" s="123"/>
      <c r="B27" s="128"/>
      <c r="C27" s="35" t="s">
        <v>12</v>
      </c>
      <c r="D27" s="36"/>
      <c r="E27" s="37"/>
      <c r="F27" s="75">
        <f t="shared" ref="F27:K28" si="0">F13+F16+F19+F22+F25</f>
        <v>489</v>
      </c>
      <c r="G27" s="75">
        <f t="shared" si="0"/>
        <v>385</v>
      </c>
      <c r="H27" s="75">
        <f t="shared" si="0"/>
        <v>328</v>
      </c>
      <c r="I27" s="75">
        <f t="shared" si="0"/>
        <v>7</v>
      </c>
      <c r="J27" s="75">
        <f t="shared" si="0"/>
        <v>42</v>
      </c>
      <c r="K27" s="75">
        <f t="shared" si="0"/>
        <v>292</v>
      </c>
      <c r="L27" s="66">
        <f>IFERROR(F27/G27-1,"n/a")</f>
        <v>0.27012987012987022</v>
      </c>
      <c r="M27" s="66">
        <f>IFERROR(F27/H27-1,"n/a")</f>
        <v>0.49085365853658547</v>
      </c>
      <c r="N27" s="66">
        <f>IFERROR(F27/I27-1,"n/a")</f>
        <v>68.857142857142861</v>
      </c>
      <c r="O27" s="66">
        <f>IFERROR(F27/J27-1,"n/a")</f>
        <v>10.642857142857142</v>
      </c>
      <c r="P27" s="62">
        <f>IFERROR(F27/K27-1,"n/a")</f>
        <v>0.67465753424657526</v>
      </c>
      <c r="Q27" s="75">
        <f t="shared" ref="Q27:V28" si="1">Q13+Q16+Q19+Q22+Q25</f>
        <v>1514</v>
      </c>
      <c r="R27" s="75">
        <f t="shared" si="1"/>
        <v>1252</v>
      </c>
      <c r="S27" s="75">
        <f t="shared" si="1"/>
        <v>959</v>
      </c>
      <c r="T27" s="75">
        <f t="shared" si="1"/>
        <v>19</v>
      </c>
      <c r="U27" s="75">
        <f t="shared" si="1"/>
        <v>607</v>
      </c>
      <c r="V27" s="75">
        <f t="shared" si="1"/>
        <v>926</v>
      </c>
      <c r="W27" s="66">
        <f>IFERROR(Q27/R27-1,"n/a")</f>
        <v>0.20926517571884995</v>
      </c>
      <c r="X27" s="66">
        <f>IFERROR(Q27/S27-1,"n/a")</f>
        <v>0.5787278415015642</v>
      </c>
      <c r="Y27" s="66">
        <f>IFERROR(Q27/T27-1,"n/a")</f>
        <v>78.684210526315795</v>
      </c>
      <c r="Z27" s="66">
        <f>IFERROR(Q27/U27-1,"n/a")</f>
        <v>1.4942339373970346</v>
      </c>
      <c r="AA27" s="62">
        <f>IFERROR(Q27/V27-1,"n/a")</f>
        <v>0.63498920086393085</v>
      </c>
      <c r="AB27" s="75">
        <f>AB13+AB16+AB19+AB22+AB25</f>
        <v>4434</v>
      </c>
      <c r="AC27" s="75">
        <f>AC13+AC16+AC19+AC22+AC25</f>
        <v>3620</v>
      </c>
      <c r="AD27" s="46">
        <f t="shared" ref="AD27:AF28" si="2">AD13+AD16+AD19+AD22+AD25</f>
        <v>1054</v>
      </c>
      <c r="AE27" s="46">
        <f t="shared" si="2"/>
        <v>657</v>
      </c>
      <c r="AF27" s="80">
        <f t="shared" si="2"/>
        <v>3310</v>
      </c>
      <c r="AG27" s="123"/>
      <c r="AH27" s="123"/>
    </row>
    <row r="28" spans="1:34" s="124" customFormat="1" ht="14.25" thickTop="1" thickBot="1">
      <c r="A28" s="123"/>
      <c r="B28" s="128"/>
      <c r="C28" s="38" t="s">
        <v>13</v>
      </c>
      <c r="D28" s="39"/>
      <c r="E28" s="40"/>
      <c r="F28" s="76">
        <f t="shared" si="0"/>
        <v>1302119.3999999999</v>
      </c>
      <c r="G28" s="76">
        <f t="shared" si="0"/>
        <v>978362</v>
      </c>
      <c r="H28" s="76">
        <f t="shared" si="0"/>
        <v>507465</v>
      </c>
      <c r="I28" s="76">
        <f t="shared" si="0"/>
        <v>6002</v>
      </c>
      <c r="J28" s="76">
        <f t="shared" si="0"/>
        <v>0</v>
      </c>
      <c r="K28" s="76">
        <f t="shared" si="0"/>
        <v>791238</v>
      </c>
      <c r="L28" s="67">
        <f>IFERROR(F28/G28-1,"n/a")</f>
        <v>0.3309177993421657</v>
      </c>
      <c r="M28" s="67">
        <f>IFERROR(F28/H28-1,"n/a")</f>
        <v>1.5659294729685791</v>
      </c>
      <c r="N28" s="67">
        <f>IFERROR(F28/I28-1,"n/a")</f>
        <v>215.94758413862044</v>
      </c>
      <c r="O28" s="67" t="str">
        <f>IFERROR(F28/J28-1,"n/a")</f>
        <v>n/a</v>
      </c>
      <c r="P28" s="63">
        <f>IFERROR(F28/K28-1,"n/a")</f>
        <v>0.64567348888703524</v>
      </c>
      <c r="Q28" s="76">
        <f t="shared" si="1"/>
        <v>4539313.4000000004</v>
      </c>
      <c r="R28" s="76">
        <f t="shared" si="1"/>
        <v>3456721</v>
      </c>
      <c r="S28" s="76">
        <f t="shared" si="1"/>
        <v>1375170</v>
      </c>
      <c r="T28" s="76">
        <f t="shared" si="1"/>
        <v>16105</v>
      </c>
      <c r="U28" s="76">
        <f t="shared" si="1"/>
        <v>1276302</v>
      </c>
      <c r="V28" s="76">
        <f t="shared" si="1"/>
        <v>2581100</v>
      </c>
      <c r="W28" s="67">
        <f>IFERROR(Q28/R28-1,"n/a")</f>
        <v>0.31318477829133462</v>
      </c>
      <c r="X28" s="67">
        <f>IFERROR(Q28/S28-1,"n/a")</f>
        <v>2.3009107237650621</v>
      </c>
      <c r="Y28" s="67">
        <f>IFERROR(Q28/T28-1,"n/a")</f>
        <v>280.85739832350203</v>
      </c>
      <c r="Z28" s="67">
        <f>IFERROR(Q28/U28-1,"n/a")</f>
        <v>2.5566138735189639</v>
      </c>
      <c r="AA28" s="63">
        <f>IFERROR(Q28/V28-1,"n/a")</f>
        <v>0.75867397621169275</v>
      </c>
      <c r="AB28" s="76">
        <f>AB14+AB17+AB20+AB23+AB26</f>
        <v>12658551</v>
      </c>
      <c r="AC28" s="76">
        <f>AC14+AC17+AC20+AC23+AC26</f>
        <v>7626669</v>
      </c>
      <c r="AD28" s="47">
        <f t="shared" si="2"/>
        <v>1552483</v>
      </c>
      <c r="AE28" s="47">
        <f t="shared" si="2"/>
        <v>1314158</v>
      </c>
      <c r="AF28" s="81">
        <f t="shared" si="2"/>
        <v>9152531</v>
      </c>
      <c r="AG28" s="123"/>
      <c r="AH28" s="123"/>
    </row>
    <row r="29" spans="1:34" s="124" customFormat="1" ht="12" thickTop="1">
      <c r="A29" s="123"/>
      <c r="B29" s="123"/>
      <c r="C29" s="123"/>
      <c r="D29" s="123"/>
      <c r="E29" s="123"/>
      <c r="F29" s="123"/>
      <c r="G29" s="129"/>
      <c r="H29" s="129"/>
      <c r="I29" s="129"/>
      <c r="J29" s="129"/>
      <c r="K29" s="129"/>
      <c r="L29" s="129"/>
      <c r="M29" s="129"/>
      <c r="N29" s="129"/>
      <c r="O29" s="129"/>
      <c r="P29" s="123"/>
      <c r="Q29" s="123"/>
      <c r="R29" s="123"/>
      <c r="S29" s="123"/>
      <c r="T29" s="123"/>
      <c r="U29" s="123"/>
      <c r="V29" s="123"/>
      <c r="W29" s="123"/>
      <c r="X29" s="123"/>
      <c r="Y29" s="123"/>
      <c r="Z29" s="123"/>
      <c r="AA29" s="123"/>
      <c r="AB29" s="123"/>
      <c r="AC29" s="123"/>
      <c r="AD29" s="123"/>
      <c r="AE29" s="123"/>
      <c r="AF29" s="123"/>
      <c r="AG29" s="123"/>
      <c r="AH29" s="123"/>
    </row>
    <row r="30" spans="1:34" s="124" customFormat="1" ht="11.25">
      <c r="A30" s="123"/>
      <c r="B30" s="123"/>
      <c r="C30" s="123"/>
      <c r="D30" s="123"/>
      <c r="E30" s="123"/>
      <c r="F30" s="123"/>
      <c r="G30" s="129"/>
      <c r="H30" s="129"/>
      <c r="I30" s="129"/>
      <c r="J30" s="129"/>
      <c r="K30" s="129"/>
      <c r="L30" s="129"/>
      <c r="M30" s="129"/>
      <c r="N30" s="129"/>
      <c r="O30" s="129"/>
      <c r="P30" s="123"/>
      <c r="Q30" s="123"/>
      <c r="R30" s="129"/>
      <c r="S30" s="123"/>
      <c r="T30" s="123"/>
      <c r="U30" s="123"/>
      <c r="V30" s="123"/>
      <c r="W30" s="123"/>
      <c r="X30" s="123"/>
      <c r="Y30" s="123"/>
      <c r="Z30" s="123"/>
      <c r="AA30" s="123"/>
      <c r="AB30" s="123"/>
      <c r="AC30" s="123"/>
      <c r="AD30" s="123"/>
      <c r="AE30" s="123"/>
      <c r="AF30" s="123"/>
      <c r="AG30" s="123"/>
      <c r="AH30" s="123"/>
    </row>
    <row r="31" spans="1:34" s="124" customFormat="1" ht="12.75">
      <c r="A31" s="123"/>
      <c r="B31" s="130"/>
      <c r="C31" s="131" t="s">
        <v>63</v>
      </c>
      <c r="D31" s="24"/>
      <c r="E31" s="24"/>
      <c r="F31" s="24"/>
      <c r="G31" s="24"/>
      <c r="H31" s="24"/>
      <c r="I31" s="24"/>
      <c r="J31" s="24"/>
      <c r="K31" s="95"/>
      <c r="L31" s="95"/>
      <c r="M31" s="95"/>
      <c r="N31" s="95"/>
      <c r="O31" s="95"/>
      <c r="P31" s="24"/>
      <c r="Q31" s="24"/>
      <c r="R31" s="24"/>
      <c r="S31" s="24"/>
      <c r="T31" s="24"/>
      <c r="U31" s="24"/>
      <c r="V31" s="24"/>
      <c r="W31" s="24"/>
      <c r="X31" s="24"/>
      <c r="Y31" s="24"/>
      <c r="Z31" s="24"/>
      <c r="AA31" s="24"/>
      <c r="AB31" s="24"/>
      <c r="AC31" s="24"/>
      <c r="AD31" s="24"/>
      <c r="AE31" s="24"/>
      <c r="AF31" s="24"/>
      <c r="AG31" s="24"/>
      <c r="AH31" s="123"/>
    </row>
    <row r="32" spans="1:34" s="124" customFormat="1" ht="12.75">
      <c r="A32" s="123"/>
      <c r="B32" s="130"/>
      <c r="C32" s="24"/>
      <c r="D32" s="24"/>
      <c r="E32" s="24"/>
      <c r="F32" s="24"/>
      <c r="G32" s="24"/>
      <c r="H32" s="24"/>
      <c r="I32" s="24"/>
      <c r="J32" s="24"/>
      <c r="K32" s="95"/>
      <c r="L32" s="95"/>
      <c r="M32" s="95"/>
      <c r="N32" s="95"/>
      <c r="O32" s="95"/>
      <c r="P32" s="24"/>
      <c r="Q32" s="24"/>
      <c r="R32" s="24"/>
      <c r="S32" s="24"/>
      <c r="T32" s="24"/>
      <c r="U32" s="24"/>
      <c r="V32" s="24"/>
      <c r="W32" s="24"/>
      <c r="X32" s="24"/>
      <c r="Y32" s="24"/>
      <c r="Z32" s="24"/>
      <c r="AA32" s="24"/>
      <c r="AB32" s="24"/>
      <c r="AC32" s="24"/>
      <c r="AD32" s="24"/>
      <c r="AE32" s="24"/>
      <c r="AF32" s="24"/>
      <c r="AG32" s="24"/>
      <c r="AH32" s="123"/>
    </row>
    <row r="33" spans="1:34" s="124" customFormat="1" ht="15" customHeight="1">
      <c r="A33" s="123"/>
      <c r="B33" s="123"/>
      <c r="C33" s="27" t="s">
        <v>7</v>
      </c>
      <c r="D33" s="28"/>
      <c r="E33" s="28"/>
      <c r="F33" s="158" t="str">
        <f>F9</f>
        <v>April</v>
      </c>
      <c r="G33" s="158"/>
      <c r="H33" s="158"/>
      <c r="I33" s="158"/>
      <c r="J33" s="158"/>
      <c r="K33" s="158"/>
      <c r="L33" s="158"/>
      <c r="M33" s="158"/>
      <c r="N33" s="158"/>
      <c r="O33" s="158"/>
      <c r="P33" s="159"/>
      <c r="Q33" s="161" t="s">
        <v>129</v>
      </c>
      <c r="R33" s="162"/>
      <c r="S33" s="162"/>
      <c r="T33" s="162"/>
      <c r="U33" s="162"/>
      <c r="V33" s="162"/>
      <c r="W33" s="162"/>
      <c r="X33" s="162"/>
      <c r="Y33" s="162"/>
      <c r="Z33" s="162"/>
      <c r="AA33" s="163"/>
      <c r="AB33" s="161" t="s">
        <v>58</v>
      </c>
      <c r="AC33" s="162"/>
      <c r="AD33" s="162"/>
      <c r="AE33" s="162"/>
      <c r="AF33" s="164"/>
    </row>
    <row r="34" spans="1:34" s="124" customFormat="1" ht="11.25">
      <c r="A34" s="123"/>
      <c r="B34" s="123"/>
      <c r="C34" s="29"/>
      <c r="D34" s="30"/>
      <c r="E34" s="30"/>
      <c r="F34" s="143"/>
      <c r="G34" s="144"/>
      <c r="H34" s="144"/>
      <c r="I34" s="144"/>
      <c r="J34" s="144"/>
      <c r="K34" s="144"/>
      <c r="L34" s="144"/>
      <c r="M34" s="144"/>
      <c r="N34" s="144"/>
      <c r="O34" s="144"/>
      <c r="P34" s="145"/>
      <c r="Q34" s="144"/>
      <c r="R34" s="144"/>
      <c r="S34" s="144"/>
      <c r="T34" s="144"/>
      <c r="U34" s="144"/>
      <c r="V34" s="144"/>
      <c r="W34" s="144"/>
      <c r="X34" s="144"/>
      <c r="Y34" s="144"/>
      <c r="Z34" s="144"/>
      <c r="AA34" s="145"/>
      <c r="AB34" s="152"/>
      <c r="AC34" s="153"/>
      <c r="AD34" s="153"/>
      <c r="AE34" s="153"/>
      <c r="AF34" s="154"/>
    </row>
    <row r="35" spans="1:34" s="124" customFormat="1" ht="22.5">
      <c r="A35" s="123"/>
      <c r="B35" s="123"/>
      <c r="C35" s="59" t="s">
        <v>29</v>
      </c>
      <c r="D35" s="50"/>
      <c r="E35" s="51"/>
      <c r="F35" s="55">
        <v>2024</v>
      </c>
      <c r="G35" s="52">
        <v>2023</v>
      </c>
      <c r="H35" s="52">
        <v>2022</v>
      </c>
      <c r="I35" s="52">
        <v>2021</v>
      </c>
      <c r="J35" s="52">
        <v>2020</v>
      </c>
      <c r="K35" s="52">
        <v>2019</v>
      </c>
      <c r="L35" s="53" t="s">
        <v>116</v>
      </c>
      <c r="M35" s="53" t="s">
        <v>117</v>
      </c>
      <c r="N35" s="53" t="s">
        <v>118</v>
      </c>
      <c r="O35" s="53" t="s">
        <v>119</v>
      </c>
      <c r="P35" s="57" t="s">
        <v>101</v>
      </c>
      <c r="Q35" s="53" t="s">
        <v>130</v>
      </c>
      <c r="R35" s="53" t="s">
        <v>115</v>
      </c>
      <c r="S35" s="53" t="s">
        <v>53</v>
      </c>
      <c r="T35" s="52" t="s">
        <v>54</v>
      </c>
      <c r="U35" s="52" t="s">
        <v>59</v>
      </c>
      <c r="V35" s="52" t="s">
        <v>64</v>
      </c>
      <c r="W35" s="53" t="s">
        <v>131</v>
      </c>
      <c r="X35" s="53" t="s">
        <v>116</v>
      </c>
      <c r="Y35" s="53" t="s">
        <v>117</v>
      </c>
      <c r="Z35" s="53" t="s">
        <v>118</v>
      </c>
      <c r="AA35" s="57" t="s">
        <v>119</v>
      </c>
      <c r="AB35" s="146"/>
      <c r="AC35" s="53" t="s">
        <v>53</v>
      </c>
      <c r="AD35" s="53" t="s">
        <v>54</v>
      </c>
      <c r="AE35" s="53" t="s">
        <v>65</v>
      </c>
      <c r="AF35" s="57" t="s">
        <v>73</v>
      </c>
      <c r="AH35" s="123"/>
    </row>
    <row r="36" spans="1:34" s="124" customFormat="1" ht="11.25">
      <c r="A36" s="123"/>
      <c r="B36" s="123"/>
      <c r="C36" s="31" t="s">
        <v>108</v>
      </c>
      <c r="D36" s="26"/>
      <c r="E36" s="32"/>
      <c r="F36" s="26"/>
      <c r="G36" s="26"/>
      <c r="H36" s="26"/>
      <c r="I36" s="26"/>
      <c r="J36" s="26"/>
      <c r="K36" s="26"/>
      <c r="L36" s="26"/>
      <c r="M36" s="26"/>
      <c r="N36" s="26"/>
      <c r="O36" s="26"/>
      <c r="P36" s="32"/>
      <c r="Q36" s="26"/>
      <c r="R36" s="26"/>
      <c r="S36" s="26"/>
      <c r="T36" s="26"/>
      <c r="U36" s="26"/>
      <c r="V36" s="123"/>
      <c r="W36" s="26"/>
      <c r="X36" s="26"/>
      <c r="Y36" s="123"/>
      <c r="Z36" s="26"/>
      <c r="AA36" s="32"/>
      <c r="AB36" s="147"/>
      <c r="AC36" s="26"/>
      <c r="AD36" s="26"/>
      <c r="AE36" s="88"/>
      <c r="AF36" s="85"/>
      <c r="AH36" s="123"/>
    </row>
    <row r="37" spans="1:34" s="124" customFormat="1" ht="11.25">
      <c r="A37" s="123"/>
      <c r="B37" s="123"/>
      <c r="C37" s="33"/>
      <c r="D37" s="26" t="s">
        <v>5</v>
      </c>
      <c r="E37" s="32"/>
      <c r="F37" s="74">
        <f t="shared" ref="F37:K38" si="3">F13</f>
        <v>187</v>
      </c>
      <c r="G37" s="74">
        <f t="shared" si="3"/>
        <v>129</v>
      </c>
      <c r="H37" s="74">
        <f t="shared" si="3"/>
        <v>136</v>
      </c>
      <c r="I37" s="74">
        <f t="shared" si="3"/>
        <v>0</v>
      </c>
      <c r="J37" s="74">
        <f t="shared" si="3"/>
        <v>42</v>
      </c>
      <c r="K37" s="74">
        <f t="shared" si="3"/>
        <v>129</v>
      </c>
      <c r="L37" s="64">
        <f>IFERROR(F37/G37-1,"n/a")</f>
        <v>0.4496124031007751</v>
      </c>
      <c r="M37" s="64">
        <f>IFERROR(F37/H37-1,"n/a")</f>
        <v>0.375</v>
      </c>
      <c r="N37" s="64" t="str">
        <f>IFERROR(F37/I37-1,"n/a")</f>
        <v>n/a</v>
      </c>
      <c r="O37" s="64">
        <f>IFERROR(F37/J37-1,"n/a")</f>
        <v>3.4523809523809526</v>
      </c>
      <c r="P37" s="60">
        <f>IFERROR(F37/K37-1,"n/a")</f>
        <v>0.4496124031007751</v>
      </c>
      <c r="Q37" s="74">
        <f t="shared" ref="Q37:V38" si="4">F37</f>
        <v>187</v>
      </c>
      <c r="R37" s="74">
        <f>G37</f>
        <v>129</v>
      </c>
      <c r="S37" s="74">
        <f>H37</f>
        <v>136</v>
      </c>
      <c r="T37" s="74">
        <f t="shared" si="4"/>
        <v>0</v>
      </c>
      <c r="U37" s="74">
        <f t="shared" si="4"/>
        <v>42</v>
      </c>
      <c r="V37" s="74">
        <f t="shared" si="4"/>
        <v>129</v>
      </c>
      <c r="W37" s="120">
        <f>IFERROR(Q37/R37-1,"n/a")</f>
        <v>0.4496124031007751</v>
      </c>
      <c r="X37" s="120">
        <f>IFERROR(R37/S37-1,"n/a")</f>
        <v>-5.1470588235294157E-2</v>
      </c>
      <c r="Y37" s="120" t="str">
        <f>IFERROR(R37/T37-1,"n/a")</f>
        <v>n/a</v>
      </c>
      <c r="Z37" s="120">
        <f>IFERROR(R37/U37-1,"n/a")</f>
        <v>2.0714285714285716</v>
      </c>
      <c r="AA37" s="121">
        <f>IFERROR(R37/V37-1,"n/a")</f>
        <v>0</v>
      </c>
      <c r="AB37" s="148"/>
      <c r="AC37" s="89">
        <v>1486</v>
      </c>
      <c r="AD37" s="89">
        <v>1052</v>
      </c>
      <c r="AE37" s="70">
        <v>551</v>
      </c>
      <c r="AF37" s="78">
        <v>1584</v>
      </c>
      <c r="AH37" s="123"/>
    </row>
    <row r="38" spans="1:34" s="124" customFormat="1" ht="11.25">
      <c r="A38" s="123"/>
      <c r="B38" s="123"/>
      <c r="C38" s="33"/>
      <c r="D38" s="26" t="s">
        <v>11</v>
      </c>
      <c r="E38" s="32"/>
      <c r="F38" s="74">
        <f t="shared" si="3"/>
        <v>659714</v>
      </c>
      <c r="G38" s="74">
        <f t="shared" si="3"/>
        <v>449751</v>
      </c>
      <c r="H38" s="74">
        <f t="shared" si="3"/>
        <v>297788</v>
      </c>
      <c r="I38" s="74">
        <f t="shared" si="3"/>
        <v>0</v>
      </c>
      <c r="J38" s="74">
        <f t="shared" si="3"/>
        <v>0</v>
      </c>
      <c r="K38" s="74">
        <f t="shared" si="3"/>
        <v>394045</v>
      </c>
      <c r="L38" s="64">
        <f>IFERROR(F38/G38-1,"n/a")</f>
        <v>0.46684276410725056</v>
      </c>
      <c r="M38" s="64">
        <f>IFERROR(F38/H38-1,"n/a")</f>
        <v>1.2153814122798772</v>
      </c>
      <c r="N38" s="64" t="str">
        <f>IFERROR(F38/I38-1,"n/a")</f>
        <v>n/a</v>
      </c>
      <c r="O38" s="64" t="str">
        <f>IFERROR(F38/J38-1,"n/a")</f>
        <v>n/a</v>
      </c>
      <c r="P38" s="60">
        <f>IFERROR(F38/K38-1,"n/a")</f>
        <v>0.67420979837328221</v>
      </c>
      <c r="Q38" s="74">
        <f t="shared" si="4"/>
        <v>659714</v>
      </c>
      <c r="R38" s="74">
        <f t="shared" si="4"/>
        <v>449751</v>
      </c>
      <c r="S38" s="74">
        <f t="shared" si="4"/>
        <v>297788</v>
      </c>
      <c r="T38" s="74">
        <f t="shared" si="4"/>
        <v>0</v>
      </c>
      <c r="U38" s="74">
        <f t="shared" si="4"/>
        <v>0</v>
      </c>
      <c r="V38" s="74">
        <f t="shared" si="4"/>
        <v>394045</v>
      </c>
      <c r="W38" s="120">
        <f>IFERROR(Q38/R38-1,"n/a")</f>
        <v>0.46684276410725056</v>
      </c>
      <c r="X38" s="120">
        <f>IFERROR(R38/S38-1,"n/a")</f>
        <v>0.51030598949588302</v>
      </c>
      <c r="Y38" s="120" t="str">
        <f>IFERROR(R38/T38-1,"n/a")</f>
        <v>n/a</v>
      </c>
      <c r="Z38" s="120" t="str">
        <f>IFERROR(R38/U38-1,"n/a")</f>
        <v>n/a</v>
      </c>
      <c r="AA38" s="121">
        <f>IFERROR(R38/V38-1,"n/a")</f>
        <v>0.14136964052329049</v>
      </c>
      <c r="AB38" s="148"/>
      <c r="AC38" s="89">
        <v>4370939</v>
      </c>
      <c r="AD38" s="89">
        <v>1527970</v>
      </c>
      <c r="AE38" s="84">
        <v>1092884</v>
      </c>
      <c r="AF38" s="78">
        <v>4234259</v>
      </c>
      <c r="AH38" s="123"/>
    </row>
    <row r="39" spans="1:34" s="124" customFormat="1" ht="11.25">
      <c r="A39" s="123"/>
      <c r="B39" s="123"/>
      <c r="C39" s="31" t="s">
        <v>109</v>
      </c>
      <c r="D39" s="26"/>
      <c r="E39" s="32"/>
      <c r="F39" s="26"/>
      <c r="G39" s="26"/>
      <c r="H39" s="26"/>
      <c r="I39" s="26"/>
      <c r="J39" s="26"/>
      <c r="K39" s="26"/>
      <c r="L39" s="64"/>
      <c r="M39" s="64"/>
      <c r="N39" s="64"/>
      <c r="O39" s="64"/>
      <c r="P39" s="61"/>
      <c r="Q39" s="26"/>
      <c r="R39" s="26"/>
      <c r="S39" s="26"/>
      <c r="T39" s="26"/>
      <c r="U39" s="26"/>
      <c r="V39" s="26"/>
      <c r="W39" s="65"/>
      <c r="X39" s="65"/>
      <c r="Y39" s="65"/>
      <c r="Z39" s="65"/>
      <c r="AA39" s="61"/>
      <c r="AB39" s="149"/>
      <c r="AC39" s="90"/>
      <c r="AD39" s="90"/>
      <c r="AE39" s="44"/>
      <c r="AF39" s="79"/>
      <c r="AH39" s="123"/>
    </row>
    <row r="40" spans="1:34" s="124" customFormat="1" ht="11.25">
      <c r="A40" s="123"/>
      <c r="B40" s="123"/>
      <c r="C40" s="33"/>
      <c r="D40" s="26" t="s">
        <v>5</v>
      </c>
      <c r="E40" s="32"/>
      <c r="F40" s="74">
        <f t="shared" ref="F40:K41" si="5">F16</f>
        <v>55</v>
      </c>
      <c r="G40" s="74">
        <f t="shared" si="5"/>
        <v>46</v>
      </c>
      <c r="H40" s="74">
        <f t="shared" si="5"/>
        <v>56</v>
      </c>
      <c r="I40" s="74">
        <f t="shared" si="5"/>
        <v>5</v>
      </c>
      <c r="J40" s="74">
        <f t="shared" si="5"/>
        <v>0</v>
      </c>
      <c r="K40" s="74">
        <f t="shared" si="5"/>
        <v>51</v>
      </c>
      <c r="L40" s="64">
        <f>IFERROR(F40/G40-1,"n/a")</f>
        <v>0.19565217391304346</v>
      </c>
      <c r="M40" s="64">
        <f>IFERROR(F40/H40-1,"n/a")</f>
        <v>-1.7857142857142905E-2</v>
      </c>
      <c r="N40" s="64">
        <f>IFERROR(F40/I40-1,"n/a")</f>
        <v>10</v>
      </c>
      <c r="O40" s="64" t="str">
        <f>IFERROR(F40/J40-1,"n/a")</f>
        <v>n/a</v>
      </c>
      <c r="P40" s="60">
        <f>IFERROR(F40/K40-1,"n/a")</f>
        <v>7.8431372549019551E-2</v>
      </c>
      <c r="Q40" s="74">
        <f t="shared" ref="Q40:V41" si="6">F40</f>
        <v>55</v>
      </c>
      <c r="R40" s="74">
        <f t="shared" si="6"/>
        <v>46</v>
      </c>
      <c r="S40" s="74">
        <f t="shared" si="6"/>
        <v>56</v>
      </c>
      <c r="T40" s="74">
        <f t="shared" si="6"/>
        <v>5</v>
      </c>
      <c r="U40" s="74">
        <f t="shared" si="6"/>
        <v>0</v>
      </c>
      <c r="V40" s="74">
        <f t="shared" si="6"/>
        <v>51</v>
      </c>
      <c r="W40" s="120">
        <f>IFERROR(Q40/R40-1,"n/a")</f>
        <v>0.19565217391304346</v>
      </c>
      <c r="X40" s="120">
        <f>IFERROR(R40/S40-1,"n/a")</f>
        <v>-0.1785714285714286</v>
      </c>
      <c r="Y40" s="120">
        <f>IFERROR(R40/T40-1,"n/a")</f>
        <v>8.1999999999999993</v>
      </c>
      <c r="Z40" s="120" t="str">
        <f>IFERROR(R40/U40-1,"n/a")</f>
        <v>n/a</v>
      </c>
      <c r="AA40" s="121">
        <f>IFERROR(R40/V40-1,"n/a")</f>
        <v>-9.8039215686274495E-2</v>
      </c>
      <c r="AB40" s="148"/>
      <c r="AC40" s="89">
        <v>563</v>
      </c>
      <c r="AD40" s="89">
        <v>226</v>
      </c>
      <c r="AE40" s="70">
        <v>66</v>
      </c>
      <c r="AF40" s="78">
        <v>573</v>
      </c>
      <c r="AH40" s="123"/>
    </row>
    <row r="41" spans="1:34" s="124" customFormat="1" ht="11.25">
      <c r="A41" s="123"/>
      <c r="B41" s="123"/>
      <c r="C41" s="33"/>
      <c r="D41" s="26" t="s">
        <v>11</v>
      </c>
      <c r="E41" s="32"/>
      <c r="F41" s="74">
        <f t="shared" si="5"/>
        <v>129597</v>
      </c>
      <c r="G41" s="74">
        <f t="shared" si="5"/>
        <v>107348</v>
      </c>
      <c r="H41" s="74">
        <f t="shared" si="5"/>
        <v>60367</v>
      </c>
      <c r="I41" s="74">
        <f t="shared" si="5"/>
        <v>6002</v>
      </c>
      <c r="J41" s="74">
        <f t="shared" si="5"/>
        <v>0</v>
      </c>
      <c r="K41" s="74">
        <f t="shared" si="5"/>
        <v>147331</v>
      </c>
      <c r="L41" s="64">
        <f>IFERROR(F41/G41-1,"n/a")</f>
        <v>0.2072604985654134</v>
      </c>
      <c r="M41" s="64">
        <f>IFERROR(F41/H41-1,"n/a")</f>
        <v>1.1468186260705351</v>
      </c>
      <c r="N41" s="64">
        <f>IFERROR(F41/I41-1,"n/a")</f>
        <v>20.592302565811398</v>
      </c>
      <c r="O41" s="64" t="str">
        <f>IFERROR(F41/J41-1,"n/a")</f>
        <v>n/a</v>
      </c>
      <c r="P41" s="60">
        <f>IFERROR(F41/K41-1,"n/a")</f>
        <v>-0.1203684221243323</v>
      </c>
      <c r="Q41" s="74">
        <f t="shared" si="6"/>
        <v>129597</v>
      </c>
      <c r="R41" s="74">
        <f t="shared" si="6"/>
        <v>107348</v>
      </c>
      <c r="S41" s="74">
        <f t="shared" si="6"/>
        <v>60367</v>
      </c>
      <c r="T41" s="74">
        <f t="shared" si="6"/>
        <v>6002</v>
      </c>
      <c r="U41" s="74">
        <f t="shared" si="6"/>
        <v>0</v>
      </c>
      <c r="V41" s="74">
        <f t="shared" si="6"/>
        <v>147331</v>
      </c>
      <c r="W41" s="120">
        <f>IFERROR(Q41/R41-1,"n/a")</f>
        <v>0.2072604985654134</v>
      </c>
      <c r="X41" s="120">
        <f>IFERROR(R41/S41-1,"n/a")</f>
        <v>0.7782563321019762</v>
      </c>
      <c r="Y41" s="120">
        <f>IFERROR(R41/T41-1,"n/a")</f>
        <v>16.885371542819062</v>
      </c>
      <c r="Z41" s="120" t="str">
        <f>IFERROR(R41/U41-1,"n/a")</f>
        <v>n/a</v>
      </c>
      <c r="AA41" s="121">
        <f>IFERROR(R41/V41-1,"n/a")</f>
        <v>-0.27138212596127087</v>
      </c>
      <c r="AB41" s="148"/>
      <c r="AC41" s="89">
        <v>1012510</v>
      </c>
      <c r="AD41" s="89">
        <v>327926</v>
      </c>
      <c r="AE41" s="84">
        <v>80778</v>
      </c>
      <c r="AF41" s="78">
        <v>1361671</v>
      </c>
      <c r="AH41" s="123"/>
    </row>
    <row r="42" spans="1:34" s="124" customFormat="1" ht="11.25">
      <c r="A42" s="123"/>
      <c r="B42" s="123"/>
      <c r="C42" s="31" t="s">
        <v>110</v>
      </c>
      <c r="D42" s="26"/>
      <c r="E42" s="32"/>
      <c r="F42" s="87"/>
      <c r="G42" s="87"/>
      <c r="H42" s="87"/>
      <c r="I42" s="87"/>
      <c r="J42" s="87"/>
      <c r="K42" s="72"/>
      <c r="L42" s="64"/>
      <c r="M42" s="64"/>
      <c r="N42" s="64"/>
      <c r="O42" s="64"/>
      <c r="P42" s="60"/>
      <c r="Q42" s="87"/>
      <c r="R42" s="87"/>
      <c r="S42" s="87"/>
      <c r="T42" s="87"/>
      <c r="U42" s="87"/>
      <c r="V42" s="72"/>
      <c r="W42" s="64"/>
      <c r="X42" s="64"/>
      <c r="Y42" s="64"/>
      <c r="Z42" s="64"/>
      <c r="AA42" s="60"/>
      <c r="AB42" s="148"/>
      <c r="AC42" s="90"/>
      <c r="AD42" s="90"/>
      <c r="AE42" s="44"/>
      <c r="AF42" s="79"/>
      <c r="AH42" s="123"/>
    </row>
    <row r="43" spans="1:34" s="124" customFormat="1" ht="11.25">
      <c r="A43" s="123"/>
      <c r="B43" s="123"/>
      <c r="C43" s="33"/>
      <c r="D43" s="26" t="s">
        <v>5</v>
      </c>
      <c r="E43" s="32"/>
      <c r="F43" s="74">
        <f t="shared" ref="F43:K44" si="7">F19</f>
        <v>52</v>
      </c>
      <c r="G43" s="74">
        <f t="shared" si="7"/>
        <v>47</v>
      </c>
      <c r="H43" s="74">
        <f t="shared" si="7"/>
        <v>35</v>
      </c>
      <c r="I43" s="74">
        <f t="shared" si="7"/>
        <v>2</v>
      </c>
      <c r="J43" s="74">
        <f t="shared" si="7"/>
        <v>0</v>
      </c>
      <c r="K43" s="74">
        <f t="shared" si="7"/>
        <v>21</v>
      </c>
      <c r="L43" s="64">
        <f>IFERROR(F43/G43-1,"n/a")</f>
        <v>0.1063829787234043</v>
      </c>
      <c r="M43" s="64">
        <f>IFERROR(F43/H43-1,"n/a")</f>
        <v>0.48571428571428577</v>
      </c>
      <c r="N43" s="64">
        <f>IFERROR(F43/I43-1,"n/a")</f>
        <v>25</v>
      </c>
      <c r="O43" s="64" t="str">
        <f>IFERROR(F43/J43-1,"n/a")</f>
        <v>n/a</v>
      </c>
      <c r="P43" s="60">
        <f>IFERROR(F43/K43-1,"n/a")</f>
        <v>1.4761904761904763</v>
      </c>
      <c r="Q43" s="74">
        <f t="shared" ref="Q43:V44" si="8">F43</f>
        <v>52</v>
      </c>
      <c r="R43" s="74">
        <f t="shared" si="8"/>
        <v>47</v>
      </c>
      <c r="S43" s="74">
        <f t="shared" si="8"/>
        <v>35</v>
      </c>
      <c r="T43" s="74">
        <f t="shared" si="8"/>
        <v>2</v>
      </c>
      <c r="U43" s="74">
        <f t="shared" si="8"/>
        <v>0</v>
      </c>
      <c r="V43" s="74">
        <f t="shared" si="8"/>
        <v>21</v>
      </c>
      <c r="W43" s="120">
        <f>IFERROR(Q43/R43-1,"n/a")</f>
        <v>0.1063829787234043</v>
      </c>
      <c r="X43" s="120">
        <f>IFERROR(R43/S43-1,"n/a")</f>
        <v>0.34285714285714275</v>
      </c>
      <c r="Y43" s="120">
        <f>IFERROR(R43/T43-1,"n/a")</f>
        <v>22.5</v>
      </c>
      <c r="Z43" s="120" t="str">
        <f>IFERROR(R43/U43-1,"n/a")</f>
        <v>n/a</v>
      </c>
      <c r="AA43" s="121">
        <f>IFERROR(R43/V43-1,"n/a")</f>
        <v>1.2380952380952381</v>
      </c>
      <c r="AB43" s="148"/>
      <c r="AC43" s="89">
        <v>669</v>
      </c>
      <c r="AD43" s="89">
        <v>59</v>
      </c>
      <c r="AE43" s="70">
        <v>9</v>
      </c>
      <c r="AF43" s="78">
        <v>287</v>
      </c>
      <c r="AH43" s="123"/>
    </row>
    <row r="44" spans="1:34" s="124" customFormat="1" ht="11.25">
      <c r="A44" s="123"/>
      <c r="B44" s="123"/>
      <c r="C44" s="33"/>
      <c r="D44" s="26" t="s">
        <v>11</v>
      </c>
      <c r="E44" s="32"/>
      <c r="F44" s="74">
        <f t="shared" si="7"/>
        <v>75571.399999999994</v>
      </c>
      <c r="G44" s="74">
        <f t="shared" si="7"/>
        <v>66302</v>
      </c>
      <c r="H44" s="74">
        <f t="shared" si="7"/>
        <v>32576</v>
      </c>
      <c r="I44" s="74">
        <f t="shared" si="7"/>
        <v>0</v>
      </c>
      <c r="J44" s="74">
        <f t="shared" si="7"/>
        <v>0</v>
      </c>
      <c r="K44" s="74">
        <f t="shared" si="7"/>
        <v>36063</v>
      </c>
      <c r="L44" s="64">
        <f>IFERROR(F44/G44-1,"n/a")</f>
        <v>0.13980573738348756</v>
      </c>
      <c r="M44" s="64">
        <f>IFERROR(F44/H44-1,"n/a")</f>
        <v>1.319848968565815</v>
      </c>
      <c r="N44" s="64" t="str">
        <f>IFERROR(F44/I44-1,"n/a")</f>
        <v>n/a</v>
      </c>
      <c r="O44" s="64" t="str">
        <f>IFERROR(F44/J44-1,"n/a")</f>
        <v>n/a</v>
      </c>
      <c r="P44" s="60">
        <f>IFERROR(F44/K44-1,"n/a")</f>
        <v>1.0955383634195712</v>
      </c>
      <c r="Q44" s="74">
        <f t="shared" si="8"/>
        <v>75571.399999999994</v>
      </c>
      <c r="R44" s="74">
        <f t="shared" si="8"/>
        <v>66302</v>
      </c>
      <c r="S44" s="74">
        <f t="shared" si="8"/>
        <v>32576</v>
      </c>
      <c r="T44" s="74">
        <f t="shared" si="8"/>
        <v>0</v>
      </c>
      <c r="U44" s="74">
        <f t="shared" si="8"/>
        <v>0</v>
      </c>
      <c r="V44" s="74">
        <f t="shared" si="8"/>
        <v>36063</v>
      </c>
      <c r="W44" s="120">
        <f>IFERROR(Q44/R44-1,"n/a")</f>
        <v>0.13980573738348756</v>
      </c>
      <c r="X44" s="120">
        <f>IFERROR(R44/S44-1,"n/a")</f>
        <v>1.0353020628683693</v>
      </c>
      <c r="Y44" s="120" t="str">
        <f>IFERROR(R44/T44-1,"n/a")</f>
        <v>n/a</v>
      </c>
      <c r="Z44" s="120" t="str">
        <f>IFERROR(R44/U44-1,"n/a")</f>
        <v>n/a</v>
      </c>
      <c r="AA44" s="121">
        <f>IFERROR(R44/V44-1,"n/a")</f>
        <v>0.83850483875440207</v>
      </c>
      <c r="AB44" s="148"/>
      <c r="AC44" s="82">
        <v>905256</v>
      </c>
      <c r="AD44" s="82">
        <v>20626</v>
      </c>
      <c r="AE44" s="84">
        <v>10047</v>
      </c>
      <c r="AF44" s="78">
        <v>581199</v>
      </c>
      <c r="AH44" s="123"/>
    </row>
    <row r="45" spans="1:34" s="124" customFormat="1" ht="11.25">
      <c r="A45" s="123"/>
      <c r="B45" s="123"/>
      <c r="C45" s="31" t="s">
        <v>111</v>
      </c>
      <c r="D45" s="26"/>
      <c r="E45" s="34"/>
      <c r="F45" s="72"/>
      <c r="G45" s="72"/>
      <c r="H45" s="72"/>
      <c r="I45" s="72"/>
      <c r="J45" s="72"/>
      <c r="K45" s="72"/>
      <c r="L45" s="64"/>
      <c r="M45" s="64"/>
      <c r="N45" s="64"/>
      <c r="O45" s="64"/>
      <c r="P45" s="60"/>
      <c r="Q45" s="72"/>
      <c r="R45" s="72"/>
      <c r="S45" s="72"/>
      <c r="T45" s="72"/>
      <c r="U45" s="72"/>
      <c r="V45" s="72"/>
      <c r="W45" s="64"/>
      <c r="X45" s="64"/>
      <c r="Y45" s="64"/>
      <c r="Z45" s="64"/>
      <c r="AA45" s="60"/>
      <c r="AB45" s="148"/>
      <c r="AC45" s="90"/>
      <c r="AD45" s="90"/>
      <c r="AE45" s="44"/>
      <c r="AF45" s="79"/>
      <c r="AH45" s="123"/>
    </row>
    <row r="46" spans="1:34" s="124" customFormat="1" ht="11.25">
      <c r="A46" s="123"/>
      <c r="B46" s="123"/>
      <c r="C46" s="33"/>
      <c r="D46" s="26" t="s">
        <v>5</v>
      </c>
      <c r="E46" s="34"/>
      <c r="F46" s="74">
        <f t="shared" ref="F46:K47" si="9">F22</f>
        <v>194</v>
      </c>
      <c r="G46" s="74">
        <f t="shared" si="9"/>
        <v>162</v>
      </c>
      <c r="H46" s="74">
        <f t="shared" si="9"/>
        <v>100</v>
      </c>
      <c r="I46" s="74">
        <f t="shared" si="9"/>
        <v>0</v>
      </c>
      <c r="J46" s="74">
        <f t="shared" si="9"/>
        <v>0</v>
      </c>
      <c r="K46" s="74">
        <f t="shared" si="9"/>
        <v>90</v>
      </c>
      <c r="L46" s="64">
        <f>IFERROR(F46/G46-1,"n/a")</f>
        <v>0.19753086419753085</v>
      </c>
      <c r="M46" s="64">
        <f>IFERROR(F46/H46-1,"n/a")</f>
        <v>0.94</v>
      </c>
      <c r="N46" s="64" t="str">
        <f>IFERROR(F46/I46-1,"n/a")</f>
        <v>n/a</v>
      </c>
      <c r="O46" s="64" t="str">
        <f>IFERROR(F46/J46-1,"n/a")</f>
        <v>n/a</v>
      </c>
      <c r="P46" s="60">
        <f>IFERROR(F46/K46-1,"n/a")</f>
        <v>1.1555555555555554</v>
      </c>
      <c r="Q46" s="74">
        <f t="shared" ref="Q46:V47" si="10">F46</f>
        <v>194</v>
      </c>
      <c r="R46" s="74">
        <f t="shared" si="10"/>
        <v>162</v>
      </c>
      <c r="S46" s="74">
        <f t="shared" si="10"/>
        <v>100</v>
      </c>
      <c r="T46" s="74">
        <f t="shared" si="10"/>
        <v>0</v>
      </c>
      <c r="U46" s="74">
        <f t="shared" si="10"/>
        <v>0</v>
      </c>
      <c r="V46" s="74">
        <f t="shared" si="10"/>
        <v>90</v>
      </c>
      <c r="W46" s="120">
        <f>IFERROR(Q46/R46-1,"n/a")</f>
        <v>0.19753086419753085</v>
      </c>
      <c r="X46" s="120">
        <f>IFERROR(R46/S46-1,"n/a")</f>
        <v>0.62000000000000011</v>
      </c>
      <c r="Y46" s="120" t="str">
        <f>IFERROR(R46/T46-1,"n/a")</f>
        <v>n/a</v>
      </c>
      <c r="Z46" s="120" t="str">
        <f>IFERROR(R46/U46-1,"n/a")</f>
        <v>n/a</v>
      </c>
      <c r="AA46" s="121">
        <f>IFERROR(R46/V46-1,"n/a")</f>
        <v>0.8</v>
      </c>
      <c r="AB46" s="148"/>
      <c r="AC46" s="89">
        <v>1129</v>
      </c>
      <c r="AD46" s="89">
        <v>336</v>
      </c>
      <c r="AE46" s="84">
        <v>43</v>
      </c>
      <c r="AF46" s="78">
        <v>781</v>
      </c>
      <c r="AH46" s="123"/>
    </row>
    <row r="47" spans="1:34" s="124" customFormat="1" ht="11.25">
      <c r="A47" s="123"/>
      <c r="B47" s="123"/>
      <c r="C47" s="33"/>
      <c r="D47" s="26" t="s">
        <v>11</v>
      </c>
      <c r="E47" s="32"/>
      <c r="F47" s="74">
        <f t="shared" si="9"/>
        <v>433106</v>
      </c>
      <c r="G47" s="74">
        <f t="shared" si="9"/>
        <v>352703</v>
      </c>
      <c r="H47" s="74">
        <f t="shared" si="9"/>
        <v>115809</v>
      </c>
      <c r="I47" s="74">
        <f t="shared" si="9"/>
        <v>0</v>
      </c>
      <c r="J47" s="74">
        <f t="shared" si="9"/>
        <v>0</v>
      </c>
      <c r="K47" s="74">
        <f t="shared" si="9"/>
        <v>212740</v>
      </c>
      <c r="L47" s="64">
        <f>IFERROR(F47/G47-1,"n/a")</f>
        <v>0.22796233658347109</v>
      </c>
      <c r="M47" s="64">
        <f>IFERROR(F47/H47-1,"n/a")</f>
        <v>2.7398302377190027</v>
      </c>
      <c r="N47" s="64" t="str">
        <f>IFERROR(F47/I47-1,"n/a")</f>
        <v>n/a</v>
      </c>
      <c r="O47" s="64" t="str">
        <f>IFERROR(F47/J47-1,"n/a")</f>
        <v>n/a</v>
      </c>
      <c r="P47" s="60">
        <f>IFERROR(F47/K47-1,"n/a")</f>
        <v>1.0358465732819404</v>
      </c>
      <c r="Q47" s="74">
        <f t="shared" si="10"/>
        <v>433106</v>
      </c>
      <c r="R47" s="74">
        <f t="shared" si="10"/>
        <v>352703</v>
      </c>
      <c r="S47" s="74">
        <f t="shared" si="10"/>
        <v>115809</v>
      </c>
      <c r="T47" s="74">
        <f t="shared" si="10"/>
        <v>0</v>
      </c>
      <c r="U47" s="74">
        <f t="shared" si="10"/>
        <v>0</v>
      </c>
      <c r="V47" s="74">
        <f t="shared" si="10"/>
        <v>212740</v>
      </c>
      <c r="W47" s="120">
        <f>IFERROR(Q47/R47-1,"n/a")</f>
        <v>0.22796233658347109</v>
      </c>
      <c r="X47" s="120">
        <f>IFERROR(R47/S47-1,"n/a")</f>
        <v>2.0455577718484745</v>
      </c>
      <c r="Y47" s="120" t="str">
        <f>IFERROR(R47/T47-1,"n/a")</f>
        <v>n/a</v>
      </c>
      <c r="Z47" s="120" t="str">
        <f>IFERROR(R47/U47-1,"n/a")</f>
        <v>n/a</v>
      </c>
      <c r="AA47" s="121">
        <f>IFERROR(R47/V47-1,"n/a")</f>
        <v>0.65790636457647822</v>
      </c>
      <c r="AB47" s="148"/>
      <c r="AC47" s="82">
        <v>2932981</v>
      </c>
      <c r="AD47" s="82">
        <v>533563</v>
      </c>
      <c r="AE47" s="84">
        <v>140552</v>
      </c>
      <c r="AF47" s="78">
        <v>2441594</v>
      </c>
      <c r="AH47" s="123"/>
    </row>
    <row r="48" spans="1:34" s="124" customFormat="1" ht="11.25">
      <c r="C48" s="31" t="s">
        <v>112</v>
      </c>
      <c r="D48" s="26"/>
      <c r="E48" s="32"/>
      <c r="F48" s="72"/>
      <c r="G48" s="72"/>
      <c r="H48" s="72"/>
      <c r="I48" s="72"/>
      <c r="J48" s="72"/>
      <c r="K48" s="72"/>
      <c r="L48" s="64"/>
      <c r="M48" s="64"/>
      <c r="N48" s="64"/>
      <c r="O48" s="64"/>
      <c r="P48" s="60"/>
      <c r="Q48" s="72"/>
      <c r="R48" s="72"/>
      <c r="S48" s="72"/>
      <c r="T48" s="72"/>
      <c r="U48" s="72"/>
      <c r="V48" s="72"/>
      <c r="W48" s="64"/>
      <c r="X48" s="64"/>
      <c r="Y48" s="64"/>
      <c r="Z48" s="64"/>
      <c r="AA48" s="60"/>
      <c r="AB48" s="148"/>
      <c r="AC48" s="90"/>
      <c r="AD48" s="90"/>
      <c r="AE48" s="44"/>
      <c r="AF48" s="79"/>
      <c r="AH48" s="123"/>
    </row>
    <row r="49" spans="3:34" s="124" customFormat="1" ht="11.25">
      <c r="C49" s="33"/>
      <c r="D49" s="26" t="s">
        <v>5</v>
      </c>
      <c r="E49" s="32"/>
      <c r="F49" s="74">
        <f t="shared" ref="F49:K50" si="11">F25</f>
        <v>1</v>
      </c>
      <c r="G49" s="74">
        <f t="shared" si="11"/>
        <v>1</v>
      </c>
      <c r="H49" s="74">
        <f t="shared" si="11"/>
        <v>1</v>
      </c>
      <c r="I49" s="74">
        <f t="shared" si="11"/>
        <v>0</v>
      </c>
      <c r="J49" s="74">
        <f t="shared" si="11"/>
        <v>0</v>
      </c>
      <c r="K49" s="74">
        <f t="shared" si="11"/>
        <v>1</v>
      </c>
      <c r="L49" s="64">
        <f>IFERROR(F49/G49-1,"n/a")</f>
        <v>0</v>
      </c>
      <c r="M49" s="64">
        <f>IFERROR(F49/H49-1,"n/a")</f>
        <v>0</v>
      </c>
      <c r="N49" s="64" t="str">
        <f>IFERROR(F49/I49-1,"n/a")</f>
        <v>n/a</v>
      </c>
      <c r="O49" s="64" t="str">
        <f>IFERROR(F49/J49-1,"n/a")</f>
        <v>n/a</v>
      </c>
      <c r="P49" s="60">
        <f>IFERROR(F49/K49-1,"n/a")</f>
        <v>0</v>
      </c>
      <c r="Q49" s="74">
        <f t="shared" ref="Q49:V50" si="12">F49</f>
        <v>1</v>
      </c>
      <c r="R49" s="74">
        <f t="shared" si="12"/>
        <v>1</v>
      </c>
      <c r="S49" s="74">
        <f t="shared" si="12"/>
        <v>1</v>
      </c>
      <c r="T49" s="74">
        <f t="shared" si="12"/>
        <v>0</v>
      </c>
      <c r="U49" s="74">
        <f t="shared" si="12"/>
        <v>0</v>
      </c>
      <c r="V49" s="74">
        <f t="shared" si="12"/>
        <v>1</v>
      </c>
      <c r="W49" s="120">
        <f t="shared" ref="W49:X52" si="13">IFERROR(Q49/R49-1,"n/a")</f>
        <v>0</v>
      </c>
      <c r="X49" s="120">
        <f t="shared" si="13"/>
        <v>0</v>
      </c>
      <c r="Y49" s="120" t="str">
        <f>IFERROR(R49/T49-1,"n/a")</f>
        <v>n/a</v>
      </c>
      <c r="Z49" s="120" t="str">
        <f>IFERROR(R49/U49-1,"n/a")</f>
        <v>n/a</v>
      </c>
      <c r="AA49" s="121">
        <f>IFERROR(R49/V49-1,"n/a")</f>
        <v>0</v>
      </c>
      <c r="AB49" s="148"/>
      <c r="AC49" s="89">
        <v>9</v>
      </c>
      <c r="AD49" s="68">
        <v>0</v>
      </c>
      <c r="AE49" s="68">
        <v>0</v>
      </c>
      <c r="AF49" s="78">
        <v>16</v>
      </c>
      <c r="AH49" s="123"/>
    </row>
    <row r="50" spans="3:34" s="124" customFormat="1" ht="11.25">
      <c r="C50" s="33"/>
      <c r="D50" s="26" t="s">
        <v>11</v>
      </c>
      <c r="E50" s="32"/>
      <c r="F50" s="74">
        <f t="shared" si="11"/>
        <v>4131</v>
      </c>
      <c r="G50" s="74">
        <f t="shared" si="11"/>
        <v>2258</v>
      </c>
      <c r="H50" s="74">
        <f t="shared" si="11"/>
        <v>925</v>
      </c>
      <c r="I50" s="74">
        <f t="shared" si="11"/>
        <v>0</v>
      </c>
      <c r="J50" s="74">
        <f t="shared" si="11"/>
        <v>0</v>
      </c>
      <c r="K50" s="74">
        <f t="shared" si="11"/>
        <v>1059</v>
      </c>
      <c r="L50" s="64">
        <f>IFERROR(F50/G50-1,"n/a")</f>
        <v>0.82949512843224094</v>
      </c>
      <c r="M50" s="64">
        <f>IFERROR(F50/H50-1,"n/a")</f>
        <v>3.4659459459459461</v>
      </c>
      <c r="N50" s="64" t="str">
        <f>IFERROR(F50/I50-1,"n/a")</f>
        <v>n/a</v>
      </c>
      <c r="O50" s="64" t="str">
        <f>IFERROR(F50/J50-1,"n/a")</f>
        <v>n/a</v>
      </c>
      <c r="P50" s="60">
        <f>IFERROR(F50/K50-1,"n/a")</f>
        <v>2.9008498583569406</v>
      </c>
      <c r="Q50" s="74">
        <f t="shared" si="12"/>
        <v>4131</v>
      </c>
      <c r="R50" s="74">
        <f t="shared" si="12"/>
        <v>2258</v>
      </c>
      <c r="S50" s="74">
        <f t="shared" si="12"/>
        <v>925</v>
      </c>
      <c r="T50" s="74">
        <f t="shared" si="12"/>
        <v>0</v>
      </c>
      <c r="U50" s="74">
        <f t="shared" si="12"/>
        <v>0</v>
      </c>
      <c r="V50" s="74">
        <f t="shared" si="12"/>
        <v>1059</v>
      </c>
      <c r="W50" s="120">
        <f t="shared" si="13"/>
        <v>0.82949512843224094</v>
      </c>
      <c r="X50" s="120">
        <f t="shared" si="13"/>
        <v>1.441081081081081</v>
      </c>
      <c r="Y50" s="120" t="str">
        <f>IFERROR(R50/T50-1,"n/a")</f>
        <v>n/a</v>
      </c>
      <c r="Z50" s="120" t="str">
        <f>IFERROR(R50/U50-1,"n/a")</f>
        <v>n/a</v>
      </c>
      <c r="AA50" s="121">
        <f>IFERROR(R50/V50-1,"n/a")</f>
        <v>1.1322001888574125</v>
      </c>
      <c r="AB50" s="148"/>
      <c r="AC50" s="82">
        <v>15637</v>
      </c>
      <c r="AD50" s="68">
        <v>0</v>
      </c>
      <c r="AE50" s="68">
        <v>0</v>
      </c>
      <c r="AF50" s="78">
        <v>20248</v>
      </c>
      <c r="AH50" s="123"/>
    </row>
    <row r="51" spans="3:34" s="124" customFormat="1" ht="12" thickBot="1">
      <c r="C51" s="35" t="s">
        <v>12</v>
      </c>
      <c r="D51" s="36"/>
      <c r="E51" s="37"/>
      <c r="F51" s="75">
        <f>F37+F40+F43+F46+F49</f>
        <v>489</v>
      </c>
      <c r="G51" s="75">
        <f>G37+G40+G43+G46+G49</f>
        <v>385</v>
      </c>
      <c r="H51" s="75">
        <f t="shared" ref="H51:K52" si="14">H37+H40+H43+H46+H49</f>
        <v>328</v>
      </c>
      <c r="I51" s="75">
        <f t="shared" si="14"/>
        <v>7</v>
      </c>
      <c r="J51" s="75">
        <f t="shared" si="14"/>
        <v>42</v>
      </c>
      <c r="K51" s="75">
        <f t="shared" si="14"/>
        <v>292</v>
      </c>
      <c r="L51" s="66">
        <f>IFERROR(F51/G51-1,"n/a")</f>
        <v>0.27012987012987022</v>
      </c>
      <c r="M51" s="66">
        <f>IFERROR(F51/H51-1,"n/a")</f>
        <v>0.49085365853658547</v>
      </c>
      <c r="N51" s="66">
        <f>IFERROR(F51/I51-1,"n/a")</f>
        <v>68.857142857142861</v>
      </c>
      <c r="O51" s="66">
        <f>IFERROR(F51/J51-1,"n/a")</f>
        <v>10.642857142857142</v>
      </c>
      <c r="P51" s="62">
        <f>IFERROR(F51/K51-1,"n/a")</f>
        <v>0.67465753424657526</v>
      </c>
      <c r="Q51" s="75">
        <f t="shared" ref="Q51:V52" si="15">Q37+Q40+Q43+Q46+Q49</f>
        <v>489</v>
      </c>
      <c r="R51" s="75">
        <f t="shared" si="15"/>
        <v>385</v>
      </c>
      <c r="S51" s="75">
        <f>S37+S40+S43+S46+S49</f>
        <v>328</v>
      </c>
      <c r="T51" s="75">
        <f t="shared" si="15"/>
        <v>7</v>
      </c>
      <c r="U51" s="75">
        <f t="shared" si="15"/>
        <v>42</v>
      </c>
      <c r="V51" s="75">
        <f t="shared" si="15"/>
        <v>292</v>
      </c>
      <c r="W51" s="66">
        <f t="shared" si="13"/>
        <v>0.27012987012987022</v>
      </c>
      <c r="X51" s="66">
        <f t="shared" si="13"/>
        <v>0.17378048780487809</v>
      </c>
      <c r="Y51" s="66">
        <f>IFERROR(R51/T51-1,"n/a")</f>
        <v>54</v>
      </c>
      <c r="Z51" s="66">
        <f t="shared" ref="Z51:Z52" si="16">IFERROR(R51/U51-1,"n/a")</f>
        <v>8.1666666666666661</v>
      </c>
      <c r="AA51" s="62">
        <f>IFERROR(R51/V51-1,"n/a")</f>
        <v>0.31849315068493156</v>
      </c>
      <c r="AB51" s="66"/>
      <c r="AC51" s="46">
        <f t="shared" ref="AC51:AE52" si="17">AC37+AC40+AC43+AC46+AC49</f>
        <v>3856</v>
      </c>
      <c r="AD51" s="46">
        <f t="shared" si="17"/>
        <v>1673</v>
      </c>
      <c r="AE51" s="46">
        <f t="shared" si="17"/>
        <v>669</v>
      </c>
      <c r="AF51" s="80">
        <f>AF37+AF40+AF43+AF46+AF49</f>
        <v>3241</v>
      </c>
      <c r="AH51" s="123"/>
    </row>
    <row r="52" spans="3:34" s="124" customFormat="1" ht="12.75" thickTop="1" thickBot="1">
      <c r="C52" s="38" t="s">
        <v>13</v>
      </c>
      <c r="D52" s="39"/>
      <c r="E52" s="40"/>
      <c r="F52" s="76">
        <f>F38+F41+F44+F47+F50</f>
        <v>1302119.3999999999</v>
      </c>
      <c r="G52" s="76">
        <f>G38+G41+G44+G47+G50</f>
        <v>978362</v>
      </c>
      <c r="H52" s="76">
        <f t="shared" si="14"/>
        <v>507465</v>
      </c>
      <c r="I52" s="76">
        <f t="shared" si="14"/>
        <v>6002</v>
      </c>
      <c r="J52" s="76">
        <f t="shared" si="14"/>
        <v>0</v>
      </c>
      <c r="K52" s="76">
        <f t="shared" si="14"/>
        <v>791238</v>
      </c>
      <c r="L52" s="67">
        <f>IFERROR(F52/G52-1,"n/a")</f>
        <v>0.3309177993421657</v>
      </c>
      <c r="M52" s="67">
        <f>IFERROR(F52/H52-1,"n/a")</f>
        <v>1.5659294729685791</v>
      </c>
      <c r="N52" s="67">
        <f>IFERROR(F52/I52-1,"n/a")</f>
        <v>215.94758413862044</v>
      </c>
      <c r="O52" s="67" t="str">
        <f>IFERROR(F52/J52-1,"n/a")</f>
        <v>n/a</v>
      </c>
      <c r="P52" s="63">
        <f>IFERROR(F52/K52-1,"n/a")</f>
        <v>0.64567348888703524</v>
      </c>
      <c r="Q52" s="76">
        <f t="shared" si="15"/>
        <v>1302119.3999999999</v>
      </c>
      <c r="R52" s="76">
        <f t="shared" si="15"/>
        <v>978362</v>
      </c>
      <c r="S52" s="76">
        <f t="shared" si="15"/>
        <v>507465</v>
      </c>
      <c r="T52" s="76">
        <f t="shared" si="15"/>
        <v>6002</v>
      </c>
      <c r="U52" s="76">
        <f t="shared" si="15"/>
        <v>0</v>
      </c>
      <c r="V52" s="76">
        <f t="shared" si="15"/>
        <v>791238</v>
      </c>
      <c r="W52" s="67">
        <f t="shared" si="13"/>
        <v>0.3309177993421657</v>
      </c>
      <c r="X52" s="67">
        <f t="shared" si="13"/>
        <v>0.9279398579212359</v>
      </c>
      <c r="Y52" s="118">
        <f>IFERROR(R52/T52-1,"n/a")</f>
        <v>162.00599800066644</v>
      </c>
      <c r="Z52" s="118" t="str">
        <f t="shared" si="16"/>
        <v>n/a</v>
      </c>
      <c r="AA52" s="119">
        <f>IFERROR(R52/V52-1,"n/a")</f>
        <v>0.23649521382946714</v>
      </c>
      <c r="AB52" s="118"/>
      <c r="AC52" s="47">
        <f t="shared" si="17"/>
        <v>9237323</v>
      </c>
      <c r="AD52" s="47">
        <f t="shared" si="17"/>
        <v>2410085</v>
      </c>
      <c r="AE52" s="47">
        <f t="shared" si="17"/>
        <v>1324261</v>
      </c>
      <c r="AF52" s="81">
        <f>AF38+AF41+AF44+AF47+AF50</f>
        <v>8638971</v>
      </c>
      <c r="AH52" s="123"/>
    </row>
    <row r="53" spans="3:34" s="124" customFormat="1" ht="12" thickTop="1">
      <c r="AH53" s="123"/>
    </row>
    <row r="54" spans="3:34" s="124" customFormat="1" ht="11.25">
      <c r="S54" s="132"/>
      <c r="T54" s="132"/>
      <c r="U54" s="132"/>
      <c r="V54" s="132"/>
      <c r="AH54" s="123"/>
    </row>
    <row r="55" spans="3:34" ht="15">
      <c r="S55" s="111"/>
      <c r="T55" s="111"/>
      <c r="U55" s="111"/>
      <c r="V55" s="111"/>
      <c r="AH55" s="9"/>
    </row>
    <row r="56" spans="3:34" ht="15">
      <c r="S56" s="111"/>
      <c r="T56" s="111"/>
      <c r="U56" s="111"/>
      <c r="V56" s="111"/>
      <c r="AH56" s="9"/>
    </row>
    <row r="57" spans="3:34" ht="15">
      <c r="S57" s="111"/>
      <c r="T57" s="111"/>
      <c r="U57" s="111"/>
      <c r="V57" s="111"/>
      <c r="AH57" s="9"/>
    </row>
    <row r="58" spans="3:34" ht="15">
      <c r="AH58" s="9"/>
    </row>
    <row r="59" spans="3:34" ht="15">
      <c r="AH59" s="9"/>
    </row>
    <row r="60" spans="3:34" ht="15">
      <c r="AH60" s="9"/>
    </row>
    <row r="61" spans="3:34" ht="15" customHeight="1"/>
    <row r="62" spans="3:34" ht="15" customHeight="1"/>
    <row r="63" spans="3:34" ht="15" customHeight="1"/>
    <row r="64" spans="3:34" ht="15" customHeight="1"/>
    <row r="65" ht="15" customHeight="1"/>
    <row r="66" ht="15" customHeight="1"/>
  </sheetData>
  <mergeCells count="9">
    <mergeCell ref="AB34:AF34"/>
    <mergeCell ref="F9:P9"/>
    <mergeCell ref="Q9:AA9"/>
    <mergeCell ref="AB9:AF9"/>
    <mergeCell ref="F10:P10"/>
    <mergeCell ref="Q10:AA10"/>
    <mergeCell ref="F33:P33"/>
    <mergeCell ref="Q33:AA33"/>
    <mergeCell ref="AB33:AF33"/>
  </mergeCells>
  <pageMargins left="0.7" right="0.7" top="0.75" bottom="0.75" header="0.3" footer="0.3"/>
  <pageSetup paperSize="9" orientation="portrait" horizontalDpi="0" verticalDpi="0"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66"/>
  <sheetViews>
    <sheetView showGridLines="0" topLeftCell="A26" zoomScale="75" zoomScaleNormal="75" workbookViewId="0">
      <selection activeCell="Q25" sqref="Q25:Q26"/>
    </sheetView>
  </sheetViews>
  <sheetFormatPr defaultColWidth="0" defaultRowHeight="0" customHeight="1" zeroHeight="1"/>
  <cols>
    <col min="1" max="2" width="4.140625" customWidth="1"/>
    <col min="3" max="3" width="3.85546875" customWidth="1"/>
    <col min="4" max="4" width="8.85546875" customWidth="1"/>
    <col min="5" max="6" width="13" customWidth="1"/>
    <col min="7" max="7" width="11.140625" bestFit="1" customWidth="1"/>
    <col min="8" max="8" width="10.140625" bestFit="1" customWidth="1"/>
    <col min="9" max="10" width="8.85546875" customWidth="1"/>
    <col min="11" max="11" width="10.140625" bestFit="1" customWidth="1"/>
    <col min="12" max="12" width="8" customWidth="1"/>
    <col min="13" max="13" width="8.85546875" bestFit="1" customWidth="1"/>
    <col min="14" max="16" width="8" customWidth="1"/>
    <col min="17" max="17" width="10.140625" bestFit="1" customWidth="1"/>
    <col min="18" max="18" width="12" bestFit="1" customWidth="1"/>
    <col min="19" max="19" width="11.5703125" bestFit="1" customWidth="1"/>
    <col min="20" max="20" width="10.42578125" bestFit="1" customWidth="1"/>
    <col min="21" max="21" width="11.5703125" bestFit="1" customWidth="1"/>
    <col min="22" max="22" width="11.85546875" bestFit="1" customWidth="1"/>
    <col min="23" max="23" width="9.140625" bestFit="1" customWidth="1"/>
    <col min="24" max="24" width="8.85546875" bestFit="1" customWidth="1"/>
    <col min="25" max="25" width="8.85546875" customWidth="1"/>
    <col min="26" max="26" width="9" bestFit="1" customWidth="1"/>
    <col min="27" max="27" width="7.85546875" customWidth="1"/>
    <col min="28" max="28" width="10.140625" bestFit="1" customWidth="1"/>
    <col min="29" max="29" width="13.42578125" bestFit="1" customWidth="1"/>
    <col min="30" max="30" width="13.140625" bestFit="1" customWidth="1"/>
    <col min="31" max="31" width="12.85546875" bestFit="1" customWidth="1"/>
    <col min="32" max="32" width="15.42578125" bestFit="1" customWidth="1"/>
    <col min="33" max="33" width="11.140625" customWidth="1"/>
    <col min="34" max="34" width="3.42578125" customWidth="1"/>
    <col min="35" max="16384" width="8.85546875" hidden="1"/>
  </cols>
  <sheetData>
    <row r="1" spans="1:34" ht="15">
      <c r="A1" s="9"/>
      <c r="B1" s="9"/>
      <c r="C1" s="9"/>
      <c r="D1" s="9"/>
      <c r="E1" s="9"/>
      <c r="F1" s="9"/>
      <c r="G1" s="9"/>
      <c r="H1" s="9"/>
      <c r="I1" s="9"/>
      <c r="J1" s="9"/>
      <c r="K1" s="9"/>
      <c r="L1" s="9"/>
      <c r="M1" s="9"/>
      <c r="N1" s="9"/>
      <c r="O1" s="9"/>
      <c r="P1" s="9"/>
      <c r="Q1" s="9"/>
      <c r="R1" s="9"/>
      <c r="S1" s="9"/>
      <c r="T1" s="9"/>
      <c r="U1" s="9"/>
      <c r="V1" s="9"/>
      <c r="W1" s="9"/>
      <c r="X1" s="9"/>
      <c r="Y1" s="9"/>
      <c r="Z1" s="9"/>
      <c r="AA1" s="9"/>
      <c r="AB1" s="9"/>
      <c r="AC1" s="9"/>
      <c r="AD1" s="9"/>
      <c r="AE1" s="9"/>
      <c r="AF1" s="9"/>
      <c r="AG1" s="9"/>
      <c r="AH1" s="9"/>
    </row>
    <row r="2" spans="1:34" ht="31.35" customHeight="1" thickBot="1">
      <c r="A2" s="9"/>
      <c r="B2" s="8" t="s">
        <v>6</v>
      </c>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4"/>
      <c r="AH2" s="9"/>
    </row>
    <row r="3" spans="1:34" ht="15">
      <c r="A3" s="9"/>
      <c r="B3" s="10"/>
      <c r="C3" s="24"/>
      <c r="D3" s="24"/>
      <c r="E3" s="24"/>
      <c r="F3" s="24"/>
      <c r="G3" s="24"/>
      <c r="H3" s="24"/>
      <c r="I3" s="24"/>
      <c r="J3" s="24"/>
      <c r="K3" s="24"/>
      <c r="L3" s="24"/>
      <c r="M3" s="24"/>
      <c r="N3" s="24"/>
      <c r="O3" s="24"/>
      <c r="P3" s="24"/>
      <c r="Q3" s="24"/>
      <c r="R3" s="24"/>
      <c r="S3" s="24"/>
      <c r="T3" s="24"/>
      <c r="U3" s="24"/>
      <c r="V3" s="24"/>
      <c r="W3" s="24"/>
      <c r="X3" s="24"/>
      <c r="Y3" s="24"/>
      <c r="Z3" s="24"/>
      <c r="AA3" s="24"/>
      <c r="AB3" s="24"/>
      <c r="AC3" s="24"/>
      <c r="AD3" s="24"/>
      <c r="AE3" s="24"/>
      <c r="AF3" s="25">
        <v>45337</v>
      </c>
      <c r="AG3" s="25"/>
      <c r="AH3" s="9"/>
    </row>
    <row r="4" spans="1:34" ht="15.75">
      <c r="A4" s="9"/>
      <c r="B4" s="11" t="s">
        <v>7</v>
      </c>
      <c r="C4" s="26"/>
      <c r="D4" s="93" t="s">
        <v>41</v>
      </c>
      <c r="E4" s="134" t="s">
        <v>127</v>
      </c>
      <c r="F4" s="134"/>
      <c r="G4" s="24"/>
      <c r="H4" s="24"/>
      <c r="I4" s="24"/>
      <c r="J4" s="24"/>
      <c r="K4" s="24"/>
      <c r="L4" s="24"/>
      <c r="M4" s="24"/>
      <c r="N4" s="24"/>
      <c r="O4" s="24"/>
      <c r="P4" s="24"/>
      <c r="Q4" s="24"/>
      <c r="R4" s="24"/>
      <c r="S4" s="24"/>
      <c r="T4" s="24"/>
      <c r="U4" s="24"/>
      <c r="V4" s="24"/>
      <c r="W4" s="24"/>
      <c r="X4" s="24"/>
      <c r="Y4" s="24"/>
      <c r="Z4" s="24"/>
      <c r="AA4" s="24"/>
      <c r="AB4" s="24"/>
      <c r="AC4" s="24"/>
      <c r="AD4" s="24"/>
      <c r="AE4" s="24"/>
      <c r="AF4" s="24"/>
      <c r="AG4" s="24"/>
      <c r="AH4" s="9"/>
    </row>
    <row r="5" spans="1:34" ht="15">
      <c r="A5" s="9"/>
      <c r="B5" s="10"/>
      <c r="C5" s="24"/>
      <c r="D5" s="24"/>
      <c r="E5" s="24"/>
      <c r="F5" s="24"/>
      <c r="G5" s="24"/>
      <c r="H5" s="24"/>
      <c r="I5" s="24"/>
      <c r="J5" s="24"/>
      <c r="K5" s="24"/>
      <c r="L5" s="24"/>
      <c r="M5" s="24"/>
      <c r="N5" s="24"/>
      <c r="O5" s="24"/>
      <c r="P5" s="24"/>
      <c r="Q5" s="24"/>
      <c r="R5" s="24"/>
      <c r="S5" s="24"/>
      <c r="T5" s="24"/>
      <c r="U5" s="24"/>
      <c r="V5" s="24"/>
      <c r="W5" s="24"/>
      <c r="X5" s="24"/>
      <c r="Y5" s="24"/>
      <c r="Z5" s="24"/>
      <c r="AA5" s="24"/>
      <c r="AB5" s="24"/>
      <c r="AC5" s="24"/>
      <c r="AD5" s="24"/>
      <c r="AE5" s="24"/>
      <c r="AF5" s="24"/>
      <c r="AG5" s="24"/>
      <c r="AH5" s="9"/>
    </row>
    <row r="6" spans="1:34" ht="15">
      <c r="A6" s="9"/>
      <c r="B6" s="10"/>
      <c r="C6" s="24"/>
      <c r="D6" s="24"/>
      <c r="E6" s="24"/>
      <c r="F6" s="24"/>
      <c r="G6" s="24"/>
      <c r="H6" s="24"/>
      <c r="I6" s="24"/>
      <c r="J6" s="24"/>
      <c r="K6" s="24"/>
      <c r="L6" s="24"/>
      <c r="M6" s="24"/>
      <c r="N6" s="24"/>
      <c r="O6" s="24"/>
      <c r="P6" s="24"/>
      <c r="Q6" s="24"/>
      <c r="R6" s="24"/>
      <c r="S6" s="24"/>
      <c r="T6" s="24"/>
      <c r="U6" s="24"/>
      <c r="V6" s="24"/>
      <c r="W6" s="24"/>
      <c r="X6" s="24"/>
      <c r="Y6" s="24"/>
      <c r="Z6" s="24"/>
      <c r="AA6" s="24"/>
      <c r="AB6" s="24"/>
      <c r="AC6" s="24"/>
      <c r="AD6" s="24"/>
      <c r="AE6" s="24"/>
      <c r="AF6" s="24"/>
      <c r="AG6" s="24"/>
      <c r="AH6" s="9"/>
    </row>
    <row r="7" spans="1:34" ht="15">
      <c r="A7" s="9"/>
      <c r="B7" s="10"/>
      <c r="C7" s="86" t="s">
        <v>62</v>
      </c>
      <c r="D7" s="24"/>
      <c r="E7" s="24"/>
      <c r="F7" s="24"/>
      <c r="G7" s="24"/>
      <c r="H7" s="24"/>
      <c r="I7" s="24"/>
      <c r="J7" s="24"/>
      <c r="K7" s="24"/>
      <c r="L7" s="24"/>
      <c r="M7" s="24"/>
      <c r="N7" s="24"/>
      <c r="O7" s="24"/>
      <c r="P7" s="24"/>
      <c r="Q7" s="24"/>
      <c r="R7" s="24"/>
      <c r="S7" s="24"/>
      <c r="T7" s="24"/>
      <c r="U7" s="24"/>
      <c r="V7" s="24"/>
      <c r="W7" s="24"/>
      <c r="X7" s="24"/>
      <c r="Y7" s="24"/>
      <c r="Z7" s="24"/>
      <c r="AA7" s="24"/>
      <c r="AB7" s="24"/>
      <c r="AC7" s="24"/>
      <c r="AD7" s="24"/>
      <c r="AE7" s="24"/>
      <c r="AF7" s="24"/>
      <c r="AG7" s="24"/>
      <c r="AH7" s="9"/>
    </row>
    <row r="8" spans="1:34" ht="15">
      <c r="A8" s="9"/>
      <c r="B8" s="10"/>
      <c r="C8" s="24"/>
      <c r="D8" s="24"/>
      <c r="E8" s="24"/>
      <c r="F8" s="24"/>
      <c r="G8" s="24"/>
      <c r="H8" s="24"/>
      <c r="I8" s="24"/>
      <c r="J8" s="24"/>
      <c r="K8" s="24"/>
      <c r="L8" s="24"/>
      <c r="M8" s="24"/>
      <c r="N8" s="24"/>
      <c r="O8" s="24"/>
      <c r="P8" s="24"/>
      <c r="Q8" s="24"/>
      <c r="R8" s="24"/>
      <c r="S8" s="24"/>
      <c r="T8" s="24"/>
      <c r="U8" s="24"/>
      <c r="V8" s="24"/>
      <c r="W8" s="24"/>
      <c r="X8" s="24"/>
      <c r="Y8" s="24"/>
      <c r="Z8" s="24"/>
      <c r="AA8" s="24"/>
      <c r="AB8" s="24"/>
      <c r="AC8" s="24"/>
      <c r="AD8" s="24"/>
      <c r="AE8" s="24"/>
      <c r="AF8" s="24"/>
      <c r="AG8" s="24"/>
      <c r="AH8" s="9"/>
    </row>
    <row r="9" spans="1:34" s="124" customFormat="1" ht="15" customHeight="1">
      <c r="A9" s="123"/>
      <c r="C9" s="27" t="s">
        <v>7</v>
      </c>
      <c r="D9" s="28"/>
      <c r="E9" s="28"/>
      <c r="F9" s="155" t="str">
        <f>D4</f>
        <v>March</v>
      </c>
      <c r="G9" s="155"/>
      <c r="H9" s="155"/>
      <c r="I9" s="155"/>
      <c r="J9" s="155"/>
      <c r="K9" s="155"/>
      <c r="L9" s="155"/>
      <c r="M9" s="155"/>
      <c r="N9" s="155"/>
      <c r="O9" s="155"/>
      <c r="P9" s="156"/>
      <c r="Q9" s="157" t="str">
        <f>"January to "&amp; D4</f>
        <v>January to March</v>
      </c>
      <c r="R9" s="158"/>
      <c r="S9" s="158"/>
      <c r="T9" s="158"/>
      <c r="U9" s="158"/>
      <c r="V9" s="158"/>
      <c r="W9" s="158"/>
      <c r="X9" s="158"/>
      <c r="Y9" s="158"/>
      <c r="Z9" s="158"/>
      <c r="AA9" s="159"/>
      <c r="AB9" s="157" t="s">
        <v>57</v>
      </c>
      <c r="AC9" s="158"/>
      <c r="AD9" s="158"/>
      <c r="AE9" s="158"/>
      <c r="AF9" s="160"/>
      <c r="AG9" s="123"/>
      <c r="AH9" s="123"/>
    </row>
    <row r="10" spans="1:34" s="124" customFormat="1" ht="13.5">
      <c r="A10" s="123"/>
      <c r="B10" s="125"/>
      <c r="C10" s="29"/>
      <c r="D10" s="30"/>
      <c r="E10" s="30"/>
      <c r="F10" s="152"/>
      <c r="G10" s="153"/>
      <c r="H10" s="153"/>
      <c r="I10" s="153"/>
      <c r="J10" s="153"/>
      <c r="K10" s="153"/>
      <c r="L10" s="153"/>
      <c r="M10" s="153"/>
      <c r="N10" s="153"/>
      <c r="O10" s="153"/>
      <c r="P10" s="154"/>
      <c r="Q10" s="152"/>
      <c r="R10" s="153"/>
      <c r="S10" s="153"/>
      <c r="T10" s="153"/>
      <c r="U10" s="153"/>
      <c r="V10" s="153"/>
      <c r="W10" s="153"/>
      <c r="X10" s="153"/>
      <c r="Y10" s="153"/>
      <c r="Z10" s="153"/>
      <c r="AA10" s="154"/>
      <c r="AB10" s="30"/>
      <c r="AC10" s="30"/>
      <c r="AD10" s="30"/>
      <c r="AE10" s="30"/>
      <c r="AF10" s="56"/>
      <c r="AG10" s="123"/>
      <c r="AH10" s="123"/>
    </row>
    <row r="11" spans="1:34" s="124" customFormat="1" ht="26.1" customHeight="1">
      <c r="A11" s="126"/>
      <c r="B11" s="127"/>
      <c r="C11" s="59" t="s">
        <v>29</v>
      </c>
      <c r="D11" s="50"/>
      <c r="E11" s="51"/>
      <c r="F11" s="55">
        <v>2024</v>
      </c>
      <c r="G11" s="52">
        <v>2023</v>
      </c>
      <c r="H11" s="52">
        <v>2022</v>
      </c>
      <c r="I11" s="52">
        <v>2021</v>
      </c>
      <c r="J11" s="52">
        <v>2020</v>
      </c>
      <c r="K11" s="52">
        <v>2019</v>
      </c>
      <c r="L11" s="53" t="s">
        <v>116</v>
      </c>
      <c r="M11" s="53" t="s">
        <v>117</v>
      </c>
      <c r="N11" s="53" t="s">
        <v>118</v>
      </c>
      <c r="O11" s="53" t="s">
        <v>119</v>
      </c>
      <c r="P11" s="57" t="s">
        <v>101</v>
      </c>
      <c r="Q11" s="53">
        <v>2024</v>
      </c>
      <c r="R11" s="53">
        <v>2023</v>
      </c>
      <c r="S11" s="53">
        <v>2022</v>
      </c>
      <c r="T11" s="52">
        <v>2021</v>
      </c>
      <c r="U11" s="52">
        <v>2020</v>
      </c>
      <c r="V11" s="52">
        <v>2019</v>
      </c>
      <c r="W11" s="53" t="s">
        <v>116</v>
      </c>
      <c r="X11" s="53" t="s">
        <v>117</v>
      </c>
      <c r="Y11" s="53" t="s">
        <v>118</v>
      </c>
      <c r="Z11" s="53" t="s">
        <v>119</v>
      </c>
      <c r="AA11" s="57" t="s">
        <v>101</v>
      </c>
      <c r="AB11" s="53">
        <v>2023</v>
      </c>
      <c r="AC11" s="53">
        <v>2022</v>
      </c>
      <c r="AD11" s="53">
        <v>2021</v>
      </c>
      <c r="AE11" s="52">
        <v>2020</v>
      </c>
      <c r="AF11" s="77">
        <v>2019</v>
      </c>
      <c r="AG11" s="126"/>
      <c r="AH11" s="126"/>
    </row>
    <row r="12" spans="1:34" s="124" customFormat="1" ht="12.75">
      <c r="A12" s="123"/>
      <c r="B12" s="128"/>
      <c r="C12" s="31" t="s">
        <v>108</v>
      </c>
      <c r="D12" s="26"/>
      <c r="E12" s="32"/>
      <c r="F12" s="26"/>
      <c r="G12" s="26"/>
      <c r="H12" s="26"/>
      <c r="I12" s="26"/>
      <c r="J12" s="26"/>
      <c r="K12" s="26"/>
      <c r="L12" s="26"/>
      <c r="M12" s="26"/>
      <c r="N12" s="26"/>
      <c r="O12" s="26"/>
      <c r="P12" s="32"/>
      <c r="Q12" s="26"/>
      <c r="R12" s="26"/>
      <c r="S12" s="26"/>
      <c r="T12" s="26"/>
      <c r="U12" s="26"/>
      <c r="V12" s="26"/>
      <c r="W12" s="26"/>
      <c r="X12" s="26"/>
      <c r="Y12" s="26"/>
      <c r="Z12" s="26"/>
      <c r="AA12" s="32"/>
      <c r="AB12" s="26"/>
      <c r="AC12" s="26"/>
      <c r="AD12" s="26"/>
      <c r="AE12" s="26"/>
      <c r="AF12" s="32"/>
      <c r="AG12" s="123"/>
      <c r="AH12" s="123"/>
    </row>
    <row r="13" spans="1:34" s="124" customFormat="1" ht="12.75">
      <c r="A13" s="123"/>
      <c r="B13" s="128"/>
      <c r="C13" s="33"/>
      <c r="D13" s="26" t="s">
        <v>5</v>
      </c>
      <c r="E13" s="32"/>
      <c r="F13" s="71">
        <v>281</v>
      </c>
      <c r="G13" s="71">
        <v>181</v>
      </c>
      <c r="H13" s="71">
        <v>204</v>
      </c>
      <c r="I13" s="71">
        <v>0</v>
      </c>
      <c r="J13" s="71">
        <v>147</v>
      </c>
      <c r="K13" s="71">
        <v>170</v>
      </c>
      <c r="L13" s="64">
        <f>IFERROR(F13/G13-1,"n/a")</f>
        <v>0.55248618784530379</v>
      </c>
      <c r="M13" s="64">
        <f>IFERROR(F13/H13-1,"n/a")</f>
        <v>0.37745098039215685</v>
      </c>
      <c r="N13" s="64" t="str">
        <f>IFERROR(F13/I13-1,"n/a")</f>
        <v>n/a</v>
      </c>
      <c r="O13" s="64">
        <f>IFERROR(F13/J13-1,"n/a")</f>
        <v>0.91156462585034004</v>
      </c>
      <c r="P13" s="60">
        <f>IFERROR(F13/K13-1,"n/a")</f>
        <v>0.65294117647058814</v>
      </c>
      <c r="Q13" s="68">
        <f>+F13+'Feb-24'!Q13</f>
        <v>702</v>
      </c>
      <c r="R13" s="68">
        <v>530</v>
      </c>
      <c r="S13" s="68">
        <v>530</v>
      </c>
      <c r="T13" s="68">
        <v>0</v>
      </c>
      <c r="U13" s="68">
        <v>509</v>
      </c>
      <c r="V13" s="68">
        <v>516</v>
      </c>
      <c r="W13" s="64">
        <f>IFERROR(Q13/R13-1,"n/a")</f>
        <v>0.32452830188679238</v>
      </c>
      <c r="X13" s="64">
        <f>IFERROR(Q13/S13-1,"n/a")</f>
        <v>0.32452830188679238</v>
      </c>
      <c r="Y13" s="64" t="str">
        <f>IFERROR(Q13/T13-1,"n/a")</f>
        <v>n/a</v>
      </c>
      <c r="Z13" s="64">
        <f>IFERROR(Q13/U13-1,"n/a")</f>
        <v>0.37917485265225936</v>
      </c>
      <c r="AA13" s="60">
        <f>IFERROR(Q13/V13-1,"n/a")</f>
        <v>0.36046511627906974</v>
      </c>
      <c r="AB13" s="68">
        <v>1630</v>
      </c>
      <c r="AC13" s="68">
        <v>1486</v>
      </c>
      <c r="AD13" s="68">
        <v>522</v>
      </c>
      <c r="AE13" s="68">
        <v>551</v>
      </c>
      <c r="AF13" s="135">
        <v>1591</v>
      </c>
      <c r="AG13" s="123"/>
      <c r="AH13" s="123"/>
    </row>
    <row r="14" spans="1:34" s="124" customFormat="1" ht="12.75">
      <c r="A14" s="123"/>
      <c r="B14" s="128"/>
      <c r="C14" s="33"/>
      <c r="D14" s="26" t="s">
        <v>11</v>
      </c>
      <c r="E14" s="32"/>
      <c r="F14" s="71">
        <v>857821</v>
      </c>
      <c r="G14" s="71">
        <v>565574</v>
      </c>
      <c r="H14" s="71">
        <v>344501</v>
      </c>
      <c r="I14" s="71">
        <v>0</v>
      </c>
      <c r="J14" s="71">
        <v>196286</v>
      </c>
      <c r="K14" s="71">
        <v>500596</v>
      </c>
      <c r="L14" s="64">
        <f>IFERROR(F14/G14-1,"n/a")</f>
        <v>0.51672637002408184</v>
      </c>
      <c r="M14" s="64">
        <f>IFERROR(F14/H14-1,"n/a")</f>
        <v>1.4900392161416076</v>
      </c>
      <c r="N14" s="64" t="str">
        <f>IFERROR(F14/I14-1,"n/a")</f>
        <v>n/a</v>
      </c>
      <c r="O14" s="64">
        <f>IFERROR(F14/J14-1,"n/a")</f>
        <v>3.3702607419785418</v>
      </c>
      <c r="P14" s="60">
        <f>IFERROR(F14/K14-1,"n/a")</f>
        <v>0.71359938952768309</v>
      </c>
      <c r="Q14" s="68">
        <f>+F14+'Feb-24'!Q14</f>
        <v>2153824</v>
      </c>
      <c r="R14" s="68">
        <v>1538184</v>
      </c>
      <c r="S14" s="68">
        <v>759658</v>
      </c>
      <c r="T14" s="68">
        <v>0</v>
      </c>
      <c r="U14" s="68">
        <v>1092884</v>
      </c>
      <c r="V14" s="68">
        <v>1451104</v>
      </c>
      <c r="W14" s="64">
        <f>IFERROR(Q14/R14-1,"n/a")</f>
        <v>0.40023820297181611</v>
      </c>
      <c r="X14" s="64">
        <f>IFERROR(Q14/S14-1,"n/a")</f>
        <v>1.8352548120338361</v>
      </c>
      <c r="Y14" s="64" t="str">
        <f>IFERROR(Q14/T14-1,"n/a")</f>
        <v>n/a</v>
      </c>
      <c r="Z14" s="64">
        <f>IFERROR(Q14/U14-1,"n/a")</f>
        <v>0.97077091438798635</v>
      </c>
      <c r="AA14" s="60">
        <f>IFERROR(Q14/V14-1,"n/a")</f>
        <v>0.48426577281848848</v>
      </c>
      <c r="AB14" s="68">
        <v>5232537</v>
      </c>
      <c r="AC14" s="68">
        <v>3592413</v>
      </c>
      <c r="AD14" s="68">
        <v>768312</v>
      </c>
      <c r="AE14" s="68">
        <v>1092884</v>
      </c>
      <c r="AF14" s="135">
        <v>4592479</v>
      </c>
      <c r="AG14" s="123"/>
      <c r="AH14" s="123"/>
    </row>
    <row r="15" spans="1:34" s="124" customFormat="1" ht="12.75">
      <c r="A15" s="123"/>
      <c r="B15" s="128"/>
      <c r="C15" s="31" t="s">
        <v>109</v>
      </c>
      <c r="D15" s="26"/>
      <c r="E15" s="32"/>
      <c r="F15" s="97"/>
      <c r="G15" s="97"/>
      <c r="H15" s="26"/>
      <c r="I15" s="26"/>
      <c r="J15" s="26"/>
      <c r="K15" s="26"/>
      <c r="L15" s="64"/>
      <c r="M15" s="64"/>
      <c r="N15" s="64"/>
      <c r="O15" s="64"/>
      <c r="P15" s="61"/>
      <c r="Q15" s="87"/>
      <c r="R15" s="87"/>
      <c r="S15" s="87"/>
      <c r="T15" s="87"/>
      <c r="U15" s="87"/>
      <c r="V15" s="87"/>
      <c r="W15" s="64"/>
      <c r="X15" s="64"/>
      <c r="Y15" s="64"/>
      <c r="Z15" s="64"/>
      <c r="AA15" s="61"/>
      <c r="AB15" s="43"/>
      <c r="AC15" s="43"/>
      <c r="AD15" s="43"/>
      <c r="AE15" s="43"/>
      <c r="AF15" s="136"/>
      <c r="AG15" s="123"/>
      <c r="AH15" s="123"/>
    </row>
    <row r="16" spans="1:34" s="124" customFormat="1" ht="12.75">
      <c r="A16" s="123"/>
      <c r="B16" s="128"/>
      <c r="C16" s="33"/>
      <c r="D16" s="26" t="s">
        <v>5</v>
      </c>
      <c r="E16" s="32"/>
      <c r="F16" s="71">
        <v>17</v>
      </c>
      <c r="G16" s="71">
        <v>16</v>
      </c>
      <c r="H16" s="71">
        <v>26</v>
      </c>
      <c r="I16" s="71">
        <v>5</v>
      </c>
      <c r="J16" s="71">
        <v>1</v>
      </c>
      <c r="K16" s="71">
        <v>10</v>
      </c>
      <c r="L16" s="64">
        <f>IFERROR(F16/G16-1,"n/a")</f>
        <v>6.25E-2</v>
      </c>
      <c r="M16" s="64">
        <f>IFERROR(F16/H16-1,"n/a")</f>
        <v>-0.34615384615384615</v>
      </c>
      <c r="N16" s="64">
        <f>IFERROR(F16/I16-1,"n/a")</f>
        <v>2.4</v>
      </c>
      <c r="O16" s="64">
        <f>IFERROR(F16/J16-1,"n/a")</f>
        <v>16</v>
      </c>
      <c r="P16" s="60">
        <f>IFERROR(F16/K16-1,"n/a")</f>
        <v>0.7</v>
      </c>
      <c r="Q16" s="68">
        <f>+F16+'Feb-24'!Q16</f>
        <v>37</v>
      </c>
      <c r="R16" s="68">
        <v>27</v>
      </c>
      <c r="S16" s="68">
        <v>36</v>
      </c>
      <c r="T16" s="68">
        <v>12</v>
      </c>
      <c r="U16" s="68">
        <v>10</v>
      </c>
      <c r="V16" s="68">
        <v>23</v>
      </c>
      <c r="W16" s="64">
        <f>IFERROR(Q16/R16-1,"n/a")</f>
        <v>0.37037037037037046</v>
      </c>
      <c r="X16" s="64">
        <f>IFERROR(Q16/S16-1,"n/a")</f>
        <v>2.7777777777777679E-2</v>
      </c>
      <c r="Y16" s="64">
        <f>IFERROR(Q16/T16-1,"n/a")</f>
        <v>2.0833333333333335</v>
      </c>
      <c r="Z16" s="64">
        <f>IFERROR(Q16/U16-1,"n/a")</f>
        <v>2.7</v>
      </c>
      <c r="AA16" s="60">
        <f>IFERROR(Q16/V16-1,"n/a")</f>
        <v>0.60869565217391308</v>
      </c>
      <c r="AB16" s="68">
        <v>575</v>
      </c>
      <c r="AC16" s="68">
        <v>572</v>
      </c>
      <c r="AD16" s="68">
        <v>202</v>
      </c>
      <c r="AE16" s="68">
        <v>54</v>
      </c>
      <c r="AF16" s="135">
        <v>586</v>
      </c>
      <c r="AG16" s="123"/>
      <c r="AH16" s="123"/>
    </row>
    <row r="17" spans="1:34" s="124" customFormat="1" ht="12.75">
      <c r="A17" s="123"/>
      <c r="B17" s="128"/>
      <c r="C17" s="33"/>
      <c r="D17" s="26" t="s">
        <v>11</v>
      </c>
      <c r="E17" s="32"/>
      <c r="F17" s="71">
        <v>54338</v>
      </c>
      <c r="G17" s="71">
        <v>43135</v>
      </c>
      <c r="H17" s="71">
        <v>28377</v>
      </c>
      <c r="I17" s="71">
        <v>4146</v>
      </c>
      <c r="J17" s="71">
        <v>565</v>
      </c>
      <c r="K17" s="71">
        <v>32801</v>
      </c>
      <c r="L17" s="64">
        <f>IFERROR(F17/G17-1,"n/a")</f>
        <v>0.2597194853367335</v>
      </c>
      <c r="M17" s="64">
        <f>IFERROR(F17/H17-1,"n/a")</f>
        <v>0.91486062656376643</v>
      </c>
      <c r="N17" s="64">
        <f>IFERROR(F17/I17-1,"n/a")</f>
        <v>12.10612638687892</v>
      </c>
      <c r="O17" s="64">
        <f>IFERROR(F17/J17-1,"n/a")</f>
        <v>95.173451327433625</v>
      </c>
      <c r="P17" s="60">
        <f>IFERROR(F17/K17-1,"n/a")</f>
        <v>0.6565958354928203</v>
      </c>
      <c r="Q17" s="68">
        <f>+F17+'Feb-24'!Q17</f>
        <v>130574</v>
      </c>
      <c r="R17" s="68">
        <v>83055</v>
      </c>
      <c r="S17" s="68">
        <v>36508</v>
      </c>
      <c r="T17" s="68">
        <v>10103</v>
      </c>
      <c r="U17" s="68">
        <v>41113</v>
      </c>
      <c r="V17" s="68">
        <v>80374</v>
      </c>
      <c r="W17" s="64">
        <f>IFERROR(Q17/R17-1,"n/a")</f>
        <v>0.57213894407320454</v>
      </c>
      <c r="X17" s="64">
        <f>IFERROR(Q17/S17-1,"n/a")</f>
        <v>2.5765859537635585</v>
      </c>
      <c r="Y17" s="64">
        <f>IFERROR(Q17/T17-1,"n/a")</f>
        <v>11.92427991685638</v>
      </c>
      <c r="Z17" s="64">
        <f>IFERROR(Q17/U17-1,"n/a")</f>
        <v>2.175978400992387</v>
      </c>
      <c r="AA17" s="60">
        <f>IFERROR(Q17/V17-1,"n/a")</f>
        <v>0.62458008808818777</v>
      </c>
      <c r="AB17" s="68">
        <v>1660685</v>
      </c>
      <c r="AC17" s="68">
        <v>965963</v>
      </c>
      <c r="AD17" s="68">
        <v>301521</v>
      </c>
      <c r="AE17" s="68">
        <v>70675</v>
      </c>
      <c r="AF17" s="135">
        <v>1400932</v>
      </c>
      <c r="AG17" s="123"/>
      <c r="AH17" s="123"/>
    </row>
    <row r="18" spans="1:34" s="124" customFormat="1" ht="12.75">
      <c r="A18" s="123"/>
      <c r="B18" s="128"/>
      <c r="C18" s="31" t="s">
        <v>110</v>
      </c>
      <c r="D18" s="26"/>
      <c r="E18" s="32"/>
      <c r="F18" s="72"/>
      <c r="G18" s="72"/>
      <c r="H18" s="72"/>
      <c r="I18" s="72"/>
      <c r="J18" s="72"/>
      <c r="K18" s="72"/>
      <c r="L18" s="64"/>
      <c r="M18" s="64"/>
      <c r="N18" s="64"/>
      <c r="O18" s="64"/>
      <c r="P18" s="60"/>
      <c r="Q18" s="87"/>
      <c r="R18" s="87"/>
      <c r="S18" s="87"/>
      <c r="T18" s="87"/>
      <c r="U18" s="87"/>
      <c r="V18" s="87"/>
      <c r="W18" s="64"/>
      <c r="X18" s="64"/>
      <c r="Y18" s="64"/>
      <c r="Z18" s="64"/>
      <c r="AA18" s="60"/>
      <c r="AB18" s="43"/>
      <c r="AC18" s="43"/>
      <c r="AD18" s="43"/>
      <c r="AE18" s="43"/>
      <c r="AF18" s="136"/>
      <c r="AG18" s="123"/>
      <c r="AH18" s="123"/>
    </row>
    <row r="19" spans="1:34" s="124" customFormat="1" ht="12.75">
      <c r="A19" s="123"/>
      <c r="B19" s="128"/>
      <c r="C19" s="33"/>
      <c r="D19" s="26" t="s">
        <v>5</v>
      </c>
      <c r="E19" s="32"/>
      <c r="F19" s="71">
        <v>21</v>
      </c>
      <c r="G19" s="71">
        <v>17</v>
      </c>
      <c r="H19" s="71">
        <v>6</v>
      </c>
      <c r="I19" s="71">
        <v>0</v>
      </c>
      <c r="J19" s="71">
        <v>2</v>
      </c>
      <c r="K19" s="71">
        <v>5</v>
      </c>
      <c r="L19" s="64">
        <f>IFERROR(F19/G19-1,"n/a")</f>
        <v>0.23529411764705888</v>
      </c>
      <c r="M19" s="64">
        <f>IFERROR(F19/H19-1,"n/a")</f>
        <v>2.5</v>
      </c>
      <c r="N19" s="64" t="str">
        <f>IFERROR(F19/I19-1,"n/a")</f>
        <v>n/a</v>
      </c>
      <c r="O19" s="64">
        <f>IFERROR(F19/J19-1,"n/a")</f>
        <v>9.5</v>
      </c>
      <c r="P19" s="60">
        <f>IFERROR(F19/K19-1,"n/a")</f>
        <v>3.2</v>
      </c>
      <c r="Q19" s="68">
        <f>+F19+'Feb-24'!Q19</f>
        <v>27</v>
      </c>
      <c r="R19" s="68">
        <v>23</v>
      </c>
      <c r="S19" s="68">
        <v>12</v>
      </c>
      <c r="T19" s="68">
        <v>0</v>
      </c>
      <c r="U19" s="68">
        <v>3</v>
      </c>
      <c r="V19" s="68">
        <v>6</v>
      </c>
      <c r="W19" s="64">
        <f>IFERROR(Q19/R19-1,"n/a")</f>
        <v>0.17391304347826098</v>
      </c>
      <c r="X19" s="64">
        <f>IFERROR(Q19/S19-1,"n/a")</f>
        <v>1.25</v>
      </c>
      <c r="Y19" s="64" t="str">
        <f>IFERROR(Q19/T19-1,"n/a")</f>
        <v>n/a</v>
      </c>
      <c r="Z19" s="64">
        <f>IFERROR(Q19/U19-1,"n/a")</f>
        <v>8</v>
      </c>
      <c r="AA19" s="60">
        <f>IFERROR(Q19/V19-1,"n/a")</f>
        <v>3.5</v>
      </c>
      <c r="AB19" s="68">
        <v>708</v>
      </c>
      <c r="AC19" s="68">
        <v>658</v>
      </c>
      <c r="AD19" s="68">
        <v>47</v>
      </c>
      <c r="AE19" s="68">
        <v>9</v>
      </c>
      <c r="AF19" s="135">
        <v>290</v>
      </c>
      <c r="AG19" s="123"/>
      <c r="AH19" s="123"/>
    </row>
    <row r="20" spans="1:34" s="124" customFormat="1" ht="12.75">
      <c r="A20" s="123"/>
      <c r="B20" s="128"/>
      <c r="C20" s="33"/>
      <c r="D20" s="26" t="s">
        <v>11</v>
      </c>
      <c r="E20" s="32"/>
      <c r="F20" s="71">
        <v>31321</v>
      </c>
      <c r="G20" s="71">
        <v>14734</v>
      </c>
      <c r="H20" s="71">
        <v>1346</v>
      </c>
      <c r="I20" s="71">
        <v>0</v>
      </c>
      <c r="J20" s="71">
        <v>887</v>
      </c>
      <c r="K20" s="71">
        <v>4876</v>
      </c>
      <c r="L20" s="64">
        <f>IFERROR(F20/G20-1,"n/a")</f>
        <v>1.1257635401113073</v>
      </c>
      <c r="M20" s="64">
        <f>IFERROR(F20/H20-1,"n/a")</f>
        <v>22.269687964338782</v>
      </c>
      <c r="N20" s="64" t="str">
        <f>IFERROR(F20/I20-1,"n/a")</f>
        <v>n/a</v>
      </c>
      <c r="O20" s="64">
        <f>IFERROR(F20/J20-1,"n/a")</f>
        <v>34.311161217587376</v>
      </c>
      <c r="P20" s="60">
        <f>IFERROR(F20/K20-1,"n/a")</f>
        <v>5.4235028712059066</v>
      </c>
      <c r="Q20" s="68">
        <f>+F20+'Feb-24'!Q20</f>
        <v>39741</v>
      </c>
      <c r="R20" s="68">
        <v>20846</v>
      </c>
      <c r="S20" s="68">
        <v>3085</v>
      </c>
      <c r="T20" s="68">
        <v>0</v>
      </c>
      <c r="U20" s="68">
        <v>1753</v>
      </c>
      <c r="V20" s="68">
        <v>6484</v>
      </c>
      <c r="W20" s="64">
        <f>IFERROR(Q20/R20-1,"n/a")</f>
        <v>0.90640890338674085</v>
      </c>
      <c r="X20" s="64">
        <f>IFERROR(Q20/S20-1,"n/a")</f>
        <v>11.882009724473258</v>
      </c>
      <c r="Y20" s="64" t="str">
        <f>IFERROR(Q20/T20-1,"n/a")</f>
        <v>n/a</v>
      </c>
      <c r="Z20" s="64">
        <f>IFERROR(Q20/U20-1,"n/a")</f>
        <v>21.670279520821449</v>
      </c>
      <c r="AA20" s="60">
        <f>IFERROR(Q20/V20-1,"n/a")</f>
        <v>5.1290869833436155</v>
      </c>
      <c r="AB20" s="68">
        <v>1277526</v>
      </c>
      <c r="AC20" s="68">
        <v>887495</v>
      </c>
      <c r="AD20" s="68">
        <v>17541</v>
      </c>
      <c r="AE20" s="68">
        <v>10046.999999999998</v>
      </c>
      <c r="AF20" s="135">
        <v>585930</v>
      </c>
      <c r="AG20" s="123"/>
      <c r="AH20" s="123"/>
    </row>
    <row r="21" spans="1:34" s="124" customFormat="1" ht="12.75">
      <c r="A21" s="123"/>
      <c r="B21" s="128"/>
      <c r="C21" s="31" t="s">
        <v>111</v>
      </c>
      <c r="D21" s="26"/>
      <c r="E21" s="34"/>
      <c r="F21" s="72"/>
      <c r="G21" s="72"/>
      <c r="H21" s="72"/>
      <c r="I21" s="72"/>
      <c r="J21" s="72"/>
      <c r="K21" s="72"/>
      <c r="L21" s="64"/>
      <c r="M21" s="64"/>
      <c r="N21" s="64"/>
      <c r="O21" s="64"/>
      <c r="P21" s="60"/>
      <c r="Q21" s="87"/>
      <c r="R21" s="87"/>
      <c r="S21" s="87"/>
      <c r="T21" s="87"/>
      <c r="U21" s="87"/>
      <c r="V21" s="87"/>
      <c r="W21" s="64"/>
      <c r="X21" s="64"/>
      <c r="Y21" s="64"/>
      <c r="Z21" s="64"/>
      <c r="AA21" s="60"/>
      <c r="AB21" s="43"/>
      <c r="AC21" s="43"/>
      <c r="AD21" s="43"/>
      <c r="AE21" s="43"/>
      <c r="AF21" s="136"/>
      <c r="AG21" s="123"/>
      <c r="AH21" s="123"/>
    </row>
    <row r="22" spans="1:34" s="124" customFormat="1" ht="12.75">
      <c r="A22" s="123"/>
      <c r="B22" s="128"/>
      <c r="C22" s="33"/>
      <c r="D22" s="26" t="s">
        <v>5</v>
      </c>
      <c r="E22" s="34"/>
      <c r="F22" s="71">
        <v>87</v>
      </c>
      <c r="G22" s="71">
        <v>108</v>
      </c>
      <c r="H22" s="71">
        <v>24</v>
      </c>
      <c r="I22" s="71">
        <v>0</v>
      </c>
      <c r="J22" s="71">
        <v>10</v>
      </c>
      <c r="K22" s="71">
        <v>44</v>
      </c>
      <c r="L22" s="64">
        <f>IFERROR(F22/G22-1,"n/a")</f>
        <v>-0.19444444444444442</v>
      </c>
      <c r="M22" s="64">
        <f>IFERROR(F22/H22-1,"n/a")</f>
        <v>2.625</v>
      </c>
      <c r="N22" s="64" t="str">
        <f>IFERROR(F22/I22-1,"n/a")</f>
        <v>n/a</v>
      </c>
      <c r="O22" s="64">
        <f>IFERROR(F22/J22-1,"n/a")</f>
        <v>7.6999999999999993</v>
      </c>
      <c r="P22" s="60">
        <f>IFERROR(F22/K22-1,"n/a")</f>
        <v>0.97727272727272729</v>
      </c>
      <c r="Q22" s="68">
        <f>+F22+'Feb-24'!Q22</f>
        <v>259</v>
      </c>
      <c r="R22" s="68">
        <v>287</v>
      </c>
      <c r="S22" s="68">
        <v>53</v>
      </c>
      <c r="T22" s="68">
        <v>0</v>
      </c>
      <c r="U22" s="68">
        <v>43</v>
      </c>
      <c r="V22" s="68">
        <v>89</v>
      </c>
      <c r="W22" s="64">
        <f>IFERROR(Q22/R22-1,"n/a")</f>
        <v>-9.7560975609756073E-2</v>
      </c>
      <c r="X22" s="64">
        <f>IFERROR(Q22/S22-1,"n/a")</f>
        <v>3.8867924528301883</v>
      </c>
      <c r="Y22" s="64" t="str">
        <f>IFERROR(Q22/T22-1,"n/a")</f>
        <v>n/a</v>
      </c>
      <c r="Z22" s="64">
        <f>IFERROR(Q22/U22-1,"n/a")</f>
        <v>5.0232558139534884</v>
      </c>
      <c r="AA22" s="60">
        <f>IFERROR(Q22/V22-1,"n/a")</f>
        <v>1.9101123595505616</v>
      </c>
      <c r="AB22" s="68">
        <v>1500</v>
      </c>
      <c r="AC22" s="68">
        <v>895</v>
      </c>
      <c r="AD22" s="68">
        <v>283</v>
      </c>
      <c r="AE22" s="68">
        <v>43</v>
      </c>
      <c r="AF22" s="135">
        <v>827</v>
      </c>
      <c r="AG22" s="123"/>
      <c r="AH22" s="123"/>
    </row>
    <row r="23" spans="1:34" s="124" customFormat="1" ht="12.75">
      <c r="A23" s="123"/>
      <c r="B23" s="128"/>
      <c r="C23" s="33"/>
      <c r="D23" s="26" t="s">
        <v>11</v>
      </c>
      <c r="E23" s="32"/>
      <c r="F23" s="71">
        <v>316617</v>
      </c>
      <c r="G23" s="71">
        <v>297870</v>
      </c>
      <c r="H23" s="71">
        <v>32594</v>
      </c>
      <c r="I23" s="71">
        <v>0</v>
      </c>
      <c r="J23" s="71">
        <v>28535</v>
      </c>
      <c r="K23" s="71">
        <v>117674</v>
      </c>
      <c r="L23" s="64">
        <f>IFERROR(F23/G23-1,"n/a")</f>
        <v>6.2936851646691494E-2</v>
      </c>
      <c r="M23" s="64">
        <f>IFERROR(F23/H23-1,"n/a")</f>
        <v>8.7139657605694296</v>
      </c>
      <c r="N23" s="64" t="str">
        <f>IFERROR(F23/I23-1,"n/a")</f>
        <v>n/a</v>
      </c>
      <c r="O23" s="64">
        <f>IFERROR(F23/J23-1,"n/a")</f>
        <v>10.095742071140704</v>
      </c>
      <c r="P23" s="60">
        <f>IFERROR(F23/K23-1,"n/a")</f>
        <v>1.690628346108741</v>
      </c>
      <c r="Q23" s="68">
        <f>+F23+'Feb-24'!Q23</f>
        <v>913055</v>
      </c>
      <c r="R23" s="68">
        <v>836274</v>
      </c>
      <c r="S23" s="68">
        <v>68454</v>
      </c>
      <c r="T23" s="68">
        <v>0</v>
      </c>
      <c r="U23" s="68">
        <v>140552</v>
      </c>
      <c r="V23" s="68">
        <v>251900</v>
      </c>
      <c r="W23" s="64">
        <f>IFERROR(Q23/R23-1,"n/a")</f>
        <v>9.1813209546153463E-2</v>
      </c>
      <c r="X23" s="64">
        <f>IFERROR(Q23/S23-1,"n/a")</f>
        <v>12.338227130627867</v>
      </c>
      <c r="Y23" s="64" t="str">
        <f>IFERROR(Q23/T23-1,"n/a")</f>
        <v>n/a</v>
      </c>
      <c r="Z23" s="64">
        <f>IFERROR(Q23/U23-1,"n/a")</f>
        <v>5.4962078092094027</v>
      </c>
      <c r="AA23" s="60">
        <f>IFERROR(Q23/V23-1,"n/a")</f>
        <v>2.6246724890829696</v>
      </c>
      <c r="AB23" s="68">
        <v>4449177</v>
      </c>
      <c r="AC23" s="68">
        <v>2165161</v>
      </c>
      <c r="AD23" s="68">
        <v>465109</v>
      </c>
      <c r="AE23" s="68">
        <v>140552</v>
      </c>
      <c r="AF23" s="135">
        <v>2552942</v>
      </c>
      <c r="AG23" s="123"/>
      <c r="AH23" s="123"/>
    </row>
    <row r="24" spans="1:34" s="124" customFormat="1" ht="12.75">
      <c r="A24" s="123"/>
      <c r="B24" s="128"/>
      <c r="C24" s="31" t="s">
        <v>112</v>
      </c>
      <c r="D24" s="26"/>
      <c r="E24" s="32"/>
      <c r="F24" s="72"/>
      <c r="G24" s="72"/>
      <c r="H24" s="72"/>
      <c r="I24" s="72"/>
      <c r="J24" s="72"/>
      <c r="K24" s="72"/>
      <c r="L24" s="64"/>
      <c r="M24" s="64"/>
      <c r="N24" s="64"/>
      <c r="O24" s="64"/>
      <c r="P24" s="60"/>
      <c r="Q24" s="87"/>
      <c r="R24" s="87"/>
      <c r="S24" s="87"/>
      <c r="T24" s="87"/>
      <c r="U24" s="87"/>
      <c r="V24" s="87"/>
      <c r="W24" s="64"/>
      <c r="X24" s="64"/>
      <c r="Y24" s="64"/>
      <c r="Z24" s="64"/>
      <c r="AA24" s="60"/>
      <c r="AB24" s="43"/>
      <c r="AC24" s="43"/>
      <c r="AD24" s="43"/>
      <c r="AE24" s="43"/>
      <c r="AF24" s="136"/>
      <c r="AG24" s="123"/>
      <c r="AH24" s="123"/>
    </row>
    <row r="25" spans="1:34" s="124" customFormat="1" ht="12.75">
      <c r="B25" s="128"/>
      <c r="C25" s="33"/>
      <c r="D25" s="26" t="s">
        <v>5</v>
      </c>
      <c r="E25" s="32"/>
      <c r="F25" s="71">
        <v>0</v>
      </c>
      <c r="G25" s="71">
        <v>0</v>
      </c>
      <c r="H25" s="71">
        <v>0</v>
      </c>
      <c r="I25" s="71">
        <v>0</v>
      </c>
      <c r="J25" s="71">
        <v>0</v>
      </c>
      <c r="K25" s="71">
        <v>0</v>
      </c>
      <c r="L25" s="64" t="str">
        <f>IFERROR(F25/G25-1,"n/a")</f>
        <v>n/a</v>
      </c>
      <c r="M25" s="64" t="str">
        <f>IFERROR(F25/H25-1,"n/a")</f>
        <v>n/a</v>
      </c>
      <c r="N25" s="64" t="str">
        <f>IFERROR(F25/I25-1,"n/a")</f>
        <v>n/a</v>
      </c>
      <c r="O25" s="64" t="str">
        <f>IFERROR(F25/J25-1,"n/a")</f>
        <v>n/a</v>
      </c>
      <c r="P25" s="60" t="str">
        <f>IFERROR(F25/K25-1,"n/a")</f>
        <v>n/a</v>
      </c>
      <c r="Q25" s="68">
        <f>+F25+'Feb-24'!Q25</f>
        <v>0</v>
      </c>
      <c r="R25" s="68">
        <v>0</v>
      </c>
      <c r="S25" s="68">
        <v>0</v>
      </c>
      <c r="T25" s="68">
        <v>0</v>
      </c>
      <c r="U25" s="68">
        <v>0</v>
      </c>
      <c r="V25" s="68">
        <v>0</v>
      </c>
      <c r="W25" s="64" t="str">
        <f>IFERROR(Q25/R25-1,"n/a")</f>
        <v>n/a</v>
      </c>
      <c r="X25" s="64" t="str">
        <f>IFERROR(Q25/S25-1,"n/a")</f>
        <v>n/a</v>
      </c>
      <c r="Y25" s="64" t="str">
        <f>IFERROR(Q25/T25-1,"n/a")</f>
        <v>n/a</v>
      </c>
      <c r="Z25" s="64" t="str">
        <f>IFERROR(Q25/U25-1,"n/a")</f>
        <v>n/a</v>
      </c>
      <c r="AA25" s="60" t="str">
        <f>IFERROR(Q25/V25-1,"n/a")</f>
        <v>n/a</v>
      </c>
      <c r="AB25" s="68">
        <v>21</v>
      </c>
      <c r="AC25" s="68">
        <v>9</v>
      </c>
      <c r="AD25" s="68">
        <v>0</v>
      </c>
      <c r="AE25" s="68">
        <v>0</v>
      </c>
      <c r="AF25" s="135">
        <v>16</v>
      </c>
      <c r="AG25" s="123"/>
      <c r="AH25" s="123"/>
    </row>
    <row r="26" spans="1:34" s="124" customFormat="1" ht="12.75">
      <c r="A26" s="123"/>
      <c r="B26" s="128"/>
      <c r="C26" s="33"/>
      <c r="D26" s="26" t="s">
        <v>11</v>
      </c>
      <c r="E26" s="32"/>
      <c r="F26" s="71">
        <v>0</v>
      </c>
      <c r="G26" s="71">
        <v>0</v>
      </c>
      <c r="H26" s="71">
        <v>0</v>
      </c>
      <c r="I26" s="71">
        <v>0</v>
      </c>
      <c r="J26" s="71">
        <v>0</v>
      </c>
      <c r="K26" s="71">
        <v>0</v>
      </c>
      <c r="L26" s="64" t="str">
        <f>IFERROR(F26/G26-1,"n/a")</f>
        <v>n/a</v>
      </c>
      <c r="M26" s="64" t="str">
        <f>IFERROR(F26/H26-1,"n/a")</f>
        <v>n/a</v>
      </c>
      <c r="N26" s="64" t="str">
        <f>IFERROR(F26/I26-1,"n/a")</f>
        <v>n/a</v>
      </c>
      <c r="O26" s="64" t="str">
        <f>IFERROR(F26/J26-1,"n/a")</f>
        <v>n/a</v>
      </c>
      <c r="P26" s="60" t="str">
        <f>IFERROR(F26/K26-1,"n/a")</f>
        <v>n/a</v>
      </c>
      <c r="Q26" s="68">
        <f>+F26+'Feb-24'!Q26</f>
        <v>0</v>
      </c>
      <c r="R26" s="68">
        <v>0</v>
      </c>
      <c r="S26" s="68">
        <v>0</v>
      </c>
      <c r="T26" s="68">
        <v>0</v>
      </c>
      <c r="U26" s="68">
        <v>0</v>
      </c>
      <c r="V26" s="68">
        <v>0</v>
      </c>
      <c r="W26" s="64" t="str">
        <f>IFERROR(Q26/R26-1,"n/a")</f>
        <v>n/a</v>
      </c>
      <c r="X26" s="64" t="str">
        <f>IFERROR(Q26/S26-1,"n/a")</f>
        <v>n/a</v>
      </c>
      <c r="Y26" s="64" t="str">
        <f>IFERROR(Q26/T26-1,"n/a")</f>
        <v>n/a</v>
      </c>
      <c r="Z26" s="64" t="str">
        <f>IFERROR(Q26/U26-1,"n/a")</f>
        <v>n/a</v>
      </c>
      <c r="AA26" s="60" t="str">
        <f>IFERROR(Q26/V26-1,"n/a")</f>
        <v>n/a</v>
      </c>
      <c r="AB26" s="68">
        <v>38626</v>
      </c>
      <c r="AC26" s="68">
        <v>15637</v>
      </c>
      <c r="AD26" s="68">
        <v>0</v>
      </c>
      <c r="AE26" s="68">
        <v>0</v>
      </c>
      <c r="AF26" s="137">
        <v>20248</v>
      </c>
      <c r="AG26" s="123"/>
      <c r="AH26" s="123"/>
    </row>
    <row r="27" spans="1:34" s="124" customFormat="1" ht="13.5" thickBot="1">
      <c r="A27" s="123"/>
      <c r="B27" s="128"/>
      <c r="C27" s="35" t="s">
        <v>12</v>
      </c>
      <c r="D27" s="36"/>
      <c r="E27" s="37"/>
      <c r="F27" s="75">
        <f t="shared" ref="F27:K28" si="0">F13+F16+F19+F22+F25</f>
        <v>406</v>
      </c>
      <c r="G27" s="75">
        <f t="shared" si="0"/>
        <v>322</v>
      </c>
      <c r="H27" s="75">
        <f t="shared" si="0"/>
        <v>260</v>
      </c>
      <c r="I27" s="75">
        <f t="shared" si="0"/>
        <v>5</v>
      </c>
      <c r="J27" s="75">
        <f t="shared" si="0"/>
        <v>160</v>
      </c>
      <c r="K27" s="75">
        <f t="shared" si="0"/>
        <v>229</v>
      </c>
      <c r="L27" s="66">
        <f>IFERROR(F27/G27-1,"n/a")</f>
        <v>0.26086956521739135</v>
      </c>
      <c r="M27" s="66">
        <f>IFERROR(F27/H27-1,"n/a")</f>
        <v>0.56153846153846154</v>
      </c>
      <c r="N27" s="66">
        <f>IFERROR(F27/I27-1,"n/a")</f>
        <v>80.2</v>
      </c>
      <c r="O27" s="66">
        <f>IFERROR(F27/J27-1,"n/a")</f>
        <v>1.5375000000000001</v>
      </c>
      <c r="P27" s="62">
        <f>IFERROR(F27/K27-1,"n/a")</f>
        <v>0.77292576419213965</v>
      </c>
      <c r="Q27" s="75">
        <f t="shared" ref="Q27:V28" si="1">Q13+Q16+Q19+Q22+Q25</f>
        <v>1025</v>
      </c>
      <c r="R27" s="75">
        <f t="shared" si="1"/>
        <v>867</v>
      </c>
      <c r="S27" s="75">
        <f t="shared" si="1"/>
        <v>631</v>
      </c>
      <c r="T27" s="75">
        <f t="shared" si="1"/>
        <v>12</v>
      </c>
      <c r="U27" s="75">
        <f t="shared" si="1"/>
        <v>565</v>
      </c>
      <c r="V27" s="75">
        <f t="shared" si="1"/>
        <v>634</v>
      </c>
      <c r="W27" s="66">
        <f>IFERROR(Q27/R27-1,"n/a")</f>
        <v>0.18223760092272201</v>
      </c>
      <c r="X27" s="66">
        <f>IFERROR(Q27/S27-1,"n/a")</f>
        <v>0.62440570522979399</v>
      </c>
      <c r="Y27" s="66">
        <f>IFERROR(Q27/T27-1,"n/a")</f>
        <v>84.416666666666671</v>
      </c>
      <c r="Z27" s="66">
        <f>IFERROR(Q27/U27-1,"n/a")</f>
        <v>0.81415929203539816</v>
      </c>
      <c r="AA27" s="62">
        <f>IFERROR(Q27/V27-1,"n/a")</f>
        <v>0.61671924290220814</v>
      </c>
      <c r="AB27" s="75">
        <f>AB13+AB16+AB19+AB22+AB25</f>
        <v>4434</v>
      </c>
      <c r="AC27" s="75">
        <f>AC13+AC16+AC19+AC22+AC25</f>
        <v>3620</v>
      </c>
      <c r="AD27" s="46">
        <f t="shared" ref="AD27:AF28" si="2">AD13+AD16+AD19+AD22+AD25</f>
        <v>1054</v>
      </c>
      <c r="AE27" s="46">
        <f t="shared" si="2"/>
        <v>657</v>
      </c>
      <c r="AF27" s="80">
        <f t="shared" si="2"/>
        <v>3310</v>
      </c>
      <c r="AG27" s="123"/>
      <c r="AH27" s="123"/>
    </row>
    <row r="28" spans="1:34" s="124" customFormat="1" ht="14.25" thickTop="1" thickBot="1">
      <c r="A28" s="123"/>
      <c r="B28" s="128"/>
      <c r="C28" s="38" t="s">
        <v>13</v>
      </c>
      <c r="D28" s="39"/>
      <c r="E28" s="40"/>
      <c r="F28" s="76">
        <f t="shared" si="0"/>
        <v>1260097</v>
      </c>
      <c r="G28" s="76">
        <f t="shared" si="0"/>
        <v>921313</v>
      </c>
      <c r="H28" s="76">
        <f t="shared" si="0"/>
        <v>406818</v>
      </c>
      <c r="I28" s="76">
        <f t="shared" si="0"/>
        <v>4146</v>
      </c>
      <c r="J28" s="76">
        <f t="shared" si="0"/>
        <v>226273</v>
      </c>
      <c r="K28" s="76">
        <f t="shared" si="0"/>
        <v>655947</v>
      </c>
      <c r="L28" s="67">
        <f>IFERROR(F28/G28-1,"n/a")</f>
        <v>0.36771867975378614</v>
      </c>
      <c r="M28" s="67">
        <f>IFERROR(F28/H28-1,"n/a")</f>
        <v>2.0974465239984466</v>
      </c>
      <c r="N28" s="67">
        <f>IFERROR(F28/I28-1,"n/a")</f>
        <v>302.93077665219488</v>
      </c>
      <c r="O28" s="67">
        <f>IFERROR(F28/J28-1,"n/a")</f>
        <v>4.5689233801646685</v>
      </c>
      <c r="P28" s="63">
        <f>IFERROR(F28/K28-1,"n/a")</f>
        <v>0.92103477872450057</v>
      </c>
      <c r="Q28" s="76">
        <f t="shared" si="1"/>
        <v>3237194</v>
      </c>
      <c r="R28" s="76">
        <f t="shared" si="1"/>
        <v>2478359</v>
      </c>
      <c r="S28" s="76">
        <f t="shared" si="1"/>
        <v>867705</v>
      </c>
      <c r="T28" s="76">
        <f t="shared" si="1"/>
        <v>10103</v>
      </c>
      <c r="U28" s="76">
        <f t="shared" si="1"/>
        <v>1276302</v>
      </c>
      <c r="V28" s="76">
        <f t="shared" si="1"/>
        <v>1789862</v>
      </c>
      <c r="W28" s="67">
        <f>IFERROR(Q28/R28-1,"n/a")</f>
        <v>0.30618445511727721</v>
      </c>
      <c r="X28" s="67">
        <f>IFERROR(Q28/S28-1,"n/a")</f>
        <v>2.7307541157421014</v>
      </c>
      <c r="Y28" s="67">
        <f>IFERROR(Q28/T28-1,"n/a")</f>
        <v>319.41908344056219</v>
      </c>
      <c r="Z28" s="67">
        <f>IFERROR(Q28/U28-1,"n/a")</f>
        <v>1.5363855889906932</v>
      </c>
      <c r="AA28" s="63">
        <f>IFERROR(Q28/V28-1,"n/a")</f>
        <v>0.80862770425876418</v>
      </c>
      <c r="AB28" s="76">
        <f>AB14+AB17+AB20+AB23+AB26</f>
        <v>12658551</v>
      </c>
      <c r="AC28" s="76">
        <f>AC14+AC17+AC20+AC23+AC26</f>
        <v>7626669</v>
      </c>
      <c r="AD28" s="47">
        <f t="shared" si="2"/>
        <v>1552483</v>
      </c>
      <c r="AE28" s="47">
        <f t="shared" si="2"/>
        <v>1314158</v>
      </c>
      <c r="AF28" s="81">
        <f t="shared" si="2"/>
        <v>9152531</v>
      </c>
      <c r="AG28" s="123"/>
      <c r="AH28" s="123"/>
    </row>
    <row r="29" spans="1:34" s="124" customFormat="1" ht="12" thickTop="1">
      <c r="A29" s="123"/>
      <c r="B29" s="123"/>
      <c r="C29" s="123"/>
      <c r="D29" s="123"/>
      <c r="E29" s="123"/>
      <c r="F29" s="123"/>
      <c r="G29" s="129"/>
      <c r="H29" s="129"/>
      <c r="I29" s="129"/>
      <c r="J29" s="129"/>
      <c r="K29" s="129"/>
      <c r="L29" s="129"/>
      <c r="M29" s="129"/>
      <c r="N29" s="129"/>
      <c r="O29" s="129"/>
      <c r="P29" s="123"/>
      <c r="Q29" s="123"/>
      <c r="R29" s="123"/>
      <c r="S29" s="123"/>
      <c r="T29" s="123"/>
      <c r="U29" s="123"/>
      <c r="V29" s="123"/>
      <c r="W29" s="123"/>
      <c r="X29" s="123"/>
      <c r="Y29" s="123"/>
      <c r="Z29" s="123"/>
      <c r="AA29" s="123"/>
      <c r="AB29" s="123"/>
      <c r="AC29" s="123"/>
      <c r="AD29" s="123"/>
      <c r="AE29" s="123"/>
      <c r="AF29" s="123"/>
      <c r="AG29" s="123"/>
      <c r="AH29" s="123"/>
    </row>
    <row r="30" spans="1:34" s="124" customFormat="1" ht="11.25">
      <c r="A30" s="123"/>
      <c r="B30" s="123"/>
      <c r="C30" s="123"/>
      <c r="D30" s="123"/>
      <c r="E30" s="123"/>
      <c r="F30" s="123"/>
      <c r="G30" s="129"/>
      <c r="H30" s="129"/>
      <c r="I30" s="129"/>
      <c r="J30" s="129"/>
      <c r="K30" s="129"/>
      <c r="L30" s="129"/>
      <c r="M30" s="129"/>
      <c r="N30" s="129"/>
      <c r="O30" s="129"/>
      <c r="P30" s="123"/>
      <c r="Q30" s="123"/>
      <c r="R30" s="129"/>
      <c r="S30" s="123"/>
      <c r="T30" s="123"/>
      <c r="U30" s="123"/>
      <c r="V30" s="123"/>
      <c r="W30" s="123"/>
      <c r="X30" s="123"/>
      <c r="Y30" s="123"/>
      <c r="Z30" s="123"/>
      <c r="AA30" s="123"/>
      <c r="AB30" s="123"/>
      <c r="AC30" s="123"/>
      <c r="AD30" s="123"/>
      <c r="AE30" s="123"/>
      <c r="AF30" s="123"/>
      <c r="AG30" s="123"/>
      <c r="AH30" s="123"/>
    </row>
    <row r="31" spans="1:34" s="124" customFormat="1" ht="12.75">
      <c r="A31" s="123"/>
      <c r="B31" s="130"/>
      <c r="C31" s="131" t="s">
        <v>63</v>
      </c>
      <c r="D31" s="24"/>
      <c r="E31" s="24"/>
      <c r="F31" s="24"/>
      <c r="G31" s="24"/>
      <c r="H31" s="24"/>
      <c r="I31" s="24"/>
      <c r="J31" s="24"/>
      <c r="K31" s="95"/>
      <c r="L31" s="95"/>
      <c r="M31" s="95"/>
      <c r="N31" s="95"/>
      <c r="O31" s="95"/>
      <c r="P31" s="24"/>
      <c r="Q31" s="24"/>
      <c r="R31" s="24"/>
      <c r="S31" s="24"/>
      <c r="T31" s="24"/>
      <c r="U31" s="24"/>
      <c r="V31" s="24"/>
      <c r="W31" s="24"/>
      <c r="X31" s="24"/>
      <c r="Y31" s="24"/>
      <c r="Z31" s="24"/>
      <c r="AA31" s="24"/>
      <c r="AB31" s="24"/>
      <c r="AC31" s="24"/>
      <c r="AD31" s="24"/>
      <c r="AE31" s="24"/>
      <c r="AF31" s="24"/>
      <c r="AG31" s="24"/>
      <c r="AH31" s="123"/>
    </row>
    <row r="32" spans="1:34" s="124" customFormat="1" ht="12.75">
      <c r="A32" s="123"/>
      <c r="B32" s="130"/>
      <c r="C32" s="24"/>
      <c r="D32" s="24"/>
      <c r="E32" s="24"/>
      <c r="F32" s="24"/>
      <c r="G32" s="24"/>
      <c r="H32" s="24"/>
      <c r="I32" s="24"/>
      <c r="J32" s="24"/>
      <c r="K32" s="95"/>
      <c r="L32" s="95"/>
      <c r="M32" s="95"/>
      <c r="N32" s="95"/>
      <c r="O32" s="95"/>
      <c r="P32" s="24"/>
      <c r="Q32" s="24"/>
      <c r="R32" s="24"/>
      <c r="S32" s="24"/>
      <c r="T32" s="24"/>
      <c r="U32" s="24"/>
      <c r="V32" s="24"/>
      <c r="W32" s="24"/>
      <c r="X32" s="24"/>
      <c r="Y32" s="24"/>
      <c r="Z32" s="24"/>
      <c r="AA32" s="24"/>
      <c r="AB32" s="24"/>
      <c r="AC32" s="24"/>
      <c r="AD32" s="24"/>
      <c r="AE32" s="24"/>
      <c r="AF32" s="24"/>
      <c r="AG32" s="24"/>
      <c r="AH32" s="123"/>
    </row>
    <row r="33" spans="1:34" s="124" customFormat="1" ht="15" customHeight="1">
      <c r="A33" s="123"/>
      <c r="B33" s="123"/>
      <c r="C33" s="27" t="s">
        <v>7</v>
      </c>
      <c r="D33" s="28"/>
      <c r="E33" s="28"/>
      <c r="F33" s="158" t="str">
        <f>F9</f>
        <v>March</v>
      </c>
      <c r="G33" s="158"/>
      <c r="H33" s="158"/>
      <c r="I33" s="158"/>
      <c r="J33" s="158"/>
      <c r="K33" s="158"/>
      <c r="L33" s="158"/>
      <c r="M33" s="158"/>
      <c r="N33" s="158"/>
      <c r="O33" s="158"/>
      <c r="P33" s="159"/>
      <c r="Q33" s="161" t="str">
        <f>"April to "&amp;D4&amp;" (YTD)"</f>
        <v>April to March (YTD)</v>
      </c>
      <c r="R33" s="162"/>
      <c r="S33" s="162"/>
      <c r="T33" s="162"/>
      <c r="U33" s="162"/>
      <c r="V33" s="162"/>
      <c r="W33" s="162"/>
      <c r="X33" s="162"/>
      <c r="Y33" s="162"/>
      <c r="Z33" s="162"/>
      <c r="AA33" s="163"/>
      <c r="AB33" s="161" t="s">
        <v>58</v>
      </c>
      <c r="AC33" s="162"/>
      <c r="AD33" s="162"/>
      <c r="AE33" s="162"/>
      <c r="AF33" s="164"/>
    </row>
    <row r="34" spans="1:34" s="124" customFormat="1" ht="11.25">
      <c r="A34" s="123"/>
      <c r="B34" s="123"/>
      <c r="C34" s="29"/>
      <c r="D34" s="30"/>
      <c r="E34" s="30"/>
      <c r="F34" s="143"/>
      <c r="G34" s="144"/>
      <c r="H34" s="144"/>
      <c r="I34" s="144"/>
      <c r="J34" s="144"/>
      <c r="K34" s="144"/>
      <c r="L34" s="144"/>
      <c r="M34" s="144"/>
      <c r="N34" s="144"/>
      <c r="O34" s="144"/>
      <c r="P34" s="145"/>
      <c r="Q34" s="144"/>
      <c r="R34" s="144"/>
      <c r="S34" s="144"/>
      <c r="T34" s="144"/>
      <c r="U34" s="144"/>
      <c r="V34" s="144"/>
      <c r="W34" s="144"/>
      <c r="X34" s="144"/>
      <c r="Y34" s="144"/>
      <c r="Z34" s="144"/>
      <c r="AA34" s="145"/>
      <c r="AB34" s="152"/>
      <c r="AC34" s="153"/>
      <c r="AD34" s="153"/>
      <c r="AE34" s="153"/>
      <c r="AF34" s="154"/>
    </row>
    <row r="35" spans="1:34" s="124" customFormat="1" ht="22.5">
      <c r="A35" s="123"/>
      <c r="B35" s="123"/>
      <c r="C35" s="59" t="s">
        <v>29</v>
      </c>
      <c r="D35" s="50"/>
      <c r="E35" s="51"/>
      <c r="F35" s="55">
        <v>2024</v>
      </c>
      <c r="G35" s="52">
        <v>2023</v>
      </c>
      <c r="H35" s="52">
        <v>2022</v>
      </c>
      <c r="I35" s="52">
        <v>2021</v>
      </c>
      <c r="J35" s="52">
        <v>2020</v>
      </c>
      <c r="K35" s="52">
        <v>2019</v>
      </c>
      <c r="L35" s="53" t="s">
        <v>116</v>
      </c>
      <c r="M35" s="53" t="s">
        <v>117</v>
      </c>
      <c r="N35" s="53" t="s">
        <v>118</v>
      </c>
      <c r="O35" s="53" t="s">
        <v>119</v>
      </c>
      <c r="P35" s="57" t="s">
        <v>101</v>
      </c>
      <c r="Q35" s="53"/>
      <c r="R35" s="53" t="s">
        <v>115</v>
      </c>
      <c r="S35" s="53" t="s">
        <v>53</v>
      </c>
      <c r="T35" s="52" t="s">
        <v>54</v>
      </c>
      <c r="U35" s="52" t="s">
        <v>59</v>
      </c>
      <c r="V35" s="52" t="s">
        <v>64</v>
      </c>
      <c r="W35" s="53"/>
      <c r="X35" s="53" t="s">
        <v>116</v>
      </c>
      <c r="Y35" s="53" t="s">
        <v>117</v>
      </c>
      <c r="Z35" s="53" t="s">
        <v>118</v>
      </c>
      <c r="AA35" s="57" t="s">
        <v>119</v>
      </c>
      <c r="AB35" s="146"/>
      <c r="AC35" s="53" t="s">
        <v>53</v>
      </c>
      <c r="AD35" s="53" t="s">
        <v>54</v>
      </c>
      <c r="AE35" s="53" t="s">
        <v>65</v>
      </c>
      <c r="AF35" s="57" t="s">
        <v>73</v>
      </c>
      <c r="AH35" s="123"/>
    </row>
    <row r="36" spans="1:34" s="124" customFormat="1" ht="11.25">
      <c r="A36" s="123"/>
      <c r="B36" s="123"/>
      <c r="C36" s="31" t="s">
        <v>108</v>
      </c>
      <c r="D36" s="26"/>
      <c r="E36" s="32"/>
      <c r="F36" s="26"/>
      <c r="G36" s="26"/>
      <c r="H36" s="26"/>
      <c r="I36" s="26"/>
      <c r="J36" s="26"/>
      <c r="K36" s="26"/>
      <c r="L36" s="26"/>
      <c r="M36" s="26"/>
      <c r="N36" s="26"/>
      <c r="O36" s="26"/>
      <c r="P36" s="32"/>
      <c r="Q36" s="26"/>
      <c r="R36" s="26"/>
      <c r="S36" s="26"/>
      <c r="T36" s="26"/>
      <c r="U36" s="26"/>
      <c r="V36" s="123"/>
      <c r="W36" s="26"/>
      <c r="X36" s="26"/>
      <c r="Y36" s="123"/>
      <c r="Z36" s="26"/>
      <c r="AA36" s="32"/>
      <c r="AB36" s="147"/>
      <c r="AC36" s="26"/>
      <c r="AD36" s="26"/>
      <c r="AE36" s="88"/>
      <c r="AF36" s="85"/>
      <c r="AH36" s="123"/>
    </row>
    <row r="37" spans="1:34" s="124" customFormat="1" ht="11.25">
      <c r="A37" s="123"/>
      <c r="B37" s="123"/>
      <c r="C37" s="33"/>
      <c r="D37" s="26" t="s">
        <v>5</v>
      </c>
      <c r="E37" s="32"/>
      <c r="F37" s="74">
        <f t="shared" ref="F37:K38" si="3">F13</f>
        <v>281</v>
      </c>
      <c r="G37" s="74">
        <f t="shared" si="3"/>
        <v>181</v>
      </c>
      <c r="H37" s="74">
        <f t="shared" si="3"/>
        <v>204</v>
      </c>
      <c r="I37" s="74">
        <f t="shared" si="3"/>
        <v>0</v>
      </c>
      <c r="J37" s="74">
        <f t="shared" si="3"/>
        <v>147</v>
      </c>
      <c r="K37" s="74">
        <f t="shared" si="3"/>
        <v>170</v>
      </c>
      <c r="L37" s="64">
        <f>IFERROR(F37/G37-1,"n/a")</f>
        <v>0.55248618784530379</v>
      </c>
      <c r="M37" s="64">
        <f>IFERROR(F37/H37-1,"n/a")</f>
        <v>0.37745098039215685</v>
      </c>
      <c r="N37" s="64" t="str">
        <f>IFERROR(F37/I37-1,"n/a")</f>
        <v>n/a</v>
      </c>
      <c r="O37" s="64">
        <f>IFERROR(F37/J37-1,"n/a")</f>
        <v>0.91156462585034004</v>
      </c>
      <c r="P37" s="60">
        <f>IFERROR(F37/K37-1,"n/a")</f>
        <v>0.65294117647058814</v>
      </c>
      <c r="Q37" s="64"/>
      <c r="R37" s="74">
        <f>'Feb-24'!R37+F37</f>
        <v>1802</v>
      </c>
      <c r="S37" s="74">
        <f>'Feb-24'!S37+'Mar-24'!G37</f>
        <v>1486</v>
      </c>
      <c r="T37" s="74">
        <f>'Feb-24'!T37+'Mar-24'!H37</f>
        <v>1045</v>
      </c>
      <c r="U37" s="74">
        <f>'Feb-24'!U37+'Mar-24'!I37</f>
        <v>42</v>
      </c>
      <c r="V37" s="74">
        <f>'Feb-24'!V37+'Mar-24'!J37</f>
        <v>1577</v>
      </c>
      <c r="W37" s="64"/>
      <c r="X37" s="120">
        <f>IFERROR(R37/S37-1,"n/a")</f>
        <v>0.21265141318977121</v>
      </c>
      <c r="Y37" s="120">
        <f>IFERROR(R37/T37-1,"n/a")</f>
        <v>0.72440191387559816</v>
      </c>
      <c r="Z37" s="120">
        <f>IFERROR(R37/U37-1,"n/a")</f>
        <v>41.904761904761905</v>
      </c>
      <c r="AA37" s="121">
        <f>IFERROR(R37/V37-1,"n/a")</f>
        <v>0.14267596702599872</v>
      </c>
      <c r="AB37" s="148"/>
      <c r="AC37" s="89">
        <v>1486</v>
      </c>
      <c r="AD37" s="89">
        <v>1052</v>
      </c>
      <c r="AE37" s="70">
        <v>551</v>
      </c>
      <c r="AF37" s="78">
        <v>1584</v>
      </c>
      <c r="AH37" s="123"/>
    </row>
    <row r="38" spans="1:34" s="124" customFormat="1" ht="11.25">
      <c r="A38" s="123"/>
      <c r="B38" s="123"/>
      <c r="C38" s="33"/>
      <c r="D38" s="26" t="s">
        <v>11</v>
      </c>
      <c r="E38" s="32"/>
      <c r="F38" s="74">
        <f t="shared" si="3"/>
        <v>857821</v>
      </c>
      <c r="G38" s="74">
        <f t="shared" si="3"/>
        <v>565574</v>
      </c>
      <c r="H38" s="74">
        <f t="shared" si="3"/>
        <v>344501</v>
      </c>
      <c r="I38" s="74">
        <f t="shared" si="3"/>
        <v>0</v>
      </c>
      <c r="J38" s="74">
        <f t="shared" si="3"/>
        <v>196286</v>
      </c>
      <c r="K38" s="74">
        <f t="shared" si="3"/>
        <v>500596</v>
      </c>
      <c r="L38" s="64">
        <f>IFERROR(F38/G38-1,"n/a")</f>
        <v>0.51672637002408184</v>
      </c>
      <c r="M38" s="64">
        <f>IFERROR(F38/H38-1,"n/a")</f>
        <v>1.4900392161416076</v>
      </c>
      <c r="N38" s="64" t="str">
        <f>IFERROR(F38/I38-1,"n/a")</f>
        <v>n/a</v>
      </c>
      <c r="O38" s="64">
        <f>IFERROR(F38/J38-1,"n/a")</f>
        <v>3.3702607419785418</v>
      </c>
      <c r="P38" s="60">
        <f>IFERROR(F38/K38-1,"n/a")</f>
        <v>0.71359938952768309</v>
      </c>
      <c r="Q38" s="64"/>
      <c r="R38" s="74">
        <f>'Feb-24'!R38+F38</f>
        <v>5848177</v>
      </c>
      <c r="S38" s="74">
        <f>'Feb-24'!S38+'Mar-24'!G38</f>
        <v>4370939</v>
      </c>
      <c r="T38" s="74">
        <f>'Feb-24'!T38+'Mar-24'!H38</f>
        <v>1522859</v>
      </c>
      <c r="U38" s="74">
        <f>'Feb-24'!U38+'Mar-24'!I38</f>
        <v>0</v>
      </c>
      <c r="V38" s="74">
        <f>'Feb-24'!V38+'Mar-24'!J38</f>
        <v>4212856</v>
      </c>
      <c r="W38" s="64"/>
      <c r="X38" s="120">
        <f>IFERROR(R38/S38-1,"n/a")</f>
        <v>0.3379681116574722</v>
      </c>
      <c r="Y38" s="120">
        <f>IFERROR(R38/T38-1,"n/a")</f>
        <v>2.8402616394557869</v>
      </c>
      <c r="Z38" s="120" t="str">
        <f>IFERROR(R38/U38-1,"n/a")</f>
        <v>n/a</v>
      </c>
      <c r="AA38" s="121">
        <f>IFERROR(R38/V38-1,"n/a")</f>
        <v>0.38817396084746303</v>
      </c>
      <c r="AB38" s="148"/>
      <c r="AC38" s="89">
        <v>4370939</v>
      </c>
      <c r="AD38" s="89">
        <v>1527970</v>
      </c>
      <c r="AE38" s="84">
        <v>1092884</v>
      </c>
      <c r="AF38" s="78">
        <v>4234259</v>
      </c>
      <c r="AH38" s="123"/>
    </row>
    <row r="39" spans="1:34" s="124" customFormat="1" ht="11.25">
      <c r="A39" s="123"/>
      <c r="B39" s="123"/>
      <c r="C39" s="31" t="s">
        <v>109</v>
      </c>
      <c r="D39" s="26"/>
      <c r="E39" s="32"/>
      <c r="F39" s="26"/>
      <c r="G39" s="26"/>
      <c r="H39" s="26"/>
      <c r="I39" s="26"/>
      <c r="J39" s="26"/>
      <c r="K39" s="26"/>
      <c r="L39" s="64"/>
      <c r="M39" s="64"/>
      <c r="N39" s="64"/>
      <c r="O39" s="64"/>
      <c r="P39" s="61"/>
      <c r="Q39" s="65"/>
      <c r="R39" s="26"/>
      <c r="S39" s="26"/>
      <c r="T39" s="26"/>
      <c r="U39" s="26"/>
      <c r="V39" s="26"/>
      <c r="W39" s="64"/>
      <c r="X39" s="65"/>
      <c r="Y39" s="65"/>
      <c r="Z39" s="65"/>
      <c r="AA39" s="61"/>
      <c r="AB39" s="149"/>
      <c r="AC39" s="90"/>
      <c r="AD39" s="90"/>
      <c r="AE39" s="44"/>
      <c r="AF39" s="79"/>
      <c r="AH39" s="123"/>
    </row>
    <row r="40" spans="1:34" s="124" customFormat="1" ht="11.25">
      <c r="A40" s="123"/>
      <c r="B40" s="123"/>
      <c r="C40" s="33"/>
      <c r="D40" s="26" t="s">
        <v>5</v>
      </c>
      <c r="E40" s="32"/>
      <c r="F40" s="74">
        <f t="shared" ref="F40:K41" si="4">F16</f>
        <v>17</v>
      </c>
      <c r="G40" s="74">
        <f t="shared" si="4"/>
        <v>16</v>
      </c>
      <c r="H40" s="74">
        <f t="shared" si="4"/>
        <v>26</v>
      </c>
      <c r="I40" s="74">
        <f t="shared" si="4"/>
        <v>5</v>
      </c>
      <c r="J40" s="74">
        <f t="shared" si="4"/>
        <v>1</v>
      </c>
      <c r="K40" s="74">
        <f t="shared" si="4"/>
        <v>10</v>
      </c>
      <c r="L40" s="64">
        <f>IFERROR(F40/G40-1,"n/a")</f>
        <v>6.25E-2</v>
      </c>
      <c r="M40" s="64">
        <f>IFERROR(F40/H40-1,"n/a")</f>
        <v>-0.34615384615384615</v>
      </c>
      <c r="N40" s="64">
        <f>IFERROR(F40/I40-1,"n/a")</f>
        <v>2.4</v>
      </c>
      <c r="O40" s="64">
        <f>IFERROR(F40/J40-1,"n/a")</f>
        <v>16</v>
      </c>
      <c r="P40" s="60">
        <f>IFERROR(F40/K40-1,"n/a")</f>
        <v>0.7</v>
      </c>
      <c r="Q40" s="64"/>
      <c r="R40" s="74">
        <f>'Feb-24'!R40+F40</f>
        <v>583</v>
      </c>
      <c r="S40" s="74">
        <f>'Feb-24'!S40+'Mar-24'!G40</f>
        <v>563</v>
      </c>
      <c r="T40" s="74">
        <f>'Feb-24'!T40+'Mar-24'!H40</f>
        <v>228</v>
      </c>
      <c r="U40" s="74">
        <f>'Feb-24'!U40+'Mar-24'!I40</f>
        <v>56</v>
      </c>
      <c r="V40" s="74">
        <f>'Feb-24'!V40+'Mar-24'!J40</f>
        <v>580</v>
      </c>
      <c r="W40" s="64"/>
      <c r="X40" s="120">
        <f>IFERROR(R40/S40-1,"n/a")</f>
        <v>3.5523978685612745E-2</v>
      </c>
      <c r="Y40" s="120">
        <f>IFERROR(R40/T40-1,"n/a")</f>
        <v>1.557017543859649</v>
      </c>
      <c r="Z40" s="120">
        <f>IFERROR(R40/U40-1,"n/a")</f>
        <v>9.4107142857142865</v>
      </c>
      <c r="AA40" s="121">
        <f>IFERROR(R40/V40-1,"n/a")</f>
        <v>5.1724137931035141E-3</v>
      </c>
      <c r="AB40" s="148"/>
      <c r="AC40" s="89">
        <v>563</v>
      </c>
      <c r="AD40" s="89">
        <v>226</v>
      </c>
      <c r="AE40" s="70">
        <v>66</v>
      </c>
      <c r="AF40" s="78">
        <v>573</v>
      </c>
      <c r="AH40" s="123"/>
    </row>
    <row r="41" spans="1:34" s="124" customFormat="1" ht="11.25">
      <c r="A41" s="123"/>
      <c r="B41" s="123"/>
      <c r="C41" s="33"/>
      <c r="D41" s="26" t="s">
        <v>11</v>
      </c>
      <c r="E41" s="32"/>
      <c r="F41" s="74">
        <f t="shared" si="4"/>
        <v>54338</v>
      </c>
      <c r="G41" s="74">
        <f t="shared" si="4"/>
        <v>43135</v>
      </c>
      <c r="H41" s="74">
        <f t="shared" si="4"/>
        <v>28377</v>
      </c>
      <c r="I41" s="74">
        <f t="shared" si="4"/>
        <v>4146</v>
      </c>
      <c r="J41" s="74">
        <f t="shared" si="4"/>
        <v>565</v>
      </c>
      <c r="K41" s="74">
        <f t="shared" si="4"/>
        <v>32801</v>
      </c>
      <c r="L41" s="64">
        <f>IFERROR(F41/G41-1,"n/a")</f>
        <v>0.2597194853367335</v>
      </c>
      <c r="M41" s="64">
        <f>IFERROR(F41/H41-1,"n/a")</f>
        <v>0.91486062656376643</v>
      </c>
      <c r="N41" s="64">
        <f>IFERROR(F41/I41-1,"n/a")</f>
        <v>12.10612638687892</v>
      </c>
      <c r="O41" s="64">
        <f>IFERROR(F41/J41-1,"n/a")</f>
        <v>95.173451327433625</v>
      </c>
      <c r="P41" s="60">
        <f>IFERROR(F41/K41-1,"n/a")</f>
        <v>0.6565958354928203</v>
      </c>
      <c r="Q41" s="64"/>
      <c r="R41" s="74">
        <f>'Feb-24'!R41+F41</f>
        <v>1708204</v>
      </c>
      <c r="S41" s="74">
        <f>'Feb-24'!S41+'Mar-24'!G41</f>
        <v>1012510</v>
      </c>
      <c r="T41" s="74">
        <f>'Feb-24'!T41+'Mar-24'!H41</f>
        <v>328940</v>
      </c>
      <c r="U41" s="74">
        <f>'Feb-24'!U41+'Mar-24'!I41</f>
        <v>39665</v>
      </c>
      <c r="V41" s="74">
        <f>'Feb-24'!V41+'Mar-24'!J41</f>
        <v>1359272</v>
      </c>
      <c r="W41" s="64"/>
      <c r="X41" s="120">
        <f>IFERROR(R41/S41-1,"n/a")</f>
        <v>0.68709839902815784</v>
      </c>
      <c r="Y41" s="120">
        <f>IFERROR(R41/T41-1,"n/a")</f>
        <v>4.1930564844652523</v>
      </c>
      <c r="Z41" s="120">
        <f>IFERROR(R41/U41-1,"n/a")</f>
        <v>42.065775872935838</v>
      </c>
      <c r="AA41" s="121">
        <f>IFERROR(R41/V41-1,"n/a")</f>
        <v>0.2567050597672873</v>
      </c>
      <c r="AB41" s="148"/>
      <c r="AC41" s="89">
        <v>1012510</v>
      </c>
      <c r="AD41" s="89">
        <v>327926</v>
      </c>
      <c r="AE41" s="84">
        <v>80778</v>
      </c>
      <c r="AF41" s="78">
        <v>1361671</v>
      </c>
      <c r="AH41" s="123"/>
    </row>
    <row r="42" spans="1:34" s="124" customFormat="1" ht="11.25">
      <c r="A42" s="123"/>
      <c r="B42" s="123"/>
      <c r="C42" s="31" t="s">
        <v>110</v>
      </c>
      <c r="D42" s="26"/>
      <c r="E42" s="32"/>
      <c r="F42" s="87"/>
      <c r="G42" s="87"/>
      <c r="H42" s="87"/>
      <c r="I42" s="87"/>
      <c r="J42" s="87"/>
      <c r="K42" s="72"/>
      <c r="L42" s="64"/>
      <c r="M42" s="64"/>
      <c r="N42" s="64"/>
      <c r="O42" s="64"/>
      <c r="P42" s="60"/>
      <c r="Q42" s="64"/>
      <c r="R42" s="87"/>
      <c r="S42" s="87"/>
      <c r="T42" s="87"/>
      <c r="U42" s="87"/>
      <c r="V42" s="87"/>
      <c r="W42" s="64"/>
      <c r="X42" s="64"/>
      <c r="Y42" s="64"/>
      <c r="Z42" s="64"/>
      <c r="AA42" s="60"/>
      <c r="AB42" s="148"/>
      <c r="AC42" s="90"/>
      <c r="AD42" s="90"/>
      <c r="AE42" s="44"/>
      <c r="AF42" s="79"/>
      <c r="AH42" s="123"/>
    </row>
    <row r="43" spans="1:34" s="124" customFormat="1" ht="11.25">
      <c r="A43" s="123"/>
      <c r="B43" s="123"/>
      <c r="C43" s="33"/>
      <c r="D43" s="26" t="s">
        <v>5</v>
      </c>
      <c r="E43" s="32"/>
      <c r="F43" s="74">
        <f t="shared" ref="F43:K44" si="5">F19</f>
        <v>21</v>
      </c>
      <c r="G43" s="74">
        <f t="shared" si="5"/>
        <v>17</v>
      </c>
      <c r="H43" s="74">
        <f t="shared" si="5"/>
        <v>6</v>
      </c>
      <c r="I43" s="74">
        <f t="shared" si="5"/>
        <v>0</v>
      </c>
      <c r="J43" s="74">
        <f t="shared" si="5"/>
        <v>2</v>
      </c>
      <c r="K43" s="74">
        <f t="shared" si="5"/>
        <v>5</v>
      </c>
      <c r="L43" s="64">
        <f>IFERROR(F43/G43-1,"n/a")</f>
        <v>0.23529411764705888</v>
      </c>
      <c r="M43" s="64">
        <f>IFERROR(F43/H43-1,"n/a")</f>
        <v>2.5</v>
      </c>
      <c r="N43" s="64" t="str">
        <f>IFERROR(F43/I43-1,"n/a")</f>
        <v>n/a</v>
      </c>
      <c r="O43" s="64">
        <f>IFERROR(F43/J43-1,"n/a")</f>
        <v>9.5</v>
      </c>
      <c r="P43" s="60">
        <f>IFERROR(F43/K43-1,"n/a")</f>
        <v>3.2</v>
      </c>
      <c r="Q43" s="64"/>
      <c r="R43" s="74">
        <f>'Feb-24'!R43+F43</f>
        <v>712</v>
      </c>
      <c r="S43" s="74">
        <f>'Feb-24'!S43+'Mar-24'!G43</f>
        <v>669</v>
      </c>
      <c r="T43" s="74">
        <f>'Feb-24'!T43+'Mar-24'!H43</f>
        <v>59</v>
      </c>
      <c r="U43" s="74">
        <f>'Feb-24'!U43+'Mar-24'!I43</f>
        <v>7</v>
      </c>
      <c r="V43" s="74">
        <f>'Feb-24'!V43+'Mar-24'!J43</f>
        <v>287</v>
      </c>
      <c r="W43" s="64"/>
      <c r="X43" s="120">
        <f>IFERROR(R43/S43-1,"n/a")</f>
        <v>6.427503736920781E-2</v>
      </c>
      <c r="Y43" s="120">
        <f>IFERROR(R43/T43-1,"n/a")</f>
        <v>11.067796610169491</v>
      </c>
      <c r="Z43" s="120">
        <f>IFERROR(R43/U43-1,"n/a")</f>
        <v>100.71428571428571</v>
      </c>
      <c r="AA43" s="121">
        <f>IFERROR(R43/V43-1,"n/a")</f>
        <v>1.480836236933798</v>
      </c>
      <c r="AB43" s="148"/>
      <c r="AC43" s="89">
        <v>669</v>
      </c>
      <c r="AD43" s="89">
        <v>59</v>
      </c>
      <c r="AE43" s="70">
        <v>9</v>
      </c>
      <c r="AF43" s="78">
        <v>287</v>
      </c>
      <c r="AH43" s="123"/>
    </row>
    <row r="44" spans="1:34" s="124" customFormat="1" ht="11.25">
      <c r="A44" s="123"/>
      <c r="B44" s="123"/>
      <c r="C44" s="33"/>
      <c r="D44" s="26" t="s">
        <v>11</v>
      </c>
      <c r="E44" s="32"/>
      <c r="F44" s="74">
        <f t="shared" si="5"/>
        <v>31321</v>
      </c>
      <c r="G44" s="74">
        <f t="shared" si="5"/>
        <v>14734</v>
      </c>
      <c r="H44" s="74">
        <f t="shared" si="5"/>
        <v>1346</v>
      </c>
      <c r="I44" s="74">
        <f t="shared" si="5"/>
        <v>0</v>
      </c>
      <c r="J44" s="74">
        <f t="shared" si="5"/>
        <v>887</v>
      </c>
      <c r="K44" s="74">
        <f t="shared" si="5"/>
        <v>4876</v>
      </c>
      <c r="L44" s="64">
        <f>IFERROR(F44/G44-1,"n/a")</f>
        <v>1.1257635401113073</v>
      </c>
      <c r="M44" s="64">
        <f>IFERROR(F44/H44-1,"n/a")</f>
        <v>22.269687964338782</v>
      </c>
      <c r="N44" s="64" t="str">
        <f>IFERROR(F44/I44-1,"n/a")</f>
        <v>n/a</v>
      </c>
      <c r="O44" s="64">
        <f>IFERROR(F44/J44-1,"n/a")</f>
        <v>34.311161217587376</v>
      </c>
      <c r="P44" s="60">
        <f>IFERROR(F44/K44-1,"n/a")</f>
        <v>5.4235028712059066</v>
      </c>
      <c r="Q44" s="64"/>
      <c r="R44" s="74">
        <f>'Feb-24'!R44+F44</f>
        <v>1296421</v>
      </c>
      <c r="S44" s="74">
        <f>'Feb-24'!S44+'Mar-24'!G44</f>
        <v>905256</v>
      </c>
      <c r="T44" s="74">
        <f>'Feb-24'!T44+'Mar-24'!H44</f>
        <v>20626</v>
      </c>
      <c r="U44" s="74">
        <f>'Feb-24'!U44+'Mar-24'!I44</f>
        <v>8294</v>
      </c>
      <c r="V44" s="74">
        <f>'Feb-24'!V44+'Mar-24'!J44</f>
        <v>581199</v>
      </c>
      <c r="W44" s="64"/>
      <c r="X44" s="120">
        <f>IFERROR(R44/S44-1,"n/a")</f>
        <v>0.43210428873158535</v>
      </c>
      <c r="Y44" s="120">
        <f>IFERROR(R44/T44-1,"n/a")</f>
        <v>61.853728304082225</v>
      </c>
      <c r="Z44" s="120">
        <f>IFERROR(R44/U44-1,"n/a")</f>
        <v>155.30829515312274</v>
      </c>
      <c r="AA44" s="121">
        <f>IFERROR(R44/V44-1,"n/a")</f>
        <v>1.2305974373665474</v>
      </c>
      <c r="AB44" s="148"/>
      <c r="AC44" s="82">
        <f>709768+195488</f>
        <v>905256</v>
      </c>
      <c r="AD44" s="82">
        <v>20626</v>
      </c>
      <c r="AE44" s="84">
        <v>10047</v>
      </c>
      <c r="AF44" s="78">
        <v>581199</v>
      </c>
      <c r="AH44" s="123"/>
    </row>
    <row r="45" spans="1:34" s="124" customFormat="1" ht="11.25">
      <c r="A45" s="123"/>
      <c r="B45" s="123"/>
      <c r="C45" s="31" t="s">
        <v>111</v>
      </c>
      <c r="D45" s="26"/>
      <c r="E45" s="34"/>
      <c r="F45" s="72"/>
      <c r="G45" s="72"/>
      <c r="H45" s="72"/>
      <c r="I45" s="72"/>
      <c r="J45" s="72"/>
      <c r="K45" s="72"/>
      <c r="L45" s="64"/>
      <c r="M45" s="64"/>
      <c r="N45" s="64"/>
      <c r="O45" s="64"/>
      <c r="P45" s="60"/>
      <c r="Q45" s="64"/>
      <c r="R45" s="72"/>
      <c r="S45" s="72"/>
      <c r="T45" s="72"/>
      <c r="U45" s="72"/>
      <c r="V45" s="72"/>
      <c r="W45" s="64"/>
      <c r="X45" s="64"/>
      <c r="Y45" s="64"/>
      <c r="Z45" s="64"/>
      <c r="AA45" s="60"/>
      <c r="AB45" s="148"/>
      <c r="AC45" s="90"/>
      <c r="AD45" s="90"/>
      <c r="AE45" s="44"/>
      <c r="AF45" s="79"/>
      <c r="AH45" s="123"/>
    </row>
    <row r="46" spans="1:34" s="124" customFormat="1" ht="11.25">
      <c r="A46" s="123"/>
      <c r="B46" s="123"/>
      <c r="C46" s="33"/>
      <c r="D46" s="26" t="s">
        <v>5</v>
      </c>
      <c r="E46" s="34"/>
      <c r="F46" s="74">
        <f t="shared" ref="F46:K47" si="6">F22</f>
        <v>87</v>
      </c>
      <c r="G46" s="74">
        <f t="shared" si="6"/>
        <v>108</v>
      </c>
      <c r="H46" s="74">
        <f t="shared" si="6"/>
        <v>24</v>
      </c>
      <c r="I46" s="74">
        <f t="shared" si="6"/>
        <v>0</v>
      </c>
      <c r="J46" s="74">
        <f t="shared" si="6"/>
        <v>10</v>
      </c>
      <c r="K46" s="74">
        <f t="shared" si="6"/>
        <v>44</v>
      </c>
      <c r="L46" s="64">
        <f>IFERROR(F46/G46-1,"n/a")</f>
        <v>-0.19444444444444442</v>
      </c>
      <c r="M46" s="64">
        <f>IFERROR(F46/H46-1,"n/a")</f>
        <v>2.625</v>
      </c>
      <c r="N46" s="64" t="str">
        <f>IFERROR(F46/I46-1,"n/a")</f>
        <v>n/a</v>
      </c>
      <c r="O46" s="64">
        <f>IFERROR(F46/J46-1,"n/a")</f>
        <v>7.6999999999999993</v>
      </c>
      <c r="P46" s="60">
        <f>IFERROR(F46/K46-1,"n/a")</f>
        <v>0.97727272727272729</v>
      </c>
      <c r="Q46" s="64"/>
      <c r="R46" s="74">
        <f>'Feb-24'!R46+F46</f>
        <v>1471</v>
      </c>
      <c r="S46" s="74">
        <f>'Feb-24'!S46+'Mar-24'!G46</f>
        <v>1125</v>
      </c>
      <c r="T46" s="74">
        <f>'Feb-24'!T46+'Mar-24'!H46</f>
        <v>336</v>
      </c>
      <c r="U46" s="74">
        <f>'Feb-24'!U46+'Mar-24'!I46</f>
        <v>0</v>
      </c>
      <c r="V46" s="74">
        <f>'Feb-24'!V46+'Mar-24'!J46</f>
        <v>781</v>
      </c>
      <c r="W46" s="64"/>
      <c r="X46" s="120">
        <f>IFERROR(R46/S46-1,"n/a")</f>
        <v>0.30755555555555558</v>
      </c>
      <c r="Y46" s="120">
        <f>IFERROR(R46/T46-1,"n/a")</f>
        <v>3.3779761904761907</v>
      </c>
      <c r="Z46" s="120" t="str">
        <f>IFERROR(R46/U46-1,"n/a")</f>
        <v>n/a</v>
      </c>
      <c r="AA46" s="121">
        <f>IFERROR(R46/V46-1,"n/a")</f>
        <v>0.88348271446862991</v>
      </c>
      <c r="AB46" s="148"/>
      <c r="AC46" s="89">
        <v>1129</v>
      </c>
      <c r="AD46" s="89">
        <v>336</v>
      </c>
      <c r="AE46" s="84">
        <v>43</v>
      </c>
      <c r="AF46" s="78">
        <v>781</v>
      </c>
      <c r="AH46" s="123"/>
    </row>
    <row r="47" spans="1:34" s="124" customFormat="1" ht="11.25">
      <c r="A47" s="123"/>
      <c r="B47" s="123"/>
      <c r="C47" s="33"/>
      <c r="D47" s="26" t="s">
        <v>11</v>
      </c>
      <c r="E47" s="32"/>
      <c r="F47" s="74">
        <f t="shared" si="6"/>
        <v>316617</v>
      </c>
      <c r="G47" s="74">
        <f t="shared" si="6"/>
        <v>297870</v>
      </c>
      <c r="H47" s="74">
        <f t="shared" si="6"/>
        <v>32594</v>
      </c>
      <c r="I47" s="74">
        <f t="shared" si="6"/>
        <v>0</v>
      </c>
      <c r="J47" s="74">
        <f t="shared" si="6"/>
        <v>28535</v>
      </c>
      <c r="K47" s="74">
        <f t="shared" si="6"/>
        <v>117674</v>
      </c>
      <c r="L47" s="64">
        <f>IFERROR(F47/G47-1,"n/a")</f>
        <v>6.2936851646691494E-2</v>
      </c>
      <c r="M47" s="64">
        <f>IFERROR(F47/H47-1,"n/a")</f>
        <v>8.7139657605694296</v>
      </c>
      <c r="N47" s="64" t="str">
        <f>IFERROR(F47/I47-1,"n/a")</f>
        <v>n/a</v>
      </c>
      <c r="O47" s="64">
        <f>IFERROR(F47/J47-1,"n/a")</f>
        <v>10.095742071140704</v>
      </c>
      <c r="P47" s="60">
        <f>IFERROR(F47/K47-1,"n/a")</f>
        <v>1.690628346108741</v>
      </c>
      <c r="Q47" s="64"/>
      <c r="R47" s="74">
        <f>'Feb-24'!R47+F47</f>
        <v>4517247</v>
      </c>
      <c r="S47" s="74">
        <f>'Feb-24'!S47+'Mar-24'!G47</f>
        <v>2927070</v>
      </c>
      <c r="T47" s="74">
        <f>'Feb-24'!T47+'Mar-24'!H47</f>
        <v>533563</v>
      </c>
      <c r="U47" s="74">
        <f>'Feb-24'!U47+'Mar-24'!I47</f>
        <v>0</v>
      </c>
      <c r="V47" s="74">
        <f>'Feb-24'!V47+'Mar-24'!J47</f>
        <v>2441594</v>
      </c>
      <c r="W47" s="64"/>
      <c r="X47" s="120">
        <f>IFERROR(R47/S47-1,"n/a")</f>
        <v>0.54326579138865827</v>
      </c>
      <c r="Y47" s="120">
        <f>IFERROR(R47/T47-1,"n/a")</f>
        <v>7.4661923709102762</v>
      </c>
      <c r="Z47" s="120" t="str">
        <f>IFERROR(R47/U47-1,"n/a")</f>
        <v>n/a</v>
      </c>
      <c r="AA47" s="121">
        <f>IFERROR(R47/V47-1,"n/a")</f>
        <v>0.85012209237080372</v>
      </c>
      <c r="AB47" s="148"/>
      <c r="AC47" s="82">
        <v>2932981</v>
      </c>
      <c r="AD47" s="82">
        <v>533563</v>
      </c>
      <c r="AE47" s="84">
        <v>140552</v>
      </c>
      <c r="AF47" s="78">
        <v>2441594</v>
      </c>
      <c r="AH47" s="123"/>
    </row>
    <row r="48" spans="1:34" s="124" customFormat="1" ht="11.25">
      <c r="C48" s="31" t="s">
        <v>112</v>
      </c>
      <c r="D48" s="26"/>
      <c r="E48" s="32"/>
      <c r="F48" s="72"/>
      <c r="G48" s="72"/>
      <c r="H48" s="72"/>
      <c r="I48" s="72"/>
      <c r="J48" s="72"/>
      <c r="K48" s="72"/>
      <c r="L48" s="64"/>
      <c r="M48" s="64"/>
      <c r="N48" s="64"/>
      <c r="O48" s="64"/>
      <c r="P48" s="60"/>
      <c r="Q48" s="64"/>
      <c r="R48" s="72"/>
      <c r="S48" s="72"/>
      <c r="T48" s="72"/>
      <c r="U48" s="72"/>
      <c r="V48" s="72"/>
      <c r="W48" s="64"/>
      <c r="X48" s="64"/>
      <c r="Y48" s="64"/>
      <c r="Z48" s="64"/>
      <c r="AA48" s="60"/>
      <c r="AB48" s="148"/>
      <c r="AC48" s="90"/>
      <c r="AD48" s="90"/>
      <c r="AE48" s="44"/>
      <c r="AF48" s="79"/>
      <c r="AH48" s="123"/>
    </row>
    <row r="49" spans="3:34" s="124" customFormat="1" ht="11.25">
      <c r="C49" s="33"/>
      <c r="D49" s="26" t="s">
        <v>5</v>
      </c>
      <c r="E49" s="32"/>
      <c r="F49" s="74">
        <f t="shared" ref="F49:K50" si="7">F25</f>
        <v>0</v>
      </c>
      <c r="G49" s="74">
        <f t="shared" si="7"/>
        <v>0</v>
      </c>
      <c r="H49" s="74">
        <f t="shared" si="7"/>
        <v>0</v>
      </c>
      <c r="I49" s="74">
        <f t="shared" si="7"/>
        <v>0</v>
      </c>
      <c r="J49" s="74">
        <f t="shared" si="7"/>
        <v>0</v>
      </c>
      <c r="K49" s="74">
        <f t="shared" si="7"/>
        <v>0</v>
      </c>
      <c r="L49" s="64" t="str">
        <f>IFERROR(F49/G49-1,"n/a")</f>
        <v>n/a</v>
      </c>
      <c r="M49" s="64" t="str">
        <f>IFERROR(F49/H49-1,"n/a")</f>
        <v>n/a</v>
      </c>
      <c r="N49" s="64" t="str">
        <f>IFERROR(F49/I49-1,"n/a")</f>
        <v>n/a</v>
      </c>
      <c r="O49" s="64" t="str">
        <f>IFERROR(F49/J49-1,"n/a")</f>
        <v>n/a</v>
      </c>
      <c r="P49" s="60" t="str">
        <f>IFERROR(F49/K49-1,"n/a")</f>
        <v>n/a</v>
      </c>
      <c r="Q49" s="64"/>
      <c r="R49" s="74">
        <f>'Feb-24'!R49+F49</f>
        <v>21</v>
      </c>
      <c r="S49" s="74">
        <f>'Feb-24'!S49+'Mar-24'!G49</f>
        <v>9</v>
      </c>
      <c r="T49" s="74">
        <v>0</v>
      </c>
      <c r="U49" s="74">
        <v>0</v>
      </c>
      <c r="V49" s="74">
        <v>16</v>
      </c>
      <c r="W49" s="64"/>
      <c r="X49" s="120">
        <f>IFERROR(R49/S49-1,"n/a")</f>
        <v>1.3333333333333335</v>
      </c>
      <c r="Y49" s="120" t="str">
        <f>IFERROR(R49/T49-1,"n/a")</f>
        <v>n/a</v>
      </c>
      <c r="Z49" s="120" t="str">
        <f>IFERROR(R49/U49-1,"n/a")</f>
        <v>n/a</v>
      </c>
      <c r="AA49" s="121">
        <f>IFERROR(R49/V49-1,"n/a")</f>
        <v>0.3125</v>
      </c>
      <c r="AB49" s="148"/>
      <c r="AC49" s="89">
        <v>9</v>
      </c>
      <c r="AD49" s="68">
        <v>0</v>
      </c>
      <c r="AE49" s="68">
        <v>0</v>
      </c>
      <c r="AF49" s="78">
        <v>16</v>
      </c>
      <c r="AH49" s="123"/>
    </row>
    <row r="50" spans="3:34" s="124" customFormat="1" ht="11.25">
      <c r="C50" s="33"/>
      <c r="D50" s="26" t="s">
        <v>11</v>
      </c>
      <c r="E50" s="32"/>
      <c r="F50" s="74">
        <f t="shared" si="7"/>
        <v>0</v>
      </c>
      <c r="G50" s="74">
        <f t="shared" si="7"/>
        <v>0</v>
      </c>
      <c r="H50" s="74">
        <f t="shared" si="7"/>
        <v>0</v>
      </c>
      <c r="I50" s="74">
        <f t="shared" si="7"/>
        <v>0</v>
      </c>
      <c r="J50" s="74">
        <f t="shared" si="7"/>
        <v>0</v>
      </c>
      <c r="K50" s="74">
        <f t="shared" si="7"/>
        <v>0</v>
      </c>
      <c r="L50" s="64" t="str">
        <f>IFERROR(F50/G50-1,"n/a")</f>
        <v>n/a</v>
      </c>
      <c r="M50" s="64" t="str">
        <f>IFERROR(F50/H50-1,"n/a")</f>
        <v>n/a</v>
      </c>
      <c r="N50" s="64" t="str">
        <f>IFERROR(F50/I50-1,"n/a")</f>
        <v>n/a</v>
      </c>
      <c r="O50" s="64" t="str">
        <f>IFERROR(F50/J50-1,"n/a")</f>
        <v>n/a</v>
      </c>
      <c r="P50" s="60" t="str">
        <f>IFERROR(F50/K50-1,"n/a")</f>
        <v>n/a</v>
      </c>
      <c r="Q50" s="64"/>
      <c r="R50" s="74">
        <f>'Feb-24'!R50+F50</f>
        <v>38626</v>
      </c>
      <c r="S50" s="74">
        <f>'Feb-24'!S50+'Mar-24'!G50</f>
        <v>15637</v>
      </c>
      <c r="T50" s="74">
        <v>0</v>
      </c>
      <c r="U50" s="74">
        <v>0</v>
      </c>
      <c r="V50" s="74">
        <v>20248</v>
      </c>
      <c r="W50" s="64"/>
      <c r="X50" s="120">
        <f>IFERROR(R50/S50-1,"n/a")</f>
        <v>1.4701669118117286</v>
      </c>
      <c r="Y50" s="120" t="str">
        <f>IFERROR(R50/T50-1,"n/a")</f>
        <v>n/a</v>
      </c>
      <c r="Z50" s="120" t="str">
        <f>IFERROR(R50/U50-1,"n/a")</f>
        <v>n/a</v>
      </c>
      <c r="AA50" s="121">
        <f>IFERROR(R50/V50-1,"n/a")</f>
        <v>0.90764519952587919</v>
      </c>
      <c r="AB50" s="148"/>
      <c r="AC50" s="82">
        <v>15637</v>
      </c>
      <c r="AD50" s="68">
        <v>0</v>
      </c>
      <c r="AE50" s="68">
        <v>0</v>
      </c>
      <c r="AF50" s="78">
        <v>20248</v>
      </c>
      <c r="AH50" s="123"/>
    </row>
    <row r="51" spans="3:34" s="124" customFormat="1" ht="12" thickBot="1">
      <c r="C51" s="35" t="s">
        <v>12</v>
      </c>
      <c r="D51" s="36"/>
      <c r="E51" s="37"/>
      <c r="F51" s="75">
        <f>F37+F40+F43+F46+F49</f>
        <v>406</v>
      </c>
      <c r="G51" s="75">
        <f>G37+G40+G43+G46+G49</f>
        <v>322</v>
      </c>
      <c r="H51" s="75">
        <f t="shared" ref="H51:K52" si="8">H37+H40+H43+H46+H49</f>
        <v>260</v>
      </c>
      <c r="I51" s="75">
        <f t="shared" si="8"/>
        <v>5</v>
      </c>
      <c r="J51" s="75">
        <f t="shared" si="8"/>
        <v>160</v>
      </c>
      <c r="K51" s="75">
        <f t="shared" si="8"/>
        <v>229</v>
      </c>
      <c r="L51" s="66">
        <f>IFERROR(F51/G51-1,"n/a")</f>
        <v>0.26086956521739135</v>
      </c>
      <c r="M51" s="66">
        <f>IFERROR(F51/H51-1,"n/a")</f>
        <v>0.56153846153846154</v>
      </c>
      <c r="N51" s="66">
        <f>IFERROR(F51/I51-1,"n/a")</f>
        <v>80.2</v>
      </c>
      <c r="O51" s="66">
        <f>IFERROR(F51/J51-1,"n/a")</f>
        <v>1.5375000000000001</v>
      </c>
      <c r="P51" s="62">
        <f>IFERROR(F51/K51-1,"n/a")</f>
        <v>0.77292576419213965</v>
      </c>
      <c r="Q51" s="66"/>
      <c r="R51" s="75">
        <f t="shared" ref="R51:V52" si="9">R37+R40+R43+R46+R49</f>
        <v>4589</v>
      </c>
      <c r="S51" s="75">
        <f>S37+S40+S43+S46+S49</f>
        <v>3852</v>
      </c>
      <c r="T51" s="75">
        <f t="shared" si="9"/>
        <v>1668</v>
      </c>
      <c r="U51" s="75">
        <f t="shared" si="9"/>
        <v>105</v>
      </c>
      <c r="V51" s="75">
        <f t="shared" si="9"/>
        <v>3241</v>
      </c>
      <c r="W51" s="66"/>
      <c r="X51" s="66">
        <f>IFERROR(R51/S51-1,"n/a")</f>
        <v>0.19132917964693674</v>
      </c>
      <c r="Y51" s="66">
        <f>IFERROR(R51/T51-1,"n/a")</f>
        <v>1.7511990407673861</v>
      </c>
      <c r="Z51" s="66">
        <f t="shared" ref="Z51:Z52" si="10">IFERROR(R51/U51-1,"n/a")</f>
        <v>42.704761904761902</v>
      </c>
      <c r="AA51" s="62">
        <f>IFERROR(R51/V51-1,"n/a")</f>
        <v>0.41592101203332299</v>
      </c>
      <c r="AB51" s="66"/>
      <c r="AC51" s="46">
        <f t="shared" ref="AC51:AE52" si="11">AC37+AC40+AC43+AC46+AC49</f>
        <v>3856</v>
      </c>
      <c r="AD51" s="46">
        <f t="shared" si="11"/>
        <v>1673</v>
      </c>
      <c r="AE51" s="46">
        <f t="shared" si="11"/>
        <v>669</v>
      </c>
      <c r="AF51" s="80">
        <f>AF37+AF40+AF43+AF46+AF49</f>
        <v>3241</v>
      </c>
      <c r="AH51" s="123"/>
    </row>
    <row r="52" spans="3:34" s="124" customFormat="1" ht="12.75" thickTop="1" thickBot="1">
      <c r="C52" s="38" t="s">
        <v>13</v>
      </c>
      <c r="D52" s="39"/>
      <c r="E52" s="40"/>
      <c r="F52" s="76">
        <f>F38+F41+F44+F47+F50</f>
        <v>1260097</v>
      </c>
      <c r="G52" s="76">
        <f>G38+G41+G44+G47+G50</f>
        <v>921313</v>
      </c>
      <c r="H52" s="76">
        <f t="shared" si="8"/>
        <v>406818</v>
      </c>
      <c r="I52" s="76">
        <f t="shared" si="8"/>
        <v>4146</v>
      </c>
      <c r="J52" s="76">
        <f t="shared" si="8"/>
        <v>226273</v>
      </c>
      <c r="K52" s="76">
        <f t="shared" si="8"/>
        <v>655947</v>
      </c>
      <c r="L52" s="67">
        <f>IFERROR(F52/G52-1,"n/a")</f>
        <v>0.36771867975378614</v>
      </c>
      <c r="M52" s="67">
        <f>IFERROR(F52/H52-1,"n/a")</f>
        <v>2.0974465239984466</v>
      </c>
      <c r="N52" s="67">
        <f>IFERROR(F52/I52-1,"n/a")</f>
        <v>302.93077665219488</v>
      </c>
      <c r="O52" s="67">
        <f>IFERROR(F52/J52-1,"n/a")</f>
        <v>4.5689233801646685</v>
      </c>
      <c r="P52" s="63">
        <f>IFERROR(F52/K52-1,"n/a")</f>
        <v>0.92103477872450057</v>
      </c>
      <c r="Q52" s="67"/>
      <c r="R52" s="76">
        <f t="shared" si="9"/>
        <v>13408675</v>
      </c>
      <c r="S52" s="76">
        <f t="shared" si="9"/>
        <v>9231412</v>
      </c>
      <c r="T52" s="76">
        <f t="shared" si="9"/>
        <v>2405988</v>
      </c>
      <c r="U52" s="76">
        <f t="shared" si="9"/>
        <v>47959</v>
      </c>
      <c r="V52" s="76">
        <f t="shared" si="9"/>
        <v>8615169</v>
      </c>
      <c r="W52" s="67"/>
      <c r="X52" s="67">
        <f>IFERROR(R52/S52-1,"n/a")</f>
        <v>0.45250531554652751</v>
      </c>
      <c r="Y52" s="118">
        <f>IFERROR(R52/T52-1,"n/a")</f>
        <v>4.5730431739476671</v>
      </c>
      <c r="Z52" s="118">
        <f t="shared" si="10"/>
        <v>278.58620905356656</v>
      </c>
      <c r="AA52" s="119">
        <f>IFERROR(R52/V52-1,"n/a")</f>
        <v>0.55640301426472316</v>
      </c>
      <c r="AB52" s="118"/>
      <c r="AC52" s="47">
        <f t="shared" si="11"/>
        <v>9237323</v>
      </c>
      <c r="AD52" s="47">
        <f t="shared" si="11"/>
        <v>2410085</v>
      </c>
      <c r="AE52" s="47">
        <f t="shared" si="11"/>
        <v>1324261</v>
      </c>
      <c r="AF52" s="81">
        <f>AF38+AF41+AF44+AF47+AF50</f>
        <v>8638971</v>
      </c>
      <c r="AH52" s="123"/>
    </row>
    <row r="53" spans="3:34" s="124" customFormat="1" ht="12" thickTop="1">
      <c r="AH53" s="123"/>
    </row>
    <row r="54" spans="3:34" s="124" customFormat="1" ht="11.25">
      <c r="S54" s="132"/>
      <c r="T54" s="132"/>
      <c r="U54" s="132"/>
      <c r="V54" s="132"/>
      <c r="AH54" s="123"/>
    </row>
    <row r="55" spans="3:34" ht="15">
      <c r="S55" s="111"/>
      <c r="T55" s="111"/>
      <c r="U55" s="111"/>
      <c r="V55" s="111"/>
      <c r="AH55" s="9"/>
    </row>
    <row r="56" spans="3:34" ht="15">
      <c r="S56" s="111"/>
      <c r="T56" s="111"/>
      <c r="U56" s="111"/>
      <c r="V56" s="111"/>
      <c r="AH56" s="9"/>
    </row>
    <row r="57" spans="3:34" ht="15">
      <c r="S57" s="111"/>
      <c r="T57" s="111"/>
      <c r="U57" s="111"/>
      <c r="V57" s="111"/>
      <c r="AH57" s="9"/>
    </row>
    <row r="58" spans="3:34" ht="15">
      <c r="AH58" s="9"/>
    </row>
    <row r="59" spans="3:34" ht="15">
      <c r="AH59" s="9"/>
    </row>
    <row r="60" spans="3:34" ht="15">
      <c r="AH60" s="9"/>
    </row>
    <row r="61" spans="3:34" ht="15" customHeight="1"/>
    <row r="62" spans="3:34" ht="15" customHeight="1"/>
    <row r="63" spans="3:34" ht="15" customHeight="1"/>
    <row r="64" spans="3:34" ht="15" customHeight="1"/>
    <row r="65" ht="15" customHeight="1"/>
    <row r="66" ht="15" customHeight="1"/>
  </sheetData>
  <mergeCells count="9">
    <mergeCell ref="AB34:AF34"/>
    <mergeCell ref="F9:P9"/>
    <mergeCell ref="Q9:AA9"/>
    <mergeCell ref="AB9:AF9"/>
    <mergeCell ref="F10:P10"/>
    <mergeCell ref="Q10:AA10"/>
    <mergeCell ref="F33:P33"/>
    <mergeCell ref="Q33:AA33"/>
    <mergeCell ref="AB33:AF33"/>
  </mergeCells>
  <pageMargins left="0.7" right="0.7" top="0.75" bottom="0.75" header="0.3" footer="0.3"/>
  <pageSetup paperSize="9" orientation="portrait" horizontalDpi="0" verticalDpi="0"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66"/>
  <sheetViews>
    <sheetView showGridLines="0" topLeftCell="M27" zoomScaleNormal="100" workbookViewId="0">
      <selection activeCell="F16" sqref="F16"/>
    </sheetView>
  </sheetViews>
  <sheetFormatPr defaultColWidth="0" defaultRowHeight="0" customHeight="1" zeroHeight="1"/>
  <cols>
    <col min="1" max="2" width="4.140625" customWidth="1"/>
    <col min="3" max="3" width="3.85546875" customWidth="1"/>
    <col min="4" max="4" width="8.85546875" customWidth="1"/>
    <col min="5" max="6" width="13" customWidth="1"/>
    <col min="7" max="7" width="11.140625" bestFit="1" customWidth="1"/>
    <col min="8" max="8" width="10.140625" bestFit="1" customWidth="1"/>
    <col min="9" max="10" width="8.85546875" customWidth="1"/>
    <col min="11" max="11" width="10.140625" bestFit="1" customWidth="1"/>
    <col min="12" max="12" width="8" customWidth="1"/>
    <col min="13" max="13" width="8.85546875" bestFit="1" customWidth="1"/>
    <col min="14" max="16" width="8" customWidth="1"/>
    <col min="17" max="17" width="10.140625" bestFit="1" customWidth="1"/>
    <col min="18" max="18" width="12" bestFit="1" customWidth="1"/>
    <col min="19" max="19" width="11.5703125" bestFit="1" customWidth="1"/>
    <col min="20" max="20" width="10.42578125" bestFit="1" customWidth="1"/>
    <col min="21" max="21" width="11.5703125" bestFit="1" customWidth="1"/>
    <col min="22" max="22" width="11.85546875" bestFit="1" customWidth="1"/>
    <col min="23" max="23" width="9.140625" bestFit="1" customWidth="1"/>
    <col min="24" max="24" width="8.85546875" bestFit="1" customWidth="1"/>
    <col min="25" max="25" width="8.85546875" customWidth="1"/>
    <col min="26" max="26" width="9" bestFit="1" customWidth="1"/>
    <col min="27" max="27" width="7.85546875" customWidth="1"/>
    <col min="28" max="28" width="10.140625" bestFit="1" customWidth="1"/>
    <col min="29" max="29" width="13.42578125" bestFit="1" customWidth="1"/>
    <col min="30" max="30" width="13.140625" bestFit="1" customWidth="1"/>
    <col min="31" max="31" width="12.85546875" bestFit="1" customWidth="1"/>
    <col min="32" max="32" width="15.42578125" bestFit="1" customWidth="1"/>
    <col min="33" max="33" width="11.140625" customWidth="1"/>
    <col min="34" max="34" width="3.42578125" customWidth="1"/>
    <col min="35" max="16384" width="8.85546875" hidden="1"/>
  </cols>
  <sheetData>
    <row r="1" spans="1:34" ht="15">
      <c r="A1" s="9"/>
      <c r="B1" s="9"/>
      <c r="C1" s="9"/>
      <c r="D1" s="9"/>
      <c r="E1" s="9"/>
      <c r="F1" s="9"/>
      <c r="G1" s="9"/>
      <c r="H1" s="9"/>
      <c r="I1" s="9"/>
      <c r="J1" s="9"/>
      <c r="K1" s="9"/>
      <c r="L1" s="9"/>
      <c r="M1" s="9"/>
      <c r="N1" s="9"/>
      <c r="O1" s="9"/>
      <c r="P1" s="9"/>
      <c r="Q1" s="9"/>
      <c r="R1" s="9"/>
      <c r="S1" s="9"/>
      <c r="T1" s="9"/>
      <c r="U1" s="9"/>
      <c r="V1" s="9"/>
      <c r="W1" s="9"/>
      <c r="X1" s="9"/>
      <c r="Y1" s="9"/>
      <c r="Z1" s="9"/>
      <c r="AA1" s="9"/>
      <c r="AB1" s="9"/>
      <c r="AC1" s="9"/>
      <c r="AD1" s="9"/>
      <c r="AE1" s="9"/>
      <c r="AF1" s="9"/>
      <c r="AG1" s="9"/>
      <c r="AH1" s="9"/>
    </row>
    <row r="2" spans="1:34" ht="31.35" customHeight="1" thickBot="1">
      <c r="A2" s="9"/>
      <c r="B2" s="8" t="s">
        <v>6</v>
      </c>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4"/>
      <c r="AH2" s="9"/>
    </row>
    <row r="3" spans="1:34" ht="15">
      <c r="A3" s="9"/>
      <c r="B3" s="10"/>
      <c r="C3" s="24"/>
      <c r="D3" s="24"/>
      <c r="E3" s="24"/>
      <c r="F3" s="24"/>
      <c r="G3" s="24"/>
      <c r="H3" s="24"/>
      <c r="I3" s="24"/>
      <c r="J3" s="24"/>
      <c r="K3" s="24"/>
      <c r="L3" s="24"/>
      <c r="M3" s="24"/>
      <c r="N3" s="24"/>
      <c r="O3" s="24"/>
      <c r="P3" s="24"/>
      <c r="Q3" s="24"/>
      <c r="R3" s="24"/>
      <c r="S3" s="24"/>
      <c r="T3" s="24"/>
      <c r="U3" s="24"/>
      <c r="V3" s="24"/>
      <c r="W3" s="24"/>
      <c r="X3" s="24"/>
      <c r="Y3" s="24"/>
      <c r="Z3" s="24"/>
      <c r="AA3" s="24"/>
      <c r="AB3" s="24"/>
      <c r="AC3" s="24"/>
      <c r="AD3" s="24"/>
      <c r="AE3" s="24"/>
      <c r="AF3" s="25">
        <v>45337</v>
      </c>
      <c r="AG3" s="25"/>
      <c r="AH3" s="9"/>
    </row>
    <row r="4" spans="1:34" ht="15.75">
      <c r="A4" s="9"/>
      <c r="B4" s="11" t="s">
        <v>7</v>
      </c>
      <c r="C4" s="26"/>
      <c r="D4" s="93" t="s">
        <v>39</v>
      </c>
      <c r="E4" s="134" t="s">
        <v>127</v>
      </c>
      <c r="F4" s="134"/>
      <c r="G4" s="24"/>
      <c r="H4" s="24"/>
      <c r="I4" s="24"/>
      <c r="J4" s="24"/>
      <c r="K4" s="24"/>
      <c r="L4" s="24"/>
      <c r="M4" s="24"/>
      <c r="N4" s="24"/>
      <c r="O4" s="24"/>
      <c r="P4" s="24"/>
      <c r="Q4" s="24"/>
      <c r="R4" s="24"/>
      <c r="S4" s="24"/>
      <c r="T4" s="24"/>
      <c r="U4" s="24"/>
      <c r="V4" s="24"/>
      <c r="W4" s="24"/>
      <c r="X4" s="24"/>
      <c r="Y4" s="24"/>
      <c r="Z4" s="24"/>
      <c r="AA4" s="24"/>
      <c r="AB4" s="24"/>
      <c r="AC4" s="24"/>
      <c r="AD4" s="24"/>
      <c r="AE4" s="24"/>
      <c r="AF4" s="24"/>
      <c r="AG4" s="24"/>
      <c r="AH4" s="9"/>
    </row>
    <row r="5" spans="1:34" ht="15">
      <c r="A5" s="9"/>
      <c r="B5" s="10"/>
      <c r="C5" s="24"/>
      <c r="D5" s="24"/>
      <c r="E5" s="24"/>
      <c r="F5" s="24"/>
      <c r="G5" s="24"/>
      <c r="H5" s="24"/>
      <c r="I5" s="24"/>
      <c r="J5" s="24"/>
      <c r="K5" s="24"/>
      <c r="L5" s="24"/>
      <c r="M5" s="24"/>
      <c r="N5" s="24"/>
      <c r="O5" s="24"/>
      <c r="P5" s="24"/>
      <c r="Q5" s="24"/>
      <c r="R5" s="24"/>
      <c r="S5" s="24"/>
      <c r="T5" s="24"/>
      <c r="U5" s="24"/>
      <c r="V5" s="24"/>
      <c r="W5" s="24"/>
      <c r="X5" s="24"/>
      <c r="Y5" s="24"/>
      <c r="Z5" s="24"/>
      <c r="AA5" s="24"/>
      <c r="AB5" s="24"/>
      <c r="AC5" s="24"/>
      <c r="AD5" s="24"/>
      <c r="AE5" s="24"/>
      <c r="AF5" s="24"/>
      <c r="AG5" s="24"/>
      <c r="AH5" s="9"/>
    </row>
    <row r="6" spans="1:34" ht="15">
      <c r="A6" s="9"/>
      <c r="B6" s="10"/>
      <c r="C6" s="24"/>
      <c r="D6" s="24"/>
      <c r="E6" s="24"/>
      <c r="F6" s="24"/>
      <c r="G6" s="24"/>
      <c r="H6" s="24"/>
      <c r="I6" s="24"/>
      <c r="J6" s="24"/>
      <c r="K6" s="24"/>
      <c r="L6" s="24"/>
      <c r="M6" s="24"/>
      <c r="N6" s="24"/>
      <c r="O6" s="24"/>
      <c r="P6" s="24"/>
      <c r="Q6" s="24"/>
      <c r="R6" s="24"/>
      <c r="S6" s="24"/>
      <c r="T6" s="24"/>
      <c r="U6" s="24"/>
      <c r="V6" s="24"/>
      <c r="W6" s="24"/>
      <c r="X6" s="24"/>
      <c r="Y6" s="24"/>
      <c r="Z6" s="24"/>
      <c r="AA6" s="24"/>
      <c r="AB6" s="24"/>
      <c r="AC6" s="24"/>
      <c r="AD6" s="24"/>
      <c r="AE6" s="24"/>
      <c r="AF6" s="24"/>
      <c r="AG6" s="24"/>
      <c r="AH6" s="9"/>
    </row>
    <row r="7" spans="1:34" ht="15">
      <c r="A7" s="9"/>
      <c r="B7" s="10"/>
      <c r="C7" s="86" t="s">
        <v>62</v>
      </c>
      <c r="D7" s="24"/>
      <c r="E7" s="24"/>
      <c r="F7" s="24"/>
      <c r="G7" s="24"/>
      <c r="H7" s="24"/>
      <c r="I7" s="24"/>
      <c r="J7" s="24"/>
      <c r="K7" s="24"/>
      <c r="L7" s="24"/>
      <c r="M7" s="24"/>
      <c r="N7" s="24"/>
      <c r="O7" s="24"/>
      <c r="P7" s="24"/>
      <c r="Q7" s="24"/>
      <c r="R7" s="24"/>
      <c r="S7" s="24"/>
      <c r="T7" s="24"/>
      <c r="U7" s="24"/>
      <c r="V7" s="24"/>
      <c r="W7" s="24"/>
      <c r="X7" s="24"/>
      <c r="Y7" s="24"/>
      <c r="Z7" s="24"/>
      <c r="AA7" s="24"/>
      <c r="AB7" s="24"/>
      <c r="AC7" s="24"/>
      <c r="AD7" s="24"/>
      <c r="AE7" s="24"/>
      <c r="AF7" s="24"/>
      <c r="AG7" s="24"/>
      <c r="AH7" s="9"/>
    </row>
    <row r="8" spans="1:34" ht="15">
      <c r="A8" s="9"/>
      <c r="B8" s="10"/>
      <c r="C8" s="24"/>
      <c r="D8" s="24"/>
      <c r="E8" s="24"/>
      <c r="F8" s="24"/>
      <c r="G8" s="24"/>
      <c r="H8" s="24"/>
      <c r="I8" s="24"/>
      <c r="J8" s="24"/>
      <c r="K8" s="24"/>
      <c r="L8" s="24"/>
      <c r="M8" s="24"/>
      <c r="N8" s="24"/>
      <c r="O8" s="24"/>
      <c r="P8" s="24"/>
      <c r="Q8" s="24"/>
      <c r="R8" s="24"/>
      <c r="S8" s="24"/>
      <c r="T8" s="24"/>
      <c r="U8" s="24"/>
      <c r="V8" s="24"/>
      <c r="W8" s="24"/>
      <c r="X8" s="24"/>
      <c r="Y8" s="24"/>
      <c r="Z8" s="24"/>
      <c r="AA8" s="24"/>
      <c r="AB8" s="24"/>
      <c r="AC8" s="24"/>
      <c r="AD8" s="24"/>
      <c r="AE8" s="24"/>
      <c r="AF8" s="24"/>
      <c r="AG8" s="24"/>
      <c r="AH8" s="9"/>
    </row>
    <row r="9" spans="1:34" s="124" customFormat="1" ht="15" customHeight="1">
      <c r="A9" s="123"/>
      <c r="C9" s="27" t="s">
        <v>7</v>
      </c>
      <c r="D9" s="28"/>
      <c r="E9" s="28"/>
      <c r="F9" s="155" t="str">
        <f>D4</f>
        <v>February</v>
      </c>
      <c r="G9" s="155"/>
      <c r="H9" s="155"/>
      <c r="I9" s="155"/>
      <c r="J9" s="155"/>
      <c r="K9" s="155"/>
      <c r="L9" s="155"/>
      <c r="M9" s="155"/>
      <c r="N9" s="155"/>
      <c r="O9" s="155"/>
      <c r="P9" s="156"/>
      <c r="Q9" s="157" t="str">
        <f>"January to "&amp; D4</f>
        <v>January to February</v>
      </c>
      <c r="R9" s="158"/>
      <c r="S9" s="158"/>
      <c r="T9" s="158"/>
      <c r="U9" s="158"/>
      <c r="V9" s="158"/>
      <c r="W9" s="158"/>
      <c r="X9" s="158"/>
      <c r="Y9" s="158"/>
      <c r="Z9" s="158"/>
      <c r="AA9" s="159"/>
      <c r="AB9" s="157" t="s">
        <v>57</v>
      </c>
      <c r="AC9" s="158"/>
      <c r="AD9" s="158"/>
      <c r="AE9" s="158"/>
      <c r="AF9" s="160"/>
      <c r="AG9" s="123"/>
      <c r="AH9" s="123"/>
    </row>
    <row r="10" spans="1:34" s="124" customFormat="1" ht="13.5">
      <c r="A10" s="123"/>
      <c r="B10" s="125"/>
      <c r="C10" s="29"/>
      <c r="D10" s="30"/>
      <c r="E10" s="30"/>
      <c r="F10" s="152"/>
      <c r="G10" s="153"/>
      <c r="H10" s="153"/>
      <c r="I10" s="153"/>
      <c r="J10" s="153"/>
      <c r="K10" s="153"/>
      <c r="L10" s="153"/>
      <c r="M10" s="153"/>
      <c r="N10" s="153"/>
      <c r="O10" s="153"/>
      <c r="P10" s="154"/>
      <c r="Q10" s="152"/>
      <c r="R10" s="153"/>
      <c r="S10" s="153"/>
      <c r="T10" s="153"/>
      <c r="U10" s="153"/>
      <c r="V10" s="153"/>
      <c r="W10" s="153"/>
      <c r="X10" s="153"/>
      <c r="Y10" s="153"/>
      <c r="Z10" s="153"/>
      <c r="AA10" s="154"/>
      <c r="AB10" s="30"/>
      <c r="AC10" s="30"/>
      <c r="AD10" s="30"/>
      <c r="AE10" s="30"/>
      <c r="AF10" s="56"/>
      <c r="AG10" s="123"/>
      <c r="AH10" s="123"/>
    </row>
    <row r="11" spans="1:34" s="124" customFormat="1" ht="26.1" customHeight="1">
      <c r="A11" s="126"/>
      <c r="B11" s="127"/>
      <c r="C11" s="59" t="s">
        <v>29</v>
      </c>
      <c r="D11" s="50"/>
      <c r="E11" s="51"/>
      <c r="F11" s="55">
        <v>2024</v>
      </c>
      <c r="G11" s="52">
        <v>2023</v>
      </c>
      <c r="H11" s="52">
        <v>2022</v>
      </c>
      <c r="I11" s="52">
        <v>2021</v>
      </c>
      <c r="J11" s="52">
        <v>2020</v>
      </c>
      <c r="K11" s="52">
        <v>2019</v>
      </c>
      <c r="L11" s="53" t="s">
        <v>116</v>
      </c>
      <c r="M11" s="53" t="s">
        <v>117</v>
      </c>
      <c r="N11" s="53" t="s">
        <v>118</v>
      </c>
      <c r="O11" s="53" t="s">
        <v>119</v>
      </c>
      <c r="P11" s="57" t="s">
        <v>101</v>
      </c>
      <c r="Q11" s="53">
        <v>2024</v>
      </c>
      <c r="R11" s="53">
        <v>2023</v>
      </c>
      <c r="S11" s="53">
        <v>2022</v>
      </c>
      <c r="T11" s="52">
        <v>2021</v>
      </c>
      <c r="U11" s="52">
        <v>2020</v>
      </c>
      <c r="V11" s="52">
        <v>2019</v>
      </c>
      <c r="W11" s="53" t="s">
        <v>116</v>
      </c>
      <c r="X11" s="53" t="s">
        <v>117</v>
      </c>
      <c r="Y11" s="53" t="s">
        <v>118</v>
      </c>
      <c r="Z11" s="53" t="s">
        <v>119</v>
      </c>
      <c r="AA11" s="57" t="s">
        <v>101</v>
      </c>
      <c r="AB11" s="53">
        <v>2023</v>
      </c>
      <c r="AC11" s="53">
        <v>2022</v>
      </c>
      <c r="AD11" s="53">
        <v>2021</v>
      </c>
      <c r="AE11" s="52">
        <v>2020</v>
      </c>
      <c r="AF11" s="77">
        <v>2019</v>
      </c>
      <c r="AG11" s="126"/>
      <c r="AH11" s="126"/>
    </row>
    <row r="12" spans="1:34" s="124" customFormat="1" ht="12.75">
      <c r="A12" s="123"/>
      <c r="B12" s="128"/>
      <c r="C12" s="31" t="s">
        <v>108</v>
      </c>
      <c r="D12" s="26"/>
      <c r="E12" s="32"/>
      <c r="F12" s="26"/>
      <c r="G12" s="26"/>
      <c r="H12" s="26"/>
      <c r="I12" s="26"/>
      <c r="J12" s="26"/>
      <c r="K12" s="26"/>
      <c r="L12" s="26"/>
      <c r="M12" s="26"/>
      <c r="N12" s="26"/>
      <c r="O12" s="26"/>
      <c r="P12" s="32"/>
      <c r="Q12" s="26"/>
      <c r="R12" s="26"/>
      <c r="S12" s="26"/>
      <c r="T12" s="26"/>
      <c r="U12" s="26"/>
      <c r="V12" s="26"/>
      <c r="W12" s="26"/>
      <c r="X12" s="26"/>
      <c r="Y12" s="26"/>
      <c r="Z12" s="26"/>
      <c r="AA12" s="32"/>
      <c r="AB12" s="26"/>
      <c r="AC12" s="26"/>
      <c r="AD12" s="26"/>
      <c r="AE12" s="26"/>
      <c r="AF12" s="32"/>
      <c r="AG12" s="123"/>
      <c r="AH12" s="123"/>
    </row>
    <row r="13" spans="1:34" s="124" customFormat="1" ht="12.75">
      <c r="A13" s="123"/>
      <c r="B13" s="128"/>
      <c r="C13" s="33"/>
      <c r="D13" s="26" t="s">
        <v>5</v>
      </c>
      <c r="E13" s="32"/>
      <c r="F13" s="71">
        <v>224</v>
      </c>
      <c r="G13" s="71">
        <v>161</v>
      </c>
      <c r="H13" s="71">
        <v>162</v>
      </c>
      <c r="I13" s="71">
        <v>0</v>
      </c>
      <c r="J13" s="71">
        <v>175</v>
      </c>
      <c r="K13" s="71">
        <v>157</v>
      </c>
      <c r="L13" s="64">
        <f>IFERROR(F13/G13-1,"n/a")</f>
        <v>0.39130434782608692</v>
      </c>
      <c r="M13" s="64">
        <f>IFERROR(F13/H13-1,"n/a")</f>
        <v>0.38271604938271597</v>
      </c>
      <c r="N13" s="64" t="str">
        <f>IFERROR(F13/I13-1,"n/a")</f>
        <v>n/a</v>
      </c>
      <c r="O13" s="64">
        <f>IFERROR(F13/J13-1,"n/a")</f>
        <v>0.28000000000000003</v>
      </c>
      <c r="P13" s="60">
        <f>IFERROR(F13/K13-1,"n/a")</f>
        <v>0.4267515923566878</v>
      </c>
      <c r="Q13" s="68">
        <f>'Jan-24'!Q13+F13</f>
        <v>421</v>
      </c>
      <c r="R13" s="68">
        <f>'Jan-24'!R13+G13</f>
        <v>349</v>
      </c>
      <c r="S13" s="68">
        <f>'Jan-24'!S13+H13</f>
        <v>326</v>
      </c>
      <c r="T13" s="68">
        <f>'Jan-24'!T13+I13</f>
        <v>0</v>
      </c>
      <c r="U13" s="68">
        <f>'Jan-24'!U13+J13</f>
        <v>362</v>
      </c>
      <c r="V13" s="68">
        <f>'Jan-24'!V13+K13</f>
        <v>346</v>
      </c>
      <c r="W13" s="64">
        <f>IFERROR(Q13/R13-1,"n/a")</f>
        <v>0.20630372492836679</v>
      </c>
      <c r="X13" s="64">
        <f>IFERROR(Q13/S13-1,"n/a")</f>
        <v>0.29141104294478537</v>
      </c>
      <c r="Y13" s="64" t="str">
        <f>IFERROR(Q13/T13-1,"n/a")</f>
        <v>n/a</v>
      </c>
      <c r="Z13" s="64">
        <f>IFERROR(Q13/U13-1,"n/a")</f>
        <v>0.16298342541436472</v>
      </c>
      <c r="AA13" s="60">
        <f>IFERROR(Q13/V13-1,"n/a")</f>
        <v>0.21676300578034691</v>
      </c>
      <c r="AB13" s="68">
        <v>1630</v>
      </c>
      <c r="AC13" s="68">
        <v>1486</v>
      </c>
      <c r="AD13" s="68">
        <v>522</v>
      </c>
      <c r="AE13" s="68">
        <v>551</v>
      </c>
      <c r="AF13" s="135">
        <v>1591</v>
      </c>
      <c r="AG13" s="123"/>
      <c r="AH13" s="123"/>
    </row>
    <row r="14" spans="1:34" s="124" customFormat="1" ht="12.75">
      <c r="A14" s="123"/>
      <c r="B14" s="128"/>
      <c r="C14" s="33"/>
      <c r="D14" s="26" t="s">
        <v>11</v>
      </c>
      <c r="E14" s="32"/>
      <c r="F14" s="71">
        <v>674695</v>
      </c>
      <c r="G14" s="71">
        <v>449661</v>
      </c>
      <c r="H14" s="71">
        <v>219545</v>
      </c>
      <c r="I14" s="71">
        <v>0</v>
      </c>
      <c r="J14" s="71">
        <v>430518</v>
      </c>
      <c r="K14" s="71">
        <v>425246</v>
      </c>
      <c r="L14" s="64">
        <f>IFERROR(F14/G14-1,"n/a")</f>
        <v>0.50045256315313091</v>
      </c>
      <c r="M14" s="64">
        <f>IFERROR(F14/H14-1,"n/a")</f>
        <v>2.0731512901683025</v>
      </c>
      <c r="N14" s="64" t="str">
        <f>IFERROR(F14/I14-1,"n/a")</f>
        <v>n/a</v>
      </c>
      <c r="O14" s="64">
        <f>IFERROR(F14/J14-1,"n/a")</f>
        <v>0.5671702460756578</v>
      </c>
      <c r="P14" s="60">
        <f>IFERROR(F14/K14-1,"n/a")</f>
        <v>0.58659928606030398</v>
      </c>
      <c r="Q14" s="68">
        <f>'Jan-24'!Q14+F14</f>
        <v>1296003</v>
      </c>
      <c r="R14" s="68">
        <f>'Jan-24'!R14+G14</f>
        <v>972610</v>
      </c>
      <c r="S14" s="68">
        <f>'Jan-24'!S14+H14</f>
        <v>415157</v>
      </c>
      <c r="T14" s="68">
        <f>'Jan-24'!T14+I14</f>
        <v>0</v>
      </c>
      <c r="U14" s="68">
        <f>'Jan-24'!U14+J14</f>
        <v>896598</v>
      </c>
      <c r="V14" s="68">
        <f>'Jan-24'!V14+K14</f>
        <v>950508</v>
      </c>
      <c r="W14" s="64">
        <f>IFERROR(Q14/R14-1,"n/a")</f>
        <v>0.33250017992823433</v>
      </c>
      <c r="X14" s="64">
        <f>IFERROR(Q14/S14-1,"n/a")</f>
        <v>2.1217178079618071</v>
      </c>
      <c r="Y14" s="64" t="str">
        <f>IFERROR(Q14/T14-1,"n/a")</f>
        <v>n/a</v>
      </c>
      <c r="Z14" s="64">
        <f>IFERROR(Q14/U14-1,"n/a")</f>
        <v>0.44546719934686441</v>
      </c>
      <c r="AA14" s="60">
        <f>IFERROR(Q14/V14-1,"n/a")</f>
        <v>0.3634845787726142</v>
      </c>
      <c r="AB14" s="68">
        <v>5232537</v>
      </c>
      <c r="AC14" s="68">
        <v>3592413</v>
      </c>
      <c r="AD14" s="68">
        <v>768312</v>
      </c>
      <c r="AE14" s="68">
        <v>1092884</v>
      </c>
      <c r="AF14" s="135">
        <v>4592479</v>
      </c>
      <c r="AG14" s="123"/>
      <c r="AH14" s="123"/>
    </row>
    <row r="15" spans="1:34" s="124" customFormat="1" ht="12.75">
      <c r="A15" s="123"/>
      <c r="B15" s="128"/>
      <c r="C15" s="31" t="s">
        <v>109</v>
      </c>
      <c r="D15" s="26"/>
      <c r="E15" s="32"/>
      <c r="F15" s="97"/>
      <c r="G15" s="97"/>
      <c r="H15" s="26"/>
      <c r="I15" s="26"/>
      <c r="J15" s="26"/>
      <c r="K15" s="26"/>
      <c r="L15" s="64"/>
      <c r="M15" s="64"/>
      <c r="N15" s="64"/>
      <c r="O15" s="64"/>
      <c r="P15" s="61"/>
      <c r="Q15" s="87"/>
      <c r="R15" s="87"/>
      <c r="S15" s="87"/>
      <c r="T15" s="87"/>
      <c r="U15" s="87"/>
      <c r="V15" s="87"/>
      <c r="W15" s="64"/>
      <c r="X15" s="64"/>
      <c r="Y15" s="64"/>
      <c r="Z15" s="64"/>
      <c r="AA15" s="61"/>
      <c r="AB15" s="43"/>
      <c r="AC15" s="43"/>
      <c r="AD15" s="43"/>
      <c r="AE15" s="43"/>
      <c r="AF15" s="136"/>
      <c r="AG15" s="123"/>
      <c r="AH15" s="123"/>
    </row>
    <row r="16" spans="1:34" s="124" customFormat="1" ht="12.75">
      <c r="A16" s="123"/>
      <c r="B16" s="128"/>
      <c r="C16" s="33"/>
      <c r="D16" s="26" t="s">
        <v>5</v>
      </c>
      <c r="E16" s="32"/>
      <c r="F16" s="71">
        <v>8</v>
      </c>
      <c r="G16" s="71">
        <v>6</v>
      </c>
      <c r="H16" s="71">
        <v>7</v>
      </c>
      <c r="I16" s="71">
        <v>5</v>
      </c>
      <c r="J16" s="71">
        <v>4</v>
      </c>
      <c r="K16" s="71">
        <v>8</v>
      </c>
      <c r="L16" s="64">
        <f>IFERROR(F16/G16-1,"n/a")</f>
        <v>0.33333333333333326</v>
      </c>
      <c r="M16" s="64">
        <f>IFERROR(F16/H16-1,"n/a")</f>
        <v>0.14285714285714279</v>
      </c>
      <c r="N16" s="64">
        <f>IFERROR(F16/I16-1,"n/a")</f>
        <v>0.60000000000000009</v>
      </c>
      <c r="O16" s="64">
        <f>IFERROR(F16/J16-1,"n/a")</f>
        <v>1</v>
      </c>
      <c r="P16" s="60">
        <f>IFERROR(F16/K16-1,"n/a")</f>
        <v>0</v>
      </c>
      <c r="Q16" s="68">
        <f>'Jan-24'!Q16+F16</f>
        <v>20</v>
      </c>
      <c r="R16" s="68">
        <f>'Jan-24'!R16+G16</f>
        <v>11</v>
      </c>
      <c r="S16" s="68">
        <f>'Jan-24'!S16+H16</f>
        <v>10</v>
      </c>
      <c r="T16" s="68">
        <f>'Jan-24'!T16+I16</f>
        <v>7</v>
      </c>
      <c r="U16" s="68">
        <f>'Jan-24'!U16+J16</f>
        <v>9</v>
      </c>
      <c r="V16" s="68">
        <f>'Jan-24'!V16+K16</f>
        <v>13</v>
      </c>
      <c r="W16" s="64">
        <f>IFERROR(Q16/R16-1,"n/a")</f>
        <v>0.81818181818181812</v>
      </c>
      <c r="X16" s="64">
        <f>IFERROR(Q16/S16-1,"n/a")</f>
        <v>1</v>
      </c>
      <c r="Y16" s="64">
        <f>IFERROR(Q16/T16-1,"n/a")</f>
        <v>1.8571428571428572</v>
      </c>
      <c r="Z16" s="64">
        <f>IFERROR(Q16/U16-1,"n/a")</f>
        <v>1.2222222222222223</v>
      </c>
      <c r="AA16" s="60">
        <f>IFERROR(Q16/V16-1,"n/a")</f>
        <v>0.53846153846153855</v>
      </c>
      <c r="AB16" s="68">
        <v>575</v>
      </c>
      <c r="AC16" s="68">
        <v>572</v>
      </c>
      <c r="AD16" s="68">
        <v>202</v>
      </c>
      <c r="AE16" s="68">
        <v>54</v>
      </c>
      <c r="AF16" s="135">
        <v>586</v>
      </c>
      <c r="AG16" s="123"/>
      <c r="AH16" s="123"/>
    </row>
    <row r="17" spans="1:34" s="124" customFormat="1" ht="12.75">
      <c r="A17" s="123"/>
      <c r="B17" s="128"/>
      <c r="C17" s="33"/>
      <c r="D17" s="26" t="s">
        <v>11</v>
      </c>
      <c r="E17" s="32"/>
      <c r="F17" s="71">
        <v>31100</v>
      </c>
      <c r="G17" s="71">
        <v>24121</v>
      </c>
      <c r="H17" s="71">
        <v>6429</v>
      </c>
      <c r="I17" s="71">
        <v>4669</v>
      </c>
      <c r="J17" s="71">
        <v>17407</v>
      </c>
      <c r="K17" s="71">
        <v>26946</v>
      </c>
      <c r="L17" s="64">
        <f>IFERROR(F17/G17-1,"n/a")</f>
        <v>0.2893329463952572</v>
      </c>
      <c r="M17" s="64">
        <f>IFERROR(F17/H17-1,"n/a")</f>
        <v>3.8374552807590607</v>
      </c>
      <c r="N17" s="64">
        <f>IFERROR(F17/I17-1,"n/a")</f>
        <v>5.6609552366673803</v>
      </c>
      <c r="O17" s="64">
        <f>IFERROR(F17/J17-1,"n/a")</f>
        <v>0.78663755960245885</v>
      </c>
      <c r="P17" s="60">
        <f>IFERROR(F17/K17-1,"n/a")</f>
        <v>0.15416017219624445</v>
      </c>
      <c r="Q17" s="68">
        <f>'Jan-24'!Q17+F17</f>
        <v>76236</v>
      </c>
      <c r="R17" s="68">
        <f>'Jan-24'!R17+G17</f>
        <v>39920</v>
      </c>
      <c r="S17" s="68">
        <f>'Jan-24'!S17+H17</f>
        <v>8131</v>
      </c>
      <c r="T17" s="68">
        <f>'Jan-24'!T17+I17</f>
        <v>5957</v>
      </c>
      <c r="U17" s="68">
        <f>'Jan-24'!U17+J17</f>
        <v>40548</v>
      </c>
      <c r="V17" s="68">
        <f>'Jan-24'!V17+K17</f>
        <v>47573</v>
      </c>
      <c r="W17" s="64">
        <f>IFERROR(Q17/R17-1,"n/a")</f>
        <v>0.90971943887775542</v>
      </c>
      <c r="X17" s="64">
        <f>IFERROR(Q17/S17-1,"n/a")</f>
        <v>8.3759685155577426</v>
      </c>
      <c r="Y17" s="64">
        <f>IFERROR(Q17/T17-1,"n/a")</f>
        <v>11.797716971630015</v>
      </c>
      <c r="Z17" s="64">
        <f>IFERROR(Q17/U17-1,"n/a")</f>
        <v>0.88014205386208944</v>
      </c>
      <c r="AA17" s="60">
        <f>IFERROR(Q17/V17-1,"n/a")</f>
        <v>0.60250562293738041</v>
      </c>
      <c r="AB17" s="68">
        <v>1660685</v>
      </c>
      <c r="AC17" s="68">
        <v>965963</v>
      </c>
      <c r="AD17" s="68">
        <v>301521</v>
      </c>
      <c r="AE17" s="68">
        <v>70675</v>
      </c>
      <c r="AF17" s="135">
        <v>1400932</v>
      </c>
      <c r="AG17" s="123"/>
      <c r="AH17" s="123"/>
    </row>
    <row r="18" spans="1:34" s="124" customFormat="1" ht="12.75">
      <c r="A18" s="123"/>
      <c r="B18" s="128"/>
      <c r="C18" s="31" t="s">
        <v>110</v>
      </c>
      <c r="D18" s="26"/>
      <c r="E18" s="32"/>
      <c r="F18" s="72"/>
      <c r="G18" s="72"/>
      <c r="H18" s="72"/>
      <c r="I18" s="72"/>
      <c r="J18" s="72"/>
      <c r="K18" s="72"/>
      <c r="L18" s="64"/>
      <c r="M18" s="64"/>
      <c r="N18" s="64"/>
      <c r="O18" s="64"/>
      <c r="P18" s="60"/>
      <c r="Q18" s="87"/>
      <c r="R18" s="87"/>
      <c r="S18" s="87"/>
      <c r="T18" s="87"/>
      <c r="U18" s="87"/>
      <c r="V18" s="87"/>
      <c r="W18" s="64"/>
      <c r="X18" s="64"/>
      <c r="Y18" s="64"/>
      <c r="Z18" s="64"/>
      <c r="AA18" s="60"/>
      <c r="AB18" s="43"/>
      <c r="AC18" s="43"/>
      <c r="AD18" s="43"/>
      <c r="AE18" s="43"/>
      <c r="AF18" s="136"/>
      <c r="AG18" s="123"/>
      <c r="AH18" s="123"/>
    </row>
    <row r="19" spans="1:34" s="124" customFormat="1" ht="12.75">
      <c r="A19" s="123"/>
      <c r="B19" s="128"/>
      <c r="C19" s="33"/>
      <c r="D19" s="26" t="s">
        <v>5</v>
      </c>
      <c r="E19" s="32"/>
      <c r="F19" s="71">
        <v>4</v>
      </c>
      <c r="G19" s="71">
        <v>2</v>
      </c>
      <c r="H19" s="71">
        <v>3</v>
      </c>
      <c r="I19" s="71">
        <v>0</v>
      </c>
      <c r="J19" s="71">
        <v>0</v>
      </c>
      <c r="K19" s="71">
        <v>1</v>
      </c>
      <c r="L19" s="64">
        <f>IFERROR(F19/G19-1,"n/a")</f>
        <v>1</v>
      </c>
      <c r="M19" s="64">
        <f>IFERROR(F19/H19-1,"n/a")</f>
        <v>0.33333333333333326</v>
      </c>
      <c r="N19" s="64" t="str">
        <f>IFERROR(F19/I19-1,"n/a")</f>
        <v>n/a</v>
      </c>
      <c r="O19" s="64" t="str">
        <f>IFERROR(F19/J19-1,"n/a")</f>
        <v>n/a</v>
      </c>
      <c r="P19" s="60">
        <f>IFERROR(F19/K19-1,"n/a")</f>
        <v>3</v>
      </c>
      <c r="Q19" s="68">
        <f>'Jan-24'!Q19+F19</f>
        <v>6</v>
      </c>
      <c r="R19" s="68">
        <f>'Jan-24'!R19+G19</f>
        <v>6</v>
      </c>
      <c r="S19" s="68">
        <f>'Jan-24'!S19+H19</f>
        <v>6</v>
      </c>
      <c r="T19" s="68">
        <f>'Jan-24'!T19+I19</f>
        <v>0</v>
      </c>
      <c r="U19" s="68">
        <f>'Jan-24'!U19+J19</f>
        <v>1</v>
      </c>
      <c r="V19" s="68">
        <f>'Jan-24'!V19+K19</f>
        <v>1</v>
      </c>
      <c r="W19" s="64">
        <f>IFERROR(Q19/R19-1,"n/a")</f>
        <v>0</v>
      </c>
      <c r="X19" s="64">
        <f>IFERROR(Q19/S19-1,"n/a")</f>
        <v>0</v>
      </c>
      <c r="Y19" s="64" t="str">
        <f>IFERROR(Q19/T19-1,"n/a")</f>
        <v>n/a</v>
      </c>
      <c r="Z19" s="64">
        <f>IFERROR(Q19/U19-1,"n/a")</f>
        <v>5</v>
      </c>
      <c r="AA19" s="60">
        <f>IFERROR(Q19/V19-1,"n/a")</f>
        <v>5</v>
      </c>
      <c r="AB19" s="68">
        <v>708</v>
      </c>
      <c r="AC19" s="68">
        <v>658</v>
      </c>
      <c r="AD19" s="68">
        <v>47</v>
      </c>
      <c r="AE19" s="68">
        <v>9</v>
      </c>
      <c r="AF19" s="135">
        <v>290</v>
      </c>
      <c r="AG19" s="123"/>
      <c r="AH19" s="123"/>
    </row>
    <row r="20" spans="1:34" s="124" customFormat="1" ht="12.75">
      <c r="A20" s="123"/>
      <c r="B20" s="128"/>
      <c r="C20" s="33"/>
      <c r="D20" s="26" t="s">
        <v>11</v>
      </c>
      <c r="E20" s="32"/>
      <c r="F20" s="71">
        <v>5580</v>
      </c>
      <c r="G20" s="71">
        <v>2252</v>
      </c>
      <c r="H20" s="71">
        <v>925</v>
      </c>
      <c r="I20" s="71">
        <v>0</v>
      </c>
      <c r="J20" s="71">
        <v>43</v>
      </c>
      <c r="K20" s="71">
        <v>1168</v>
      </c>
      <c r="L20" s="64">
        <f>IFERROR(F20/G20-1,"n/a")</f>
        <v>1.4777975133214922</v>
      </c>
      <c r="M20" s="64">
        <f>IFERROR(F20/H20-1,"n/a")</f>
        <v>5.0324324324324321</v>
      </c>
      <c r="N20" s="64" t="str">
        <f>IFERROR(F20/I20-1,"n/a")</f>
        <v>n/a</v>
      </c>
      <c r="O20" s="64">
        <f>IFERROR(F20/J20-1,"n/a")</f>
        <v>128.76744186046511</v>
      </c>
      <c r="P20" s="60">
        <f>IFERROR(F20/K20-1,"n/a")</f>
        <v>3.7773972602739727</v>
      </c>
      <c r="Q20" s="68">
        <f>'Jan-24'!Q20+F20</f>
        <v>8420</v>
      </c>
      <c r="R20" s="68">
        <f>'Jan-24'!R20+G20</f>
        <v>6112</v>
      </c>
      <c r="S20" s="68">
        <f>'Jan-24'!S20+H20</f>
        <v>1739</v>
      </c>
      <c r="T20" s="68">
        <f>'Jan-24'!T20+I20</f>
        <v>0</v>
      </c>
      <c r="U20" s="68">
        <f>'Jan-24'!U20+J20</f>
        <v>866</v>
      </c>
      <c r="V20" s="68">
        <f>'Jan-24'!V20+K20</f>
        <v>1608</v>
      </c>
      <c r="W20" s="64">
        <f>IFERROR(Q20/R20-1,"n/a")</f>
        <v>0.3776178010471205</v>
      </c>
      <c r="X20" s="64">
        <f>IFERROR(Q20/S20-1,"n/a")</f>
        <v>3.8418631397354801</v>
      </c>
      <c r="Y20" s="64" t="str">
        <f>IFERROR(Q20/T20-1,"n/a")</f>
        <v>n/a</v>
      </c>
      <c r="Z20" s="64">
        <f>IFERROR(Q20/U20-1,"n/a")</f>
        <v>8.7228637413394914</v>
      </c>
      <c r="AA20" s="60">
        <f>IFERROR(Q20/V20-1,"n/a")</f>
        <v>4.2363184079601988</v>
      </c>
      <c r="AB20" s="68">
        <v>1277526</v>
      </c>
      <c r="AC20" s="68">
        <v>887495</v>
      </c>
      <c r="AD20" s="68">
        <v>17541</v>
      </c>
      <c r="AE20" s="68">
        <v>10046.999999999998</v>
      </c>
      <c r="AF20" s="135">
        <v>585930</v>
      </c>
      <c r="AG20" s="123"/>
      <c r="AH20" s="123"/>
    </row>
    <row r="21" spans="1:34" s="124" customFormat="1" ht="12.75">
      <c r="A21" s="123"/>
      <c r="B21" s="128"/>
      <c r="C21" s="31" t="s">
        <v>111</v>
      </c>
      <c r="D21" s="26"/>
      <c r="E21" s="34"/>
      <c r="F21" s="72"/>
      <c r="G21" s="72"/>
      <c r="H21" s="72"/>
      <c r="I21" s="72"/>
      <c r="J21" s="72"/>
      <c r="K21" s="72"/>
      <c r="L21" s="64"/>
      <c r="M21" s="64"/>
      <c r="N21" s="64"/>
      <c r="O21" s="64"/>
      <c r="P21" s="60"/>
      <c r="Q21" s="87"/>
      <c r="R21" s="87"/>
      <c r="S21" s="87"/>
      <c r="T21" s="87"/>
      <c r="U21" s="87"/>
      <c r="V21" s="87"/>
      <c r="W21" s="64"/>
      <c r="X21" s="64"/>
      <c r="Y21" s="64"/>
      <c r="Z21" s="64"/>
      <c r="AA21" s="60"/>
      <c r="AB21" s="43"/>
      <c r="AC21" s="43"/>
      <c r="AD21" s="43"/>
      <c r="AE21" s="43"/>
      <c r="AF21" s="136"/>
      <c r="AG21" s="123"/>
      <c r="AH21" s="123"/>
    </row>
    <row r="22" spans="1:34" s="124" customFormat="1" ht="12.75">
      <c r="A22" s="123"/>
      <c r="B22" s="128"/>
      <c r="C22" s="33"/>
      <c r="D22" s="26" t="s">
        <v>5</v>
      </c>
      <c r="E22" s="34"/>
      <c r="F22" s="71">
        <v>77</v>
      </c>
      <c r="G22" s="71">
        <v>73</v>
      </c>
      <c r="H22" s="71">
        <v>13</v>
      </c>
      <c r="I22" s="71">
        <v>0</v>
      </c>
      <c r="J22" s="71">
        <v>14</v>
      </c>
      <c r="K22" s="71">
        <v>21</v>
      </c>
      <c r="L22" s="64">
        <f>IFERROR(F22/G22-1,"n/a")</f>
        <v>5.4794520547945202E-2</v>
      </c>
      <c r="M22" s="64">
        <f>IFERROR(F22/H22-1,"n/a")</f>
        <v>4.9230769230769234</v>
      </c>
      <c r="N22" s="64" t="str">
        <f>IFERROR(F22/I22-1,"n/a")</f>
        <v>n/a</v>
      </c>
      <c r="O22" s="64">
        <f>IFERROR(F22/J22-1,"n/a")</f>
        <v>4.5</v>
      </c>
      <c r="P22" s="60">
        <f>IFERROR(F22/K22-1,"n/a")</f>
        <v>2.6666666666666665</v>
      </c>
      <c r="Q22" s="68">
        <f>'Jan-24'!Q22+F22</f>
        <v>172</v>
      </c>
      <c r="R22" s="68">
        <f>'Jan-24'!R22+G22</f>
        <v>179</v>
      </c>
      <c r="S22" s="68">
        <f>'Jan-24'!S22+H22</f>
        <v>29</v>
      </c>
      <c r="T22" s="68">
        <f>'Jan-24'!T22+I22</f>
        <v>0</v>
      </c>
      <c r="U22" s="68">
        <f>'Jan-24'!U22+J22</f>
        <v>33</v>
      </c>
      <c r="V22" s="68">
        <f>'Jan-24'!V22+K22</f>
        <v>45</v>
      </c>
      <c r="W22" s="64">
        <f>IFERROR(Q22/R22-1,"n/a")</f>
        <v>-3.9106145251396662E-2</v>
      </c>
      <c r="X22" s="64">
        <f>IFERROR(Q22/S22-1,"n/a")</f>
        <v>4.931034482758621</v>
      </c>
      <c r="Y22" s="64" t="str">
        <f>IFERROR(Q22/T22-1,"n/a")</f>
        <v>n/a</v>
      </c>
      <c r="Z22" s="64">
        <f>IFERROR(Q22/U22-1,"n/a")</f>
        <v>4.2121212121212119</v>
      </c>
      <c r="AA22" s="60">
        <f>IFERROR(Q22/V22-1,"n/a")</f>
        <v>2.8222222222222224</v>
      </c>
      <c r="AB22" s="68">
        <v>1500</v>
      </c>
      <c r="AC22" s="68">
        <v>895</v>
      </c>
      <c r="AD22" s="68">
        <v>283</v>
      </c>
      <c r="AE22" s="68">
        <v>43</v>
      </c>
      <c r="AF22" s="135">
        <v>827</v>
      </c>
      <c r="AG22" s="123"/>
      <c r="AH22" s="123"/>
    </row>
    <row r="23" spans="1:34" s="124" customFormat="1" ht="12.75">
      <c r="A23" s="123"/>
      <c r="B23" s="128"/>
      <c r="C23" s="33"/>
      <c r="D23" s="26" t="s">
        <v>11</v>
      </c>
      <c r="E23" s="32"/>
      <c r="F23" s="71">
        <v>282857</v>
      </c>
      <c r="G23" s="71">
        <v>247607</v>
      </c>
      <c r="H23" s="71">
        <v>14032</v>
      </c>
      <c r="I23" s="71">
        <v>0</v>
      </c>
      <c r="J23" s="71">
        <v>47023</v>
      </c>
      <c r="K23" s="71">
        <v>59703</v>
      </c>
      <c r="L23" s="64">
        <f>IFERROR(F23/G23-1,"n/a")</f>
        <v>0.14236269572346494</v>
      </c>
      <c r="M23" s="64">
        <f>IFERROR(F23/H23-1,"n/a")</f>
        <v>19.157996009122005</v>
      </c>
      <c r="N23" s="64" t="str">
        <f>IFERROR(F23/I23-1,"n/a")</f>
        <v>n/a</v>
      </c>
      <c r="O23" s="64">
        <f>IFERROR(F23/J23-1,"n/a")</f>
        <v>5.015290389809242</v>
      </c>
      <c r="P23" s="60">
        <f>IFERROR(F23/K23-1,"n/a")</f>
        <v>3.7377351221881652</v>
      </c>
      <c r="Q23" s="68">
        <f>'Jan-24'!Q23+F23</f>
        <v>596438</v>
      </c>
      <c r="R23" s="68">
        <f>'Jan-24'!R23+G23</f>
        <v>538404</v>
      </c>
      <c r="S23" s="68">
        <f>'Jan-24'!S23+H23</f>
        <v>35860</v>
      </c>
      <c r="T23" s="68">
        <f>'Jan-24'!T23+I23</f>
        <v>0</v>
      </c>
      <c r="U23" s="68">
        <f>'Jan-24'!U23+J23</f>
        <v>112017</v>
      </c>
      <c r="V23" s="68">
        <f>'Jan-24'!V23+K23</f>
        <v>134226</v>
      </c>
      <c r="W23" s="64">
        <f>IFERROR(Q23/R23-1,"n/a")</f>
        <v>0.10778894659029281</v>
      </c>
      <c r="X23" s="64">
        <f>IFERROR(Q23/S23-1,"n/a")</f>
        <v>15.632403792526492</v>
      </c>
      <c r="Y23" s="64" t="str">
        <f>IFERROR(Q23/T23-1,"n/a")</f>
        <v>n/a</v>
      </c>
      <c r="Z23" s="64">
        <f>IFERROR(Q23/U23-1,"n/a")</f>
        <v>4.3245310979583458</v>
      </c>
      <c r="AA23" s="60">
        <f>IFERROR(Q23/V23-1,"n/a")</f>
        <v>3.4435355296291332</v>
      </c>
      <c r="AB23" s="68">
        <v>4449177</v>
      </c>
      <c r="AC23" s="68">
        <v>2165161</v>
      </c>
      <c r="AD23" s="68">
        <v>465109</v>
      </c>
      <c r="AE23" s="68">
        <v>140552</v>
      </c>
      <c r="AF23" s="135">
        <v>2552942</v>
      </c>
      <c r="AG23" s="123"/>
      <c r="AH23" s="123"/>
    </row>
    <row r="24" spans="1:34" s="124" customFormat="1" ht="12.75">
      <c r="A24" s="123"/>
      <c r="B24" s="128"/>
      <c r="C24" s="31" t="s">
        <v>112</v>
      </c>
      <c r="D24" s="26"/>
      <c r="E24" s="32"/>
      <c r="F24" s="72"/>
      <c r="G24" s="72"/>
      <c r="H24" s="72"/>
      <c r="I24" s="72"/>
      <c r="J24" s="72"/>
      <c r="K24" s="72"/>
      <c r="L24" s="64"/>
      <c r="M24" s="64"/>
      <c r="N24" s="64"/>
      <c r="O24" s="64"/>
      <c r="P24" s="60"/>
      <c r="Q24" s="87"/>
      <c r="R24" s="87"/>
      <c r="S24" s="87"/>
      <c r="T24" s="87"/>
      <c r="U24" s="87"/>
      <c r="V24" s="87"/>
      <c r="W24" s="64"/>
      <c r="X24" s="64"/>
      <c r="Y24" s="64"/>
      <c r="Z24" s="64"/>
      <c r="AA24" s="60"/>
      <c r="AB24" s="43"/>
      <c r="AC24" s="43"/>
      <c r="AD24" s="43"/>
      <c r="AE24" s="43"/>
      <c r="AF24" s="136"/>
      <c r="AG24" s="123"/>
      <c r="AH24" s="123"/>
    </row>
    <row r="25" spans="1:34" s="124" customFormat="1" ht="12.75">
      <c r="B25" s="128"/>
      <c r="C25" s="33"/>
      <c r="D25" s="26" t="s">
        <v>5</v>
      </c>
      <c r="E25" s="32"/>
      <c r="F25" s="71">
        <v>0</v>
      </c>
      <c r="G25" s="71">
        <v>0</v>
      </c>
      <c r="H25" s="71">
        <v>0</v>
      </c>
      <c r="I25" s="71">
        <v>0</v>
      </c>
      <c r="J25" s="71">
        <v>0</v>
      </c>
      <c r="K25" s="71">
        <v>0</v>
      </c>
      <c r="L25" s="64" t="str">
        <f>IFERROR(F25/G25-1,"n/a")</f>
        <v>n/a</v>
      </c>
      <c r="M25" s="64" t="str">
        <f>IFERROR(F25/H25-1,"n/a")</f>
        <v>n/a</v>
      </c>
      <c r="N25" s="64" t="str">
        <f>IFERROR(F25/I25-1,"n/a")</f>
        <v>n/a</v>
      </c>
      <c r="O25" s="64" t="str">
        <f>IFERROR(F25/J25-1,"n/a")</f>
        <v>n/a</v>
      </c>
      <c r="P25" s="60" t="str">
        <f>IFERROR(F25/K25-1,"n/a")</f>
        <v>n/a</v>
      </c>
      <c r="Q25" s="68">
        <f>'Jan-24'!Q25+F25</f>
        <v>0</v>
      </c>
      <c r="R25" s="68">
        <f>'Jan-24'!R25+G25</f>
        <v>0</v>
      </c>
      <c r="S25" s="68">
        <f>'Jan-24'!S25+H25</f>
        <v>0</v>
      </c>
      <c r="T25" s="68">
        <f>'Jan-24'!T25+I25</f>
        <v>0</v>
      </c>
      <c r="U25" s="68">
        <f>'Jan-24'!U25+J25</f>
        <v>0</v>
      </c>
      <c r="V25" s="68">
        <f>'Jan-24'!V25+K25</f>
        <v>0</v>
      </c>
      <c r="W25" s="64" t="str">
        <f>IFERROR(Q25/R25-1,"n/a")</f>
        <v>n/a</v>
      </c>
      <c r="X25" s="64" t="str">
        <f>IFERROR(Q25/S25-1,"n/a")</f>
        <v>n/a</v>
      </c>
      <c r="Y25" s="64" t="str">
        <f>IFERROR(Q25/T25-1,"n/a")</f>
        <v>n/a</v>
      </c>
      <c r="Z25" s="64" t="str">
        <f>IFERROR(Q25/U25-1,"n/a")</f>
        <v>n/a</v>
      </c>
      <c r="AA25" s="60" t="str">
        <f>IFERROR(Q25/V25-1,"n/a")</f>
        <v>n/a</v>
      </c>
      <c r="AB25" s="68">
        <v>21</v>
      </c>
      <c r="AC25" s="68">
        <v>9</v>
      </c>
      <c r="AD25" s="68">
        <v>0</v>
      </c>
      <c r="AE25" s="68">
        <v>0</v>
      </c>
      <c r="AF25" s="135">
        <v>16</v>
      </c>
      <c r="AG25" s="123"/>
      <c r="AH25" s="123"/>
    </row>
    <row r="26" spans="1:34" s="124" customFormat="1" ht="12.75">
      <c r="A26" s="123"/>
      <c r="B26" s="128"/>
      <c r="C26" s="33"/>
      <c r="D26" s="26" t="s">
        <v>11</v>
      </c>
      <c r="E26" s="32"/>
      <c r="F26" s="71">
        <v>0</v>
      </c>
      <c r="G26" s="71">
        <v>0</v>
      </c>
      <c r="H26" s="71">
        <v>0</v>
      </c>
      <c r="I26" s="71">
        <v>0</v>
      </c>
      <c r="J26" s="71">
        <v>0</v>
      </c>
      <c r="K26" s="71">
        <v>0</v>
      </c>
      <c r="L26" s="64" t="str">
        <f>IFERROR(F26/G26-1,"n/a")</f>
        <v>n/a</v>
      </c>
      <c r="M26" s="64" t="str">
        <f>IFERROR(F26/H26-1,"n/a")</f>
        <v>n/a</v>
      </c>
      <c r="N26" s="64" t="str">
        <f>IFERROR(F26/I26-1,"n/a")</f>
        <v>n/a</v>
      </c>
      <c r="O26" s="64" t="str">
        <f>IFERROR(F26/J26-1,"n/a")</f>
        <v>n/a</v>
      </c>
      <c r="P26" s="60" t="str">
        <f>IFERROR(F26/K26-1,"n/a")</f>
        <v>n/a</v>
      </c>
      <c r="Q26" s="68">
        <f>'Jan-24'!Q26+F26</f>
        <v>0</v>
      </c>
      <c r="R26" s="68">
        <f>'Jan-24'!R26+G26</f>
        <v>0</v>
      </c>
      <c r="S26" s="68">
        <f>'Jan-24'!S26+H26</f>
        <v>0</v>
      </c>
      <c r="T26" s="68">
        <f>'Jan-24'!T26+I26</f>
        <v>0</v>
      </c>
      <c r="U26" s="68">
        <f>'Jan-24'!U26+J26</f>
        <v>0</v>
      </c>
      <c r="V26" s="68">
        <f>'Jan-24'!V26+K26</f>
        <v>0</v>
      </c>
      <c r="W26" s="64" t="str">
        <f>IFERROR(Q26/R26-1,"n/a")</f>
        <v>n/a</v>
      </c>
      <c r="X26" s="64" t="str">
        <f>IFERROR(Q26/S26-1,"n/a")</f>
        <v>n/a</v>
      </c>
      <c r="Y26" s="64" t="str">
        <f>IFERROR(Q26/T26-1,"n/a")</f>
        <v>n/a</v>
      </c>
      <c r="Z26" s="64" t="str">
        <f>IFERROR(Q26/U26-1,"n/a")</f>
        <v>n/a</v>
      </c>
      <c r="AA26" s="60" t="str">
        <f>IFERROR(Q26/V26-1,"n/a")</f>
        <v>n/a</v>
      </c>
      <c r="AB26" s="68">
        <v>38626</v>
      </c>
      <c r="AC26" s="68">
        <v>15637</v>
      </c>
      <c r="AD26" s="68">
        <v>0</v>
      </c>
      <c r="AE26" s="68">
        <v>0</v>
      </c>
      <c r="AF26" s="137">
        <v>20248</v>
      </c>
      <c r="AG26" s="123"/>
      <c r="AH26" s="123"/>
    </row>
    <row r="27" spans="1:34" s="124" customFormat="1" ht="13.5" thickBot="1">
      <c r="A27" s="123"/>
      <c r="B27" s="128"/>
      <c r="C27" s="35" t="s">
        <v>12</v>
      </c>
      <c r="D27" s="36"/>
      <c r="E27" s="37"/>
      <c r="F27" s="75">
        <f t="shared" ref="F27:K28" si="0">F13+F16+F19+F22+F25</f>
        <v>313</v>
      </c>
      <c r="G27" s="75">
        <f t="shared" si="0"/>
        <v>242</v>
      </c>
      <c r="H27" s="75">
        <f t="shared" si="0"/>
        <v>185</v>
      </c>
      <c r="I27" s="75">
        <f t="shared" si="0"/>
        <v>5</v>
      </c>
      <c r="J27" s="75">
        <f t="shared" si="0"/>
        <v>193</v>
      </c>
      <c r="K27" s="75">
        <f t="shared" si="0"/>
        <v>187</v>
      </c>
      <c r="L27" s="66">
        <f>IFERROR(F27/G27-1,"n/a")</f>
        <v>0.29338842975206614</v>
      </c>
      <c r="M27" s="66">
        <f>IFERROR(F27/H27-1,"n/a")</f>
        <v>0.69189189189189193</v>
      </c>
      <c r="N27" s="66">
        <f>IFERROR(F27/I27-1,"n/a")</f>
        <v>61.6</v>
      </c>
      <c r="O27" s="66">
        <f>IFERROR(F27/J27-1,"n/a")</f>
        <v>0.62176165803108807</v>
      </c>
      <c r="P27" s="62">
        <f>IFERROR(F27/K27-1,"n/a")</f>
        <v>0.6737967914438503</v>
      </c>
      <c r="Q27" s="75">
        <f t="shared" ref="Q27:V28" si="1">Q13+Q16+Q19+Q22+Q25</f>
        <v>619</v>
      </c>
      <c r="R27" s="75">
        <f t="shared" si="1"/>
        <v>545</v>
      </c>
      <c r="S27" s="75">
        <f t="shared" si="1"/>
        <v>371</v>
      </c>
      <c r="T27" s="75">
        <f t="shared" si="1"/>
        <v>7</v>
      </c>
      <c r="U27" s="75">
        <f t="shared" si="1"/>
        <v>405</v>
      </c>
      <c r="V27" s="75">
        <f t="shared" si="1"/>
        <v>405</v>
      </c>
      <c r="W27" s="66">
        <f>IFERROR(Q27/R27-1,"n/a")</f>
        <v>0.13577981651376136</v>
      </c>
      <c r="X27" s="66">
        <f>IFERROR(Q27/S27-1,"n/a")</f>
        <v>0.66846361185983838</v>
      </c>
      <c r="Y27" s="66">
        <f>IFERROR(Q27/T27-1,"n/a")</f>
        <v>87.428571428571431</v>
      </c>
      <c r="Z27" s="66">
        <f>IFERROR(Q27/U27-1,"n/a")</f>
        <v>0.52839506172839501</v>
      </c>
      <c r="AA27" s="62">
        <f>IFERROR(Q27/V27-1,"n/a")</f>
        <v>0.52839506172839501</v>
      </c>
      <c r="AB27" s="75">
        <f>AB13+AB16+AB19+AB22+AB25</f>
        <v>4434</v>
      </c>
      <c r="AC27" s="75">
        <f>AC13+AC16+AC19+AC22+AC25</f>
        <v>3620</v>
      </c>
      <c r="AD27" s="46">
        <f t="shared" ref="AD27:AF28" si="2">AD13+AD16+AD19+AD22+AD25</f>
        <v>1054</v>
      </c>
      <c r="AE27" s="46">
        <f t="shared" si="2"/>
        <v>657</v>
      </c>
      <c r="AF27" s="80">
        <f t="shared" si="2"/>
        <v>3310</v>
      </c>
      <c r="AG27" s="123"/>
      <c r="AH27" s="123"/>
    </row>
    <row r="28" spans="1:34" s="124" customFormat="1" ht="14.25" thickTop="1" thickBot="1">
      <c r="A28" s="123"/>
      <c r="B28" s="128"/>
      <c r="C28" s="38" t="s">
        <v>13</v>
      </c>
      <c r="D28" s="39"/>
      <c r="E28" s="40"/>
      <c r="F28" s="76">
        <f t="shared" si="0"/>
        <v>994232</v>
      </c>
      <c r="G28" s="76">
        <f t="shared" si="0"/>
        <v>723641</v>
      </c>
      <c r="H28" s="76">
        <f t="shared" si="0"/>
        <v>240931</v>
      </c>
      <c r="I28" s="76">
        <f t="shared" si="0"/>
        <v>4669</v>
      </c>
      <c r="J28" s="76">
        <f t="shared" si="0"/>
        <v>494991</v>
      </c>
      <c r="K28" s="76">
        <f t="shared" si="0"/>
        <v>513063</v>
      </c>
      <c r="L28" s="67">
        <f>IFERROR(F28/G28-1,"n/a")</f>
        <v>0.37392989065019799</v>
      </c>
      <c r="M28" s="67">
        <f>IFERROR(F28/H28-1,"n/a")</f>
        <v>3.1266254653822045</v>
      </c>
      <c r="N28" s="67">
        <f>IFERROR(F28/I28-1,"n/a")</f>
        <v>211.9432426643821</v>
      </c>
      <c r="O28" s="67">
        <f>IFERROR(F28/J28-1,"n/a")</f>
        <v>1.0085860146952168</v>
      </c>
      <c r="P28" s="63">
        <f>IFERROR(F28/K28-1,"n/a")</f>
        <v>0.93783609420285607</v>
      </c>
      <c r="Q28" s="76">
        <f t="shared" si="1"/>
        <v>1977097</v>
      </c>
      <c r="R28" s="76">
        <f t="shared" si="1"/>
        <v>1557046</v>
      </c>
      <c r="S28" s="76">
        <f t="shared" si="1"/>
        <v>460887</v>
      </c>
      <c r="T28" s="76">
        <f t="shared" si="1"/>
        <v>5957</v>
      </c>
      <c r="U28" s="76">
        <f t="shared" si="1"/>
        <v>1050029</v>
      </c>
      <c r="V28" s="76">
        <f t="shared" si="1"/>
        <v>1133915</v>
      </c>
      <c r="W28" s="67">
        <f>IFERROR(Q28/R28-1,"n/a")</f>
        <v>0.26977430339244957</v>
      </c>
      <c r="X28" s="67">
        <f>IFERROR(Q28/S28-1,"n/a")</f>
        <v>3.2897651702044106</v>
      </c>
      <c r="Y28" s="67">
        <f>IFERROR(Q28/T28-1,"n/a")</f>
        <v>330.89474567735436</v>
      </c>
      <c r="Z28" s="67">
        <f>IFERROR(Q28/U28-1,"n/a")</f>
        <v>0.88289751997325783</v>
      </c>
      <c r="AA28" s="63">
        <f>IFERROR(Q28/V28-1,"n/a")</f>
        <v>0.74360247461229467</v>
      </c>
      <c r="AB28" s="76">
        <f>AB14+AB17+AB20+AB23+AB26</f>
        <v>12658551</v>
      </c>
      <c r="AC28" s="76">
        <f>AC14+AC17+AC20+AC23+AC26</f>
        <v>7626669</v>
      </c>
      <c r="AD28" s="47">
        <f t="shared" si="2"/>
        <v>1552483</v>
      </c>
      <c r="AE28" s="47">
        <f t="shared" si="2"/>
        <v>1314158</v>
      </c>
      <c r="AF28" s="81">
        <f t="shared" si="2"/>
        <v>9152531</v>
      </c>
      <c r="AG28" s="123"/>
      <c r="AH28" s="123"/>
    </row>
    <row r="29" spans="1:34" s="124" customFormat="1" ht="12" thickTop="1">
      <c r="A29" s="123"/>
      <c r="B29" s="123"/>
      <c r="C29" s="123"/>
      <c r="D29" s="123"/>
      <c r="E29" s="123"/>
      <c r="F29" s="123"/>
      <c r="G29" s="129"/>
      <c r="H29" s="129"/>
      <c r="I29" s="129"/>
      <c r="J29" s="129"/>
      <c r="K29" s="129"/>
      <c r="L29" s="129"/>
      <c r="M29" s="129"/>
      <c r="N29" s="129"/>
      <c r="O29" s="129"/>
      <c r="P29" s="123"/>
      <c r="Q29" s="123"/>
      <c r="R29" s="123"/>
      <c r="S29" s="123"/>
      <c r="T29" s="123"/>
      <c r="U29" s="123"/>
      <c r="V29" s="123"/>
      <c r="W29" s="123"/>
      <c r="X29" s="123"/>
      <c r="Y29" s="123"/>
      <c r="Z29" s="123"/>
      <c r="AA29" s="123"/>
      <c r="AB29" s="123"/>
      <c r="AC29" s="123"/>
      <c r="AD29" s="123"/>
      <c r="AE29" s="123"/>
      <c r="AF29" s="123"/>
      <c r="AG29" s="123"/>
      <c r="AH29" s="123"/>
    </row>
    <row r="30" spans="1:34" s="124" customFormat="1" ht="11.25">
      <c r="A30" s="123"/>
      <c r="B30" s="123"/>
      <c r="C30" s="123"/>
      <c r="D30" s="123"/>
      <c r="E30" s="123"/>
      <c r="F30" s="123"/>
      <c r="G30" s="129"/>
      <c r="H30" s="129"/>
      <c r="I30" s="129"/>
      <c r="J30" s="129"/>
      <c r="K30" s="129"/>
      <c r="L30" s="129"/>
      <c r="M30" s="129"/>
      <c r="N30" s="129"/>
      <c r="O30" s="129"/>
      <c r="P30" s="123"/>
      <c r="Q30" s="123"/>
      <c r="R30" s="129"/>
      <c r="S30" s="123"/>
      <c r="T30" s="123"/>
      <c r="U30" s="123"/>
      <c r="V30" s="123"/>
      <c r="W30" s="123"/>
      <c r="X30" s="123"/>
      <c r="Y30" s="123"/>
      <c r="Z30" s="123"/>
      <c r="AA30" s="123"/>
      <c r="AB30" s="123"/>
      <c r="AC30" s="123"/>
      <c r="AD30" s="123"/>
      <c r="AE30" s="123"/>
      <c r="AF30" s="123"/>
      <c r="AG30" s="123"/>
      <c r="AH30" s="123"/>
    </row>
    <row r="31" spans="1:34" s="124" customFormat="1" ht="12.75">
      <c r="A31" s="123"/>
      <c r="B31" s="130"/>
      <c r="C31" s="131" t="s">
        <v>63</v>
      </c>
      <c r="D31" s="24"/>
      <c r="E31" s="24"/>
      <c r="F31" s="24"/>
      <c r="G31" s="24"/>
      <c r="H31" s="24"/>
      <c r="I31" s="24"/>
      <c r="J31" s="24"/>
      <c r="K31" s="95"/>
      <c r="L31" s="95"/>
      <c r="M31" s="95"/>
      <c r="N31" s="95"/>
      <c r="O31" s="95"/>
      <c r="P31" s="24"/>
      <c r="Q31" s="24"/>
      <c r="R31" s="24"/>
      <c r="S31" s="24"/>
      <c r="T31" s="24"/>
      <c r="U31" s="24"/>
      <c r="V31" s="24"/>
      <c r="W31" s="24"/>
      <c r="X31" s="24"/>
      <c r="Y31" s="24"/>
      <c r="Z31" s="24"/>
      <c r="AA31" s="24"/>
      <c r="AB31" s="24"/>
      <c r="AC31" s="24"/>
      <c r="AD31" s="24"/>
      <c r="AE31" s="24"/>
      <c r="AF31" s="24"/>
      <c r="AG31" s="24"/>
      <c r="AH31" s="123"/>
    </row>
    <row r="32" spans="1:34" s="124" customFormat="1" ht="12.75">
      <c r="A32" s="123"/>
      <c r="B32" s="130"/>
      <c r="C32" s="24"/>
      <c r="D32" s="24"/>
      <c r="E32" s="24"/>
      <c r="F32" s="24"/>
      <c r="G32" s="24"/>
      <c r="H32" s="24"/>
      <c r="I32" s="24"/>
      <c r="J32" s="24"/>
      <c r="K32" s="95"/>
      <c r="L32" s="95"/>
      <c r="M32" s="95"/>
      <c r="N32" s="95"/>
      <c r="O32" s="95"/>
      <c r="P32" s="24"/>
      <c r="Q32" s="24"/>
      <c r="R32" s="24"/>
      <c r="S32" s="24"/>
      <c r="T32" s="24"/>
      <c r="U32" s="24"/>
      <c r="V32" s="24"/>
      <c r="W32" s="24"/>
      <c r="X32" s="24"/>
      <c r="Y32" s="24"/>
      <c r="Z32" s="24"/>
      <c r="AA32" s="24"/>
      <c r="AB32" s="24"/>
      <c r="AC32" s="24"/>
      <c r="AD32" s="24"/>
      <c r="AE32" s="24"/>
      <c r="AF32" s="24"/>
      <c r="AG32" s="24"/>
      <c r="AH32" s="123"/>
    </row>
    <row r="33" spans="1:34" s="124" customFormat="1" ht="15" customHeight="1">
      <c r="A33" s="123"/>
      <c r="B33" s="123"/>
      <c r="C33" s="27" t="s">
        <v>7</v>
      </c>
      <c r="D33" s="28"/>
      <c r="E33" s="28"/>
      <c r="F33" s="158" t="str">
        <f>F9</f>
        <v>February</v>
      </c>
      <c r="G33" s="158"/>
      <c r="H33" s="158"/>
      <c r="I33" s="158"/>
      <c r="J33" s="158"/>
      <c r="K33" s="158"/>
      <c r="L33" s="158"/>
      <c r="M33" s="158"/>
      <c r="N33" s="158"/>
      <c r="O33" s="158"/>
      <c r="P33" s="159"/>
      <c r="Q33" s="161" t="str">
        <f>"April to "&amp;D4&amp;" (YTD)"</f>
        <v>April to February (YTD)</v>
      </c>
      <c r="R33" s="162"/>
      <c r="S33" s="162"/>
      <c r="T33" s="162"/>
      <c r="U33" s="162"/>
      <c r="V33" s="162"/>
      <c r="W33" s="162"/>
      <c r="X33" s="162"/>
      <c r="Y33" s="162"/>
      <c r="Z33" s="162"/>
      <c r="AA33" s="163"/>
      <c r="AB33" s="161" t="s">
        <v>58</v>
      </c>
      <c r="AC33" s="162"/>
      <c r="AD33" s="162"/>
      <c r="AE33" s="162"/>
      <c r="AF33" s="164"/>
    </row>
    <row r="34" spans="1:34" s="124" customFormat="1" ht="11.25">
      <c r="A34" s="123"/>
      <c r="B34" s="123"/>
      <c r="C34" s="29"/>
      <c r="D34" s="30"/>
      <c r="E34" s="30"/>
      <c r="F34" s="143"/>
      <c r="G34" s="144"/>
      <c r="H34" s="144"/>
      <c r="I34" s="144"/>
      <c r="J34" s="144"/>
      <c r="K34" s="144"/>
      <c r="L34" s="144"/>
      <c r="M34" s="144"/>
      <c r="N34" s="144"/>
      <c r="O34" s="144"/>
      <c r="P34" s="145"/>
      <c r="Q34" s="144"/>
      <c r="R34" s="144"/>
      <c r="S34" s="144"/>
      <c r="T34" s="144"/>
      <c r="U34" s="144"/>
      <c r="V34" s="144"/>
      <c r="W34" s="144"/>
      <c r="X34" s="144"/>
      <c r="Y34" s="144"/>
      <c r="Z34" s="144"/>
      <c r="AA34" s="145"/>
      <c r="AB34" s="152"/>
      <c r="AC34" s="153"/>
      <c r="AD34" s="153"/>
      <c r="AE34" s="153"/>
      <c r="AF34" s="154"/>
    </row>
    <row r="35" spans="1:34" s="124" customFormat="1" ht="22.5">
      <c r="A35" s="123"/>
      <c r="B35" s="123"/>
      <c r="C35" s="59" t="s">
        <v>29</v>
      </c>
      <c r="D35" s="50"/>
      <c r="E35" s="51"/>
      <c r="F35" s="55">
        <v>2024</v>
      </c>
      <c r="G35" s="52">
        <v>2023</v>
      </c>
      <c r="H35" s="52">
        <v>2022</v>
      </c>
      <c r="I35" s="52">
        <v>2021</v>
      </c>
      <c r="J35" s="52">
        <v>2020</v>
      </c>
      <c r="K35" s="52">
        <v>2019</v>
      </c>
      <c r="L35" s="53" t="s">
        <v>116</v>
      </c>
      <c r="M35" s="53" t="s">
        <v>117</v>
      </c>
      <c r="N35" s="53" t="s">
        <v>118</v>
      </c>
      <c r="O35" s="53" t="s">
        <v>119</v>
      </c>
      <c r="P35" s="57" t="s">
        <v>101</v>
      </c>
      <c r="Q35" s="53"/>
      <c r="R35" s="53" t="s">
        <v>115</v>
      </c>
      <c r="S35" s="53" t="s">
        <v>53</v>
      </c>
      <c r="T35" s="52" t="s">
        <v>54</v>
      </c>
      <c r="U35" s="52" t="s">
        <v>59</v>
      </c>
      <c r="V35" s="52" t="s">
        <v>64</v>
      </c>
      <c r="W35" s="53"/>
      <c r="X35" s="53" t="s">
        <v>116</v>
      </c>
      <c r="Y35" s="53" t="s">
        <v>117</v>
      </c>
      <c r="Z35" s="53" t="s">
        <v>118</v>
      </c>
      <c r="AA35" s="57" t="s">
        <v>119</v>
      </c>
      <c r="AB35" s="146"/>
      <c r="AC35" s="53" t="s">
        <v>53</v>
      </c>
      <c r="AD35" s="53" t="s">
        <v>54</v>
      </c>
      <c r="AE35" s="53" t="s">
        <v>65</v>
      </c>
      <c r="AF35" s="57" t="s">
        <v>73</v>
      </c>
      <c r="AH35" s="123"/>
    </row>
    <row r="36" spans="1:34" s="124" customFormat="1" ht="11.25">
      <c r="A36" s="123"/>
      <c r="B36" s="123"/>
      <c r="C36" s="31" t="s">
        <v>108</v>
      </c>
      <c r="D36" s="26"/>
      <c r="E36" s="32"/>
      <c r="F36" s="26"/>
      <c r="G36" s="26"/>
      <c r="H36" s="26"/>
      <c r="I36" s="26"/>
      <c r="J36" s="26"/>
      <c r="K36" s="26"/>
      <c r="L36" s="26"/>
      <c r="M36" s="26"/>
      <c r="N36" s="26"/>
      <c r="O36" s="26"/>
      <c r="P36" s="32"/>
      <c r="Q36" s="26"/>
      <c r="R36" s="26"/>
      <c r="S36" s="26"/>
      <c r="T36" s="26"/>
      <c r="U36" s="26"/>
      <c r="V36" s="123"/>
      <c r="W36" s="26"/>
      <c r="X36" s="26"/>
      <c r="Y36" s="123"/>
      <c r="Z36" s="26"/>
      <c r="AA36" s="32"/>
      <c r="AB36" s="147"/>
      <c r="AC36" s="26"/>
      <c r="AD36" s="26"/>
      <c r="AE36" s="88"/>
      <c r="AF36" s="85"/>
      <c r="AH36" s="123"/>
    </row>
    <row r="37" spans="1:34" s="124" customFormat="1" ht="11.25">
      <c r="A37" s="123"/>
      <c r="B37" s="123"/>
      <c r="C37" s="33"/>
      <c r="D37" s="26" t="s">
        <v>5</v>
      </c>
      <c r="E37" s="32"/>
      <c r="F37" s="74">
        <f t="shared" ref="F37:K38" si="3">F13</f>
        <v>224</v>
      </c>
      <c r="G37" s="74">
        <f t="shared" si="3"/>
        <v>161</v>
      </c>
      <c r="H37" s="74">
        <f t="shared" si="3"/>
        <v>162</v>
      </c>
      <c r="I37" s="74">
        <f t="shared" si="3"/>
        <v>0</v>
      </c>
      <c r="J37" s="74">
        <f t="shared" si="3"/>
        <v>175</v>
      </c>
      <c r="K37" s="74">
        <f t="shared" si="3"/>
        <v>157</v>
      </c>
      <c r="L37" s="64">
        <f>IFERROR(F37/G37-1,"n/a")</f>
        <v>0.39130434782608692</v>
      </c>
      <c r="M37" s="64">
        <f>IFERROR(F37/H37-1,"n/a")</f>
        <v>0.38271604938271597</v>
      </c>
      <c r="N37" s="64" t="str">
        <f>IFERROR(F37/I37-1,"n/a")</f>
        <v>n/a</v>
      </c>
      <c r="O37" s="64">
        <f>IFERROR(F37/J37-1,"n/a")</f>
        <v>0.28000000000000003</v>
      </c>
      <c r="P37" s="60">
        <f>IFERROR(F37/K37-1,"n/a")</f>
        <v>0.4267515923566878</v>
      </c>
      <c r="Q37" s="64"/>
      <c r="R37" s="74">
        <f>'Jan-24'!R37+'Feb-24'!F37</f>
        <v>1521</v>
      </c>
      <c r="S37" s="74">
        <f>'Jan-24'!S37+'Feb-24'!G37</f>
        <v>1305</v>
      </c>
      <c r="T37" s="74">
        <f>'Jan-24'!T37+'Feb-24'!H37</f>
        <v>841</v>
      </c>
      <c r="U37" s="74">
        <f>'Jan-24'!U37+'Feb-24'!I37</f>
        <v>42</v>
      </c>
      <c r="V37" s="74">
        <f>'Jan-24'!V37+'Feb-24'!J37</f>
        <v>1430</v>
      </c>
      <c r="W37" s="64"/>
      <c r="X37" s="120">
        <f>IFERROR(R37/S37-1,"n/a")</f>
        <v>0.16551724137931045</v>
      </c>
      <c r="Y37" s="120">
        <f>IFERROR(R37/T37-1,"n/a")</f>
        <v>0.80856123662306767</v>
      </c>
      <c r="Z37" s="120">
        <f>IFERROR(R37/U37-1,"n/a")</f>
        <v>35.214285714285715</v>
      </c>
      <c r="AA37" s="121">
        <f>IFERROR(R37/V37-1,"n/a")</f>
        <v>6.3636363636363713E-2</v>
      </c>
      <c r="AB37" s="148"/>
      <c r="AC37" s="89">
        <v>1486</v>
      </c>
      <c r="AD37" s="89">
        <v>1052</v>
      </c>
      <c r="AE37" s="70">
        <v>551</v>
      </c>
      <c r="AF37" s="78">
        <v>1584</v>
      </c>
      <c r="AH37" s="123"/>
    </row>
    <row r="38" spans="1:34" s="124" customFormat="1" ht="11.25">
      <c r="A38" s="123"/>
      <c r="B38" s="123"/>
      <c r="C38" s="33"/>
      <c r="D38" s="26" t="s">
        <v>11</v>
      </c>
      <c r="E38" s="32"/>
      <c r="F38" s="74">
        <f t="shared" si="3"/>
        <v>674695</v>
      </c>
      <c r="G38" s="74">
        <f t="shared" si="3"/>
        <v>449661</v>
      </c>
      <c r="H38" s="74">
        <f t="shared" si="3"/>
        <v>219545</v>
      </c>
      <c r="I38" s="74">
        <f t="shared" si="3"/>
        <v>0</v>
      </c>
      <c r="J38" s="74">
        <f t="shared" si="3"/>
        <v>430518</v>
      </c>
      <c r="K38" s="74">
        <f t="shared" si="3"/>
        <v>425246</v>
      </c>
      <c r="L38" s="64">
        <f>IFERROR(F38/G38-1,"n/a")</f>
        <v>0.50045256315313091</v>
      </c>
      <c r="M38" s="64">
        <f>IFERROR(F38/H38-1,"n/a")</f>
        <v>2.0731512901683025</v>
      </c>
      <c r="N38" s="64" t="str">
        <f>IFERROR(F38/I38-1,"n/a")</f>
        <v>n/a</v>
      </c>
      <c r="O38" s="64">
        <f>IFERROR(F38/J38-1,"n/a")</f>
        <v>0.5671702460756578</v>
      </c>
      <c r="P38" s="60">
        <f>IFERROR(F38/K38-1,"n/a")</f>
        <v>0.58659928606030398</v>
      </c>
      <c r="Q38" s="64"/>
      <c r="R38" s="74">
        <f>'Jan-24'!R38+'Feb-24'!F38</f>
        <v>4990356</v>
      </c>
      <c r="S38" s="74">
        <f>'Jan-24'!S38+'Feb-24'!G38</f>
        <v>3805365</v>
      </c>
      <c r="T38" s="74">
        <f>'Jan-24'!T38+'Feb-24'!H38</f>
        <v>1178358</v>
      </c>
      <c r="U38" s="74">
        <f>'Jan-24'!U38+'Feb-24'!I38</f>
        <v>0</v>
      </c>
      <c r="V38" s="74">
        <f>'Jan-24'!V38+'Feb-24'!J38</f>
        <v>4016570</v>
      </c>
      <c r="W38" s="64"/>
      <c r="X38" s="120">
        <f>IFERROR(R38/S38-1,"n/a")</f>
        <v>0.31140008908475281</v>
      </c>
      <c r="Y38" s="120">
        <f>IFERROR(R38/T38-1,"n/a")</f>
        <v>3.2350083760622832</v>
      </c>
      <c r="Z38" s="120" t="str">
        <f>IFERROR(R38/U38-1,"n/a")</f>
        <v>n/a</v>
      </c>
      <c r="AA38" s="121">
        <f>IFERROR(R38/V38-1,"n/a")</f>
        <v>0.24244218325586253</v>
      </c>
      <c r="AB38" s="148"/>
      <c r="AC38" s="89">
        <v>4370939</v>
      </c>
      <c r="AD38" s="89">
        <v>1527970</v>
      </c>
      <c r="AE38" s="84">
        <v>1092884</v>
      </c>
      <c r="AF38" s="78">
        <v>4234259</v>
      </c>
      <c r="AH38" s="123"/>
    </row>
    <row r="39" spans="1:34" s="124" customFormat="1" ht="11.25">
      <c r="A39" s="123"/>
      <c r="B39" s="123"/>
      <c r="C39" s="31" t="s">
        <v>109</v>
      </c>
      <c r="D39" s="26"/>
      <c r="E39" s="32"/>
      <c r="F39" s="26"/>
      <c r="G39" s="26"/>
      <c r="H39" s="26"/>
      <c r="I39" s="26"/>
      <c r="J39" s="26"/>
      <c r="K39" s="26"/>
      <c r="L39" s="64"/>
      <c r="M39" s="64"/>
      <c r="N39" s="64"/>
      <c r="O39" s="64"/>
      <c r="P39" s="61"/>
      <c r="Q39" s="65"/>
      <c r="R39" s="26"/>
      <c r="S39" s="26"/>
      <c r="T39" s="26"/>
      <c r="U39" s="26"/>
      <c r="V39" s="26"/>
      <c r="W39" s="64"/>
      <c r="X39" s="65"/>
      <c r="Y39" s="65"/>
      <c r="Z39" s="65"/>
      <c r="AA39" s="61"/>
      <c r="AB39" s="149"/>
      <c r="AC39" s="90"/>
      <c r="AD39" s="90"/>
      <c r="AE39" s="44"/>
      <c r="AF39" s="79"/>
      <c r="AH39" s="123"/>
    </row>
    <row r="40" spans="1:34" s="124" customFormat="1" ht="11.25">
      <c r="A40" s="123"/>
      <c r="B40" s="123"/>
      <c r="C40" s="33"/>
      <c r="D40" s="26" t="s">
        <v>5</v>
      </c>
      <c r="E40" s="32"/>
      <c r="F40" s="74">
        <f t="shared" ref="F40:K41" si="4">F16</f>
        <v>8</v>
      </c>
      <c r="G40" s="74">
        <f t="shared" si="4"/>
        <v>6</v>
      </c>
      <c r="H40" s="74">
        <f t="shared" si="4"/>
        <v>7</v>
      </c>
      <c r="I40" s="74">
        <f t="shared" si="4"/>
        <v>5</v>
      </c>
      <c r="J40" s="74">
        <f t="shared" si="4"/>
        <v>4</v>
      </c>
      <c r="K40" s="74">
        <f t="shared" si="4"/>
        <v>8</v>
      </c>
      <c r="L40" s="64">
        <f>IFERROR(F40/G40-1,"n/a")</f>
        <v>0.33333333333333326</v>
      </c>
      <c r="M40" s="64">
        <f>IFERROR(F40/H40-1,"n/a")</f>
        <v>0.14285714285714279</v>
      </c>
      <c r="N40" s="64">
        <f>IFERROR(F40/I40-1,"n/a")</f>
        <v>0.60000000000000009</v>
      </c>
      <c r="O40" s="64">
        <f>IFERROR(F40/J40-1,"n/a")</f>
        <v>1</v>
      </c>
      <c r="P40" s="60">
        <f>IFERROR(F40/K40-1,"n/a")</f>
        <v>0</v>
      </c>
      <c r="Q40" s="64"/>
      <c r="R40" s="74">
        <f>'Jan-24'!R40+'Feb-24'!F40</f>
        <v>566</v>
      </c>
      <c r="S40" s="74">
        <f>'Jan-24'!S40+'Feb-24'!G40</f>
        <v>547</v>
      </c>
      <c r="T40" s="74">
        <f>'Jan-24'!T40+'Feb-24'!H40</f>
        <v>202</v>
      </c>
      <c r="U40" s="74">
        <f>'Jan-24'!U40+'Feb-24'!I40</f>
        <v>51</v>
      </c>
      <c r="V40" s="74">
        <f>'Jan-24'!V40+'Feb-24'!J40</f>
        <v>579</v>
      </c>
      <c r="W40" s="64"/>
      <c r="X40" s="120">
        <f>IFERROR(R40/S40-1,"n/a")</f>
        <v>3.4734917733089565E-2</v>
      </c>
      <c r="Y40" s="120">
        <f>IFERROR(R40/T40-1,"n/a")</f>
        <v>1.8019801980198018</v>
      </c>
      <c r="Z40" s="120">
        <f>IFERROR(R40/U40-1,"n/a")</f>
        <v>10.098039215686274</v>
      </c>
      <c r="AA40" s="121">
        <f>IFERROR(R40/V40-1,"n/a")</f>
        <v>-2.2452504317789335E-2</v>
      </c>
      <c r="AB40" s="148"/>
      <c r="AC40" s="89">
        <v>563</v>
      </c>
      <c r="AD40" s="89">
        <v>226</v>
      </c>
      <c r="AE40" s="70">
        <v>66</v>
      </c>
      <c r="AF40" s="78">
        <v>573</v>
      </c>
      <c r="AH40" s="123"/>
    </row>
    <row r="41" spans="1:34" s="124" customFormat="1" ht="11.25">
      <c r="A41" s="123"/>
      <c r="B41" s="123"/>
      <c r="C41" s="33"/>
      <c r="D41" s="26" t="s">
        <v>11</v>
      </c>
      <c r="E41" s="32"/>
      <c r="F41" s="74">
        <f t="shared" si="4"/>
        <v>31100</v>
      </c>
      <c r="G41" s="74">
        <f t="shared" si="4"/>
        <v>24121</v>
      </c>
      <c r="H41" s="74">
        <f t="shared" si="4"/>
        <v>6429</v>
      </c>
      <c r="I41" s="74">
        <f t="shared" si="4"/>
        <v>4669</v>
      </c>
      <c r="J41" s="74">
        <f t="shared" si="4"/>
        <v>17407</v>
      </c>
      <c r="K41" s="74">
        <f t="shared" si="4"/>
        <v>26946</v>
      </c>
      <c r="L41" s="64">
        <f>IFERROR(F41/G41-1,"n/a")</f>
        <v>0.2893329463952572</v>
      </c>
      <c r="M41" s="64">
        <f>IFERROR(F41/H41-1,"n/a")</f>
        <v>3.8374552807590607</v>
      </c>
      <c r="N41" s="64">
        <f>IFERROR(F41/I41-1,"n/a")</f>
        <v>5.6609552366673803</v>
      </c>
      <c r="O41" s="64">
        <f>IFERROR(F41/J41-1,"n/a")</f>
        <v>0.78663755960245885</v>
      </c>
      <c r="P41" s="60">
        <f>IFERROR(F41/K41-1,"n/a")</f>
        <v>0.15416017219624445</v>
      </c>
      <c r="Q41" s="64"/>
      <c r="R41" s="74">
        <f>'Jan-24'!R41+'Feb-24'!F41</f>
        <v>1653866</v>
      </c>
      <c r="S41" s="74">
        <f>'Jan-24'!S41+'Feb-24'!G41</f>
        <v>969375</v>
      </c>
      <c r="T41" s="74">
        <f>'Jan-24'!T41+'Feb-24'!H41</f>
        <v>300563</v>
      </c>
      <c r="U41" s="74">
        <f>'Jan-24'!U41+'Feb-24'!I41</f>
        <v>35519</v>
      </c>
      <c r="V41" s="74">
        <f>'Jan-24'!V41+'Feb-24'!J41</f>
        <v>1358707</v>
      </c>
      <c r="W41" s="64"/>
      <c r="X41" s="120">
        <f>IFERROR(R41/S41-1,"n/a")</f>
        <v>0.70611579626047716</v>
      </c>
      <c r="Y41" s="120">
        <f>IFERROR(R41/T41-1,"n/a")</f>
        <v>4.5025601953666952</v>
      </c>
      <c r="Z41" s="120">
        <f>IFERROR(R41/U41-1,"n/a")</f>
        <v>45.562853683943807</v>
      </c>
      <c r="AA41" s="121">
        <f>IFERROR(R41/V41-1,"n/a")</f>
        <v>0.21723520965152909</v>
      </c>
      <c r="AB41" s="148"/>
      <c r="AC41" s="89">
        <v>1012510</v>
      </c>
      <c r="AD41" s="89">
        <v>327926</v>
      </c>
      <c r="AE41" s="84">
        <v>80778</v>
      </c>
      <c r="AF41" s="78">
        <v>1361671</v>
      </c>
      <c r="AH41" s="123"/>
    </row>
    <row r="42" spans="1:34" s="124" customFormat="1" ht="11.25">
      <c r="A42" s="123"/>
      <c r="B42" s="123"/>
      <c r="C42" s="31" t="s">
        <v>110</v>
      </c>
      <c r="D42" s="26"/>
      <c r="E42" s="32"/>
      <c r="F42" s="87"/>
      <c r="G42" s="87"/>
      <c r="H42" s="87"/>
      <c r="I42" s="87"/>
      <c r="J42" s="87"/>
      <c r="K42" s="72"/>
      <c r="L42" s="64"/>
      <c r="M42" s="64"/>
      <c r="N42" s="64"/>
      <c r="O42" s="64"/>
      <c r="P42" s="60"/>
      <c r="Q42" s="64"/>
      <c r="R42" s="87"/>
      <c r="S42" s="87"/>
      <c r="T42" s="87"/>
      <c r="U42" s="87"/>
      <c r="V42" s="87"/>
      <c r="W42" s="64"/>
      <c r="X42" s="64"/>
      <c r="Y42" s="64"/>
      <c r="Z42" s="64"/>
      <c r="AA42" s="60"/>
      <c r="AB42" s="148"/>
      <c r="AC42" s="90"/>
      <c r="AD42" s="90"/>
      <c r="AE42" s="44"/>
      <c r="AF42" s="79"/>
      <c r="AH42" s="123"/>
    </row>
    <row r="43" spans="1:34" s="124" customFormat="1" ht="11.25">
      <c r="A43" s="123"/>
      <c r="B43" s="123"/>
      <c r="C43" s="33"/>
      <c r="D43" s="26" t="s">
        <v>5</v>
      </c>
      <c r="E43" s="32"/>
      <c r="F43" s="74">
        <f t="shared" ref="F43:K44" si="5">F19</f>
        <v>4</v>
      </c>
      <c r="G43" s="74">
        <f t="shared" si="5"/>
        <v>2</v>
      </c>
      <c r="H43" s="74">
        <f t="shared" si="5"/>
        <v>3</v>
      </c>
      <c r="I43" s="74">
        <f t="shared" si="5"/>
        <v>0</v>
      </c>
      <c r="J43" s="74">
        <f t="shared" si="5"/>
        <v>0</v>
      </c>
      <c r="K43" s="74">
        <f t="shared" si="5"/>
        <v>1</v>
      </c>
      <c r="L43" s="64">
        <f>IFERROR(F43/G43-1,"n/a")</f>
        <v>1</v>
      </c>
      <c r="M43" s="64">
        <f>IFERROR(F43/H43-1,"n/a")</f>
        <v>0.33333333333333326</v>
      </c>
      <c r="N43" s="64" t="str">
        <f>IFERROR(F43/I43-1,"n/a")</f>
        <v>n/a</v>
      </c>
      <c r="O43" s="64" t="str">
        <f>IFERROR(F43/J43-1,"n/a")</f>
        <v>n/a</v>
      </c>
      <c r="P43" s="60">
        <f>IFERROR(F43/K43-1,"n/a")</f>
        <v>3</v>
      </c>
      <c r="Q43" s="64"/>
      <c r="R43" s="74">
        <f>'Jan-24'!R43+'Feb-24'!F43</f>
        <v>691</v>
      </c>
      <c r="S43" s="74">
        <f>'Jan-24'!S43+'Feb-24'!G43</f>
        <v>652</v>
      </c>
      <c r="T43" s="74">
        <f>'Jan-24'!T43+'Feb-24'!H43</f>
        <v>53</v>
      </c>
      <c r="U43" s="74">
        <f>'Jan-24'!U43+'Feb-24'!I43</f>
        <v>7</v>
      </c>
      <c r="V43" s="74">
        <f>'Jan-24'!V43+'Feb-24'!J43</f>
        <v>285</v>
      </c>
      <c r="W43" s="64"/>
      <c r="X43" s="120">
        <f>IFERROR(R43/S43-1,"n/a")</f>
        <v>5.9815950920245387E-2</v>
      </c>
      <c r="Y43" s="120">
        <f>IFERROR(R43/T43-1,"n/a")</f>
        <v>12.037735849056604</v>
      </c>
      <c r="Z43" s="120">
        <f>IFERROR(R43/U43-1,"n/a")</f>
        <v>97.714285714285708</v>
      </c>
      <c r="AA43" s="121">
        <f>IFERROR(R43/V43-1,"n/a")</f>
        <v>1.4245614035087719</v>
      </c>
      <c r="AB43" s="148"/>
      <c r="AC43" s="89">
        <v>669</v>
      </c>
      <c r="AD43" s="89">
        <v>59</v>
      </c>
      <c r="AE43" s="70">
        <v>9</v>
      </c>
      <c r="AF43" s="78">
        <v>287</v>
      </c>
      <c r="AH43" s="123"/>
    </row>
    <row r="44" spans="1:34" s="124" customFormat="1" ht="11.25">
      <c r="A44" s="123"/>
      <c r="B44" s="123"/>
      <c r="C44" s="33"/>
      <c r="D44" s="26" t="s">
        <v>11</v>
      </c>
      <c r="E44" s="32"/>
      <c r="F44" s="74">
        <f t="shared" si="5"/>
        <v>5580</v>
      </c>
      <c r="G44" s="74">
        <f t="shared" si="5"/>
        <v>2252</v>
      </c>
      <c r="H44" s="74">
        <f t="shared" si="5"/>
        <v>925</v>
      </c>
      <c r="I44" s="74">
        <f t="shared" si="5"/>
        <v>0</v>
      </c>
      <c r="J44" s="74">
        <f t="shared" si="5"/>
        <v>43</v>
      </c>
      <c r="K44" s="74">
        <f t="shared" si="5"/>
        <v>1168</v>
      </c>
      <c r="L44" s="64">
        <f>IFERROR(F44/G44-1,"n/a")</f>
        <v>1.4777975133214922</v>
      </c>
      <c r="M44" s="64">
        <f>IFERROR(F44/H44-1,"n/a")</f>
        <v>5.0324324324324321</v>
      </c>
      <c r="N44" s="64" t="str">
        <f>IFERROR(F44/I44-1,"n/a")</f>
        <v>n/a</v>
      </c>
      <c r="O44" s="64">
        <f>IFERROR(F44/J44-1,"n/a")</f>
        <v>128.76744186046511</v>
      </c>
      <c r="P44" s="60">
        <f>IFERROR(F44/K44-1,"n/a")</f>
        <v>3.7773972602739727</v>
      </c>
      <c r="Q44" s="64"/>
      <c r="R44" s="74">
        <f>'Jan-24'!R44+'Feb-24'!F44</f>
        <v>1265100</v>
      </c>
      <c r="S44" s="74">
        <f>'Jan-24'!S44+'Feb-24'!G44</f>
        <v>890522</v>
      </c>
      <c r="T44" s="74">
        <f>'Jan-24'!T44+'Feb-24'!H44</f>
        <v>19280</v>
      </c>
      <c r="U44" s="74">
        <f>'Jan-24'!U44+'Feb-24'!I44</f>
        <v>8294</v>
      </c>
      <c r="V44" s="74">
        <f>'Jan-24'!V44+'Feb-24'!J44</f>
        <v>580312</v>
      </c>
      <c r="W44" s="64"/>
      <c r="X44" s="120">
        <f>IFERROR(R44/S44-1,"n/a")</f>
        <v>0.42062745221342079</v>
      </c>
      <c r="Y44" s="120">
        <f>IFERROR(R44/T44-1,"n/a")</f>
        <v>64.617219917012449</v>
      </c>
      <c r="Z44" s="120">
        <f>IFERROR(R44/U44-1,"n/a")</f>
        <v>151.53195080781288</v>
      </c>
      <c r="AA44" s="121">
        <f>IFERROR(R44/V44-1,"n/a")</f>
        <v>1.1800341885054935</v>
      </c>
      <c r="AB44" s="148"/>
      <c r="AC44" s="82">
        <v>905256</v>
      </c>
      <c r="AD44" s="82">
        <v>20626</v>
      </c>
      <c r="AE44" s="84">
        <v>10047</v>
      </c>
      <c r="AF44" s="78">
        <v>581199</v>
      </c>
      <c r="AH44" s="123"/>
    </row>
    <row r="45" spans="1:34" s="124" customFormat="1" ht="11.25">
      <c r="A45" s="123"/>
      <c r="B45" s="123"/>
      <c r="C45" s="31" t="s">
        <v>111</v>
      </c>
      <c r="D45" s="26"/>
      <c r="E45" s="34"/>
      <c r="F45" s="72"/>
      <c r="G45" s="72"/>
      <c r="H45" s="72"/>
      <c r="I45" s="72"/>
      <c r="J45" s="72"/>
      <c r="K45" s="72"/>
      <c r="L45" s="64"/>
      <c r="M45" s="64"/>
      <c r="N45" s="64"/>
      <c r="O45" s="64"/>
      <c r="P45" s="60"/>
      <c r="Q45" s="64"/>
      <c r="R45" s="72"/>
      <c r="S45" s="72"/>
      <c r="T45" s="72"/>
      <c r="U45" s="72"/>
      <c r="V45" s="72"/>
      <c r="W45" s="64"/>
      <c r="X45" s="64"/>
      <c r="Y45" s="64"/>
      <c r="Z45" s="64"/>
      <c r="AA45" s="60"/>
      <c r="AB45" s="148"/>
      <c r="AC45" s="90"/>
      <c r="AD45" s="90"/>
      <c r="AE45" s="44"/>
      <c r="AF45" s="79"/>
      <c r="AH45" s="123"/>
    </row>
    <row r="46" spans="1:34" s="124" customFormat="1" ht="11.25">
      <c r="A46" s="123"/>
      <c r="B46" s="123"/>
      <c r="C46" s="33"/>
      <c r="D46" s="26" t="s">
        <v>5</v>
      </c>
      <c r="E46" s="34"/>
      <c r="F46" s="74">
        <f t="shared" ref="F46:K47" si="6">F22</f>
        <v>77</v>
      </c>
      <c r="G46" s="74">
        <f t="shared" si="6"/>
        <v>73</v>
      </c>
      <c r="H46" s="74">
        <f t="shared" si="6"/>
        <v>13</v>
      </c>
      <c r="I46" s="74">
        <f t="shared" si="6"/>
        <v>0</v>
      </c>
      <c r="J46" s="74">
        <f t="shared" si="6"/>
        <v>14</v>
      </c>
      <c r="K46" s="74">
        <f t="shared" si="6"/>
        <v>21</v>
      </c>
      <c r="L46" s="64">
        <f>IFERROR(F46/G46-1,"n/a")</f>
        <v>5.4794520547945202E-2</v>
      </c>
      <c r="M46" s="64">
        <f>IFERROR(F46/H46-1,"n/a")</f>
        <v>4.9230769230769234</v>
      </c>
      <c r="N46" s="64" t="str">
        <f>IFERROR(F46/I46-1,"n/a")</f>
        <v>n/a</v>
      </c>
      <c r="O46" s="64">
        <f>IFERROR(F46/J46-1,"n/a")</f>
        <v>4.5</v>
      </c>
      <c r="P46" s="60">
        <f>IFERROR(F46/K46-1,"n/a")</f>
        <v>2.6666666666666665</v>
      </c>
      <c r="Q46" s="64"/>
      <c r="R46" s="74">
        <f>'Jan-24'!R46+'Feb-24'!F46</f>
        <v>1384</v>
      </c>
      <c r="S46" s="74">
        <f>'Jan-24'!S46+'Feb-24'!G46</f>
        <v>1017</v>
      </c>
      <c r="T46" s="74">
        <f>'Jan-24'!T46+'Feb-24'!H46</f>
        <v>312</v>
      </c>
      <c r="U46" s="74">
        <f>'Jan-24'!U46+'Feb-24'!I46</f>
        <v>0</v>
      </c>
      <c r="V46" s="74">
        <f>'Jan-24'!V46+'Feb-24'!J46</f>
        <v>771</v>
      </c>
      <c r="W46" s="64"/>
      <c r="X46" s="120">
        <f>IFERROR(R46/S46-1,"n/a")</f>
        <v>0.36086529006882984</v>
      </c>
      <c r="Y46" s="120">
        <f>IFERROR(R46/T46-1,"n/a")</f>
        <v>3.4358974358974361</v>
      </c>
      <c r="Z46" s="120" t="str">
        <f>IFERROR(R46/U46-1,"n/a")</f>
        <v>n/a</v>
      </c>
      <c r="AA46" s="121">
        <f>IFERROR(R46/V46-1,"n/a")</f>
        <v>0.79507133592736712</v>
      </c>
      <c r="AB46" s="148"/>
      <c r="AC46" s="89">
        <v>1129</v>
      </c>
      <c r="AD46" s="89">
        <v>336</v>
      </c>
      <c r="AE46" s="84">
        <v>43</v>
      </c>
      <c r="AF46" s="78">
        <v>781</v>
      </c>
      <c r="AH46" s="123"/>
    </row>
    <row r="47" spans="1:34" s="124" customFormat="1" ht="11.25">
      <c r="A47" s="123"/>
      <c r="B47" s="123"/>
      <c r="C47" s="33"/>
      <c r="D47" s="26" t="s">
        <v>11</v>
      </c>
      <c r="E47" s="32"/>
      <c r="F47" s="74">
        <f t="shared" si="6"/>
        <v>282857</v>
      </c>
      <c r="G47" s="74">
        <f t="shared" si="6"/>
        <v>247607</v>
      </c>
      <c r="H47" s="74">
        <f t="shared" si="6"/>
        <v>14032</v>
      </c>
      <c r="I47" s="74">
        <f t="shared" si="6"/>
        <v>0</v>
      </c>
      <c r="J47" s="74">
        <f t="shared" si="6"/>
        <v>47023</v>
      </c>
      <c r="K47" s="74">
        <f t="shared" si="6"/>
        <v>59703</v>
      </c>
      <c r="L47" s="64">
        <f>IFERROR(F47/G47-1,"n/a")</f>
        <v>0.14236269572346494</v>
      </c>
      <c r="M47" s="64">
        <f>IFERROR(F47/H47-1,"n/a")</f>
        <v>19.157996009122005</v>
      </c>
      <c r="N47" s="64" t="str">
        <f>IFERROR(F47/I47-1,"n/a")</f>
        <v>n/a</v>
      </c>
      <c r="O47" s="64">
        <f>IFERROR(F47/J47-1,"n/a")</f>
        <v>5.015290389809242</v>
      </c>
      <c r="P47" s="60">
        <f>IFERROR(F47/K47-1,"n/a")</f>
        <v>3.7377351221881652</v>
      </c>
      <c r="Q47" s="64"/>
      <c r="R47" s="74">
        <f>'Jan-24'!R47+'Feb-24'!F47</f>
        <v>4200630</v>
      </c>
      <c r="S47" s="74">
        <f>'Jan-24'!S47+'Feb-24'!G47</f>
        <v>2629200</v>
      </c>
      <c r="T47" s="74">
        <f>'Jan-24'!T47+'Feb-24'!H47</f>
        <v>500969</v>
      </c>
      <c r="U47" s="74">
        <f>'Jan-24'!U47+'Feb-24'!I47</f>
        <v>0</v>
      </c>
      <c r="V47" s="74">
        <f>'Jan-24'!V47+'Feb-24'!J47</f>
        <v>2413059</v>
      </c>
      <c r="W47" s="64"/>
      <c r="X47" s="120">
        <f>IFERROR(R47/S47-1,"n/a")</f>
        <v>0.59768370607028753</v>
      </c>
      <c r="Y47" s="120">
        <f>IFERROR(R47/T47-1,"n/a")</f>
        <v>7.3850098509089381</v>
      </c>
      <c r="Z47" s="120" t="str">
        <f>IFERROR(R47/U47-1,"n/a")</f>
        <v>n/a</v>
      </c>
      <c r="AA47" s="121">
        <f>IFERROR(R47/V47-1,"n/a")</f>
        <v>0.74079042410483953</v>
      </c>
      <c r="AB47" s="148"/>
      <c r="AC47" s="82">
        <v>2932981</v>
      </c>
      <c r="AD47" s="82">
        <v>533563</v>
      </c>
      <c r="AE47" s="84">
        <v>140552</v>
      </c>
      <c r="AF47" s="78">
        <v>2441594</v>
      </c>
      <c r="AH47" s="123"/>
    </row>
    <row r="48" spans="1:34" s="124" customFormat="1" ht="11.25">
      <c r="C48" s="31" t="s">
        <v>112</v>
      </c>
      <c r="D48" s="26"/>
      <c r="E48" s="32"/>
      <c r="F48" s="72"/>
      <c r="G48" s="72"/>
      <c r="H48" s="72"/>
      <c r="I48" s="72"/>
      <c r="J48" s="72"/>
      <c r="K48" s="72"/>
      <c r="L48" s="64"/>
      <c r="M48" s="64"/>
      <c r="N48" s="64"/>
      <c r="O48" s="64"/>
      <c r="P48" s="60"/>
      <c r="Q48" s="64"/>
      <c r="R48" s="72"/>
      <c r="S48" s="72"/>
      <c r="T48" s="72"/>
      <c r="U48" s="72"/>
      <c r="V48" s="72"/>
      <c r="W48" s="64"/>
      <c r="X48" s="64"/>
      <c r="Y48" s="64"/>
      <c r="Z48" s="64"/>
      <c r="AA48" s="60"/>
      <c r="AB48" s="148"/>
      <c r="AC48" s="90"/>
      <c r="AD48" s="90"/>
      <c r="AE48" s="44"/>
      <c r="AF48" s="79"/>
      <c r="AH48" s="123"/>
    </row>
    <row r="49" spans="3:34" s="124" customFormat="1" ht="11.25">
      <c r="C49" s="33"/>
      <c r="D49" s="26" t="s">
        <v>5</v>
      </c>
      <c r="E49" s="32"/>
      <c r="F49" s="74">
        <f t="shared" ref="F49:K50" si="7">F25</f>
        <v>0</v>
      </c>
      <c r="G49" s="74">
        <f t="shared" si="7"/>
        <v>0</v>
      </c>
      <c r="H49" s="74">
        <f t="shared" si="7"/>
        <v>0</v>
      </c>
      <c r="I49" s="74">
        <f t="shared" si="7"/>
        <v>0</v>
      </c>
      <c r="J49" s="74">
        <f t="shared" si="7"/>
        <v>0</v>
      </c>
      <c r="K49" s="74">
        <f t="shared" si="7"/>
        <v>0</v>
      </c>
      <c r="L49" s="64" t="str">
        <f>IFERROR(F49/G49-1,"n/a")</f>
        <v>n/a</v>
      </c>
      <c r="M49" s="64" t="str">
        <f>IFERROR(F49/H49-1,"n/a")</f>
        <v>n/a</v>
      </c>
      <c r="N49" s="64" t="str">
        <f>IFERROR(F49/I49-1,"n/a")</f>
        <v>n/a</v>
      </c>
      <c r="O49" s="64" t="str">
        <f>IFERROR(F49/J49-1,"n/a")</f>
        <v>n/a</v>
      </c>
      <c r="P49" s="60" t="str">
        <f>IFERROR(F49/K49-1,"n/a")</f>
        <v>n/a</v>
      </c>
      <c r="Q49" s="64"/>
      <c r="R49" s="74">
        <f>'Jan-24'!R49+'Feb-24'!F49</f>
        <v>21</v>
      </c>
      <c r="S49" s="74">
        <f>'Jan-24'!S49+'Feb-24'!G49</f>
        <v>9</v>
      </c>
      <c r="T49" s="74">
        <f>'Jan-24'!T49+'Feb-24'!H49</f>
        <v>0</v>
      </c>
      <c r="U49" s="74">
        <f>'Jan-24'!U49+'Feb-24'!I49</f>
        <v>0</v>
      </c>
      <c r="V49" s="74">
        <f>'Jan-24'!V49+'Feb-24'!J49</f>
        <v>16</v>
      </c>
      <c r="W49" s="64"/>
      <c r="X49" s="120">
        <f>IFERROR(R49/S49-1,"n/a")</f>
        <v>1.3333333333333335</v>
      </c>
      <c r="Y49" s="120" t="str">
        <f>IFERROR(R49/T49-1,"n/a")</f>
        <v>n/a</v>
      </c>
      <c r="Z49" s="120" t="str">
        <f>IFERROR(R49/U49-1,"n/a")</f>
        <v>n/a</v>
      </c>
      <c r="AA49" s="121">
        <f>IFERROR(R49/V49-1,"n/a")</f>
        <v>0.3125</v>
      </c>
      <c r="AB49" s="148"/>
      <c r="AC49" s="89">
        <v>9</v>
      </c>
      <c r="AD49" s="68">
        <v>0</v>
      </c>
      <c r="AE49" s="68">
        <v>0</v>
      </c>
      <c r="AF49" s="78">
        <v>16</v>
      </c>
      <c r="AH49" s="123"/>
    </row>
    <row r="50" spans="3:34" s="124" customFormat="1" ht="11.25">
      <c r="C50" s="33"/>
      <c r="D50" s="26" t="s">
        <v>11</v>
      </c>
      <c r="E50" s="32"/>
      <c r="F50" s="74">
        <f t="shared" si="7"/>
        <v>0</v>
      </c>
      <c r="G50" s="74">
        <f t="shared" si="7"/>
        <v>0</v>
      </c>
      <c r="H50" s="74">
        <f t="shared" si="7"/>
        <v>0</v>
      </c>
      <c r="I50" s="74">
        <f t="shared" si="7"/>
        <v>0</v>
      </c>
      <c r="J50" s="74">
        <f t="shared" si="7"/>
        <v>0</v>
      </c>
      <c r="K50" s="74">
        <f t="shared" si="7"/>
        <v>0</v>
      </c>
      <c r="L50" s="64" t="str">
        <f>IFERROR(F50/G50-1,"n/a")</f>
        <v>n/a</v>
      </c>
      <c r="M50" s="64" t="str">
        <f>IFERROR(F50/H50-1,"n/a")</f>
        <v>n/a</v>
      </c>
      <c r="N50" s="64" t="str">
        <f>IFERROR(F50/I50-1,"n/a")</f>
        <v>n/a</v>
      </c>
      <c r="O50" s="64" t="str">
        <f>IFERROR(F50/J50-1,"n/a")</f>
        <v>n/a</v>
      </c>
      <c r="P50" s="60" t="str">
        <f>IFERROR(F50/K50-1,"n/a")</f>
        <v>n/a</v>
      </c>
      <c r="Q50" s="64"/>
      <c r="R50" s="74">
        <f>'Jan-24'!R50+'Feb-24'!F50</f>
        <v>38626</v>
      </c>
      <c r="S50" s="74">
        <f>'Jan-24'!S50+'Feb-24'!G50</f>
        <v>15637</v>
      </c>
      <c r="T50" s="74">
        <f>'Jan-24'!T50+'Feb-24'!H50</f>
        <v>0</v>
      </c>
      <c r="U50" s="74">
        <f>'Jan-24'!U50+'Feb-24'!I50</f>
        <v>0</v>
      </c>
      <c r="V50" s="74">
        <f>'Jan-24'!V50+'Feb-24'!J50</f>
        <v>20248</v>
      </c>
      <c r="W50" s="64"/>
      <c r="X50" s="120">
        <f>IFERROR(R50/S50-1,"n/a")</f>
        <v>1.4701669118117286</v>
      </c>
      <c r="Y50" s="120" t="str">
        <f>IFERROR(R50/T50-1,"n/a")</f>
        <v>n/a</v>
      </c>
      <c r="Z50" s="120" t="str">
        <f>IFERROR(R50/U50-1,"n/a")</f>
        <v>n/a</v>
      </c>
      <c r="AA50" s="121">
        <f>IFERROR(R50/V50-1,"n/a")</f>
        <v>0.90764519952587919</v>
      </c>
      <c r="AB50" s="148"/>
      <c r="AC50" s="82">
        <v>15637</v>
      </c>
      <c r="AD50" s="68">
        <v>0</v>
      </c>
      <c r="AE50" s="68">
        <v>0</v>
      </c>
      <c r="AF50" s="78">
        <v>20248</v>
      </c>
      <c r="AH50" s="123"/>
    </row>
    <row r="51" spans="3:34" s="124" customFormat="1" ht="12" thickBot="1">
      <c r="C51" s="35" t="s">
        <v>12</v>
      </c>
      <c r="D51" s="36"/>
      <c r="E51" s="37"/>
      <c r="F51" s="75">
        <f>F37+F40+F43+F46+F49</f>
        <v>313</v>
      </c>
      <c r="G51" s="75">
        <f>G37+G40+G43+G46+G49</f>
        <v>242</v>
      </c>
      <c r="H51" s="75">
        <f t="shared" ref="H51:K52" si="8">H37+H40+H43+H46+H49</f>
        <v>185</v>
      </c>
      <c r="I51" s="75">
        <f t="shared" si="8"/>
        <v>5</v>
      </c>
      <c r="J51" s="75">
        <f t="shared" si="8"/>
        <v>193</v>
      </c>
      <c r="K51" s="75">
        <f t="shared" si="8"/>
        <v>187</v>
      </c>
      <c r="L51" s="66">
        <f>IFERROR(F51/G51-1,"n/a")</f>
        <v>0.29338842975206614</v>
      </c>
      <c r="M51" s="66">
        <f>IFERROR(F51/H51-1,"n/a")</f>
        <v>0.69189189189189193</v>
      </c>
      <c r="N51" s="66">
        <f>IFERROR(F51/I51-1,"n/a")</f>
        <v>61.6</v>
      </c>
      <c r="O51" s="66">
        <f>IFERROR(F51/J51-1,"n/a")</f>
        <v>0.62176165803108807</v>
      </c>
      <c r="P51" s="62">
        <f>IFERROR(F51/K51-1,"n/a")</f>
        <v>0.6737967914438503</v>
      </c>
      <c r="Q51" s="66"/>
      <c r="R51" s="75">
        <f t="shared" ref="R51:V52" si="9">R37+R40+R43+R46+R49</f>
        <v>4183</v>
      </c>
      <c r="S51" s="75">
        <f t="shared" si="9"/>
        <v>3530</v>
      </c>
      <c r="T51" s="75">
        <f t="shared" si="9"/>
        <v>1408</v>
      </c>
      <c r="U51" s="75">
        <f t="shared" si="9"/>
        <v>100</v>
      </c>
      <c r="V51" s="75">
        <f t="shared" si="9"/>
        <v>3081</v>
      </c>
      <c r="W51" s="66"/>
      <c r="X51" s="66">
        <f>IFERROR(R51/S51-1,"n/a")</f>
        <v>0.18498583569405103</v>
      </c>
      <c r="Y51" s="66">
        <f>IFERROR(R51/T51-1,"n/a")</f>
        <v>1.9708806818181817</v>
      </c>
      <c r="Z51" s="66">
        <f t="shared" ref="Z51:Z52" si="10">IFERROR(R51/U51-1,"n/a")</f>
        <v>40.83</v>
      </c>
      <c r="AA51" s="62">
        <f>IFERROR(R51/V51-1,"n/a")</f>
        <v>0.35767607919506661</v>
      </c>
      <c r="AB51" s="66"/>
      <c r="AC51" s="46">
        <f t="shared" ref="AC51:AE52" si="11">AC37+AC40+AC43+AC46+AC49</f>
        <v>3856</v>
      </c>
      <c r="AD51" s="46">
        <f t="shared" si="11"/>
        <v>1673</v>
      </c>
      <c r="AE51" s="46">
        <f t="shared" si="11"/>
        <v>669</v>
      </c>
      <c r="AF51" s="80">
        <f>AF37+AF40+AF43+AF46+AF49</f>
        <v>3241</v>
      </c>
      <c r="AH51" s="123"/>
    </row>
    <row r="52" spans="3:34" s="124" customFormat="1" ht="12.75" thickTop="1" thickBot="1">
      <c r="C52" s="38" t="s">
        <v>13</v>
      </c>
      <c r="D52" s="39"/>
      <c r="E52" s="40"/>
      <c r="F52" s="76">
        <f>F38+F41+F44+F47+F50</f>
        <v>994232</v>
      </c>
      <c r="G52" s="76">
        <f>G38+G41+G44+G47+G50</f>
        <v>723641</v>
      </c>
      <c r="H52" s="76">
        <f t="shared" si="8"/>
        <v>240931</v>
      </c>
      <c r="I52" s="76">
        <f t="shared" si="8"/>
        <v>4669</v>
      </c>
      <c r="J52" s="76">
        <f t="shared" si="8"/>
        <v>494991</v>
      </c>
      <c r="K52" s="76">
        <f t="shared" si="8"/>
        <v>513063</v>
      </c>
      <c r="L52" s="67">
        <f>IFERROR(F52/G52-1,"n/a")</f>
        <v>0.37392989065019799</v>
      </c>
      <c r="M52" s="67">
        <f>IFERROR(F52/H52-1,"n/a")</f>
        <v>3.1266254653822045</v>
      </c>
      <c r="N52" s="67">
        <f>IFERROR(F52/I52-1,"n/a")</f>
        <v>211.9432426643821</v>
      </c>
      <c r="O52" s="67">
        <f>IFERROR(F52/J52-1,"n/a")</f>
        <v>1.0085860146952168</v>
      </c>
      <c r="P52" s="63">
        <f>IFERROR(F52/K52-1,"n/a")</f>
        <v>0.93783609420285607</v>
      </c>
      <c r="Q52" s="67"/>
      <c r="R52" s="76">
        <f t="shared" si="9"/>
        <v>12148578</v>
      </c>
      <c r="S52" s="76">
        <f t="shared" si="9"/>
        <v>8310099</v>
      </c>
      <c r="T52" s="76">
        <f t="shared" si="9"/>
        <v>1999170</v>
      </c>
      <c r="U52" s="76">
        <f t="shared" si="9"/>
        <v>43813</v>
      </c>
      <c r="V52" s="76">
        <f t="shared" si="9"/>
        <v>8388896</v>
      </c>
      <c r="W52" s="67"/>
      <c r="X52" s="67">
        <f>IFERROR(R52/S52-1,"n/a")</f>
        <v>0.46190532748165825</v>
      </c>
      <c r="Y52" s="118">
        <f>IFERROR(R52/T52-1,"n/a")</f>
        <v>5.0768108765137532</v>
      </c>
      <c r="Z52" s="118">
        <f t="shared" si="10"/>
        <v>276.28249606281241</v>
      </c>
      <c r="AA52" s="119">
        <f>IFERROR(R52/V52-1,"n/a")</f>
        <v>0.44817363333625782</v>
      </c>
      <c r="AB52" s="118"/>
      <c r="AC52" s="47">
        <f t="shared" si="11"/>
        <v>9237323</v>
      </c>
      <c r="AD52" s="47">
        <f t="shared" si="11"/>
        <v>2410085</v>
      </c>
      <c r="AE52" s="47">
        <f t="shared" si="11"/>
        <v>1324261</v>
      </c>
      <c r="AF52" s="81">
        <f>AF38+AF41+AF44+AF47+AF50</f>
        <v>8638971</v>
      </c>
      <c r="AH52" s="123"/>
    </row>
    <row r="53" spans="3:34" s="124" customFormat="1" ht="12" thickTop="1">
      <c r="AH53" s="123"/>
    </row>
    <row r="54" spans="3:34" s="124" customFormat="1" ht="11.25">
      <c r="S54" s="132"/>
      <c r="T54" s="132"/>
      <c r="U54" s="132"/>
      <c r="V54" s="132"/>
      <c r="AH54" s="123"/>
    </row>
    <row r="55" spans="3:34" ht="15">
      <c r="S55" s="111"/>
      <c r="T55" s="111"/>
      <c r="U55" s="111"/>
      <c r="V55" s="111"/>
      <c r="AH55" s="9"/>
    </row>
    <row r="56" spans="3:34" ht="15">
      <c r="S56" s="111"/>
      <c r="T56" s="111"/>
      <c r="U56" s="111"/>
      <c r="V56" s="111"/>
      <c r="AH56" s="9"/>
    </row>
    <row r="57" spans="3:34" ht="15">
      <c r="S57" s="111"/>
      <c r="T57" s="111"/>
      <c r="U57" s="111"/>
      <c r="V57" s="111"/>
      <c r="AH57" s="9"/>
    </row>
    <row r="58" spans="3:34" ht="15">
      <c r="AH58" s="9"/>
    </row>
    <row r="59" spans="3:34" ht="15">
      <c r="AH59" s="9"/>
    </row>
    <row r="60" spans="3:34" ht="15">
      <c r="AH60" s="9"/>
    </row>
    <row r="61" spans="3:34" ht="15" customHeight="1"/>
    <row r="62" spans="3:34" ht="15" customHeight="1"/>
    <row r="63" spans="3:34" ht="15" customHeight="1"/>
    <row r="64" spans="3:34" ht="15" customHeight="1"/>
    <row r="65" ht="15" customHeight="1"/>
    <row r="66" ht="15" customHeight="1"/>
  </sheetData>
  <mergeCells count="9">
    <mergeCell ref="AB34:AF34"/>
    <mergeCell ref="F9:P9"/>
    <mergeCell ref="Q9:AA9"/>
    <mergeCell ref="AB9:AF9"/>
    <mergeCell ref="F10:P10"/>
    <mergeCell ref="Q10:AA10"/>
    <mergeCell ref="F33:P33"/>
    <mergeCell ref="Q33:AA33"/>
    <mergeCell ref="AB33:AF33"/>
  </mergeCells>
  <pageMargins left="0.7" right="0.7" top="0.75" bottom="0.75" header="0.3" footer="0.3"/>
  <pageSetup paperSize="9" orientation="portrait" horizontalDpi="0" verticalDpi="0"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66"/>
  <sheetViews>
    <sheetView showGridLines="0" topLeftCell="B6" zoomScale="115" zoomScaleNormal="115" workbookViewId="0">
      <selection activeCell="F16" sqref="F16"/>
    </sheetView>
  </sheetViews>
  <sheetFormatPr defaultColWidth="0" defaultRowHeight="0" customHeight="1" zeroHeight="1"/>
  <cols>
    <col min="1" max="2" width="4.140625" customWidth="1"/>
    <col min="3" max="3" width="3.85546875" customWidth="1"/>
    <col min="4" max="4" width="8.85546875" customWidth="1"/>
    <col min="5" max="6" width="13" customWidth="1"/>
    <col min="7" max="7" width="11.140625" bestFit="1" customWidth="1"/>
    <col min="8" max="8" width="10.140625" bestFit="1" customWidth="1"/>
    <col min="9" max="10" width="8.85546875" customWidth="1"/>
    <col min="11" max="11" width="10.140625" bestFit="1" customWidth="1"/>
    <col min="12" max="12" width="8" customWidth="1"/>
    <col min="13" max="13" width="8.85546875" bestFit="1" customWidth="1"/>
    <col min="14" max="16" width="8" customWidth="1"/>
    <col min="17" max="17" width="9" bestFit="1" customWidth="1"/>
    <col min="18" max="18" width="12" bestFit="1" customWidth="1"/>
    <col min="19" max="19" width="11.5703125" bestFit="1" customWidth="1"/>
    <col min="20" max="20" width="10.42578125" bestFit="1" customWidth="1"/>
    <col min="21" max="21" width="11.5703125" bestFit="1" customWidth="1"/>
    <col min="22" max="22" width="11.85546875" bestFit="1" customWidth="1"/>
    <col min="23" max="23" width="9.140625" bestFit="1" customWidth="1"/>
    <col min="24" max="24" width="8.85546875" bestFit="1" customWidth="1"/>
    <col min="25" max="25" width="8.85546875" customWidth="1"/>
    <col min="26" max="26" width="9" bestFit="1" customWidth="1"/>
    <col min="27" max="27" width="7.85546875" customWidth="1"/>
    <col min="28" max="28" width="10.140625" bestFit="1" customWidth="1"/>
    <col min="29" max="29" width="13.42578125" bestFit="1" customWidth="1"/>
    <col min="30" max="30" width="13.140625" bestFit="1" customWidth="1"/>
    <col min="31" max="31" width="12.85546875" bestFit="1" customWidth="1"/>
    <col min="32" max="32" width="15.42578125" bestFit="1" customWidth="1"/>
    <col min="33" max="33" width="11.140625" customWidth="1"/>
    <col min="34" max="34" width="3.42578125" customWidth="1"/>
    <col min="35" max="16384" width="8.85546875" hidden="1"/>
  </cols>
  <sheetData>
    <row r="1" spans="1:34" ht="15">
      <c r="A1" s="9"/>
      <c r="B1" s="9"/>
      <c r="C1" s="9"/>
      <c r="D1" s="9"/>
      <c r="E1" s="9"/>
      <c r="F1" s="9"/>
      <c r="G1" s="9"/>
      <c r="H1" s="9"/>
      <c r="I1" s="9"/>
      <c r="J1" s="9"/>
      <c r="K1" s="9"/>
      <c r="L1" s="9"/>
      <c r="M1" s="9"/>
      <c r="N1" s="9"/>
      <c r="O1" s="9"/>
      <c r="P1" s="9"/>
      <c r="Q1" s="9"/>
      <c r="R1" s="9"/>
      <c r="S1" s="9"/>
      <c r="T1" s="9"/>
      <c r="U1" s="9"/>
      <c r="V1" s="9"/>
      <c r="W1" s="9"/>
      <c r="X1" s="9"/>
      <c r="Y1" s="9"/>
      <c r="Z1" s="9"/>
      <c r="AA1" s="9"/>
      <c r="AB1" s="9"/>
      <c r="AC1" s="9"/>
      <c r="AD1" s="9"/>
      <c r="AE1" s="9"/>
      <c r="AF1" s="9"/>
      <c r="AG1" s="9"/>
      <c r="AH1" s="9"/>
    </row>
    <row r="2" spans="1:34" ht="31.35" customHeight="1" thickBot="1">
      <c r="A2" s="9"/>
      <c r="B2" s="8" t="s">
        <v>6</v>
      </c>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4"/>
      <c r="AH2" s="9"/>
    </row>
    <row r="3" spans="1:34" ht="15">
      <c r="A3" s="9"/>
      <c r="B3" s="10"/>
      <c r="C3" s="24"/>
      <c r="D3" s="24"/>
      <c r="E3" s="24"/>
      <c r="F3" s="24"/>
      <c r="G3" s="24"/>
      <c r="H3" s="24"/>
      <c r="I3" s="24"/>
      <c r="J3" s="24"/>
      <c r="K3" s="24"/>
      <c r="L3" s="24"/>
      <c r="M3" s="24"/>
      <c r="N3" s="24"/>
      <c r="O3" s="24"/>
      <c r="P3" s="24"/>
      <c r="Q3" s="24"/>
      <c r="R3" s="24"/>
      <c r="S3" s="24"/>
      <c r="T3" s="24"/>
      <c r="U3" s="24"/>
      <c r="V3" s="24"/>
      <c r="W3" s="24"/>
      <c r="X3" s="24"/>
      <c r="Y3" s="24"/>
      <c r="Z3" s="24"/>
      <c r="AA3" s="24"/>
      <c r="AB3" s="24"/>
      <c r="AC3" s="24"/>
      <c r="AD3" s="24"/>
      <c r="AE3" s="24"/>
      <c r="AF3" s="25">
        <v>45337</v>
      </c>
      <c r="AG3" s="25"/>
      <c r="AH3" s="9"/>
    </row>
    <row r="4" spans="1:34" ht="15.75">
      <c r="A4" s="9"/>
      <c r="B4" s="11" t="s">
        <v>7</v>
      </c>
      <c r="C4" s="26"/>
      <c r="D4" s="93" t="s">
        <v>33</v>
      </c>
      <c r="E4" s="134" t="s">
        <v>127</v>
      </c>
      <c r="F4" s="134"/>
      <c r="G4" s="24"/>
      <c r="H4" s="24"/>
      <c r="I4" s="24"/>
      <c r="J4" s="24"/>
      <c r="K4" s="24"/>
      <c r="L4" s="24"/>
      <c r="M4" s="24"/>
      <c r="N4" s="24"/>
      <c r="O4" s="24"/>
      <c r="P4" s="24"/>
      <c r="Q4" s="24"/>
      <c r="R4" s="24"/>
      <c r="S4" s="24"/>
      <c r="T4" s="24"/>
      <c r="U4" s="24"/>
      <c r="V4" s="24"/>
      <c r="W4" s="24"/>
      <c r="X4" s="24"/>
      <c r="Y4" s="24"/>
      <c r="Z4" s="24"/>
      <c r="AA4" s="24"/>
      <c r="AB4" s="24"/>
      <c r="AC4" s="24"/>
      <c r="AD4" s="24"/>
      <c r="AE4" s="24"/>
      <c r="AF4" s="24"/>
      <c r="AG4" s="24"/>
      <c r="AH4" s="9"/>
    </row>
    <row r="5" spans="1:34" ht="15">
      <c r="A5" s="9"/>
      <c r="B5" s="10"/>
      <c r="C5" s="24"/>
      <c r="D5" s="24"/>
      <c r="E5" s="24"/>
      <c r="F5" s="24"/>
      <c r="G5" s="24"/>
      <c r="H5" s="24"/>
      <c r="I5" s="24"/>
      <c r="J5" s="24"/>
      <c r="K5" s="24"/>
      <c r="L5" s="24"/>
      <c r="M5" s="24"/>
      <c r="N5" s="24"/>
      <c r="O5" s="24"/>
      <c r="P5" s="24"/>
      <c r="Q5" s="24"/>
      <c r="R5" s="24"/>
      <c r="S5" s="24"/>
      <c r="T5" s="24"/>
      <c r="U5" s="24"/>
      <c r="V5" s="24"/>
      <c r="W5" s="24"/>
      <c r="X5" s="24"/>
      <c r="Y5" s="24"/>
      <c r="Z5" s="24"/>
      <c r="AA5" s="24"/>
      <c r="AB5" s="24"/>
      <c r="AC5" s="24"/>
      <c r="AD5" s="24"/>
      <c r="AE5" s="24"/>
      <c r="AF5" s="24"/>
      <c r="AG5" s="24"/>
      <c r="AH5" s="9"/>
    </row>
    <row r="6" spans="1:34" ht="15">
      <c r="A6" s="9"/>
      <c r="B6" s="10"/>
      <c r="C6" s="24"/>
      <c r="D6" s="24"/>
      <c r="E6" s="24"/>
      <c r="F6" s="24"/>
      <c r="G6" s="24"/>
      <c r="H6" s="24"/>
      <c r="I6" s="24"/>
      <c r="J6" s="24"/>
      <c r="K6" s="24"/>
      <c r="L6" s="24"/>
      <c r="M6" s="24"/>
      <c r="N6" s="24"/>
      <c r="O6" s="24"/>
      <c r="P6" s="24"/>
      <c r="Q6" s="24"/>
      <c r="R6" s="24"/>
      <c r="S6" s="24"/>
      <c r="T6" s="24"/>
      <c r="U6" s="24"/>
      <c r="V6" s="24"/>
      <c r="W6" s="24"/>
      <c r="X6" s="24"/>
      <c r="Y6" s="24"/>
      <c r="Z6" s="24"/>
      <c r="AA6" s="24"/>
      <c r="AB6" s="24"/>
      <c r="AC6" s="24"/>
      <c r="AD6" s="24"/>
      <c r="AE6" s="24"/>
      <c r="AF6" s="24"/>
      <c r="AG6" s="24"/>
      <c r="AH6" s="9"/>
    </row>
    <row r="7" spans="1:34" ht="15">
      <c r="A7" s="9"/>
      <c r="B7" s="10"/>
      <c r="C7" s="86" t="s">
        <v>62</v>
      </c>
      <c r="D7" s="24"/>
      <c r="E7" s="24"/>
      <c r="F7" s="24"/>
      <c r="G7" s="24"/>
      <c r="H7" s="24"/>
      <c r="I7" s="24"/>
      <c r="J7" s="24"/>
      <c r="K7" s="24"/>
      <c r="L7" s="24"/>
      <c r="M7" s="24"/>
      <c r="N7" s="24"/>
      <c r="O7" s="24"/>
      <c r="P7" s="24"/>
      <c r="Q7" s="24"/>
      <c r="R7" s="24"/>
      <c r="S7" s="24"/>
      <c r="T7" s="24"/>
      <c r="U7" s="24"/>
      <c r="V7" s="24"/>
      <c r="W7" s="24"/>
      <c r="X7" s="24"/>
      <c r="Y7" s="24"/>
      <c r="Z7" s="24"/>
      <c r="AA7" s="24"/>
      <c r="AB7" s="24"/>
      <c r="AC7" s="24"/>
      <c r="AD7" s="24"/>
      <c r="AE7" s="24"/>
      <c r="AF7" s="24"/>
      <c r="AG7" s="24"/>
      <c r="AH7" s="9"/>
    </row>
    <row r="8" spans="1:34" ht="15">
      <c r="A8" s="9"/>
      <c r="B8" s="10"/>
      <c r="C8" s="24"/>
      <c r="D8" s="24"/>
      <c r="E8" s="24"/>
      <c r="F8" s="24"/>
      <c r="G8" s="24"/>
      <c r="H8" s="24"/>
      <c r="I8" s="24"/>
      <c r="J8" s="24"/>
      <c r="K8" s="24"/>
      <c r="L8" s="24"/>
      <c r="M8" s="24"/>
      <c r="N8" s="24"/>
      <c r="O8" s="24"/>
      <c r="P8" s="24"/>
      <c r="Q8" s="24"/>
      <c r="R8" s="24"/>
      <c r="S8" s="24"/>
      <c r="T8" s="24"/>
      <c r="U8" s="24"/>
      <c r="V8" s="24"/>
      <c r="W8" s="24"/>
      <c r="X8" s="24"/>
      <c r="Y8" s="24"/>
      <c r="Z8" s="24"/>
      <c r="AA8" s="24"/>
      <c r="AB8" s="24"/>
      <c r="AC8" s="24"/>
      <c r="AD8" s="24"/>
      <c r="AE8" s="24"/>
      <c r="AF8" s="24"/>
      <c r="AG8" s="24"/>
      <c r="AH8" s="9"/>
    </row>
    <row r="9" spans="1:34" s="124" customFormat="1" ht="15" customHeight="1">
      <c r="A9" s="123"/>
      <c r="C9" s="27" t="s">
        <v>7</v>
      </c>
      <c r="D9" s="28"/>
      <c r="E9" s="28"/>
      <c r="F9" s="155" t="str">
        <f>D4</f>
        <v>January</v>
      </c>
      <c r="G9" s="155"/>
      <c r="H9" s="155"/>
      <c r="I9" s="155"/>
      <c r="J9" s="155"/>
      <c r="K9" s="155"/>
      <c r="L9" s="155"/>
      <c r="M9" s="155"/>
      <c r="N9" s="155"/>
      <c r="O9" s="155"/>
      <c r="P9" s="156"/>
      <c r="Q9" s="157" t="str">
        <f>F9</f>
        <v>January</v>
      </c>
      <c r="R9" s="158"/>
      <c r="S9" s="158"/>
      <c r="T9" s="158"/>
      <c r="U9" s="158"/>
      <c r="V9" s="158"/>
      <c r="W9" s="158"/>
      <c r="X9" s="158"/>
      <c r="Y9" s="158"/>
      <c r="Z9" s="158"/>
      <c r="AA9" s="159"/>
      <c r="AB9" s="157" t="s">
        <v>57</v>
      </c>
      <c r="AC9" s="158"/>
      <c r="AD9" s="158"/>
      <c r="AE9" s="158"/>
      <c r="AF9" s="160"/>
      <c r="AG9" s="123"/>
      <c r="AH9" s="123"/>
    </row>
    <row r="10" spans="1:34" s="124" customFormat="1" ht="13.5">
      <c r="A10" s="123"/>
      <c r="B10" s="125"/>
      <c r="C10" s="29"/>
      <c r="D10" s="30"/>
      <c r="E10" s="30"/>
      <c r="F10" s="152"/>
      <c r="G10" s="153"/>
      <c r="H10" s="153"/>
      <c r="I10" s="153"/>
      <c r="J10" s="153"/>
      <c r="K10" s="153"/>
      <c r="L10" s="153"/>
      <c r="M10" s="153"/>
      <c r="N10" s="153"/>
      <c r="O10" s="153"/>
      <c r="P10" s="154"/>
      <c r="Q10" s="152"/>
      <c r="R10" s="153"/>
      <c r="S10" s="153"/>
      <c r="T10" s="153"/>
      <c r="U10" s="153"/>
      <c r="V10" s="153"/>
      <c r="W10" s="153"/>
      <c r="X10" s="153"/>
      <c r="Y10" s="153"/>
      <c r="Z10" s="153"/>
      <c r="AA10" s="154"/>
      <c r="AB10" s="30"/>
      <c r="AC10" s="30"/>
      <c r="AD10" s="30"/>
      <c r="AE10" s="30"/>
      <c r="AF10" s="56"/>
      <c r="AG10" s="123"/>
      <c r="AH10" s="123"/>
    </row>
    <row r="11" spans="1:34" s="124" customFormat="1" ht="26.1" customHeight="1">
      <c r="A11" s="126"/>
      <c r="B11" s="127"/>
      <c r="C11" s="59" t="s">
        <v>29</v>
      </c>
      <c r="D11" s="50"/>
      <c r="E11" s="51"/>
      <c r="F11" s="55">
        <v>2024</v>
      </c>
      <c r="G11" s="52">
        <v>2023</v>
      </c>
      <c r="H11" s="52">
        <v>2022</v>
      </c>
      <c r="I11" s="52">
        <v>2021</v>
      </c>
      <c r="J11" s="52">
        <v>2020</v>
      </c>
      <c r="K11" s="52">
        <v>2019</v>
      </c>
      <c r="L11" s="53" t="s">
        <v>116</v>
      </c>
      <c r="M11" s="53" t="s">
        <v>117</v>
      </c>
      <c r="N11" s="53" t="s">
        <v>118</v>
      </c>
      <c r="O11" s="53" t="s">
        <v>119</v>
      </c>
      <c r="P11" s="57" t="s">
        <v>101</v>
      </c>
      <c r="Q11" s="53">
        <v>2024</v>
      </c>
      <c r="R11" s="53">
        <v>2023</v>
      </c>
      <c r="S11" s="53">
        <v>2022</v>
      </c>
      <c r="T11" s="52">
        <v>2021</v>
      </c>
      <c r="U11" s="52">
        <v>2020</v>
      </c>
      <c r="V11" s="52">
        <v>2019</v>
      </c>
      <c r="W11" s="53" t="s">
        <v>116</v>
      </c>
      <c r="X11" s="53" t="s">
        <v>117</v>
      </c>
      <c r="Y11" s="53" t="s">
        <v>118</v>
      </c>
      <c r="Z11" s="53" t="s">
        <v>119</v>
      </c>
      <c r="AA11" s="57" t="s">
        <v>101</v>
      </c>
      <c r="AB11" s="53">
        <v>2023</v>
      </c>
      <c r="AC11" s="53">
        <v>2022</v>
      </c>
      <c r="AD11" s="53">
        <v>2021</v>
      </c>
      <c r="AE11" s="52">
        <v>2020</v>
      </c>
      <c r="AF11" s="77">
        <v>2019</v>
      </c>
      <c r="AG11" s="126"/>
      <c r="AH11" s="126"/>
    </row>
    <row r="12" spans="1:34" s="124" customFormat="1" ht="12.75">
      <c r="A12" s="123"/>
      <c r="B12" s="128"/>
      <c r="C12" s="31" t="s">
        <v>108</v>
      </c>
      <c r="D12" s="26"/>
      <c r="E12" s="32"/>
      <c r="F12" s="26"/>
      <c r="G12" s="26"/>
      <c r="H12" s="26"/>
      <c r="I12" s="26"/>
      <c r="J12" s="26"/>
      <c r="K12" s="26"/>
      <c r="L12" s="26"/>
      <c r="M12" s="26"/>
      <c r="N12" s="26"/>
      <c r="O12" s="26"/>
      <c r="P12" s="32"/>
      <c r="Q12" s="26"/>
      <c r="R12" s="26"/>
      <c r="S12" s="26"/>
      <c r="T12" s="26"/>
      <c r="U12" s="26"/>
      <c r="V12" s="26"/>
      <c r="W12" s="26"/>
      <c r="X12" s="26"/>
      <c r="Y12" s="26"/>
      <c r="Z12" s="26"/>
      <c r="AA12" s="32"/>
      <c r="AB12" s="26"/>
      <c r="AC12" s="26"/>
      <c r="AD12" s="26"/>
      <c r="AE12" s="26"/>
      <c r="AF12" s="32"/>
      <c r="AG12" s="123"/>
      <c r="AH12" s="123"/>
    </row>
    <row r="13" spans="1:34" s="124" customFormat="1" ht="12.75">
      <c r="A13" s="123"/>
      <c r="B13" s="128"/>
      <c r="C13" s="33"/>
      <c r="D13" s="26" t="s">
        <v>5</v>
      </c>
      <c r="E13" s="32"/>
      <c r="F13" s="71">
        <v>197</v>
      </c>
      <c r="G13" s="71">
        <v>188</v>
      </c>
      <c r="H13" s="71">
        <v>164</v>
      </c>
      <c r="I13" s="71">
        <v>0</v>
      </c>
      <c r="J13" s="71">
        <v>187</v>
      </c>
      <c r="K13" s="71">
        <v>189</v>
      </c>
      <c r="L13" s="64">
        <f>IFERROR(F13/G13-1,"n/a")</f>
        <v>4.7872340425531901E-2</v>
      </c>
      <c r="M13" s="64">
        <f>IFERROR(F13/H13-1,"n/a")</f>
        <v>0.20121951219512191</v>
      </c>
      <c r="N13" s="64" t="str">
        <f>IFERROR(F13/I13-1,"n/a")</f>
        <v>n/a</v>
      </c>
      <c r="O13" s="64">
        <f>IFERROR(F13/J13-1,"n/a")</f>
        <v>5.3475935828876997E-2</v>
      </c>
      <c r="P13" s="60">
        <f>IFERROR(F13/K13-1,"n/a")</f>
        <v>4.2328042328042326E-2</v>
      </c>
      <c r="Q13" s="68">
        <f>F13</f>
        <v>197</v>
      </c>
      <c r="R13" s="68">
        <f>G13</f>
        <v>188</v>
      </c>
      <c r="S13" s="68">
        <f t="shared" ref="S13:V14" si="0">H13</f>
        <v>164</v>
      </c>
      <c r="T13" s="68">
        <f t="shared" si="0"/>
        <v>0</v>
      </c>
      <c r="U13" s="68">
        <f t="shared" si="0"/>
        <v>187</v>
      </c>
      <c r="V13" s="68">
        <f t="shared" si="0"/>
        <v>189</v>
      </c>
      <c r="W13" s="64">
        <f>IFERROR(Q13/R13-1,"n/a")</f>
        <v>4.7872340425531901E-2</v>
      </c>
      <c r="X13" s="64">
        <f>IFERROR(Q13/S13-1,"n/a")</f>
        <v>0.20121951219512191</v>
      </c>
      <c r="Y13" s="64" t="str">
        <f>IFERROR(Q13/T13-1,"n/a")</f>
        <v>n/a</v>
      </c>
      <c r="Z13" s="64">
        <f>IFERROR(Q13/U13-1,"n/a")</f>
        <v>5.3475935828876997E-2</v>
      </c>
      <c r="AA13" s="60">
        <f>IFERROR(Q13/V13-1,"n/a")</f>
        <v>4.2328042328042326E-2</v>
      </c>
      <c r="AB13" s="68">
        <v>1622</v>
      </c>
      <c r="AC13" s="68">
        <v>1486</v>
      </c>
      <c r="AD13" s="68">
        <v>522</v>
      </c>
      <c r="AE13" s="68">
        <v>551</v>
      </c>
      <c r="AF13" s="135">
        <v>1591</v>
      </c>
      <c r="AG13" s="123"/>
      <c r="AH13" s="123"/>
    </row>
    <row r="14" spans="1:34" s="124" customFormat="1" ht="12.75">
      <c r="A14" s="123"/>
      <c r="B14" s="128"/>
      <c r="C14" s="33"/>
      <c r="D14" s="26" t="s">
        <v>11</v>
      </c>
      <c r="E14" s="32"/>
      <c r="F14" s="71">
        <v>621308</v>
      </c>
      <c r="G14" s="71">
        <v>522949</v>
      </c>
      <c r="H14" s="71">
        <v>195612</v>
      </c>
      <c r="I14" s="71">
        <v>0</v>
      </c>
      <c r="J14" s="71">
        <v>466080</v>
      </c>
      <c r="K14" s="71">
        <v>525262</v>
      </c>
      <c r="L14" s="64">
        <f>IFERROR(F14/G14-1,"n/a")</f>
        <v>0.1880852626164311</v>
      </c>
      <c r="M14" s="64">
        <f>IFERROR(F14/H14-1,"n/a")</f>
        <v>2.1762264073778703</v>
      </c>
      <c r="N14" s="64" t="str">
        <f>IFERROR(F14/I14-1,"n/a")</f>
        <v>n/a</v>
      </c>
      <c r="O14" s="64">
        <f>IFERROR(F14/J14-1,"n/a")</f>
        <v>0.33305012015104696</v>
      </c>
      <c r="P14" s="60">
        <f>IFERROR(F14/K14-1,"n/a")</f>
        <v>0.18285350929631305</v>
      </c>
      <c r="Q14" s="68">
        <f>F14</f>
        <v>621308</v>
      </c>
      <c r="R14" s="68">
        <f>G14</f>
        <v>522949</v>
      </c>
      <c r="S14" s="68">
        <f t="shared" si="0"/>
        <v>195612</v>
      </c>
      <c r="T14" s="68">
        <f t="shared" si="0"/>
        <v>0</v>
      </c>
      <c r="U14" s="68">
        <f t="shared" si="0"/>
        <v>466080</v>
      </c>
      <c r="V14" s="68">
        <f t="shared" si="0"/>
        <v>525262</v>
      </c>
      <c r="W14" s="64">
        <f>IFERROR(Q14/R14-1,"n/a")</f>
        <v>0.1880852626164311</v>
      </c>
      <c r="X14" s="64">
        <f>IFERROR(Q14/S14-1,"n/a")</f>
        <v>2.1762264073778703</v>
      </c>
      <c r="Y14" s="64" t="str">
        <f>IFERROR(Q14/T14-1,"n/a")</f>
        <v>n/a</v>
      </c>
      <c r="Z14" s="64">
        <f>IFERROR(Q14/U14-1,"n/a")</f>
        <v>0.33305012015104696</v>
      </c>
      <c r="AA14" s="60">
        <f>IFERROR(Q14/V14-1,"n/a")</f>
        <v>0.18285350929631305</v>
      </c>
      <c r="AB14" s="68">
        <v>5232537</v>
      </c>
      <c r="AC14" s="68">
        <v>3592413</v>
      </c>
      <c r="AD14" s="68">
        <v>768312</v>
      </c>
      <c r="AE14" s="68">
        <v>1092884</v>
      </c>
      <c r="AF14" s="135">
        <v>4592479</v>
      </c>
      <c r="AG14" s="123"/>
      <c r="AH14" s="123"/>
    </row>
    <row r="15" spans="1:34" s="124" customFormat="1" ht="12.75">
      <c r="A15" s="123"/>
      <c r="B15" s="128"/>
      <c r="C15" s="31" t="s">
        <v>109</v>
      </c>
      <c r="D15" s="26"/>
      <c r="E15" s="32"/>
      <c r="F15" s="97"/>
      <c r="G15" s="97"/>
      <c r="H15" s="26"/>
      <c r="I15" s="26"/>
      <c r="J15" s="26"/>
      <c r="K15" s="26"/>
      <c r="L15" s="64"/>
      <c r="M15" s="64"/>
      <c r="N15" s="64"/>
      <c r="O15" s="64"/>
      <c r="P15" s="61"/>
      <c r="Q15" s="87"/>
      <c r="R15" s="87"/>
      <c r="S15" s="87"/>
      <c r="T15" s="87"/>
      <c r="U15" s="87"/>
      <c r="V15" s="87"/>
      <c r="W15" s="64"/>
      <c r="X15" s="64"/>
      <c r="Y15" s="64"/>
      <c r="Z15" s="64"/>
      <c r="AA15" s="61"/>
      <c r="AB15" s="43"/>
      <c r="AC15" s="43"/>
      <c r="AD15" s="43"/>
      <c r="AE15" s="43"/>
      <c r="AF15" s="136"/>
      <c r="AG15" s="123"/>
      <c r="AH15" s="123"/>
    </row>
    <row r="16" spans="1:34" s="124" customFormat="1" ht="12.75">
      <c r="A16" s="123"/>
      <c r="B16" s="128"/>
      <c r="C16" s="33"/>
      <c r="D16" s="26" t="s">
        <v>5</v>
      </c>
      <c r="E16" s="32"/>
      <c r="F16" s="71">
        <v>12</v>
      </c>
      <c r="G16" s="71">
        <v>5</v>
      </c>
      <c r="H16" s="71">
        <v>3</v>
      </c>
      <c r="I16" s="71">
        <v>2</v>
      </c>
      <c r="J16" s="71">
        <v>5</v>
      </c>
      <c r="K16" s="71">
        <v>5</v>
      </c>
      <c r="L16" s="64">
        <f>IFERROR(F16/G16-1,"n/a")</f>
        <v>1.4</v>
      </c>
      <c r="M16" s="64">
        <f>IFERROR(F16/H16-1,"n/a")</f>
        <v>3</v>
      </c>
      <c r="N16" s="64">
        <f>IFERROR(F16/I16-1,"n/a")</f>
        <v>5</v>
      </c>
      <c r="O16" s="64">
        <f>IFERROR(F16/J16-1,"n/a")</f>
        <v>1.4</v>
      </c>
      <c r="P16" s="60">
        <f>IFERROR(F16/K16-1,"n/a")</f>
        <v>1.4</v>
      </c>
      <c r="Q16" s="68">
        <f>F16</f>
        <v>12</v>
      </c>
      <c r="R16" s="68">
        <f t="shared" ref="R16:V17" si="1">G16</f>
        <v>5</v>
      </c>
      <c r="S16" s="68">
        <f t="shared" si="1"/>
        <v>3</v>
      </c>
      <c r="T16" s="68">
        <f t="shared" si="1"/>
        <v>2</v>
      </c>
      <c r="U16" s="68">
        <f t="shared" si="1"/>
        <v>5</v>
      </c>
      <c r="V16" s="68">
        <f t="shared" si="1"/>
        <v>5</v>
      </c>
      <c r="W16" s="64">
        <f>IFERROR(Q16/R16-1,"n/a")</f>
        <v>1.4</v>
      </c>
      <c r="X16" s="64">
        <f>IFERROR(Q16/S16-1,"n/a")</f>
        <v>3</v>
      </c>
      <c r="Y16" s="64">
        <f>IFERROR(Q16/T16-1,"n/a")</f>
        <v>5</v>
      </c>
      <c r="Z16" s="64">
        <f>IFERROR(Q16/U16-1,"n/a")</f>
        <v>1.4</v>
      </c>
      <c r="AA16" s="60">
        <f>IFERROR(Q16/V16-1,"n/a")</f>
        <v>1.4</v>
      </c>
      <c r="AB16" s="68">
        <v>575</v>
      </c>
      <c r="AC16" s="68">
        <v>572</v>
      </c>
      <c r="AD16" s="68">
        <v>202</v>
      </c>
      <c r="AE16" s="68">
        <v>54</v>
      </c>
      <c r="AF16" s="135">
        <v>586</v>
      </c>
      <c r="AG16" s="123"/>
      <c r="AH16" s="123"/>
    </row>
    <row r="17" spans="1:34" s="124" customFormat="1" ht="12.75">
      <c r="A17" s="123"/>
      <c r="B17" s="128"/>
      <c r="C17" s="33"/>
      <c r="D17" s="26" t="s">
        <v>11</v>
      </c>
      <c r="E17" s="32"/>
      <c r="F17" s="71">
        <v>45136</v>
      </c>
      <c r="G17" s="71">
        <v>15799</v>
      </c>
      <c r="H17" s="71">
        <v>1702</v>
      </c>
      <c r="I17" s="71">
        <v>1288</v>
      </c>
      <c r="J17" s="71">
        <v>23141</v>
      </c>
      <c r="K17" s="71">
        <v>20627</v>
      </c>
      <c r="L17" s="64">
        <f>IFERROR(F17/G17-1,"n/a")</f>
        <v>1.8568896765618077</v>
      </c>
      <c r="M17" s="64">
        <f>IFERROR(F17/H17-1,"n/a")</f>
        <v>25.519388954171564</v>
      </c>
      <c r="N17" s="64">
        <f>IFERROR(F17/I17-1,"n/a")</f>
        <v>34.043478260869563</v>
      </c>
      <c r="O17" s="64">
        <f>IFERROR(F17/J17-1,"n/a")</f>
        <v>0.95047750745430193</v>
      </c>
      <c r="P17" s="60">
        <f>IFERROR(F17/K17-1,"n/a")</f>
        <v>1.1881999321277936</v>
      </c>
      <c r="Q17" s="68">
        <f>F17</f>
        <v>45136</v>
      </c>
      <c r="R17" s="68">
        <f t="shared" si="1"/>
        <v>15799</v>
      </c>
      <c r="S17" s="68">
        <f t="shared" si="1"/>
        <v>1702</v>
      </c>
      <c r="T17" s="68">
        <f t="shared" si="1"/>
        <v>1288</v>
      </c>
      <c r="U17" s="68">
        <f t="shared" si="1"/>
        <v>23141</v>
      </c>
      <c r="V17" s="68">
        <f t="shared" si="1"/>
        <v>20627</v>
      </c>
      <c r="W17" s="64">
        <f>IFERROR(Q17/R17-1,"n/a")</f>
        <v>1.8568896765618077</v>
      </c>
      <c r="X17" s="64">
        <f>IFERROR(Q17/S17-1,"n/a")</f>
        <v>25.519388954171564</v>
      </c>
      <c r="Y17" s="64">
        <f>IFERROR(Q17/T17-1,"n/a")</f>
        <v>34.043478260869563</v>
      </c>
      <c r="Z17" s="64">
        <f>IFERROR(Q17/U17-1,"n/a")</f>
        <v>0.95047750745430193</v>
      </c>
      <c r="AA17" s="60">
        <f>IFERROR(Q17/V17-1,"n/a")</f>
        <v>1.1881999321277936</v>
      </c>
      <c r="AB17" s="68">
        <v>1660685</v>
      </c>
      <c r="AC17" s="68">
        <v>965963</v>
      </c>
      <c r="AD17" s="68">
        <v>301521</v>
      </c>
      <c r="AE17" s="68">
        <v>70675</v>
      </c>
      <c r="AF17" s="135">
        <v>1400932</v>
      </c>
      <c r="AG17" s="123"/>
      <c r="AH17" s="123"/>
    </row>
    <row r="18" spans="1:34" s="124" customFormat="1" ht="12.75">
      <c r="A18" s="123"/>
      <c r="B18" s="128"/>
      <c r="C18" s="31" t="s">
        <v>110</v>
      </c>
      <c r="D18" s="26"/>
      <c r="E18" s="32"/>
      <c r="F18" s="72"/>
      <c r="G18" s="72"/>
      <c r="H18" s="72"/>
      <c r="I18" s="72"/>
      <c r="J18" s="72"/>
      <c r="K18" s="72"/>
      <c r="L18" s="64"/>
      <c r="M18" s="64"/>
      <c r="N18" s="64"/>
      <c r="O18" s="64"/>
      <c r="P18" s="60"/>
      <c r="Q18" s="87"/>
      <c r="R18" s="87"/>
      <c r="S18" s="87"/>
      <c r="T18" s="87"/>
      <c r="U18" s="87"/>
      <c r="V18" s="87"/>
      <c r="W18" s="64"/>
      <c r="X18" s="64"/>
      <c r="Y18" s="64"/>
      <c r="Z18" s="64"/>
      <c r="AA18" s="60"/>
      <c r="AB18" s="43"/>
      <c r="AC18" s="43"/>
      <c r="AD18" s="43"/>
      <c r="AE18" s="43"/>
      <c r="AF18" s="136"/>
      <c r="AG18" s="123"/>
      <c r="AH18" s="123"/>
    </row>
    <row r="19" spans="1:34" s="124" customFormat="1" ht="12.75">
      <c r="A19" s="123"/>
      <c r="B19" s="128"/>
      <c r="C19" s="33"/>
      <c r="D19" s="26" t="s">
        <v>5</v>
      </c>
      <c r="E19" s="32"/>
      <c r="F19" s="71">
        <v>2</v>
      </c>
      <c r="G19" s="71">
        <v>4</v>
      </c>
      <c r="H19" s="71">
        <v>3</v>
      </c>
      <c r="I19" s="71">
        <v>0</v>
      </c>
      <c r="J19" s="71">
        <v>1</v>
      </c>
      <c r="K19" s="71">
        <v>0</v>
      </c>
      <c r="L19" s="64">
        <f>IFERROR(F19/G19-1,"n/a")</f>
        <v>-0.5</v>
      </c>
      <c r="M19" s="64">
        <f>IFERROR(F19/H19-1,"n/a")</f>
        <v>-0.33333333333333337</v>
      </c>
      <c r="N19" s="64" t="str">
        <f>IFERROR(F19/I19-1,"n/a")</f>
        <v>n/a</v>
      </c>
      <c r="O19" s="64">
        <f>IFERROR(F19/J19-1,"n/a")</f>
        <v>1</v>
      </c>
      <c r="P19" s="60" t="str">
        <f>IFERROR(F19/K19-1,"n/a")</f>
        <v>n/a</v>
      </c>
      <c r="Q19" s="68">
        <f>F19</f>
        <v>2</v>
      </c>
      <c r="R19" s="68">
        <f>G19</f>
        <v>4</v>
      </c>
      <c r="S19" s="68">
        <f t="shared" ref="S19:V20" si="2">H19</f>
        <v>3</v>
      </c>
      <c r="T19" s="68">
        <f t="shared" si="2"/>
        <v>0</v>
      </c>
      <c r="U19" s="68">
        <f t="shared" si="2"/>
        <v>1</v>
      </c>
      <c r="V19" s="68">
        <f t="shared" si="2"/>
        <v>0</v>
      </c>
      <c r="W19" s="64">
        <f>IFERROR(Q19/R19-1,"n/a")</f>
        <v>-0.5</v>
      </c>
      <c r="X19" s="64">
        <f>IFERROR(Q19/S19-1,"n/a")</f>
        <v>-0.33333333333333337</v>
      </c>
      <c r="Y19" s="64" t="str">
        <f>IFERROR(Q19/T19-1,"n/a")</f>
        <v>n/a</v>
      </c>
      <c r="Z19" s="64">
        <f>IFERROR(Q19/U19-1,"n/a")</f>
        <v>1</v>
      </c>
      <c r="AA19" s="60" t="str">
        <f>IFERROR(Q19/V19-1,"n/a")</f>
        <v>n/a</v>
      </c>
      <c r="AB19" s="68">
        <v>708</v>
      </c>
      <c r="AC19" s="68">
        <v>658</v>
      </c>
      <c r="AD19" s="68">
        <v>47</v>
      </c>
      <c r="AE19" s="68">
        <v>9</v>
      </c>
      <c r="AF19" s="135">
        <v>290</v>
      </c>
      <c r="AG19" s="123"/>
      <c r="AH19" s="123"/>
    </row>
    <row r="20" spans="1:34" s="124" customFormat="1" ht="12.75">
      <c r="A20" s="123"/>
      <c r="B20" s="128"/>
      <c r="C20" s="33"/>
      <c r="D20" s="26" t="s">
        <v>11</v>
      </c>
      <c r="E20" s="32"/>
      <c r="F20" s="71">
        <v>2840</v>
      </c>
      <c r="G20" s="71">
        <v>3860</v>
      </c>
      <c r="H20" s="71">
        <v>814</v>
      </c>
      <c r="I20" s="71">
        <v>0</v>
      </c>
      <c r="J20" s="71">
        <v>823</v>
      </c>
      <c r="K20" s="71">
        <v>440</v>
      </c>
      <c r="L20" s="64">
        <f>IFERROR(F20/G20-1,"n/a")</f>
        <v>-0.26424870466321249</v>
      </c>
      <c r="M20" s="64">
        <f>IFERROR(F20/H20-1,"n/a")</f>
        <v>2.4889434889434892</v>
      </c>
      <c r="N20" s="64" t="str">
        <f>IFERROR(F20/I20-1,"n/a")</f>
        <v>n/a</v>
      </c>
      <c r="O20" s="64">
        <f>IFERROR(F20/J20-1,"n/a")</f>
        <v>2.4507897934386391</v>
      </c>
      <c r="P20" s="60">
        <f>IFERROR(F20/K20-1,"n/a")</f>
        <v>5.4545454545454541</v>
      </c>
      <c r="Q20" s="68">
        <f>F20</f>
        <v>2840</v>
      </c>
      <c r="R20" s="68">
        <f>G20</f>
        <v>3860</v>
      </c>
      <c r="S20" s="68">
        <f t="shared" si="2"/>
        <v>814</v>
      </c>
      <c r="T20" s="68">
        <f t="shared" si="2"/>
        <v>0</v>
      </c>
      <c r="U20" s="68">
        <f t="shared" si="2"/>
        <v>823</v>
      </c>
      <c r="V20" s="68">
        <f t="shared" si="2"/>
        <v>440</v>
      </c>
      <c r="W20" s="64">
        <f>IFERROR(Q20/R20-1,"n/a")</f>
        <v>-0.26424870466321249</v>
      </c>
      <c r="X20" s="64">
        <f>IFERROR(Q20/S20-1,"n/a")</f>
        <v>2.4889434889434892</v>
      </c>
      <c r="Y20" s="64" t="str">
        <f>IFERROR(Q20/T20-1,"n/a")</f>
        <v>n/a</v>
      </c>
      <c r="Z20" s="64">
        <f>IFERROR(Q20/U20-1,"n/a")</f>
        <v>2.4507897934386391</v>
      </c>
      <c r="AA20" s="60">
        <f>IFERROR(Q20/V20-1,"n/a")</f>
        <v>5.4545454545454541</v>
      </c>
      <c r="AB20" s="68">
        <v>1277526</v>
      </c>
      <c r="AC20" s="68">
        <v>887495</v>
      </c>
      <c r="AD20" s="68">
        <v>17541</v>
      </c>
      <c r="AE20" s="68">
        <v>10046.999999999998</v>
      </c>
      <c r="AF20" s="135">
        <v>585930</v>
      </c>
      <c r="AG20" s="123"/>
      <c r="AH20" s="123"/>
    </row>
    <row r="21" spans="1:34" s="124" customFormat="1" ht="12.75">
      <c r="A21" s="123"/>
      <c r="B21" s="128"/>
      <c r="C21" s="31" t="s">
        <v>111</v>
      </c>
      <c r="D21" s="26"/>
      <c r="E21" s="34"/>
      <c r="F21" s="72"/>
      <c r="G21" s="72"/>
      <c r="H21" s="72"/>
      <c r="I21" s="72"/>
      <c r="J21" s="72"/>
      <c r="K21" s="72"/>
      <c r="L21" s="64"/>
      <c r="M21" s="64"/>
      <c r="N21" s="64"/>
      <c r="O21" s="64"/>
      <c r="P21" s="60"/>
      <c r="Q21" s="87"/>
      <c r="R21" s="87"/>
      <c r="S21" s="87"/>
      <c r="T21" s="87"/>
      <c r="U21" s="87"/>
      <c r="V21" s="87"/>
      <c r="W21" s="64"/>
      <c r="X21" s="64"/>
      <c r="Y21" s="64"/>
      <c r="Z21" s="64"/>
      <c r="AA21" s="60"/>
      <c r="AB21" s="43"/>
      <c r="AC21" s="43"/>
      <c r="AD21" s="43"/>
      <c r="AE21" s="43"/>
      <c r="AF21" s="136"/>
      <c r="AG21" s="123"/>
      <c r="AH21" s="123"/>
    </row>
    <row r="22" spans="1:34" s="124" customFormat="1" ht="12.75">
      <c r="A22" s="123"/>
      <c r="B22" s="128"/>
      <c r="C22" s="33"/>
      <c r="D22" s="26" t="s">
        <v>5</v>
      </c>
      <c r="E22" s="34"/>
      <c r="F22" s="71">
        <v>95</v>
      </c>
      <c r="G22" s="71">
        <v>106</v>
      </c>
      <c r="H22" s="71">
        <v>16</v>
      </c>
      <c r="I22" s="71">
        <v>0</v>
      </c>
      <c r="J22" s="71">
        <v>19</v>
      </c>
      <c r="K22" s="71">
        <v>24</v>
      </c>
      <c r="L22" s="64">
        <f>IFERROR(F22/G22-1,"n/a")</f>
        <v>-0.10377358490566035</v>
      </c>
      <c r="M22" s="64">
        <f>IFERROR(F22/H22-1,"n/a")</f>
        <v>4.9375</v>
      </c>
      <c r="N22" s="64" t="str">
        <f>IFERROR(F22/I22-1,"n/a")</f>
        <v>n/a</v>
      </c>
      <c r="O22" s="64">
        <f>IFERROR(F22/J22-1,"n/a")</f>
        <v>4</v>
      </c>
      <c r="P22" s="60">
        <f>IFERROR(F22/K22-1,"n/a")</f>
        <v>2.9583333333333335</v>
      </c>
      <c r="Q22" s="68">
        <f>F22</f>
        <v>95</v>
      </c>
      <c r="R22" s="68">
        <f>G22</f>
        <v>106</v>
      </c>
      <c r="S22" s="68">
        <f t="shared" ref="S22:V23" si="3">H22</f>
        <v>16</v>
      </c>
      <c r="T22" s="68">
        <f t="shared" si="3"/>
        <v>0</v>
      </c>
      <c r="U22" s="68">
        <f t="shared" si="3"/>
        <v>19</v>
      </c>
      <c r="V22" s="68">
        <f t="shared" si="3"/>
        <v>24</v>
      </c>
      <c r="W22" s="64">
        <f>IFERROR(Q22/R22-1,"n/a")</f>
        <v>-0.10377358490566035</v>
      </c>
      <c r="X22" s="64">
        <f>IFERROR(Q22/S22-1,"n/a")</f>
        <v>4.9375</v>
      </c>
      <c r="Y22" s="64" t="str">
        <f>IFERROR(Q22/T22-1,"n/a")</f>
        <v>n/a</v>
      </c>
      <c r="Z22" s="64">
        <f>IFERROR(Q22/U22-1,"n/a")</f>
        <v>4</v>
      </c>
      <c r="AA22" s="60">
        <f>IFERROR(Q22/V22-1,"n/a")</f>
        <v>2.9583333333333335</v>
      </c>
      <c r="AB22" s="68">
        <v>1500</v>
      </c>
      <c r="AC22" s="68">
        <v>895</v>
      </c>
      <c r="AD22" s="68">
        <v>283</v>
      </c>
      <c r="AE22" s="68">
        <v>43</v>
      </c>
      <c r="AF22" s="135">
        <v>827</v>
      </c>
      <c r="AG22" s="123"/>
      <c r="AH22" s="123"/>
    </row>
    <row r="23" spans="1:34" s="124" customFormat="1" ht="12.75">
      <c r="A23" s="123"/>
      <c r="B23" s="128"/>
      <c r="C23" s="33"/>
      <c r="D23" s="26" t="s">
        <v>11</v>
      </c>
      <c r="E23" s="32"/>
      <c r="F23" s="71">
        <v>313581</v>
      </c>
      <c r="G23" s="71">
        <v>290797</v>
      </c>
      <c r="H23" s="71">
        <v>21828</v>
      </c>
      <c r="I23" s="71">
        <v>0</v>
      </c>
      <c r="J23" s="71">
        <v>64994</v>
      </c>
      <c r="K23" s="71">
        <v>74523</v>
      </c>
      <c r="L23" s="64">
        <f>IFERROR(F23/G23-1,"n/a")</f>
        <v>7.8350189307317519E-2</v>
      </c>
      <c r="M23" s="64">
        <f>IFERROR(F23/H23-1,"n/a")</f>
        <v>13.365997800989554</v>
      </c>
      <c r="N23" s="64" t="str">
        <f>IFERROR(F23/I23-1,"n/a")</f>
        <v>n/a</v>
      </c>
      <c r="O23" s="64">
        <f>IFERROR(F23/J23-1,"n/a")</f>
        <v>3.824768440163707</v>
      </c>
      <c r="P23" s="60">
        <f>IFERROR(F23/K23-1,"n/a")</f>
        <v>3.2078418743206791</v>
      </c>
      <c r="Q23" s="68">
        <f>F23</f>
        <v>313581</v>
      </c>
      <c r="R23" s="68">
        <f>G23</f>
        <v>290797</v>
      </c>
      <c r="S23" s="68">
        <f t="shared" si="3"/>
        <v>21828</v>
      </c>
      <c r="T23" s="68">
        <f t="shared" si="3"/>
        <v>0</v>
      </c>
      <c r="U23" s="68">
        <f t="shared" si="3"/>
        <v>64994</v>
      </c>
      <c r="V23" s="68">
        <f t="shared" si="3"/>
        <v>74523</v>
      </c>
      <c r="W23" s="64">
        <f>IFERROR(Q23/R23-1,"n/a")</f>
        <v>7.8350189307317519E-2</v>
      </c>
      <c r="X23" s="64">
        <f>IFERROR(Q23/S23-1,"n/a")</f>
        <v>13.365997800989554</v>
      </c>
      <c r="Y23" s="64" t="str">
        <f>IFERROR(Q23/T23-1,"n/a")</f>
        <v>n/a</v>
      </c>
      <c r="Z23" s="64">
        <f>IFERROR(Q23/U23-1,"n/a")</f>
        <v>3.824768440163707</v>
      </c>
      <c r="AA23" s="60">
        <f>IFERROR(Q23/V23-1,"n/a")</f>
        <v>3.2078418743206791</v>
      </c>
      <c r="AB23" s="68">
        <v>4459166</v>
      </c>
      <c r="AC23" s="68">
        <v>2165161</v>
      </c>
      <c r="AD23" s="68">
        <v>465109</v>
      </c>
      <c r="AE23" s="68">
        <v>140552</v>
      </c>
      <c r="AF23" s="135">
        <v>2552942</v>
      </c>
      <c r="AG23" s="123"/>
      <c r="AH23" s="123"/>
    </row>
    <row r="24" spans="1:34" s="124" customFormat="1" ht="12.75">
      <c r="A24" s="123"/>
      <c r="B24" s="128"/>
      <c r="C24" s="31" t="s">
        <v>112</v>
      </c>
      <c r="D24" s="26"/>
      <c r="E24" s="32"/>
      <c r="F24" s="72"/>
      <c r="G24" s="72"/>
      <c r="H24" s="72"/>
      <c r="I24" s="72"/>
      <c r="J24" s="72"/>
      <c r="K24" s="72"/>
      <c r="L24" s="64"/>
      <c r="M24" s="64"/>
      <c r="N24" s="64"/>
      <c r="O24" s="64"/>
      <c r="P24" s="60"/>
      <c r="Q24" s="87"/>
      <c r="R24" s="87"/>
      <c r="S24" s="87"/>
      <c r="T24" s="87"/>
      <c r="U24" s="87"/>
      <c r="V24" s="87"/>
      <c r="W24" s="64"/>
      <c r="X24" s="64"/>
      <c r="Y24" s="64"/>
      <c r="Z24" s="64"/>
      <c r="AA24" s="60"/>
      <c r="AB24" s="43"/>
      <c r="AC24" s="43"/>
      <c r="AD24" s="43"/>
      <c r="AE24" s="43"/>
      <c r="AF24" s="136"/>
      <c r="AG24" s="123"/>
      <c r="AH24" s="123"/>
    </row>
    <row r="25" spans="1:34" s="124" customFormat="1" ht="12.75">
      <c r="B25" s="128"/>
      <c r="C25" s="33"/>
      <c r="D25" s="26" t="s">
        <v>5</v>
      </c>
      <c r="E25" s="32"/>
      <c r="F25" s="71">
        <v>0</v>
      </c>
      <c r="G25" s="71">
        <v>0</v>
      </c>
      <c r="H25" s="71">
        <v>0</v>
      </c>
      <c r="I25" s="71">
        <v>0</v>
      </c>
      <c r="J25" s="71">
        <v>0</v>
      </c>
      <c r="K25" s="71">
        <v>0</v>
      </c>
      <c r="L25" s="64" t="str">
        <f>IFERROR(F25/G25-1,"n/a")</f>
        <v>n/a</v>
      </c>
      <c r="M25" s="64" t="str">
        <f>IFERROR(F25/H25-1,"n/a")</f>
        <v>n/a</v>
      </c>
      <c r="N25" s="64" t="str">
        <f>IFERROR(F25/I25-1,"n/a")</f>
        <v>n/a</v>
      </c>
      <c r="O25" s="64" t="str">
        <f>IFERROR(F25/J25-1,"n/a")</f>
        <v>n/a</v>
      </c>
      <c r="P25" s="60" t="str">
        <f>IFERROR(F25/K25-1,"n/a")</f>
        <v>n/a</v>
      </c>
      <c r="Q25" s="68">
        <f>F25</f>
        <v>0</v>
      </c>
      <c r="R25" s="68">
        <f>G25</f>
        <v>0</v>
      </c>
      <c r="S25" s="68">
        <f t="shared" ref="S25:V26" si="4">H25</f>
        <v>0</v>
      </c>
      <c r="T25" s="68">
        <f t="shared" si="4"/>
        <v>0</v>
      </c>
      <c r="U25" s="68">
        <f t="shared" si="4"/>
        <v>0</v>
      </c>
      <c r="V25" s="68">
        <f t="shared" si="4"/>
        <v>0</v>
      </c>
      <c r="W25" s="64" t="str">
        <f>IFERROR(Q25/R25-1,"n/a")</f>
        <v>n/a</v>
      </c>
      <c r="X25" s="64" t="str">
        <f>IFERROR(Q25/S25-1,"n/a")</f>
        <v>n/a</v>
      </c>
      <c r="Y25" s="64" t="str">
        <f>IFERROR(Q25/T25-1,"n/a")</f>
        <v>n/a</v>
      </c>
      <c r="Z25" s="64" t="str">
        <f>IFERROR(Q25/U25-1,"n/a")</f>
        <v>n/a</v>
      </c>
      <c r="AA25" s="60" t="str">
        <f>IFERROR(Q25/V25-1,"n/a")</f>
        <v>n/a</v>
      </c>
      <c r="AB25" s="68">
        <v>21</v>
      </c>
      <c r="AC25" s="68">
        <v>9</v>
      </c>
      <c r="AD25" s="68">
        <v>0</v>
      </c>
      <c r="AE25" s="68">
        <v>0</v>
      </c>
      <c r="AF25" s="135">
        <v>16</v>
      </c>
      <c r="AG25" s="123"/>
      <c r="AH25" s="123"/>
    </row>
    <row r="26" spans="1:34" s="124" customFormat="1" ht="12.75">
      <c r="A26" s="123"/>
      <c r="B26" s="128"/>
      <c r="C26" s="33"/>
      <c r="D26" s="26" t="s">
        <v>11</v>
      </c>
      <c r="E26" s="32"/>
      <c r="F26" s="71">
        <v>0</v>
      </c>
      <c r="G26" s="71">
        <v>0</v>
      </c>
      <c r="H26" s="71">
        <v>0</v>
      </c>
      <c r="I26" s="71">
        <v>0</v>
      </c>
      <c r="J26" s="71">
        <v>0</v>
      </c>
      <c r="K26" s="71">
        <v>0</v>
      </c>
      <c r="L26" s="64" t="str">
        <f>IFERROR(F26/G26-1,"n/a")</f>
        <v>n/a</v>
      </c>
      <c r="M26" s="64" t="str">
        <f>IFERROR(F26/H26-1,"n/a")</f>
        <v>n/a</v>
      </c>
      <c r="N26" s="64" t="str">
        <f>IFERROR(F26/I26-1,"n/a")</f>
        <v>n/a</v>
      </c>
      <c r="O26" s="64" t="str">
        <f>IFERROR(F26/J26-1,"n/a")</f>
        <v>n/a</v>
      </c>
      <c r="P26" s="60" t="str">
        <f>IFERROR(F26/K26-1,"n/a")</f>
        <v>n/a</v>
      </c>
      <c r="Q26" s="68">
        <f>F26</f>
        <v>0</v>
      </c>
      <c r="R26" s="68">
        <f>G26</f>
        <v>0</v>
      </c>
      <c r="S26" s="68">
        <f t="shared" si="4"/>
        <v>0</v>
      </c>
      <c r="T26" s="68">
        <f t="shared" si="4"/>
        <v>0</v>
      </c>
      <c r="U26" s="68">
        <f t="shared" si="4"/>
        <v>0</v>
      </c>
      <c r="V26" s="68">
        <f t="shared" si="4"/>
        <v>0</v>
      </c>
      <c r="W26" s="64" t="str">
        <f>IFERROR(Q26/R26-1,"n/a")</f>
        <v>n/a</v>
      </c>
      <c r="X26" s="64" t="str">
        <f>IFERROR(Q26/S26-1,"n/a")</f>
        <v>n/a</v>
      </c>
      <c r="Y26" s="64" t="str">
        <f>IFERROR(Q26/T26-1,"n/a")</f>
        <v>n/a</v>
      </c>
      <c r="Z26" s="64" t="str">
        <f>IFERROR(Q26/U26-1,"n/a")</f>
        <v>n/a</v>
      </c>
      <c r="AA26" s="60" t="str">
        <f>IFERROR(Q26/V26-1,"n/a")</f>
        <v>n/a</v>
      </c>
      <c r="AB26" s="68">
        <v>38626</v>
      </c>
      <c r="AC26" s="68">
        <v>15637</v>
      </c>
      <c r="AD26" s="68">
        <v>0</v>
      </c>
      <c r="AE26" s="68">
        <v>0</v>
      </c>
      <c r="AF26" s="137">
        <v>20248</v>
      </c>
      <c r="AG26" s="123"/>
      <c r="AH26" s="123"/>
    </row>
    <row r="27" spans="1:34" s="124" customFormat="1" ht="13.5" thickBot="1">
      <c r="A27" s="123"/>
      <c r="B27" s="128"/>
      <c r="C27" s="35" t="s">
        <v>12</v>
      </c>
      <c r="D27" s="36"/>
      <c r="E27" s="37"/>
      <c r="F27" s="75">
        <f t="shared" ref="F27:K28" si="5">F13+F16+F19+F22+F25</f>
        <v>306</v>
      </c>
      <c r="G27" s="75">
        <f t="shared" si="5"/>
        <v>303</v>
      </c>
      <c r="H27" s="75">
        <f t="shared" si="5"/>
        <v>186</v>
      </c>
      <c r="I27" s="75">
        <f t="shared" si="5"/>
        <v>2</v>
      </c>
      <c r="J27" s="75">
        <f t="shared" si="5"/>
        <v>212</v>
      </c>
      <c r="K27" s="75">
        <f t="shared" si="5"/>
        <v>218</v>
      </c>
      <c r="L27" s="66">
        <f>IFERROR(F27/G27-1,"n/a")</f>
        <v>9.9009900990099098E-3</v>
      </c>
      <c r="M27" s="66">
        <f>IFERROR(F27/H27-1,"n/a")</f>
        <v>0.64516129032258074</v>
      </c>
      <c r="N27" s="66">
        <f>IFERROR(F27/I27-1,"n/a")</f>
        <v>152</v>
      </c>
      <c r="O27" s="66">
        <f>IFERROR(F27/J27-1,"n/a")</f>
        <v>0.44339622641509435</v>
      </c>
      <c r="P27" s="62">
        <f>IFERROR(F27/K27-1,"n/a")</f>
        <v>0.40366972477064222</v>
      </c>
      <c r="Q27" s="75">
        <f t="shared" ref="Q27:V28" si="6">Q13+Q16+Q19+Q22+Q25</f>
        <v>306</v>
      </c>
      <c r="R27" s="75">
        <f t="shared" si="6"/>
        <v>303</v>
      </c>
      <c r="S27" s="75">
        <f t="shared" si="6"/>
        <v>186</v>
      </c>
      <c r="T27" s="75">
        <f t="shared" si="6"/>
        <v>2</v>
      </c>
      <c r="U27" s="75">
        <f t="shared" si="6"/>
        <v>212</v>
      </c>
      <c r="V27" s="75">
        <f t="shared" si="6"/>
        <v>218</v>
      </c>
      <c r="W27" s="66">
        <f>IFERROR(Q27/R27-1,"n/a")</f>
        <v>9.9009900990099098E-3</v>
      </c>
      <c r="X27" s="66">
        <f>IFERROR(Q27/S27-1,"n/a")</f>
        <v>0.64516129032258074</v>
      </c>
      <c r="Y27" s="66">
        <f>IFERROR(Q27/T27-1,"n/a")</f>
        <v>152</v>
      </c>
      <c r="Z27" s="66">
        <f>IFERROR(Q27/U27-1,"n/a")</f>
        <v>0.44339622641509435</v>
      </c>
      <c r="AA27" s="62">
        <f>IFERROR(Q27/V27-1,"n/a")</f>
        <v>0.40366972477064222</v>
      </c>
      <c r="AB27" s="75">
        <f>AB13+AB16+AB19+AB22+AB25</f>
        <v>4426</v>
      </c>
      <c r="AC27" s="75">
        <f>AC13+AC16+AC19+AC22+AC25</f>
        <v>3620</v>
      </c>
      <c r="AD27" s="46">
        <f t="shared" ref="AD27:AF28" si="7">AD13+AD16+AD19+AD22+AD25</f>
        <v>1054</v>
      </c>
      <c r="AE27" s="46">
        <f t="shared" si="7"/>
        <v>657</v>
      </c>
      <c r="AF27" s="80">
        <f t="shared" si="7"/>
        <v>3310</v>
      </c>
      <c r="AG27" s="123"/>
      <c r="AH27" s="123"/>
    </row>
    <row r="28" spans="1:34" s="124" customFormat="1" ht="14.25" thickTop="1" thickBot="1">
      <c r="A28" s="123"/>
      <c r="B28" s="128"/>
      <c r="C28" s="38" t="s">
        <v>13</v>
      </c>
      <c r="D28" s="39"/>
      <c r="E28" s="40"/>
      <c r="F28" s="76">
        <f t="shared" si="5"/>
        <v>982865</v>
      </c>
      <c r="G28" s="76">
        <f t="shared" si="5"/>
        <v>833405</v>
      </c>
      <c r="H28" s="76">
        <f t="shared" si="5"/>
        <v>219956</v>
      </c>
      <c r="I28" s="76">
        <f t="shared" si="5"/>
        <v>1288</v>
      </c>
      <c r="J28" s="76">
        <f t="shared" si="5"/>
        <v>555038</v>
      </c>
      <c r="K28" s="76">
        <f t="shared" si="5"/>
        <v>620852</v>
      </c>
      <c r="L28" s="67">
        <f>IFERROR(F28/G28-1,"n/a")</f>
        <v>0.17933657705437334</v>
      </c>
      <c r="M28" s="67">
        <f>IFERROR(F28/H28-1,"n/a")</f>
        <v>3.4684618741930207</v>
      </c>
      <c r="N28" s="67">
        <f>IFERROR(F28/I28-1,"n/a")</f>
        <v>762.09394409937886</v>
      </c>
      <c r="O28" s="67">
        <f>IFERROR(F28/J28-1,"n/a")</f>
        <v>0.77080668350635451</v>
      </c>
      <c r="P28" s="63">
        <f>IFERROR(F28/K28-1,"n/a")</f>
        <v>0.58309065606617994</v>
      </c>
      <c r="Q28" s="76">
        <f t="shared" si="6"/>
        <v>982865</v>
      </c>
      <c r="R28" s="76">
        <f t="shared" si="6"/>
        <v>833405</v>
      </c>
      <c r="S28" s="76">
        <f t="shared" si="6"/>
        <v>219956</v>
      </c>
      <c r="T28" s="76">
        <f t="shared" si="6"/>
        <v>1288</v>
      </c>
      <c r="U28" s="76">
        <f t="shared" si="6"/>
        <v>555038</v>
      </c>
      <c r="V28" s="76">
        <f t="shared" si="6"/>
        <v>620852</v>
      </c>
      <c r="W28" s="67">
        <f>IFERROR(Q28/R28-1,"n/a")</f>
        <v>0.17933657705437334</v>
      </c>
      <c r="X28" s="67">
        <f>IFERROR(Q28/S28-1,"n/a")</f>
        <v>3.4684618741930207</v>
      </c>
      <c r="Y28" s="67">
        <f>IFERROR(Q28/T28-1,"n/a")</f>
        <v>762.09394409937886</v>
      </c>
      <c r="Z28" s="67">
        <f>IFERROR(Q28/U28-1,"n/a")</f>
        <v>0.77080668350635451</v>
      </c>
      <c r="AA28" s="63">
        <f>IFERROR(Q28/V28-1,"n/a")</f>
        <v>0.58309065606617994</v>
      </c>
      <c r="AB28" s="76">
        <f>AB14+AB17+AB20+AB23+AB26</f>
        <v>12668540</v>
      </c>
      <c r="AC28" s="76">
        <f>AC14+AC17+AC20+AC23+AC26</f>
        <v>7626669</v>
      </c>
      <c r="AD28" s="47">
        <f t="shared" si="7"/>
        <v>1552483</v>
      </c>
      <c r="AE28" s="47">
        <f t="shared" si="7"/>
        <v>1314158</v>
      </c>
      <c r="AF28" s="81">
        <f t="shared" si="7"/>
        <v>9152531</v>
      </c>
      <c r="AG28" s="123"/>
      <c r="AH28" s="123"/>
    </row>
    <row r="29" spans="1:34" s="124" customFormat="1" ht="12" thickTop="1">
      <c r="A29" s="123"/>
      <c r="B29" s="123"/>
      <c r="C29" s="123"/>
      <c r="D29" s="123"/>
      <c r="E29" s="123"/>
      <c r="F29" s="123"/>
      <c r="G29" s="129"/>
      <c r="H29" s="129"/>
      <c r="I29" s="129"/>
      <c r="J29" s="129"/>
      <c r="K29" s="129"/>
      <c r="L29" s="129"/>
      <c r="M29" s="129"/>
      <c r="N29" s="129"/>
      <c r="O29" s="129"/>
      <c r="P29" s="123"/>
      <c r="Q29" s="123"/>
      <c r="R29" s="123"/>
      <c r="S29" s="123"/>
      <c r="T29" s="123"/>
      <c r="U29" s="123"/>
      <c r="V29" s="123"/>
      <c r="W29" s="123"/>
      <c r="X29" s="123"/>
      <c r="Y29" s="123"/>
      <c r="Z29" s="123"/>
      <c r="AA29" s="123"/>
      <c r="AB29" s="123"/>
      <c r="AC29" s="123"/>
      <c r="AD29" s="123"/>
      <c r="AE29" s="123"/>
      <c r="AF29" s="123"/>
      <c r="AG29" s="123"/>
      <c r="AH29" s="123"/>
    </row>
    <row r="30" spans="1:34" s="124" customFormat="1" ht="11.25">
      <c r="A30" s="123"/>
      <c r="B30" s="123"/>
      <c r="C30" s="123"/>
      <c r="D30" s="123"/>
      <c r="E30" s="123"/>
      <c r="F30" s="123"/>
      <c r="G30" s="129"/>
      <c r="H30" s="129"/>
      <c r="I30" s="129"/>
      <c r="J30" s="129"/>
      <c r="K30" s="129"/>
      <c r="L30" s="129"/>
      <c r="M30" s="129"/>
      <c r="N30" s="129"/>
      <c r="O30" s="129"/>
      <c r="P30" s="123"/>
      <c r="Q30" s="123"/>
      <c r="R30" s="129"/>
      <c r="S30" s="123"/>
      <c r="T30" s="123"/>
      <c r="U30" s="123"/>
      <c r="V30" s="123"/>
      <c r="W30" s="123"/>
      <c r="X30" s="123"/>
      <c r="Y30" s="123"/>
      <c r="Z30" s="123"/>
      <c r="AA30" s="123"/>
      <c r="AB30" s="123"/>
      <c r="AC30" s="123"/>
      <c r="AD30" s="123"/>
      <c r="AE30" s="123"/>
      <c r="AF30" s="123"/>
      <c r="AG30" s="123"/>
      <c r="AH30" s="123"/>
    </row>
    <row r="31" spans="1:34" s="124" customFormat="1" ht="12.75">
      <c r="A31" s="123"/>
      <c r="B31" s="130"/>
      <c r="C31" s="131" t="s">
        <v>63</v>
      </c>
      <c r="D31" s="24"/>
      <c r="E31" s="24"/>
      <c r="F31" s="24"/>
      <c r="G31" s="24"/>
      <c r="H31" s="24"/>
      <c r="I31" s="24"/>
      <c r="J31" s="24"/>
      <c r="K31" s="95"/>
      <c r="L31" s="95"/>
      <c r="M31" s="95"/>
      <c r="N31" s="95"/>
      <c r="O31" s="95"/>
      <c r="P31" s="24"/>
      <c r="Q31" s="24"/>
      <c r="R31" s="24"/>
      <c r="S31" s="24"/>
      <c r="T31" s="24"/>
      <c r="U31" s="24"/>
      <c r="V31" s="24"/>
      <c r="W31" s="24"/>
      <c r="X31" s="24"/>
      <c r="Y31" s="24"/>
      <c r="Z31" s="24"/>
      <c r="AA31" s="24"/>
      <c r="AB31" s="24"/>
      <c r="AC31" s="24"/>
      <c r="AD31" s="24"/>
      <c r="AE31" s="24"/>
      <c r="AF31" s="24"/>
      <c r="AG31" s="24"/>
      <c r="AH31" s="123"/>
    </row>
    <row r="32" spans="1:34" s="124" customFormat="1" ht="12.75">
      <c r="A32" s="123"/>
      <c r="B32" s="130"/>
      <c r="C32" s="24"/>
      <c r="D32" s="24"/>
      <c r="E32" s="24"/>
      <c r="F32" s="24"/>
      <c r="G32" s="24"/>
      <c r="H32" s="24"/>
      <c r="I32" s="24"/>
      <c r="J32" s="24"/>
      <c r="K32" s="95"/>
      <c r="L32" s="95"/>
      <c r="M32" s="95"/>
      <c r="N32" s="95"/>
      <c r="O32" s="95"/>
      <c r="P32" s="24"/>
      <c r="Q32" s="24"/>
      <c r="R32" s="24"/>
      <c r="S32" s="24"/>
      <c r="T32" s="24"/>
      <c r="U32" s="24"/>
      <c r="V32" s="24"/>
      <c r="W32" s="24"/>
      <c r="X32" s="24"/>
      <c r="Y32" s="24"/>
      <c r="Z32" s="24"/>
      <c r="AA32" s="24"/>
      <c r="AB32" s="24"/>
      <c r="AC32" s="24"/>
      <c r="AD32" s="24"/>
      <c r="AE32" s="24"/>
      <c r="AF32" s="24"/>
      <c r="AG32" s="24"/>
      <c r="AH32" s="123"/>
    </row>
    <row r="33" spans="1:34" s="124" customFormat="1" ht="15" customHeight="1">
      <c r="A33" s="123"/>
      <c r="B33" s="123"/>
      <c r="C33" s="27" t="s">
        <v>7</v>
      </c>
      <c r="D33" s="28"/>
      <c r="E33" s="28"/>
      <c r="F33" s="158" t="str">
        <f>F9</f>
        <v>January</v>
      </c>
      <c r="G33" s="158"/>
      <c r="H33" s="158"/>
      <c r="I33" s="158"/>
      <c r="J33" s="158"/>
      <c r="K33" s="158"/>
      <c r="L33" s="158"/>
      <c r="M33" s="158"/>
      <c r="N33" s="158"/>
      <c r="O33" s="158"/>
      <c r="P33" s="159"/>
      <c r="Q33" s="161" t="str">
        <f>"April to "&amp;D4&amp;" (YTD)"</f>
        <v>April to January (YTD)</v>
      </c>
      <c r="R33" s="162"/>
      <c r="S33" s="162"/>
      <c r="T33" s="162"/>
      <c r="U33" s="162"/>
      <c r="V33" s="162"/>
      <c r="W33" s="162"/>
      <c r="X33" s="162"/>
      <c r="Y33" s="162"/>
      <c r="Z33" s="162"/>
      <c r="AA33" s="163"/>
      <c r="AB33" s="161" t="s">
        <v>58</v>
      </c>
      <c r="AC33" s="162"/>
      <c r="AD33" s="162"/>
      <c r="AE33" s="162"/>
      <c r="AF33" s="164"/>
    </row>
    <row r="34" spans="1:34" s="124" customFormat="1" ht="11.25">
      <c r="A34" s="123"/>
      <c r="B34" s="123"/>
      <c r="C34" s="29"/>
      <c r="D34" s="30"/>
      <c r="E34" s="30"/>
      <c r="F34" s="143"/>
      <c r="G34" s="144"/>
      <c r="H34" s="144"/>
      <c r="I34" s="144"/>
      <c r="J34" s="144"/>
      <c r="K34" s="144"/>
      <c r="L34" s="144"/>
      <c r="M34" s="144"/>
      <c r="N34" s="144"/>
      <c r="O34" s="144"/>
      <c r="P34" s="145"/>
      <c r="Q34" s="144"/>
      <c r="R34" s="144"/>
      <c r="S34" s="144"/>
      <c r="T34" s="144"/>
      <c r="U34" s="144"/>
      <c r="V34" s="144"/>
      <c r="W34" s="144"/>
      <c r="X34" s="144"/>
      <c r="Y34" s="144"/>
      <c r="Z34" s="144"/>
      <c r="AA34" s="145"/>
      <c r="AB34" s="152"/>
      <c r="AC34" s="153"/>
      <c r="AD34" s="153"/>
      <c r="AE34" s="153"/>
      <c r="AF34" s="154"/>
    </row>
    <row r="35" spans="1:34" s="124" customFormat="1" ht="22.5">
      <c r="A35" s="123"/>
      <c r="B35" s="123"/>
      <c r="C35" s="59" t="s">
        <v>29</v>
      </c>
      <c r="D35" s="50"/>
      <c r="E35" s="51"/>
      <c r="F35" s="55">
        <v>2024</v>
      </c>
      <c r="G35" s="52">
        <v>2023</v>
      </c>
      <c r="H35" s="52">
        <v>2022</v>
      </c>
      <c r="I35" s="52">
        <v>2021</v>
      </c>
      <c r="J35" s="52">
        <v>2020</v>
      </c>
      <c r="K35" s="52">
        <v>2019</v>
      </c>
      <c r="L35" s="53" t="s">
        <v>116</v>
      </c>
      <c r="M35" s="53" t="s">
        <v>117</v>
      </c>
      <c r="N35" s="53" t="s">
        <v>118</v>
      </c>
      <c r="O35" s="53" t="s">
        <v>119</v>
      </c>
      <c r="P35" s="57" t="s">
        <v>101</v>
      </c>
      <c r="Q35" s="53"/>
      <c r="R35" s="53" t="s">
        <v>115</v>
      </c>
      <c r="S35" s="53" t="s">
        <v>53</v>
      </c>
      <c r="T35" s="52" t="s">
        <v>54</v>
      </c>
      <c r="U35" s="52" t="s">
        <v>59</v>
      </c>
      <c r="V35" s="52" t="s">
        <v>64</v>
      </c>
      <c r="W35" s="53"/>
      <c r="X35" s="53" t="s">
        <v>116</v>
      </c>
      <c r="Y35" s="53" t="s">
        <v>117</v>
      </c>
      <c r="Z35" s="53" t="s">
        <v>118</v>
      </c>
      <c r="AA35" s="57" t="s">
        <v>119</v>
      </c>
      <c r="AB35" s="146"/>
      <c r="AC35" s="53" t="s">
        <v>53</v>
      </c>
      <c r="AD35" s="53" t="s">
        <v>54</v>
      </c>
      <c r="AE35" s="53" t="s">
        <v>65</v>
      </c>
      <c r="AF35" s="57" t="s">
        <v>73</v>
      </c>
      <c r="AH35" s="123"/>
    </row>
    <row r="36" spans="1:34" s="124" customFormat="1" ht="11.25">
      <c r="A36" s="123"/>
      <c r="B36" s="123"/>
      <c r="C36" s="31" t="s">
        <v>108</v>
      </c>
      <c r="D36" s="26"/>
      <c r="E36" s="32"/>
      <c r="F36" s="26"/>
      <c r="G36" s="26"/>
      <c r="H36" s="26"/>
      <c r="I36" s="26"/>
      <c r="J36" s="26"/>
      <c r="K36" s="26"/>
      <c r="L36" s="26"/>
      <c r="M36" s="26"/>
      <c r="N36" s="26"/>
      <c r="O36" s="26"/>
      <c r="P36" s="32"/>
      <c r="Q36" s="26"/>
      <c r="R36" s="26"/>
      <c r="S36" s="26"/>
      <c r="T36" s="26"/>
      <c r="U36" s="26"/>
      <c r="V36" s="123"/>
      <c r="W36" s="26"/>
      <c r="X36" s="26"/>
      <c r="Y36" s="123"/>
      <c r="Z36" s="26"/>
      <c r="AA36" s="32"/>
      <c r="AB36" s="147"/>
      <c r="AC36" s="26"/>
      <c r="AD36" s="26"/>
      <c r="AE36" s="88"/>
      <c r="AF36" s="85"/>
      <c r="AH36" s="123"/>
    </row>
    <row r="37" spans="1:34" s="124" customFormat="1" ht="11.25">
      <c r="A37" s="123"/>
      <c r="B37" s="123"/>
      <c r="C37" s="33"/>
      <c r="D37" s="26" t="s">
        <v>5</v>
      </c>
      <c r="E37" s="32"/>
      <c r="F37" s="74">
        <v>197</v>
      </c>
      <c r="G37" s="74">
        <f t="shared" ref="G37:K38" si="8">G13</f>
        <v>188</v>
      </c>
      <c r="H37" s="74">
        <f t="shared" si="8"/>
        <v>164</v>
      </c>
      <c r="I37" s="74">
        <f t="shared" si="8"/>
        <v>0</v>
      </c>
      <c r="J37" s="74">
        <f t="shared" si="8"/>
        <v>187</v>
      </c>
      <c r="K37" s="74">
        <f t="shared" si="8"/>
        <v>189</v>
      </c>
      <c r="L37" s="64">
        <f>IFERROR(F37/G37-1,"n/a")</f>
        <v>4.7872340425531901E-2</v>
      </c>
      <c r="M37" s="64">
        <f>IFERROR(F37/H37-1,"n/a")</f>
        <v>0.20121951219512191</v>
      </c>
      <c r="N37" s="64" t="str">
        <f>IFERROR(F37/I37-1,"n/a")</f>
        <v>n/a</v>
      </c>
      <c r="O37" s="64">
        <f>IFERROR(F37/J37-1,"n/a")</f>
        <v>5.3475935828876997E-2</v>
      </c>
      <c r="P37" s="60">
        <f>IFERROR(F37/K37-1,"n/a")</f>
        <v>4.2328042328042326E-2</v>
      </c>
      <c r="Q37" s="64"/>
      <c r="R37" s="74">
        <f>'Dec-23'!O37+'Jan-24'!F37</f>
        <v>1297</v>
      </c>
      <c r="S37" s="74">
        <f>'Dec-23'!P37+'Jan-24'!G37</f>
        <v>1144</v>
      </c>
      <c r="T37" s="74">
        <f>'Dec-23'!Q37+'Jan-24'!H37</f>
        <v>679</v>
      </c>
      <c r="U37" s="74">
        <f>'Dec-23'!R37+'Jan-24'!I37</f>
        <v>42</v>
      </c>
      <c r="V37" s="74">
        <f>'Dec-23'!S37+'Jan-24'!J37</f>
        <v>1255</v>
      </c>
      <c r="W37" s="64"/>
      <c r="X37" s="120">
        <f>IFERROR(R37/S37-1,"n/a")</f>
        <v>0.13374125874125875</v>
      </c>
      <c r="Y37" s="120">
        <f>IFERROR(R37/T37-1,"n/a")</f>
        <v>0.9101620029455082</v>
      </c>
      <c r="Z37" s="120">
        <f>IFERROR(R37/U37-1,"n/a")</f>
        <v>29.88095238095238</v>
      </c>
      <c r="AA37" s="121">
        <f>IFERROR(R37/V37-1,"n/a")</f>
        <v>3.3466135458167345E-2</v>
      </c>
      <c r="AB37" s="148"/>
      <c r="AC37" s="89">
        <v>1486</v>
      </c>
      <c r="AD37" s="89">
        <v>1052</v>
      </c>
      <c r="AE37" s="70">
        <v>551</v>
      </c>
      <c r="AF37" s="78">
        <v>1584</v>
      </c>
      <c r="AH37" s="123"/>
    </row>
    <row r="38" spans="1:34" s="124" customFormat="1" ht="11.25">
      <c r="A38" s="123"/>
      <c r="B38" s="123"/>
      <c r="C38" s="33"/>
      <c r="D38" s="26" t="s">
        <v>11</v>
      </c>
      <c r="E38" s="32"/>
      <c r="F38" s="74">
        <v>621308</v>
      </c>
      <c r="G38" s="74">
        <f t="shared" si="8"/>
        <v>522949</v>
      </c>
      <c r="H38" s="74">
        <f t="shared" si="8"/>
        <v>195612</v>
      </c>
      <c r="I38" s="74">
        <f t="shared" si="8"/>
        <v>0</v>
      </c>
      <c r="J38" s="74">
        <f t="shared" si="8"/>
        <v>466080</v>
      </c>
      <c r="K38" s="74">
        <f t="shared" si="8"/>
        <v>525262</v>
      </c>
      <c r="L38" s="64">
        <f>IFERROR(F38/G38-1,"n/a")</f>
        <v>0.1880852626164311</v>
      </c>
      <c r="M38" s="64">
        <f>IFERROR(F38/H38-1,"n/a")</f>
        <v>2.1762264073778703</v>
      </c>
      <c r="N38" s="64" t="str">
        <f>IFERROR(F38/I38-1,"n/a")</f>
        <v>n/a</v>
      </c>
      <c r="O38" s="64">
        <f>IFERROR(F38/J38-1,"n/a")</f>
        <v>0.33305012015104696</v>
      </c>
      <c r="P38" s="60">
        <f>IFERROR(F38/K38-1,"n/a")</f>
        <v>0.18285350929631305</v>
      </c>
      <c r="Q38" s="64"/>
      <c r="R38" s="74">
        <f>'Dec-23'!O38+'Jan-24'!F38</f>
        <v>4315661</v>
      </c>
      <c r="S38" s="74">
        <f>'Dec-23'!P38+'Jan-24'!G38</f>
        <v>3355704</v>
      </c>
      <c r="T38" s="74">
        <f>'Dec-23'!Q38+'Jan-24'!H38</f>
        <v>958813</v>
      </c>
      <c r="U38" s="74">
        <f>'Dec-23'!R38+'Jan-24'!I38</f>
        <v>0</v>
      </c>
      <c r="V38" s="74">
        <f>'Dec-23'!S38+'Jan-24'!J38</f>
        <v>3586052</v>
      </c>
      <c r="W38" s="64"/>
      <c r="X38" s="120">
        <f>IFERROR(R38/S38-1,"n/a")</f>
        <v>0.28606724550198703</v>
      </c>
      <c r="Y38" s="120">
        <f>IFERROR(R38/T38-1,"n/a")</f>
        <v>3.5010455636291953</v>
      </c>
      <c r="Z38" s="120" t="str">
        <f>IFERROR(R38/U38-1,"n/a")</f>
        <v>n/a</v>
      </c>
      <c r="AA38" s="121">
        <f>IFERROR(R38/V38-1,"n/a")</f>
        <v>0.20345745125837555</v>
      </c>
      <c r="AB38" s="148"/>
      <c r="AC38" s="89">
        <v>4370939</v>
      </c>
      <c r="AD38" s="89">
        <v>1527970</v>
      </c>
      <c r="AE38" s="84">
        <v>1092884</v>
      </c>
      <c r="AF38" s="78">
        <v>4234259</v>
      </c>
      <c r="AH38" s="123"/>
    </row>
    <row r="39" spans="1:34" s="124" customFormat="1" ht="11.25">
      <c r="A39" s="123"/>
      <c r="B39" s="123"/>
      <c r="C39" s="31" t="s">
        <v>109</v>
      </c>
      <c r="D39" s="26"/>
      <c r="E39" s="32"/>
      <c r="F39" s="26"/>
      <c r="G39" s="26"/>
      <c r="H39" s="26"/>
      <c r="I39" s="26"/>
      <c r="J39" s="26"/>
      <c r="K39" s="26"/>
      <c r="L39" s="64"/>
      <c r="M39" s="64"/>
      <c r="N39" s="64"/>
      <c r="O39" s="64"/>
      <c r="P39" s="61"/>
      <c r="Q39" s="65"/>
      <c r="R39" s="26"/>
      <c r="S39" s="26"/>
      <c r="T39" s="26"/>
      <c r="U39" s="26"/>
      <c r="V39" s="26"/>
      <c r="W39" s="64"/>
      <c r="X39" s="65"/>
      <c r="Y39" s="65"/>
      <c r="Z39" s="65"/>
      <c r="AA39" s="61"/>
      <c r="AB39" s="149"/>
      <c r="AC39" s="90"/>
      <c r="AD39" s="90"/>
      <c r="AE39" s="44"/>
      <c r="AF39" s="79"/>
      <c r="AH39" s="123"/>
    </row>
    <row r="40" spans="1:34" s="124" customFormat="1" ht="11.25">
      <c r="A40" s="123"/>
      <c r="B40" s="123"/>
      <c r="C40" s="33"/>
      <c r="D40" s="26" t="s">
        <v>5</v>
      </c>
      <c r="E40" s="32"/>
      <c r="F40" s="74">
        <v>12</v>
      </c>
      <c r="G40" s="74">
        <f t="shared" ref="G40:K41" si="9">G16</f>
        <v>5</v>
      </c>
      <c r="H40" s="74">
        <f t="shared" si="9"/>
        <v>3</v>
      </c>
      <c r="I40" s="74">
        <f t="shared" si="9"/>
        <v>2</v>
      </c>
      <c r="J40" s="74">
        <f t="shared" si="9"/>
        <v>5</v>
      </c>
      <c r="K40" s="74">
        <f t="shared" si="9"/>
        <v>5</v>
      </c>
      <c r="L40" s="64">
        <f>IFERROR(F40/G40-1,"n/a")</f>
        <v>1.4</v>
      </c>
      <c r="M40" s="64">
        <f>IFERROR(F40/H40-1,"n/a")</f>
        <v>3</v>
      </c>
      <c r="N40" s="64">
        <f>IFERROR(F40/I40-1,"n/a")</f>
        <v>5</v>
      </c>
      <c r="O40" s="64">
        <f>IFERROR(F40/J40-1,"n/a")</f>
        <v>1.4</v>
      </c>
      <c r="P40" s="60">
        <f>IFERROR(F40/K40-1,"n/a")</f>
        <v>1.4</v>
      </c>
      <c r="Q40" s="64"/>
      <c r="R40" s="74">
        <f>'Dec-23'!O40+'Jan-24'!F40</f>
        <v>558</v>
      </c>
      <c r="S40" s="74">
        <f>'Dec-23'!P40+'Jan-24'!G40</f>
        <v>541</v>
      </c>
      <c r="T40" s="74">
        <f>'Dec-23'!Q40+'Jan-24'!H40</f>
        <v>195</v>
      </c>
      <c r="U40" s="74">
        <f>'Dec-23'!R40+'Jan-24'!I40</f>
        <v>46</v>
      </c>
      <c r="V40" s="74">
        <f>'Dec-23'!S40+'Jan-24'!J40</f>
        <v>575</v>
      </c>
      <c r="W40" s="64"/>
      <c r="X40" s="120">
        <f>IFERROR(R40/S40-1,"n/a")</f>
        <v>3.1423290203327126E-2</v>
      </c>
      <c r="Y40" s="120">
        <f>IFERROR(R40/T40-1,"n/a")</f>
        <v>1.8615384615384616</v>
      </c>
      <c r="Z40" s="120">
        <f>IFERROR(R40/U40-1,"n/a")</f>
        <v>11.130434782608695</v>
      </c>
      <c r="AA40" s="121">
        <f>IFERROR(R40/V40-1,"n/a")</f>
        <v>-2.9565217391304355E-2</v>
      </c>
      <c r="AB40" s="148"/>
      <c r="AC40" s="89">
        <v>563</v>
      </c>
      <c r="AD40" s="89">
        <v>226</v>
      </c>
      <c r="AE40" s="70">
        <v>66</v>
      </c>
      <c r="AF40" s="78">
        <v>573</v>
      </c>
      <c r="AH40" s="123"/>
    </row>
    <row r="41" spans="1:34" s="124" customFormat="1" ht="11.25">
      <c r="A41" s="123"/>
      <c r="B41" s="123"/>
      <c r="C41" s="33"/>
      <c r="D41" s="26" t="s">
        <v>11</v>
      </c>
      <c r="E41" s="32"/>
      <c r="F41" s="74">
        <v>45136</v>
      </c>
      <c r="G41" s="74">
        <f t="shared" si="9"/>
        <v>15799</v>
      </c>
      <c r="H41" s="74">
        <f t="shared" si="9"/>
        <v>1702</v>
      </c>
      <c r="I41" s="74">
        <f t="shared" si="9"/>
        <v>1288</v>
      </c>
      <c r="J41" s="74">
        <f t="shared" si="9"/>
        <v>23141</v>
      </c>
      <c r="K41" s="74">
        <f t="shared" si="9"/>
        <v>20627</v>
      </c>
      <c r="L41" s="64">
        <f>IFERROR(F41/G41-1,"n/a")</f>
        <v>1.8568896765618077</v>
      </c>
      <c r="M41" s="64">
        <f>IFERROR(F41/H41-1,"n/a")</f>
        <v>25.519388954171564</v>
      </c>
      <c r="N41" s="64">
        <f>IFERROR(F41/I41-1,"n/a")</f>
        <v>34.043478260869563</v>
      </c>
      <c r="O41" s="64">
        <f>IFERROR(F41/J41-1,"n/a")</f>
        <v>0.95047750745430193</v>
      </c>
      <c r="P41" s="60">
        <f>IFERROR(F41/K41-1,"n/a")</f>
        <v>1.1881999321277936</v>
      </c>
      <c r="Q41" s="64"/>
      <c r="R41" s="74">
        <f>'Dec-23'!O41+'Jan-24'!F41</f>
        <v>1622766</v>
      </c>
      <c r="S41" s="74">
        <f>'Dec-23'!P41+'Jan-24'!G41</f>
        <v>945254</v>
      </c>
      <c r="T41" s="74">
        <f>'Dec-23'!Q41+'Jan-24'!H41</f>
        <v>294134</v>
      </c>
      <c r="U41" s="74">
        <f>'Dec-23'!R41+'Jan-24'!I41</f>
        <v>30850</v>
      </c>
      <c r="V41" s="74">
        <f>'Dec-23'!S41+'Jan-24'!J41</f>
        <v>1341300</v>
      </c>
      <c r="W41" s="64"/>
      <c r="X41" s="120">
        <f>IFERROR(R41/S41-1,"n/a")</f>
        <v>0.71675126473942452</v>
      </c>
      <c r="Y41" s="120">
        <f>IFERROR(R41/T41-1,"n/a")</f>
        <v>4.5170976493706947</v>
      </c>
      <c r="Z41" s="120">
        <f>IFERROR(R41/U41-1,"n/a")</f>
        <v>51.601815235008104</v>
      </c>
      <c r="AA41" s="121">
        <f>IFERROR(R41/V41-1,"n/a")</f>
        <v>0.20984567210914795</v>
      </c>
      <c r="AB41" s="148"/>
      <c r="AC41" s="89">
        <v>1012510</v>
      </c>
      <c r="AD41" s="89">
        <v>327926</v>
      </c>
      <c r="AE41" s="84">
        <v>80778</v>
      </c>
      <c r="AF41" s="78">
        <v>1361671</v>
      </c>
      <c r="AH41" s="123"/>
    </row>
    <row r="42" spans="1:34" s="124" customFormat="1" ht="11.25">
      <c r="A42" s="123"/>
      <c r="B42" s="123"/>
      <c r="C42" s="31" t="s">
        <v>110</v>
      </c>
      <c r="D42" s="26"/>
      <c r="E42" s="32"/>
      <c r="F42" s="87"/>
      <c r="G42" s="87"/>
      <c r="H42" s="87"/>
      <c r="I42" s="87"/>
      <c r="J42" s="87"/>
      <c r="K42" s="72"/>
      <c r="L42" s="64"/>
      <c r="M42" s="64"/>
      <c r="N42" s="64"/>
      <c r="O42" s="64"/>
      <c r="P42" s="60"/>
      <c r="Q42" s="64"/>
      <c r="R42" s="87"/>
      <c r="S42" s="87"/>
      <c r="T42" s="87"/>
      <c r="U42" s="87"/>
      <c r="V42" s="87"/>
      <c r="W42" s="64"/>
      <c r="X42" s="64"/>
      <c r="Y42" s="64"/>
      <c r="Z42" s="64"/>
      <c r="AA42" s="60"/>
      <c r="AB42" s="148"/>
      <c r="AC42" s="90"/>
      <c r="AD42" s="90"/>
      <c r="AE42" s="44"/>
      <c r="AF42" s="79"/>
      <c r="AH42" s="123"/>
    </row>
    <row r="43" spans="1:34" s="124" customFormat="1" ht="11.25">
      <c r="A43" s="123"/>
      <c r="B43" s="123"/>
      <c r="C43" s="33"/>
      <c r="D43" s="26" t="s">
        <v>5</v>
      </c>
      <c r="E43" s="32"/>
      <c r="F43" s="74">
        <v>2</v>
      </c>
      <c r="G43" s="74">
        <f t="shared" ref="G43:K44" si="10">G19</f>
        <v>4</v>
      </c>
      <c r="H43" s="74">
        <f t="shared" si="10"/>
        <v>3</v>
      </c>
      <c r="I43" s="74">
        <f t="shared" si="10"/>
        <v>0</v>
      </c>
      <c r="J43" s="74">
        <f t="shared" si="10"/>
        <v>1</v>
      </c>
      <c r="K43" s="74">
        <f t="shared" si="10"/>
        <v>0</v>
      </c>
      <c r="L43" s="64">
        <f>IFERROR(F43/G43-1,"n/a")</f>
        <v>-0.5</v>
      </c>
      <c r="M43" s="64">
        <f>IFERROR(F43/H43-1,"n/a")</f>
        <v>-0.33333333333333337</v>
      </c>
      <c r="N43" s="64" t="str">
        <f>IFERROR(F43/I43-1,"n/a")</f>
        <v>n/a</v>
      </c>
      <c r="O43" s="64">
        <f>IFERROR(F43/J43-1,"n/a")</f>
        <v>1</v>
      </c>
      <c r="P43" s="60" t="str">
        <f>IFERROR(F43/K43-1,"n/a")</f>
        <v>n/a</v>
      </c>
      <c r="Q43" s="64"/>
      <c r="R43" s="74">
        <f>'Dec-23'!O43+'Jan-24'!F43</f>
        <v>687</v>
      </c>
      <c r="S43" s="74">
        <f>'Dec-23'!P43+'Jan-24'!G43</f>
        <v>650</v>
      </c>
      <c r="T43" s="74">
        <f>'Dec-23'!Q43+'Jan-24'!H43</f>
        <v>50</v>
      </c>
      <c r="U43" s="74">
        <f>'Dec-23'!R43+'Jan-24'!I43</f>
        <v>7</v>
      </c>
      <c r="V43" s="74">
        <f>'Dec-23'!S43+'Jan-24'!J43</f>
        <v>285</v>
      </c>
      <c r="W43" s="64"/>
      <c r="X43" s="120">
        <f>IFERROR(R43/S43-1,"n/a")</f>
        <v>5.6923076923076854E-2</v>
      </c>
      <c r="Y43" s="120">
        <f>IFERROR(R43/T43-1,"n/a")</f>
        <v>12.74</v>
      </c>
      <c r="Z43" s="120">
        <f>IFERROR(R43/U43-1,"n/a")</f>
        <v>97.142857142857139</v>
      </c>
      <c r="AA43" s="121">
        <f>IFERROR(R43/V43-1,"n/a")</f>
        <v>1.4105263157894736</v>
      </c>
      <c r="AB43" s="148"/>
      <c r="AC43" s="89">
        <v>669</v>
      </c>
      <c r="AD43" s="89">
        <v>59</v>
      </c>
      <c r="AE43" s="70">
        <v>9</v>
      </c>
      <c r="AF43" s="78">
        <v>287</v>
      </c>
      <c r="AH43" s="123"/>
    </row>
    <row r="44" spans="1:34" s="124" customFormat="1" ht="11.25">
      <c r="A44" s="123"/>
      <c r="B44" s="123"/>
      <c r="C44" s="33"/>
      <c r="D44" s="26" t="s">
        <v>11</v>
      </c>
      <c r="E44" s="32"/>
      <c r="F44" s="74">
        <v>2840</v>
      </c>
      <c r="G44" s="74">
        <f t="shared" si="10"/>
        <v>3860</v>
      </c>
      <c r="H44" s="74">
        <f t="shared" si="10"/>
        <v>814</v>
      </c>
      <c r="I44" s="74">
        <f t="shared" si="10"/>
        <v>0</v>
      </c>
      <c r="J44" s="74">
        <f t="shared" si="10"/>
        <v>823</v>
      </c>
      <c r="K44" s="74">
        <f t="shared" si="10"/>
        <v>440</v>
      </c>
      <c r="L44" s="64">
        <f>IFERROR(F44/G44-1,"n/a")</f>
        <v>-0.26424870466321249</v>
      </c>
      <c r="M44" s="64">
        <f>IFERROR(F44/H44-1,"n/a")</f>
        <v>2.4889434889434892</v>
      </c>
      <c r="N44" s="64" t="str">
        <f>IFERROR(F44/I44-1,"n/a")</f>
        <v>n/a</v>
      </c>
      <c r="O44" s="64">
        <f>IFERROR(F44/J44-1,"n/a")</f>
        <v>2.4507897934386391</v>
      </c>
      <c r="P44" s="60">
        <f>IFERROR(F44/K44-1,"n/a")</f>
        <v>5.4545454545454541</v>
      </c>
      <c r="Q44" s="64"/>
      <c r="R44" s="74">
        <f>'Dec-23'!O44+'Jan-24'!F44</f>
        <v>1259520</v>
      </c>
      <c r="S44" s="74">
        <f>'Dec-23'!P44+'Jan-24'!G44</f>
        <v>888270</v>
      </c>
      <c r="T44" s="74">
        <f>'Dec-23'!Q44+'Jan-24'!H44</f>
        <v>18355</v>
      </c>
      <c r="U44" s="74">
        <f>'Dec-23'!R44+'Jan-24'!I44</f>
        <v>8294</v>
      </c>
      <c r="V44" s="74">
        <f>'Dec-23'!S44+'Jan-24'!J44</f>
        <v>580269</v>
      </c>
      <c r="W44" s="64"/>
      <c r="X44" s="120">
        <f>IFERROR(R44/S44-1,"n/a")</f>
        <v>0.41794724576986719</v>
      </c>
      <c r="Y44" s="120">
        <f>IFERROR(R44/T44-1,"n/a")</f>
        <v>67.619994551893214</v>
      </c>
      <c r="Z44" s="120">
        <f>IFERROR(R44/U44-1,"n/a")</f>
        <v>150.85917530745118</v>
      </c>
      <c r="AA44" s="121">
        <f>IFERROR(R44/V44-1,"n/a")</f>
        <v>1.170579507090677</v>
      </c>
      <c r="AB44" s="148"/>
      <c r="AC44" s="82">
        <v>905256</v>
      </c>
      <c r="AD44" s="82">
        <v>20626</v>
      </c>
      <c r="AE44" s="84">
        <v>10047</v>
      </c>
      <c r="AF44" s="78">
        <v>581199</v>
      </c>
      <c r="AH44" s="123"/>
    </row>
    <row r="45" spans="1:34" s="124" customFormat="1" ht="11.25">
      <c r="A45" s="123"/>
      <c r="B45" s="123"/>
      <c r="C45" s="31" t="s">
        <v>111</v>
      </c>
      <c r="D45" s="26"/>
      <c r="E45" s="34"/>
      <c r="F45" s="72"/>
      <c r="G45" s="72"/>
      <c r="H45" s="72"/>
      <c r="I45" s="72"/>
      <c r="J45" s="72"/>
      <c r="K45" s="72"/>
      <c r="L45" s="64"/>
      <c r="M45" s="64"/>
      <c r="N45" s="64"/>
      <c r="O45" s="64"/>
      <c r="P45" s="60"/>
      <c r="Q45" s="64"/>
      <c r="R45" s="72"/>
      <c r="S45" s="72"/>
      <c r="T45" s="72"/>
      <c r="U45" s="72"/>
      <c r="V45" s="72"/>
      <c r="W45" s="64"/>
      <c r="X45" s="64"/>
      <c r="Y45" s="64"/>
      <c r="Z45" s="64"/>
      <c r="AA45" s="60"/>
      <c r="AB45" s="148"/>
      <c r="AC45" s="90"/>
      <c r="AD45" s="90"/>
      <c r="AE45" s="44"/>
      <c r="AF45" s="79"/>
      <c r="AH45" s="123"/>
    </row>
    <row r="46" spans="1:34" s="124" customFormat="1" ht="11.25">
      <c r="A46" s="123"/>
      <c r="B46" s="123"/>
      <c r="C46" s="33"/>
      <c r="D46" s="26" t="s">
        <v>5</v>
      </c>
      <c r="E46" s="34"/>
      <c r="F46" s="74">
        <v>95</v>
      </c>
      <c r="G46" s="74">
        <f t="shared" ref="G46:K47" si="11">G22</f>
        <v>106</v>
      </c>
      <c r="H46" s="74">
        <f t="shared" si="11"/>
        <v>16</v>
      </c>
      <c r="I46" s="74">
        <f t="shared" si="11"/>
        <v>0</v>
      </c>
      <c r="J46" s="74">
        <f t="shared" si="11"/>
        <v>19</v>
      </c>
      <c r="K46" s="74">
        <f t="shared" si="11"/>
        <v>24</v>
      </c>
      <c r="L46" s="64">
        <f>IFERROR(F46/G46-1,"n/a")</f>
        <v>-0.10377358490566035</v>
      </c>
      <c r="M46" s="64">
        <f>IFERROR(F46/H46-1,"n/a")</f>
        <v>4.9375</v>
      </c>
      <c r="N46" s="64" t="str">
        <f>IFERROR(F46/I46-1,"n/a")</f>
        <v>n/a</v>
      </c>
      <c r="O46" s="64">
        <f>IFERROR(F46/J46-1,"n/a")</f>
        <v>4</v>
      </c>
      <c r="P46" s="60">
        <f>IFERROR(F46/K46-1,"n/a")</f>
        <v>2.9583333333333335</v>
      </c>
      <c r="Q46" s="64"/>
      <c r="R46" s="74">
        <f>'Dec-23'!O46+'Jan-24'!F46</f>
        <v>1307</v>
      </c>
      <c r="S46" s="74">
        <f>'Dec-23'!P46+'Jan-24'!G46</f>
        <v>944</v>
      </c>
      <c r="T46" s="74">
        <f>'Dec-23'!Q46+'Jan-24'!H46</f>
        <v>299</v>
      </c>
      <c r="U46" s="74">
        <f>'Dec-23'!R46+'Jan-24'!I46</f>
        <v>0</v>
      </c>
      <c r="V46" s="74">
        <f>'Dec-23'!S46+'Jan-24'!J46</f>
        <v>757</v>
      </c>
      <c r="W46" s="64"/>
      <c r="X46" s="120">
        <f>IFERROR(R46/S46-1,"n/a")</f>
        <v>0.38453389830508478</v>
      </c>
      <c r="Y46" s="120">
        <f>IFERROR(R46/T46-1,"n/a")</f>
        <v>3.3712374581939804</v>
      </c>
      <c r="Z46" s="120" t="str">
        <f>IFERROR(R46/U46-1,"n/a")</f>
        <v>n/a</v>
      </c>
      <c r="AA46" s="121">
        <f>IFERROR(R46/V46-1,"n/a")</f>
        <v>0.72655217965653907</v>
      </c>
      <c r="AB46" s="148"/>
      <c r="AC46" s="89">
        <v>1129</v>
      </c>
      <c r="AD46" s="89">
        <v>336</v>
      </c>
      <c r="AE46" s="84">
        <v>43</v>
      </c>
      <c r="AF46" s="78">
        <v>781</v>
      </c>
      <c r="AH46" s="123"/>
    </row>
    <row r="47" spans="1:34" s="124" customFormat="1" ht="11.25">
      <c r="A47" s="123"/>
      <c r="B47" s="123"/>
      <c r="C47" s="33"/>
      <c r="D47" s="26" t="s">
        <v>11</v>
      </c>
      <c r="E47" s="32"/>
      <c r="F47" s="74">
        <v>313581</v>
      </c>
      <c r="G47" s="74">
        <f t="shared" si="11"/>
        <v>290797</v>
      </c>
      <c r="H47" s="74">
        <f t="shared" si="11"/>
        <v>21828</v>
      </c>
      <c r="I47" s="74">
        <f t="shared" si="11"/>
        <v>0</v>
      </c>
      <c r="J47" s="74">
        <f t="shared" si="11"/>
        <v>64994</v>
      </c>
      <c r="K47" s="74">
        <f t="shared" si="11"/>
        <v>74523</v>
      </c>
      <c r="L47" s="64">
        <f>IFERROR(F47/G47-1,"n/a")</f>
        <v>7.8350189307317519E-2</v>
      </c>
      <c r="M47" s="64">
        <f>IFERROR(F47/H47-1,"n/a")</f>
        <v>13.365997800989554</v>
      </c>
      <c r="N47" s="64" t="str">
        <f>IFERROR(F47/I47-1,"n/a")</f>
        <v>n/a</v>
      </c>
      <c r="O47" s="64">
        <f>IFERROR(F47/J47-1,"n/a")</f>
        <v>3.824768440163707</v>
      </c>
      <c r="P47" s="60">
        <f>IFERROR(F47/K47-1,"n/a")</f>
        <v>3.2078418743206791</v>
      </c>
      <c r="Q47" s="64"/>
      <c r="R47" s="74">
        <f>'Dec-23'!O47+'Jan-24'!F47</f>
        <v>3917773</v>
      </c>
      <c r="S47" s="74">
        <f>'Dec-23'!P47+'Jan-24'!G47</f>
        <v>2381593</v>
      </c>
      <c r="T47" s="74">
        <f>'Dec-23'!Q47+'Jan-24'!H47</f>
        <v>486937</v>
      </c>
      <c r="U47" s="74">
        <f>'Dec-23'!R47+'Jan-24'!I47</f>
        <v>0</v>
      </c>
      <c r="V47" s="74">
        <f>'Dec-23'!S47+'Jan-24'!J47</f>
        <v>2366036</v>
      </c>
      <c r="W47" s="64"/>
      <c r="X47" s="120">
        <f>IFERROR(R47/S47-1,"n/a")</f>
        <v>0.64502205036712823</v>
      </c>
      <c r="Y47" s="120">
        <f>IFERROR(R47/T47-1,"n/a")</f>
        <v>7.0457492447688299</v>
      </c>
      <c r="Z47" s="120" t="str">
        <f>IFERROR(R47/U47-1,"n/a")</f>
        <v>n/a</v>
      </c>
      <c r="AA47" s="121">
        <f>IFERROR(R47/V47-1,"n/a")</f>
        <v>0.65583828817482059</v>
      </c>
      <c r="AB47" s="148"/>
      <c r="AC47" s="82">
        <v>2932981</v>
      </c>
      <c r="AD47" s="82">
        <v>533563</v>
      </c>
      <c r="AE47" s="84">
        <v>140552</v>
      </c>
      <c r="AF47" s="78">
        <v>2441594</v>
      </c>
      <c r="AH47" s="123"/>
    </row>
    <row r="48" spans="1:34" s="124" customFormat="1" ht="11.25">
      <c r="C48" s="31" t="s">
        <v>112</v>
      </c>
      <c r="D48" s="26"/>
      <c r="E48" s="32"/>
      <c r="F48" s="72"/>
      <c r="G48" s="72"/>
      <c r="H48" s="72"/>
      <c r="I48" s="72"/>
      <c r="J48" s="72"/>
      <c r="K48" s="72"/>
      <c r="L48" s="64"/>
      <c r="M48" s="64"/>
      <c r="N48" s="64"/>
      <c r="O48" s="64"/>
      <c r="P48" s="60"/>
      <c r="Q48" s="64"/>
      <c r="R48" s="72"/>
      <c r="S48" s="72"/>
      <c r="T48" s="72"/>
      <c r="U48" s="72"/>
      <c r="V48" s="72"/>
      <c r="W48" s="64"/>
      <c r="X48" s="64"/>
      <c r="Y48" s="64"/>
      <c r="Z48" s="64"/>
      <c r="AA48" s="60"/>
      <c r="AB48" s="148"/>
      <c r="AC48" s="90"/>
      <c r="AD48" s="90"/>
      <c r="AE48" s="44"/>
      <c r="AF48" s="79"/>
      <c r="AH48" s="123"/>
    </row>
    <row r="49" spans="3:34" s="124" customFormat="1" ht="11.25">
      <c r="C49" s="33"/>
      <c r="D49" s="26" t="s">
        <v>5</v>
      </c>
      <c r="E49" s="32"/>
      <c r="F49" s="74">
        <v>0</v>
      </c>
      <c r="G49" s="74">
        <f t="shared" ref="G49:K50" si="12">G25</f>
        <v>0</v>
      </c>
      <c r="H49" s="74">
        <f t="shared" si="12"/>
        <v>0</v>
      </c>
      <c r="I49" s="74">
        <f t="shared" si="12"/>
        <v>0</v>
      </c>
      <c r="J49" s="74">
        <f t="shared" si="12"/>
        <v>0</v>
      </c>
      <c r="K49" s="74">
        <f t="shared" si="12"/>
        <v>0</v>
      </c>
      <c r="L49" s="64" t="str">
        <f>IFERROR(F49/G49-1,"n/a")</f>
        <v>n/a</v>
      </c>
      <c r="M49" s="64" t="str">
        <f>IFERROR(F49/H49-1,"n/a")</f>
        <v>n/a</v>
      </c>
      <c r="N49" s="64" t="str">
        <f>IFERROR(F49/I49-1,"n/a")</f>
        <v>n/a</v>
      </c>
      <c r="O49" s="64" t="str">
        <f>IFERROR(F49/J49-1,"n/a")</f>
        <v>n/a</v>
      </c>
      <c r="P49" s="60" t="str">
        <f>IFERROR(F49/K49-1,"n/a")</f>
        <v>n/a</v>
      </c>
      <c r="Q49" s="64"/>
      <c r="R49" s="74">
        <f>'Dec-23'!O49+'Jan-24'!F49</f>
        <v>21</v>
      </c>
      <c r="S49" s="74">
        <f>'Dec-23'!P49+'Jan-24'!G49</f>
        <v>9</v>
      </c>
      <c r="T49" s="74">
        <f>'Dec-23'!Q49+'Jan-24'!I49</f>
        <v>0</v>
      </c>
      <c r="U49" s="74">
        <f>'Dec-23'!R49+'Jan-24'!J49</f>
        <v>0</v>
      </c>
      <c r="V49" s="74">
        <f>'Dec-23'!S49+'Jan-24'!K49</f>
        <v>16</v>
      </c>
      <c r="W49" s="64"/>
      <c r="X49" s="120">
        <f>IFERROR(R49/S49-1,"n/a")</f>
        <v>1.3333333333333335</v>
      </c>
      <c r="Y49" s="120" t="str">
        <f>IFERROR(R49/T49-1,"n/a")</f>
        <v>n/a</v>
      </c>
      <c r="Z49" s="120" t="str">
        <f>IFERROR(R49/U49-1,"n/a")</f>
        <v>n/a</v>
      </c>
      <c r="AA49" s="121">
        <f>IFERROR(R49/V49-1,"n/a")</f>
        <v>0.3125</v>
      </c>
      <c r="AB49" s="148"/>
      <c r="AC49" s="89">
        <v>9</v>
      </c>
      <c r="AD49" s="68">
        <v>0</v>
      </c>
      <c r="AE49" s="68">
        <v>0</v>
      </c>
      <c r="AF49" s="78">
        <v>16</v>
      </c>
      <c r="AH49" s="123"/>
    </row>
    <row r="50" spans="3:34" s="124" customFormat="1" ht="11.25">
      <c r="C50" s="33"/>
      <c r="D50" s="26" t="s">
        <v>11</v>
      </c>
      <c r="E50" s="32"/>
      <c r="F50" s="74">
        <v>0</v>
      </c>
      <c r="G50" s="74">
        <f t="shared" si="12"/>
        <v>0</v>
      </c>
      <c r="H50" s="74">
        <f t="shared" si="12"/>
        <v>0</v>
      </c>
      <c r="I50" s="74">
        <f t="shared" si="12"/>
        <v>0</v>
      </c>
      <c r="J50" s="74">
        <f t="shared" si="12"/>
        <v>0</v>
      </c>
      <c r="K50" s="74">
        <f t="shared" si="12"/>
        <v>0</v>
      </c>
      <c r="L50" s="64" t="str">
        <f>IFERROR(F50/G50-1,"n/a")</f>
        <v>n/a</v>
      </c>
      <c r="M50" s="64" t="str">
        <f>IFERROR(F50/H50-1,"n/a")</f>
        <v>n/a</v>
      </c>
      <c r="N50" s="64" t="str">
        <f>IFERROR(F50/I50-1,"n/a")</f>
        <v>n/a</v>
      </c>
      <c r="O50" s="64" t="str">
        <f>IFERROR(F50/J50-1,"n/a")</f>
        <v>n/a</v>
      </c>
      <c r="P50" s="60" t="str">
        <f>IFERROR(F50/K50-1,"n/a")</f>
        <v>n/a</v>
      </c>
      <c r="Q50" s="64"/>
      <c r="R50" s="74">
        <f>'Dec-23'!O50+'Jan-24'!F50</f>
        <v>38626</v>
      </c>
      <c r="S50" s="74">
        <f>'Dec-23'!P50+'Jan-24'!G50</f>
        <v>15637</v>
      </c>
      <c r="T50" s="74">
        <f>'Dec-23'!Q50+'Jan-24'!I50</f>
        <v>0</v>
      </c>
      <c r="U50" s="74">
        <f>'Dec-23'!R50+'Jan-24'!J50</f>
        <v>0</v>
      </c>
      <c r="V50" s="74">
        <f>'Dec-23'!S50+'Jan-24'!K50</f>
        <v>20248</v>
      </c>
      <c r="W50" s="64"/>
      <c r="X50" s="120">
        <f>IFERROR(R50/S50-1,"n/a")</f>
        <v>1.4701669118117286</v>
      </c>
      <c r="Y50" s="120" t="str">
        <f>IFERROR(R50/T50-1,"n/a")</f>
        <v>n/a</v>
      </c>
      <c r="Z50" s="120" t="str">
        <f>IFERROR(R50/U50-1,"n/a")</f>
        <v>n/a</v>
      </c>
      <c r="AA50" s="121">
        <f>IFERROR(R50/V50-1,"n/a")</f>
        <v>0.90764519952587919</v>
      </c>
      <c r="AB50" s="148"/>
      <c r="AC50" s="82">
        <v>15637</v>
      </c>
      <c r="AD50" s="68">
        <v>0</v>
      </c>
      <c r="AE50" s="68">
        <v>0</v>
      </c>
      <c r="AF50" s="78">
        <v>20248</v>
      </c>
      <c r="AH50" s="123"/>
    </row>
    <row r="51" spans="3:34" s="124" customFormat="1" ht="12" thickBot="1">
      <c r="C51" s="35" t="s">
        <v>12</v>
      </c>
      <c r="D51" s="36"/>
      <c r="E51" s="37"/>
      <c r="F51" s="75">
        <f>F37+F40+F43+F46+F49</f>
        <v>306</v>
      </c>
      <c r="G51" s="75">
        <f>G37+G40+G43+G46+G49</f>
        <v>303</v>
      </c>
      <c r="H51" s="75">
        <f t="shared" ref="H51:K52" si="13">H37+H40+H43+H46+H49</f>
        <v>186</v>
      </c>
      <c r="I51" s="75">
        <f t="shared" si="13"/>
        <v>2</v>
      </c>
      <c r="J51" s="75">
        <f t="shared" si="13"/>
        <v>212</v>
      </c>
      <c r="K51" s="75">
        <f t="shared" si="13"/>
        <v>218</v>
      </c>
      <c r="L51" s="66">
        <f>IFERROR(F51/G51-1,"n/a")</f>
        <v>9.9009900990099098E-3</v>
      </c>
      <c r="M51" s="66">
        <f>IFERROR(F51/H51-1,"n/a")</f>
        <v>0.64516129032258074</v>
      </c>
      <c r="N51" s="66">
        <f>IFERROR(F51/I51-1,"n/a")</f>
        <v>152</v>
      </c>
      <c r="O51" s="66">
        <f>IFERROR(F51/J51-1,"n/a")</f>
        <v>0.44339622641509435</v>
      </c>
      <c r="P51" s="62">
        <f>IFERROR(F51/K51-1,"n/a")</f>
        <v>0.40366972477064222</v>
      </c>
      <c r="Q51" s="66"/>
      <c r="R51" s="75">
        <f>R37+R40+R43+R46+R49</f>
        <v>3870</v>
      </c>
      <c r="S51" s="75">
        <f t="shared" ref="R51:V52" si="14">S37+S40+S43+S46+S49</f>
        <v>3288</v>
      </c>
      <c r="T51" s="75">
        <f t="shared" si="14"/>
        <v>1223</v>
      </c>
      <c r="U51" s="75">
        <f t="shared" si="14"/>
        <v>95</v>
      </c>
      <c r="V51" s="75">
        <f t="shared" si="14"/>
        <v>2888</v>
      </c>
      <c r="W51" s="66"/>
      <c r="X51" s="66">
        <f>IFERROR(R51/S51-1,"n/a")</f>
        <v>0.17700729927007308</v>
      </c>
      <c r="Y51" s="66">
        <f>IFERROR(R51/T51-1,"n/a")</f>
        <v>2.1643499591169255</v>
      </c>
      <c r="Z51" s="66">
        <f t="shared" ref="Z51:Z52" si="15">IFERROR(R51/U51-1,"n/a")</f>
        <v>39.736842105263158</v>
      </c>
      <c r="AA51" s="62">
        <f>IFERROR(R51/V51-1,"n/a")</f>
        <v>0.34002770083102485</v>
      </c>
      <c r="AB51" s="66"/>
      <c r="AC51" s="46">
        <f t="shared" ref="AC51:AE52" si="16">AC37+AC40+AC43+AC46+AC49</f>
        <v>3856</v>
      </c>
      <c r="AD51" s="46">
        <f t="shared" si="16"/>
        <v>1673</v>
      </c>
      <c r="AE51" s="46">
        <f t="shared" si="16"/>
        <v>669</v>
      </c>
      <c r="AF51" s="80">
        <f>AF37+AF40+AF43+AF46+AF49</f>
        <v>3241</v>
      </c>
      <c r="AH51" s="123"/>
    </row>
    <row r="52" spans="3:34" s="124" customFormat="1" ht="12.75" thickTop="1" thickBot="1">
      <c r="C52" s="38" t="s">
        <v>13</v>
      </c>
      <c r="D52" s="39"/>
      <c r="E52" s="40"/>
      <c r="F52" s="76">
        <f>F38+F41+F44+F47+F50</f>
        <v>982865</v>
      </c>
      <c r="G52" s="76">
        <f>G38+G41+G44+G47+G50</f>
        <v>833405</v>
      </c>
      <c r="H52" s="76">
        <f t="shared" si="13"/>
        <v>219956</v>
      </c>
      <c r="I52" s="76">
        <f t="shared" si="13"/>
        <v>1288</v>
      </c>
      <c r="J52" s="76">
        <f t="shared" si="13"/>
        <v>555038</v>
      </c>
      <c r="K52" s="76">
        <f t="shared" si="13"/>
        <v>620852</v>
      </c>
      <c r="L52" s="67">
        <f>IFERROR(F52/G52-1,"n/a")</f>
        <v>0.17933657705437334</v>
      </c>
      <c r="M52" s="67">
        <f>IFERROR(F52/H52-1,"n/a")</f>
        <v>3.4684618741930207</v>
      </c>
      <c r="N52" s="67">
        <f>IFERROR(F52/I52-1,"n/a")</f>
        <v>762.09394409937886</v>
      </c>
      <c r="O52" s="67">
        <f>IFERROR(F52/J52-1,"n/a")</f>
        <v>0.77080668350635451</v>
      </c>
      <c r="P52" s="63">
        <f>IFERROR(F52/K52-1,"n/a")</f>
        <v>0.58309065606617994</v>
      </c>
      <c r="Q52" s="67"/>
      <c r="R52" s="76">
        <f t="shared" si="14"/>
        <v>11154346</v>
      </c>
      <c r="S52" s="76">
        <f t="shared" si="14"/>
        <v>7586458</v>
      </c>
      <c r="T52" s="76">
        <f t="shared" si="14"/>
        <v>1758239</v>
      </c>
      <c r="U52" s="76">
        <f t="shared" si="14"/>
        <v>39144</v>
      </c>
      <c r="V52" s="76">
        <f t="shared" si="14"/>
        <v>7893905</v>
      </c>
      <c r="W52" s="67"/>
      <c r="X52" s="67">
        <f>IFERROR(R52/S52-1,"n/a")</f>
        <v>0.47029694226212015</v>
      </c>
      <c r="Y52" s="118">
        <f>IFERROR(R52/T52-1,"n/a")</f>
        <v>5.344044239719401</v>
      </c>
      <c r="Z52" s="118">
        <f t="shared" si="15"/>
        <v>283.95672389127327</v>
      </c>
      <c r="AA52" s="119">
        <f>IFERROR(R52/V52-1,"n/a")</f>
        <v>0.41303271321354895</v>
      </c>
      <c r="AB52" s="118"/>
      <c r="AC52" s="47">
        <f t="shared" si="16"/>
        <v>9237323</v>
      </c>
      <c r="AD52" s="47">
        <f t="shared" si="16"/>
        <v>2410085</v>
      </c>
      <c r="AE52" s="47">
        <f t="shared" si="16"/>
        <v>1324261</v>
      </c>
      <c r="AF52" s="81">
        <f>AF38+AF41+AF44+AF47+AF50</f>
        <v>8638971</v>
      </c>
      <c r="AH52" s="123"/>
    </row>
    <row r="53" spans="3:34" s="124" customFormat="1" ht="12" thickTop="1">
      <c r="AH53" s="123"/>
    </row>
    <row r="54" spans="3:34" s="124" customFormat="1" ht="11.25">
      <c r="S54" s="132"/>
      <c r="T54" s="132"/>
      <c r="U54" s="132"/>
      <c r="V54" s="132"/>
      <c r="AH54" s="123"/>
    </row>
    <row r="55" spans="3:34" ht="15">
      <c r="S55" s="111"/>
      <c r="T55" s="111"/>
      <c r="U55" s="111"/>
      <c r="V55" s="111"/>
      <c r="AH55" s="9"/>
    </row>
    <row r="56" spans="3:34" ht="15">
      <c r="S56" s="111"/>
      <c r="T56" s="111"/>
      <c r="U56" s="111"/>
      <c r="V56" s="111"/>
      <c r="AH56" s="9"/>
    </row>
    <row r="57" spans="3:34" ht="15">
      <c r="S57" s="111"/>
      <c r="T57" s="111"/>
      <c r="U57" s="111"/>
      <c r="V57" s="111"/>
      <c r="AH57" s="9"/>
    </row>
    <row r="58" spans="3:34" ht="15">
      <c r="AH58" s="9"/>
    </row>
    <row r="59" spans="3:34" ht="15">
      <c r="AH59" s="9"/>
    </row>
    <row r="60" spans="3:34" ht="15">
      <c r="AH60" s="9"/>
    </row>
    <row r="61" spans="3:34" ht="15" customHeight="1"/>
    <row r="62" spans="3:34" ht="15" customHeight="1"/>
    <row r="63" spans="3:34" ht="15" customHeight="1"/>
    <row r="64" spans="3:34" ht="15" customHeight="1"/>
    <row r="65" ht="15" customHeight="1"/>
    <row r="66" ht="15" customHeight="1"/>
  </sheetData>
  <mergeCells count="9">
    <mergeCell ref="AB34:AF34"/>
    <mergeCell ref="F9:P9"/>
    <mergeCell ref="Q9:AA9"/>
    <mergeCell ref="AB9:AF9"/>
    <mergeCell ref="F10:P10"/>
    <mergeCell ref="Q10:AA10"/>
    <mergeCell ref="F33:P33"/>
    <mergeCell ref="Q33:AA33"/>
    <mergeCell ref="AB33:AF33"/>
  </mergeCells>
  <pageMargins left="0.7" right="0.7" top="0.75" bottom="0.75" header="0.3" footer="0.3"/>
  <pageSetup paperSize="9" orientation="portrait" horizontalDpi="0" verticalDpi="0"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6"/>
  <sheetViews>
    <sheetView showGridLines="0" topLeftCell="A17" zoomScaleNormal="100" workbookViewId="0">
      <selection activeCell="O37" sqref="O37"/>
    </sheetView>
  </sheetViews>
  <sheetFormatPr defaultColWidth="0" defaultRowHeight="15" customHeight="1" zeroHeight="1"/>
  <cols>
    <col min="1" max="2" width="4.140625" customWidth="1"/>
    <col min="3" max="3" width="3.85546875" customWidth="1"/>
    <col min="4" max="4" width="8.85546875" customWidth="1"/>
    <col min="5" max="5" width="13" customWidth="1"/>
    <col min="6" max="6" width="11.140625" bestFit="1" customWidth="1"/>
    <col min="7" max="7" width="10.140625" bestFit="1" customWidth="1"/>
    <col min="8" max="9" width="8.85546875" customWidth="1"/>
    <col min="10" max="10" width="10.140625" bestFit="1" customWidth="1"/>
    <col min="11" max="11" width="8" customWidth="1"/>
    <col min="12" max="12" width="8.85546875" bestFit="1" customWidth="1"/>
    <col min="13" max="14" width="8" customWidth="1"/>
    <col min="15" max="15" width="12" bestFit="1" customWidth="1"/>
    <col min="16" max="16" width="11.5703125" bestFit="1" customWidth="1"/>
    <col min="17" max="17" width="10.42578125" bestFit="1" customWidth="1"/>
    <col min="18" max="18" width="11.5703125" bestFit="1" customWidth="1"/>
    <col min="19" max="19" width="11.85546875" bestFit="1" customWidth="1"/>
    <col min="20" max="20" width="9.140625" bestFit="1" customWidth="1"/>
    <col min="21" max="21" width="8.85546875" bestFit="1" customWidth="1"/>
    <col min="22" max="22" width="9" bestFit="1" customWidth="1"/>
    <col min="23" max="23" width="7.85546875" customWidth="1"/>
    <col min="24" max="24" width="13.42578125" bestFit="1" customWidth="1"/>
    <col min="25" max="25" width="13.140625" bestFit="1" customWidth="1"/>
    <col min="26" max="26" width="12.85546875" bestFit="1" customWidth="1"/>
    <col min="27" max="27" width="15.42578125" bestFit="1" customWidth="1"/>
    <col min="28" max="28" width="11.140625" customWidth="1"/>
    <col min="29" max="29" width="3.42578125" customWidth="1"/>
    <col min="30" max="16384" width="8.85546875" hidden="1"/>
  </cols>
  <sheetData>
    <row r="1" spans="1:29">
      <c r="A1" s="9"/>
      <c r="B1" s="9"/>
      <c r="C1" s="9"/>
      <c r="D1" s="9"/>
      <c r="E1" s="9"/>
      <c r="F1" s="9"/>
      <c r="G1" s="9"/>
      <c r="H1" s="9"/>
      <c r="I1" s="9"/>
      <c r="J1" s="9"/>
      <c r="K1" s="9"/>
      <c r="L1" s="9"/>
      <c r="M1" s="9"/>
      <c r="N1" s="9"/>
      <c r="O1" s="9"/>
      <c r="P1" s="9"/>
      <c r="Q1" s="9"/>
      <c r="R1" s="9"/>
      <c r="S1" s="9"/>
      <c r="T1" s="9"/>
      <c r="U1" s="9"/>
      <c r="V1" s="9"/>
      <c r="W1" s="9"/>
      <c r="X1" s="9"/>
      <c r="Y1" s="9"/>
      <c r="Z1" s="9"/>
      <c r="AA1" s="9"/>
      <c r="AB1" s="9"/>
      <c r="AC1" s="9"/>
    </row>
    <row r="2" spans="1:29" ht="31.35" customHeight="1" thickBot="1">
      <c r="A2" s="9"/>
      <c r="B2" s="8" t="s">
        <v>6</v>
      </c>
      <c r="C2" s="23"/>
      <c r="D2" s="23"/>
      <c r="E2" s="23"/>
      <c r="F2" s="23"/>
      <c r="G2" s="23"/>
      <c r="H2" s="23"/>
      <c r="I2" s="23"/>
      <c r="J2" s="23"/>
      <c r="K2" s="23"/>
      <c r="L2" s="23"/>
      <c r="M2" s="23"/>
      <c r="N2" s="23"/>
      <c r="O2" s="23"/>
      <c r="P2" s="23"/>
      <c r="Q2" s="23"/>
      <c r="R2" s="23"/>
      <c r="S2" s="23"/>
      <c r="T2" s="23"/>
      <c r="U2" s="23"/>
      <c r="V2" s="23"/>
      <c r="W2" s="23"/>
      <c r="X2" s="23"/>
      <c r="Y2" s="23"/>
      <c r="Z2" s="23"/>
      <c r="AA2" s="23"/>
      <c r="AB2" s="24"/>
      <c r="AC2" s="9"/>
    </row>
    <row r="3" spans="1:29">
      <c r="A3" s="9"/>
      <c r="B3" s="10"/>
      <c r="C3" s="24"/>
      <c r="D3" s="24"/>
      <c r="E3" s="24"/>
      <c r="F3" s="24"/>
      <c r="G3" s="24"/>
      <c r="H3" s="24"/>
      <c r="I3" s="24"/>
      <c r="J3" s="24"/>
      <c r="K3" s="24"/>
      <c r="L3" s="24"/>
      <c r="M3" s="24"/>
      <c r="N3" s="24"/>
      <c r="O3" s="24"/>
      <c r="P3" s="24"/>
      <c r="Q3" s="24"/>
      <c r="R3" s="24"/>
      <c r="S3" s="24"/>
      <c r="T3" s="24"/>
      <c r="U3" s="24"/>
      <c r="V3" s="24"/>
      <c r="W3" s="24"/>
      <c r="X3" s="24"/>
      <c r="Y3" s="24"/>
      <c r="Z3" s="24"/>
      <c r="AA3" s="25">
        <v>45306</v>
      </c>
      <c r="AB3" s="25"/>
      <c r="AC3" s="9"/>
    </row>
    <row r="4" spans="1:29" ht="15.75">
      <c r="A4" s="9"/>
      <c r="B4" s="11" t="s">
        <v>7</v>
      </c>
      <c r="C4" s="26"/>
      <c r="D4" s="93" t="s">
        <v>31</v>
      </c>
      <c r="E4" s="134">
        <v>2023</v>
      </c>
      <c r="F4" s="24"/>
      <c r="G4" s="24"/>
      <c r="H4" s="24"/>
      <c r="I4" s="24"/>
      <c r="J4" s="24"/>
      <c r="K4" s="24"/>
      <c r="L4" s="24"/>
      <c r="M4" s="24"/>
      <c r="N4" s="24"/>
      <c r="O4" s="24"/>
      <c r="P4" s="24"/>
      <c r="Q4" s="24"/>
      <c r="R4" s="24"/>
      <c r="S4" s="24"/>
      <c r="T4" s="24"/>
      <c r="U4" s="24"/>
      <c r="V4" s="24"/>
      <c r="W4" s="24"/>
      <c r="X4" s="24"/>
      <c r="Y4" s="24"/>
      <c r="Z4" s="24"/>
      <c r="AA4" s="24"/>
      <c r="AB4" s="24"/>
      <c r="AC4" s="9"/>
    </row>
    <row r="5" spans="1:29">
      <c r="A5" s="9"/>
      <c r="B5" s="10"/>
      <c r="C5" s="24"/>
      <c r="D5" s="24"/>
      <c r="E5" s="24"/>
      <c r="F5" s="24"/>
      <c r="G5" s="24"/>
      <c r="H5" s="24"/>
      <c r="I5" s="24"/>
      <c r="J5" s="24"/>
      <c r="K5" s="24"/>
      <c r="L5" s="24"/>
      <c r="M5" s="24"/>
      <c r="N5" s="24"/>
      <c r="O5" s="24"/>
      <c r="P5" s="24"/>
      <c r="Q5" s="24"/>
      <c r="R5" s="24"/>
      <c r="S5" s="24"/>
      <c r="T5" s="24"/>
      <c r="U5" s="24"/>
      <c r="V5" s="24"/>
      <c r="W5" s="24"/>
      <c r="X5" s="24"/>
      <c r="Y5" s="24"/>
      <c r="Z5" s="24"/>
      <c r="AA5" s="24"/>
      <c r="AB5" s="24"/>
      <c r="AC5" s="9"/>
    </row>
    <row r="6" spans="1:29">
      <c r="A6" s="9"/>
      <c r="B6" s="10"/>
      <c r="C6" s="24"/>
      <c r="D6" s="24"/>
      <c r="E6" s="24"/>
      <c r="F6" s="24"/>
      <c r="G6" s="24"/>
      <c r="H6" s="24"/>
      <c r="I6" s="24"/>
      <c r="J6" s="24"/>
      <c r="K6" s="24"/>
      <c r="L6" s="24"/>
      <c r="M6" s="24"/>
      <c r="N6" s="24"/>
      <c r="O6" s="24"/>
      <c r="P6" s="24"/>
      <c r="Q6" s="24"/>
      <c r="R6" s="24"/>
      <c r="S6" s="24"/>
      <c r="T6" s="24"/>
      <c r="U6" s="24"/>
      <c r="V6" s="24"/>
      <c r="W6" s="24"/>
      <c r="X6" s="24"/>
      <c r="Y6" s="24"/>
      <c r="Z6" s="24"/>
      <c r="AA6" s="24"/>
      <c r="AB6" s="24"/>
      <c r="AC6" s="9"/>
    </row>
    <row r="7" spans="1:29">
      <c r="A7" s="9"/>
      <c r="B7" s="10"/>
      <c r="C7" s="86" t="s">
        <v>62</v>
      </c>
      <c r="D7" s="24"/>
      <c r="E7" s="24"/>
      <c r="F7" s="24"/>
      <c r="G7" s="24"/>
      <c r="H7" s="24"/>
      <c r="I7" s="24"/>
      <c r="J7" s="24"/>
      <c r="K7" s="24"/>
      <c r="L7" s="24"/>
      <c r="M7" s="24"/>
      <c r="N7" s="24"/>
      <c r="O7" s="24"/>
      <c r="P7" s="24"/>
      <c r="Q7" s="24"/>
      <c r="R7" s="24"/>
      <c r="S7" s="24"/>
      <c r="T7" s="24"/>
      <c r="U7" s="24"/>
      <c r="V7" s="24"/>
      <c r="W7" s="24"/>
      <c r="X7" s="24"/>
      <c r="Y7" s="24"/>
      <c r="Z7" s="24"/>
      <c r="AA7" s="24"/>
      <c r="AB7" s="24"/>
      <c r="AC7" s="9"/>
    </row>
    <row r="8" spans="1:29">
      <c r="A8" s="9"/>
      <c r="B8" s="10"/>
      <c r="C8" s="24"/>
      <c r="D8" s="24"/>
      <c r="E8" s="24"/>
      <c r="F8" s="24"/>
      <c r="G8" s="24"/>
      <c r="H8" s="24"/>
      <c r="I8" s="24"/>
      <c r="J8" s="24"/>
      <c r="K8" s="24"/>
      <c r="L8" s="24"/>
      <c r="M8" s="24"/>
      <c r="N8" s="24"/>
      <c r="O8" s="24"/>
      <c r="P8" s="24"/>
      <c r="Q8" s="24"/>
      <c r="R8" s="24"/>
      <c r="S8" s="24"/>
      <c r="T8" s="24"/>
      <c r="U8" s="24"/>
      <c r="V8" s="24"/>
      <c r="W8" s="24"/>
      <c r="X8" s="24"/>
      <c r="Y8" s="24"/>
      <c r="Z8" s="24"/>
      <c r="AA8" s="24"/>
      <c r="AB8" s="24"/>
      <c r="AC8" s="9"/>
    </row>
    <row r="9" spans="1:29" s="124" customFormat="1" ht="11.25">
      <c r="A9" s="123"/>
      <c r="C9" s="27" t="s">
        <v>7</v>
      </c>
      <c r="D9" s="28"/>
      <c r="E9" s="28"/>
      <c r="F9" s="155" t="str">
        <f>D4</f>
        <v>December</v>
      </c>
      <c r="G9" s="158"/>
      <c r="H9" s="158"/>
      <c r="I9" s="158"/>
      <c r="J9" s="158"/>
      <c r="K9" s="158"/>
      <c r="L9" s="158"/>
      <c r="M9" s="158"/>
      <c r="N9" s="159"/>
      <c r="O9" s="157" t="str">
        <f>"January to "&amp; D4</f>
        <v>January to December</v>
      </c>
      <c r="P9" s="158"/>
      <c r="Q9" s="158"/>
      <c r="R9" s="158"/>
      <c r="S9" s="158"/>
      <c r="T9" s="158"/>
      <c r="U9" s="158"/>
      <c r="V9" s="158"/>
      <c r="W9" s="159"/>
      <c r="X9" s="157" t="s">
        <v>57</v>
      </c>
      <c r="Y9" s="158"/>
      <c r="Z9" s="158"/>
      <c r="AA9" s="160"/>
      <c r="AB9" s="123"/>
      <c r="AC9" s="123"/>
    </row>
    <row r="10" spans="1:29" s="124" customFormat="1" ht="13.5">
      <c r="A10" s="123"/>
      <c r="B10" s="125"/>
      <c r="C10" s="29"/>
      <c r="D10" s="30"/>
      <c r="E10" s="30"/>
      <c r="F10" s="29"/>
      <c r="G10" s="30"/>
      <c r="H10" s="30"/>
      <c r="I10" s="30"/>
      <c r="J10" s="30"/>
      <c r="K10" s="30"/>
      <c r="L10" s="30"/>
      <c r="M10" s="30"/>
      <c r="N10" s="56"/>
      <c r="O10" s="30"/>
      <c r="P10" s="30"/>
      <c r="Q10" s="30"/>
      <c r="R10" s="30"/>
      <c r="S10" s="30"/>
      <c r="T10" s="30"/>
      <c r="U10" s="30"/>
      <c r="V10" s="30"/>
      <c r="W10" s="56"/>
      <c r="X10" s="30"/>
      <c r="Y10" s="30"/>
      <c r="Z10" s="30"/>
      <c r="AA10" s="56"/>
      <c r="AB10" s="123"/>
      <c r="AC10" s="123"/>
    </row>
    <row r="11" spans="1:29" s="124" customFormat="1" ht="26.1" customHeight="1">
      <c r="A11" s="126"/>
      <c r="B11" s="127"/>
      <c r="C11" s="59" t="s">
        <v>29</v>
      </c>
      <c r="D11" s="50"/>
      <c r="E11" s="51"/>
      <c r="F11" s="55">
        <v>2023</v>
      </c>
      <c r="G11" s="52">
        <v>2022</v>
      </c>
      <c r="H11" s="52">
        <v>2021</v>
      </c>
      <c r="I11" s="52">
        <v>2020</v>
      </c>
      <c r="J11" s="52">
        <v>2019</v>
      </c>
      <c r="K11" s="53" t="s">
        <v>66</v>
      </c>
      <c r="L11" s="53" t="s">
        <v>67</v>
      </c>
      <c r="M11" s="53" t="s">
        <v>68</v>
      </c>
      <c r="N11" s="57" t="s">
        <v>101</v>
      </c>
      <c r="O11" s="53">
        <v>2023</v>
      </c>
      <c r="P11" s="53">
        <v>2022</v>
      </c>
      <c r="Q11" s="52">
        <v>2021</v>
      </c>
      <c r="R11" s="52">
        <v>2020</v>
      </c>
      <c r="S11" s="52">
        <v>2019</v>
      </c>
      <c r="T11" s="53" t="s">
        <v>66</v>
      </c>
      <c r="U11" s="53" t="s">
        <v>67</v>
      </c>
      <c r="V11" s="53" t="s">
        <v>68</v>
      </c>
      <c r="W11" s="57" t="s">
        <v>101</v>
      </c>
      <c r="X11" s="53">
        <v>2022</v>
      </c>
      <c r="Y11" s="53">
        <v>2021</v>
      </c>
      <c r="Z11" s="52">
        <v>2020</v>
      </c>
      <c r="AA11" s="77">
        <v>2019</v>
      </c>
      <c r="AB11" s="126"/>
      <c r="AC11" s="126"/>
    </row>
    <row r="12" spans="1:29" s="124" customFormat="1" ht="12.75">
      <c r="A12" s="123"/>
      <c r="B12" s="128"/>
      <c r="C12" s="31" t="s">
        <v>108</v>
      </c>
      <c r="D12" s="26"/>
      <c r="E12" s="32"/>
      <c r="F12" s="26"/>
      <c r="G12" s="26"/>
      <c r="H12" s="26"/>
      <c r="I12" s="26"/>
      <c r="J12" s="26"/>
      <c r="K12" s="26"/>
      <c r="L12" s="26"/>
      <c r="M12" s="26"/>
      <c r="N12" s="32"/>
      <c r="O12" s="26"/>
      <c r="P12" s="26"/>
      <c r="Q12" s="26"/>
      <c r="R12" s="26"/>
      <c r="S12" s="26"/>
      <c r="T12" s="26"/>
      <c r="U12" s="26"/>
      <c r="V12" s="26"/>
      <c r="W12" s="32"/>
      <c r="X12" s="26"/>
      <c r="Y12" s="26"/>
      <c r="Z12" s="26"/>
      <c r="AA12" s="32"/>
      <c r="AB12" s="123"/>
      <c r="AC12" s="123"/>
    </row>
    <row r="13" spans="1:29" s="124" customFormat="1" ht="12.75">
      <c r="A13" s="123"/>
      <c r="B13" s="128"/>
      <c r="C13" s="33"/>
      <c r="D13" s="26" t="s">
        <v>5</v>
      </c>
      <c r="E13" s="32"/>
      <c r="F13" s="71">
        <v>229</v>
      </c>
      <c r="G13" s="71">
        <v>191</v>
      </c>
      <c r="H13" s="71">
        <v>172</v>
      </c>
      <c r="I13" s="71">
        <v>0</v>
      </c>
      <c r="J13" s="71">
        <v>200</v>
      </c>
      <c r="K13" s="64">
        <f>IFERROR(F13/G13-1,"n/a")</f>
        <v>0.19895287958115193</v>
      </c>
      <c r="L13" s="64">
        <f t="shared" ref="L13:L28" si="0">IFERROR(F13/H13-1,"n/a")</f>
        <v>0.33139534883720922</v>
      </c>
      <c r="M13" s="64" t="str">
        <f>IFERROR(F13/I13-1,"n/a")</f>
        <v>n/a</v>
      </c>
      <c r="N13" s="60">
        <f>IFERROR(F13/J13-1,"n/a")</f>
        <v>0.14500000000000002</v>
      </c>
      <c r="O13" s="68">
        <f>'Nov-23'!O13+'Dec-23'!F13</f>
        <v>1630</v>
      </c>
      <c r="P13" s="68">
        <f>'Nov-23'!$P$13+G13</f>
        <v>1486</v>
      </c>
      <c r="Q13" s="68">
        <f>'Nov-23'!Q13+'Dec-23'!H13</f>
        <v>515</v>
      </c>
      <c r="R13" s="68">
        <f>'Nov-23'!R13+'Dec-23'!I13</f>
        <v>551</v>
      </c>
      <c r="S13" s="68">
        <f>'Nov-23'!S13+'Dec-23'!J13</f>
        <v>1584</v>
      </c>
      <c r="T13" s="64">
        <f>IFERROR(O13/P13-1,"n/a")</f>
        <v>9.6904441453566692E-2</v>
      </c>
      <c r="U13" s="64">
        <f>IFERROR(O13/Q13-1,"n/a")</f>
        <v>2.1650485436893203</v>
      </c>
      <c r="V13" s="64">
        <f>IFERROR(O13/R13-1,"n/a")</f>
        <v>1.958257713248639</v>
      </c>
      <c r="W13" s="60">
        <f>IFERROR(O13/S13-1,"n/a")</f>
        <v>2.9040404040403978E-2</v>
      </c>
      <c r="X13" s="68">
        <v>1486</v>
      </c>
      <c r="Y13" s="68">
        <v>522</v>
      </c>
      <c r="Z13" s="68">
        <v>551</v>
      </c>
      <c r="AA13" s="135">
        <v>1591</v>
      </c>
      <c r="AB13" s="123"/>
      <c r="AC13" s="123"/>
    </row>
    <row r="14" spans="1:29" s="124" customFormat="1" ht="12.75">
      <c r="A14" s="123"/>
      <c r="B14" s="128"/>
      <c r="C14" s="33"/>
      <c r="D14" s="26" t="s">
        <v>11</v>
      </c>
      <c r="E14" s="32"/>
      <c r="F14" s="71">
        <v>666281</v>
      </c>
      <c r="G14" s="71">
        <v>518319</v>
      </c>
      <c r="H14" s="71">
        <v>253217</v>
      </c>
      <c r="I14" s="71">
        <v>0</v>
      </c>
      <c r="J14" s="71">
        <v>506611</v>
      </c>
      <c r="K14" s="64">
        <f>IFERROR(F14/G14-1,"n/a")</f>
        <v>0.28546512861770457</v>
      </c>
      <c r="L14" s="64">
        <f t="shared" si="0"/>
        <v>1.6312648834793873</v>
      </c>
      <c r="M14" s="64" t="str">
        <f>IFERROR(F14/I14-1,"n/a")</f>
        <v>n/a</v>
      </c>
      <c r="N14" s="60">
        <f>IFERROR(F14/J14-1,"n/a")</f>
        <v>0.31517278543103089</v>
      </c>
      <c r="O14" s="68">
        <f>'Nov-23'!$O$14+F14</f>
        <v>5232537</v>
      </c>
      <c r="P14" s="68">
        <f>'Nov-23'!P14+'Dec-23'!G14</f>
        <v>3592413</v>
      </c>
      <c r="Q14" s="68">
        <f>'Nov-23'!Q14+'Dec-23'!H14</f>
        <v>763201</v>
      </c>
      <c r="R14" s="68">
        <f>'Nov-23'!R14+'Dec-23'!I14</f>
        <v>1092884</v>
      </c>
      <c r="S14" s="68">
        <f>'Nov-23'!S14+'Dec-23'!J14</f>
        <v>4571076</v>
      </c>
      <c r="T14" s="64">
        <f>IFERROR(O14/P14-1,"n/a")</f>
        <v>0.45655218372720507</v>
      </c>
      <c r="U14" s="64">
        <f>IFERROR(O14/Q14-1,"n/a")</f>
        <v>5.8560405450202504</v>
      </c>
      <c r="V14" s="64">
        <f>IFERROR(O14/R14-1,"n/a")</f>
        <v>3.7878246913670619</v>
      </c>
      <c r="W14" s="60">
        <f>IFERROR(O14/S14-1,"n/a")</f>
        <v>0.14470575418129128</v>
      </c>
      <c r="X14" s="68">
        <v>3592413</v>
      </c>
      <c r="Y14" s="68">
        <v>768312</v>
      </c>
      <c r="Z14" s="68">
        <v>1092884</v>
      </c>
      <c r="AA14" s="135">
        <v>4592479</v>
      </c>
      <c r="AB14" s="123"/>
      <c r="AC14" s="123"/>
    </row>
    <row r="15" spans="1:29" s="124" customFormat="1" ht="12.75">
      <c r="A15" s="123"/>
      <c r="B15" s="128"/>
      <c r="C15" s="31" t="s">
        <v>109</v>
      </c>
      <c r="D15" s="26"/>
      <c r="E15" s="32"/>
      <c r="F15" s="97"/>
      <c r="G15" s="26"/>
      <c r="H15" s="26"/>
      <c r="I15" s="26"/>
      <c r="J15" s="26"/>
      <c r="K15" s="64"/>
      <c r="L15" s="64"/>
      <c r="M15" s="64"/>
      <c r="N15" s="61"/>
      <c r="O15" s="87"/>
      <c r="P15" s="87"/>
      <c r="Q15" s="87"/>
      <c r="R15" s="87"/>
      <c r="S15" s="87"/>
      <c r="T15" s="64"/>
      <c r="U15" s="64"/>
      <c r="V15" s="65"/>
      <c r="W15" s="61"/>
      <c r="X15" s="43"/>
      <c r="Y15" s="43"/>
      <c r="Z15" s="43"/>
      <c r="AA15" s="136"/>
      <c r="AB15" s="123"/>
      <c r="AC15" s="123"/>
    </row>
    <row r="16" spans="1:29" s="124" customFormat="1" ht="12.75">
      <c r="A16" s="123"/>
      <c r="B16" s="128"/>
      <c r="C16" s="33"/>
      <c r="D16" s="26" t="s">
        <v>5</v>
      </c>
      <c r="E16" s="32"/>
      <c r="F16" s="71">
        <v>12</v>
      </c>
      <c r="G16" s="71">
        <v>6</v>
      </c>
      <c r="H16" s="71">
        <v>7</v>
      </c>
      <c r="I16" s="71">
        <v>6</v>
      </c>
      <c r="J16" s="71">
        <v>47</v>
      </c>
      <c r="K16" s="64">
        <f>IFERROR(F16/G16-1,"n/a")</f>
        <v>1</v>
      </c>
      <c r="L16" s="64">
        <f t="shared" si="0"/>
        <v>0.71428571428571419</v>
      </c>
      <c r="M16" s="64">
        <f>IFERROR(F16/I16-1,"n/a")</f>
        <v>1</v>
      </c>
      <c r="N16" s="60">
        <f>IFERROR(F16/J16-1,"n/a")</f>
        <v>-0.74468085106382986</v>
      </c>
      <c r="O16" s="68">
        <f>'Nov-23'!$O$16+F16</f>
        <v>573</v>
      </c>
      <c r="P16" s="68">
        <f>'Nov-23'!P16+'Dec-23'!G16</f>
        <v>572</v>
      </c>
      <c r="Q16" s="68">
        <f>'Nov-23'!Q16+'Dec-23'!H16</f>
        <v>204</v>
      </c>
      <c r="R16" s="68">
        <f>'Nov-23'!R16+'Dec-23'!I16</f>
        <v>54</v>
      </c>
      <c r="S16" s="68">
        <f>'Nov-23'!S16+'Dec-23'!J16</f>
        <v>593</v>
      </c>
      <c r="T16" s="64">
        <f>IFERROR(O16/P16-1,"n/a")</f>
        <v>1.7482517482516613E-3</v>
      </c>
      <c r="U16" s="64">
        <f>IFERROR(O16/Q16-1,"n/a")</f>
        <v>1.8088235294117645</v>
      </c>
      <c r="V16" s="64">
        <f>IFERROR(O16/R16-1,"n/a")</f>
        <v>9.6111111111111107</v>
      </c>
      <c r="W16" s="60">
        <f>IFERROR(O16/S16-1,"n/a")</f>
        <v>-3.3726812816188834E-2</v>
      </c>
      <c r="X16" s="68">
        <v>572</v>
      </c>
      <c r="Y16" s="68">
        <v>202</v>
      </c>
      <c r="Z16" s="68">
        <v>54</v>
      </c>
      <c r="AA16" s="135">
        <v>586</v>
      </c>
      <c r="AB16" s="123"/>
      <c r="AC16" s="123"/>
    </row>
    <row r="17" spans="1:29" s="124" customFormat="1" ht="12.75">
      <c r="A17" s="123"/>
      <c r="B17" s="128"/>
      <c r="C17" s="33"/>
      <c r="D17" s="26" t="s">
        <v>11</v>
      </c>
      <c r="E17" s="32"/>
      <c r="F17" s="71">
        <v>30889</v>
      </c>
      <c r="G17" s="71">
        <v>22360</v>
      </c>
      <c r="H17" s="71">
        <v>13748</v>
      </c>
      <c r="I17" s="71">
        <v>2141</v>
      </c>
      <c r="J17" s="71">
        <v>55736</v>
      </c>
      <c r="K17" s="64">
        <f>IFERROR(F17/G17-1,"n/a")</f>
        <v>0.38144007155635062</v>
      </c>
      <c r="L17" s="64">
        <f t="shared" si="0"/>
        <v>1.2467995344777423</v>
      </c>
      <c r="M17" s="64">
        <f>IFERROR(F17/I17-1,"n/a")</f>
        <v>13.427370387669313</v>
      </c>
      <c r="N17" s="60">
        <f>IFERROR(F17/J17-1,"n/a")</f>
        <v>-0.44579804794028999</v>
      </c>
      <c r="O17" s="68">
        <f>'Nov-23'!O17+'Dec-23'!F17</f>
        <v>1660685</v>
      </c>
      <c r="P17" s="68">
        <f>'Nov-23'!P17+'Dec-23'!G17</f>
        <v>965963</v>
      </c>
      <c r="Q17" s="68">
        <f>'Nov-23'!Q17+'Dec-23'!H17</f>
        <v>302535</v>
      </c>
      <c r="R17" s="68">
        <f>'Nov-23'!R17+'Dec-23'!I17</f>
        <v>70675</v>
      </c>
      <c r="S17" s="68">
        <f>'Nov-23'!S17+'Dec-23'!J17</f>
        <v>1398533</v>
      </c>
      <c r="T17" s="64">
        <f>IFERROR(O17/P17-1,"n/a")</f>
        <v>0.71920146009733288</v>
      </c>
      <c r="U17" s="64">
        <f>IFERROR(O17/Q17-1,"n/a")</f>
        <v>4.4892326507676801</v>
      </c>
      <c r="V17" s="64">
        <f>IFERROR(O17/R17-1,"n/a")</f>
        <v>22.497488503714184</v>
      </c>
      <c r="W17" s="60">
        <f>IFERROR(O17/S17-1,"n/a")</f>
        <v>0.18744784713696427</v>
      </c>
      <c r="X17" s="68">
        <v>965963</v>
      </c>
      <c r="Y17" s="68">
        <v>301521</v>
      </c>
      <c r="Z17" s="68">
        <v>70675</v>
      </c>
      <c r="AA17" s="135">
        <v>1400932</v>
      </c>
      <c r="AB17" s="123"/>
      <c r="AC17" s="123"/>
    </row>
    <row r="18" spans="1:29" s="124" customFormat="1" ht="12.75">
      <c r="A18" s="123"/>
      <c r="B18" s="128"/>
      <c r="C18" s="31" t="s">
        <v>110</v>
      </c>
      <c r="D18" s="26"/>
      <c r="E18" s="32"/>
      <c r="F18" s="72"/>
      <c r="G18" s="72"/>
      <c r="H18" s="72"/>
      <c r="I18" s="72"/>
      <c r="J18" s="72"/>
      <c r="K18" s="64"/>
      <c r="L18" s="64"/>
      <c r="M18" s="64"/>
      <c r="N18" s="60"/>
      <c r="O18" s="87"/>
      <c r="P18" s="87"/>
      <c r="Q18" s="87"/>
      <c r="R18" s="87"/>
      <c r="S18" s="87"/>
      <c r="T18" s="64"/>
      <c r="U18" s="64"/>
      <c r="V18" s="64"/>
      <c r="W18" s="60"/>
      <c r="X18" s="43"/>
      <c r="Y18" s="43"/>
      <c r="Z18" s="43"/>
      <c r="AA18" s="136"/>
      <c r="AB18" s="123"/>
      <c r="AC18" s="123"/>
    </row>
    <row r="19" spans="1:29" s="124" customFormat="1" ht="12.75">
      <c r="A19" s="123"/>
      <c r="B19" s="128"/>
      <c r="C19" s="33"/>
      <c r="D19" s="26" t="s">
        <v>5</v>
      </c>
      <c r="E19" s="32"/>
      <c r="F19" s="71">
        <v>8</v>
      </c>
      <c r="G19" s="71">
        <v>9</v>
      </c>
      <c r="H19" s="71">
        <v>3</v>
      </c>
      <c r="I19" s="71">
        <v>0</v>
      </c>
      <c r="J19" s="71">
        <v>10</v>
      </c>
      <c r="K19" s="64">
        <f>IFERROR(F19/G19-1,"n/a")</f>
        <v>-0.11111111111111116</v>
      </c>
      <c r="L19" s="64">
        <f t="shared" si="0"/>
        <v>1.6666666666666665</v>
      </c>
      <c r="M19" s="64" t="str">
        <f>IFERROR(F19/I19-1,"n/a")</f>
        <v>n/a</v>
      </c>
      <c r="N19" s="60">
        <f>IFERROR(F19/J19-1,"n/a")</f>
        <v>-0.19999999999999996</v>
      </c>
      <c r="O19" s="68">
        <f>'Nov-23'!O19+'Dec-23'!F19</f>
        <v>708</v>
      </c>
      <c r="P19" s="68">
        <f>'Nov-23'!P19+'Dec-23'!G19</f>
        <v>658</v>
      </c>
      <c r="Q19" s="68">
        <f>'Nov-23'!Q19+'Dec-23'!H19</f>
        <v>47</v>
      </c>
      <c r="R19" s="68">
        <f>'Nov-23'!R19+'Dec-23'!I19</f>
        <v>10</v>
      </c>
      <c r="S19" s="68">
        <f>'Nov-23'!S19+'Dec-23'!J19</f>
        <v>290</v>
      </c>
      <c r="T19" s="64">
        <f>IFERROR(O19/P19-1,"n/a")</f>
        <v>7.5987841945288848E-2</v>
      </c>
      <c r="U19" s="64">
        <f>IFERROR(O19/Q19-1,"n/a")</f>
        <v>14.063829787234043</v>
      </c>
      <c r="V19" s="64">
        <f>IFERROR(O19/R19-1,"n/a")</f>
        <v>69.8</v>
      </c>
      <c r="W19" s="60">
        <f>IFERROR(O19/S19-1,"n/a")</f>
        <v>1.4413793103448276</v>
      </c>
      <c r="X19" s="68">
        <v>658</v>
      </c>
      <c r="Y19" s="68">
        <v>47</v>
      </c>
      <c r="Z19" s="68">
        <v>9</v>
      </c>
      <c r="AA19" s="135">
        <v>290</v>
      </c>
      <c r="AB19" s="123"/>
      <c r="AC19" s="123"/>
    </row>
    <row r="20" spans="1:29" s="124" customFormat="1" ht="12.75">
      <c r="A20" s="123"/>
      <c r="B20" s="128"/>
      <c r="C20" s="33"/>
      <c r="D20" s="26" t="s">
        <v>11</v>
      </c>
      <c r="E20" s="32"/>
      <c r="F20" s="71">
        <v>7403</v>
      </c>
      <c r="G20" s="71">
        <v>6763</v>
      </c>
      <c r="H20" s="71">
        <v>864</v>
      </c>
      <c r="I20" s="71">
        <v>0</v>
      </c>
      <c r="J20" s="71">
        <v>10787</v>
      </c>
      <c r="K20" s="64">
        <f>IFERROR(F20/G20-1,"n/a")</f>
        <v>9.4632559515008152E-2</v>
      </c>
      <c r="L20" s="64">
        <f t="shared" si="0"/>
        <v>7.5682870370370363</v>
      </c>
      <c r="M20" s="64" t="str">
        <f>IFERROR(F20/I20-1,"n/a")</f>
        <v>n/a</v>
      </c>
      <c r="N20" s="60">
        <f t="shared" ref="N20:N28" si="1">IFERROR(F20/J20-1,"n/a")</f>
        <v>-0.31371094836377122</v>
      </c>
      <c r="O20" s="68">
        <f>'Nov-23'!O20+'Dec-23'!F20</f>
        <v>1277526</v>
      </c>
      <c r="P20" s="68">
        <f>'Nov-23'!P20+'Dec-23'!G20</f>
        <v>887495</v>
      </c>
      <c r="Q20" s="68">
        <f>'Nov-23'!Q20+'Dec-23'!H20</f>
        <v>17541</v>
      </c>
      <c r="R20" s="68">
        <f>'Nov-23'!R20+'Dec-23'!I20</f>
        <v>10047</v>
      </c>
      <c r="S20" s="68">
        <f>'Nov-23'!S20+'Dec-23'!J20</f>
        <v>585930</v>
      </c>
      <c r="T20" s="64">
        <f>IFERROR(O20/P20-1,"n/a")</f>
        <v>0.43947402520577583</v>
      </c>
      <c r="U20" s="64">
        <f>IFERROR(O20/Q20-1,"n/a")</f>
        <v>71.830853429108942</v>
      </c>
      <c r="V20" s="64">
        <f>IFERROR(O20/R20-1,"n/a")</f>
        <v>126.15497163332338</v>
      </c>
      <c r="W20" s="60">
        <f>IFERROR(O20/S20-1,"n/a")</f>
        <v>1.1803389483385387</v>
      </c>
      <c r="X20" s="68">
        <v>887495</v>
      </c>
      <c r="Y20" s="68">
        <v>17541</v>
      </c>
      <c r="Z20" s="68">
        <v>10046.999999999998</v>
      </c>
      <c r="AA20" s="135">
        <v>585930</v>
      </c>
      <c r="AB20" s="123"/>
      <c r="AC20" s="123"/>
    </row>
    <row r="21" spans="1:29" s="124" customFormat="1" ht="12.75">
      <c r="A21" s="123"/>
      <c r="B21" s="128"/>
      <c r="C21" s="31" t="s">
        <v>111</v>
      </c>
      <c r="D21" s="26"/>
      <c r="E21" s="34"/>
      <c r="F21" s="72"/>
      <c r="G21" s="72"/>
      <c r="H21" s="72"/>
      <c r="I21" s="72"/>
      <c r="J21" s="72"/>
      <c r="K21" s="64"/>
      <c r="L21" s="64"/>
      <c r="M21" s="64"/>
      <c r="N21" s="60"/>
      <c r="O21" s="87"/>
      <c r="P21" s="87"/>
      <c r="Q21" s="87"/>
      <c r="R21" s="87"/>
      <c r="S21" s="87"/>
      <c r="T21" s="64"/>
      <c r="U21" s="64"/>
      <c r="V21" s="64"/>
      <c r="W21" s="60"/>
      <c r="X21" s="43"/>
      <c r="Y21" s="43"/>
      <c r="Z21" s="43"/>
      <c r="AA21" s="136"/>
      <c r="AB21" s="123"/>
      <c r="AC21" s="123"/>
    </row>
    <row r="22" spans="1:29" s="124" customFormat="1" ht="12.75">
      <c r="A22" s="123"/>
      <c r="B22" s="128"/>
      <c r="C22" s="33"/>
      <c r="D22" s="26" t="s">
        <v>5</v>
      </c>
      <c r="E22" s="34"/>
      <c r="F22" s="71">
        <v>128</v>
      </c>
      <c r="G22" s="71">
        <v>67</v>
      </c>
      <c r="H22" s="71">
        <v>25</v>
      </c>
      <c r="I22" s="71">
        <v>0</v>
      </c>
      <c r="J22" s="71">
        <v>20</v>
      </c>
      <c r="K22" s="64">
        <f>IFERROR(F22/G22-1,"n/a")</f>
        <v>0.91044776119402981</v>
      </c>
      <c r="L22" s="64">
        <f t="shared" si="0"/>
        <v>4.12</v>
      </c>
      <c r="M22" s="64" t="str">
        <f>IFERROR(F22/I22-1,"n/a")</f>
        <v>n/a</v>
      </c>
      <c r="N22" s="60">
        <f t="shared" si="1"/>
        <v>5.4</v>
      </c>
      <c r="O22" s="68">
        <f>'Nov-23'!O22+'Dec-23'!F22</f>
        <v>1499</v>
      </c>
      <c r="P22" s="68">
        <f>'Nov-23'!P22+'Dec-23'!G22</f>
        <v>891</v>
      </c>
      <c r="Q22" s="68">
        <f>'Nov-23'!Q22+'Dec-23'!H22</f>
        <v>283</v>
      </c>
      <c r="R22" s="68">
        <f>'Nov-23'!R22+'Dec-23'!I22</f>
        <v>205</v>
      </c>
      <c r="S22" s="68">
        <f>'Nov-23'!S22+'Dec-23'!J22</f>
        <v>1061</v>
      </c>
      <c r="T22" s="64">
        <f>IFERROR(O22/P22-1,"n/a")</f>
        <v>0.68237934904601572</v>
      </c>
      <c r="U22" s="64">
        <f>IFERROR(O22/Q22-1,"n/a")</f>
        <v>4.2968197879858661</v>
      </c>
      <c r="V22" s="64">
        <f>IFERROR(O22/R22-1,"n/a")</f>
        <v>6.3121951219512198</v>
      </c>
      <c r="W22" s="60">
        <f>IFERROR(O22/S22-1,"n/a")</f>
        <v>0.41281809613572107</v>
      </c>
      <c r="X22" s="68">
        <v>895</v>
      </c>
      <c r="Y22" s="68">
        <v>283</v>
      </c>
      <c r="Z22" s="68">
        <v>43</v>
      </c>
      <c r="AA22" s="135">
        <v>827</v>
      </c>
      <c r="AB22" s="123"/>
      <c r="AC22" s="123"/>
    </row>
    <row r="23" spans="1:29" s="124" customFormat="1" ht="12.75">
      <c r="A23" s="123"/>
      <c r="B23" s="128"/>
      <c r="C23" s="33"/>
      <c r="D23" s="26" t="s">
        <v>11</v>
      </c>
      <c r="E23" s="32"/>
      <c r="F23" s="71">
        <v>383396</v>
      </c>
      <c r="G23" s="71">
        <v>215490</v>
      </c>
      <c r="H23" s="71">
        <v>39214</v>
      </c>
      <c r="I23" s="71">
        <v>0</v>
      </c>
      <c r="J23" s="71">
        <v>58943</v>
      </c>
      <c r="K23" s="64">
        <f>IFERROR(F23/G23-1,"n/a")</f>
        <v>0.77918232864634085</v>
      </c>
      <c r="L23" s="64">
        <f t="shared" si="0"/>
        <v>8.7770184117917065</v>
      </c>
      <c r="M23" s="64" t="str">
        <f>IFERROR(F23/I23-1,"n/a")</f>
        <v>n/a</v>
      </c>
      <c r="N23" s="60">
        <f t="shared" si="1"/>
        <v>5.5045213172047571</v>
      </c>
      <c r="O23" s="68">
        <f>'Nov-23'!O23+'Dec-23'!F23</f>
        <v>4440466</v>
      </c>
      <c r="P23" s="68">
        <f>'Nov-23'!P23+'Dec-23'!G23</f>
        <v>2159250</v>
      </c>
      <c r="Q23" s="68">
        <f>'Nov-23'!Q23+'Dec-23'!H23</f>
        <v>465109</v>
      </c>
      <c r="R23" s="68">
        <f>'Nov-23'!R23+'Dec-23'!I23</f>
        <v>545974</v>
      </c>
      <c r="S23" s="68">
        <f>'Nov-23'!S23+'Dec-23'!J23</f>
        <v>3220857</v>
      </c>
      <c r="T23" s="64">
        <f>IFERROR(O23/P23-1,"n/a")</f>
        <v>1.0564853537107792</v>
      </c>
      <c r="U23" s="64">
        <f>IFERROR(O23/Q23-1,"n/a")</f>
        <v>8.5471513129180465</v>
      </c>
      <c r="V23" s="64">
        <f>IFERROR(O23/R23-1,"n/a")</f>
        <v>7.1331089026217374</v>
      </c>
      <c r="W23" s="60">
        <f>IFERROR(O23/S23-1,"n/a")</f>
        <v>0.37865977905880333</v>
      </c>
      <c r="X23" s="68">
        <v>2165161</v>
      </c>
      <c r="Y23" s="68">
        <v>465109</v>
      </c>
      <c r="Z23" s="68">
        <v>140552</v>
      </c>
      <c r="AA23" s="135">
        <v>2552942</v>
      </c>
      <c r="AB23" s="123"/>
      <c r="AC23" s="123"/>
    </row>
    <row r="24" spans="1:29" s="124" customFormat="1" ht="12.75">
      <c r="A24" s="123"/>
      <c r="B24" s="128"/>
      <c r="C24" s="31" t="s">
        <v>112</v>
      </c>
      <c r="D24" s="26"/>
      <c r="E24" s="32"/>
      <c r="F24" s="72"/>
      <c r="G24" s="72"/>
      <c r="H24" s="72"/>
      <c r="I24" s="72"/>
      <c r="J24" s="72"/>
      <c r="K24" s="64"/>
      <c r="L24" s="64"/>
      <c r="M24" s="64"/>
      <c r="N24" s="60"/>
      <c r="O24" s="87"/>
      <c r="P24" s="87"/>
      <c r="Q24" s="87"/>
      <c r="R24" s="87"/>
      <c r="S24" s="87"/>
      <c r="T24" s="64"/>
      <c r="U24" s="64"/>
      <c r="V24" s="64"/>
      <c r="W24" s="60"/>
      <c r="X24" s="43"/>
      <c r="Y24" s="43"/>
      <c r="Z24" s="43"/>
      <c r="AA24" s="136"/>
      <c r="AB24" s="123"/>
      <c r="AC24" s="123"/>
    </row>
    <row r="25" spans="1:29" s="124" customFormat="1" ht="12.75">
      <c r="B25" s="128"/>
      <c r="C25" s="33"/>
      <c r="D25" s="26" t="s">
        <v>5</v>
      </c>
      <c r="E25" s="32"/>
      <c r="F25" s="71">
        <v>0</v>
      </c>
      <c r="G25" s="71">
        <v>0</v>
      </c>
      <c r="H25" s="71">
        <v>0</v>
      </c>
      <c r="I25" s="71">
        <v>0</v>
      </c>
      <c r="J25" s="71">
        <v>0</v>
      </c>
      <c r="K25" s="64" t="str">
        <f>IFERROR(F25/G25-1,"n/a")</f>
        <v>n/a</v>
      </c>
      <c r="L25" s="64" t="str">
        <f t="shared" si="0"/>
        <v>n/a</v>
      </c>
      <c r="M25" s="64" t="str">
        <f>IFERROR(F25/I25-1,"n/a")</f>
        <v>n/a</v>
      </c>
      <c r="N25" s="60" t="str">
        <f t="shared" si="1"/>
        <v>n/a</v>
      </c>
      <c r="O25" s="68">
        <f>'Nov-23'!O25+'Dec-23'!F25</f>
        <v>21</v>
      </c>
      <c r="P25" s="68">
        <f>'Nov-23'!P25+'Dec-23'!G25</f>
        <v>9</v>
      </c>
      <c r="Q25" s="68">
        <f>'Nov-23'!Q25+'Dec-23'!H25</f>
        <v>0</v>
      </c>
      <c r="R25" s="68">
        <f>'Nov-23'!R25+'Dec-23'!I25</f>
        <v>0</v>
      </c>
      <c r="S25" s="68">
        <f>'Nov-23'!S25+'Dec-23'!J25</f>
        <v>16</v>
      </c>
      <c r="T25" s="64">
        <f>IFERROR(O25/P25-1,"n/a")</f>
        <v>1.3333333333333335</v>
      </c>
      <c r="U25" s="64" t="str">
        <f>IFERROR(O25/Q25-1,"n/a")</f>
        <v>n/a</v>
      </c>
      <c r="V25" s="64" t="str">
        <f>IFERROR(O25/R25-1,"n/a")</f>
        <v>n/a</v>
      </c>
      <c r="W25" s="60">
        <f>IFERROR(O25/S25-1,"n/a")</f>
        <v>0.3125</v>
      </c>
      <c r="X25" s="68">
        <v>9</v>
      </c>
      <c r="Y25" s="68">
        <v>0</v>
      </c>
      <c r="Z25" s="68">
        <v>0</v>
      </c>
      <c r="AA25" s="135">
        <v>16</v>
      </c>
      <c r="AB25" s="123"/>
      <c r="AC25" s="123"/>
    </row>
    <row r="26" spans="1:29" s="124" customFormat="1" ht="12.75">
      <c r="A26" s="123"/>
      <c r="B26" s="128"/>
      <c r="C26" s="33"/>
      <c r="D26" s="26" t="s">
        <v>11</v>
      </c>
      <c r="E26" s="32"/>
      <c r="F26" s="71">
        <v>0</v>
      </c>
      <c r="G26" s="71">
        <v>0</v>
      </c>
      <c r="H26" s="71">
        <v>0</v>
      </c>
      <c r="I26" s="71">
        <v>0</v>
      </c>
      <c r="J26" s="71">
        <v>0</v>
      </c>
      <c r="K26" s="64" t="str">
        <f>IFERROR(F26/G26-1,"n/a")</f>
        <v>n/a</v>
      </c>
      <c r="L26" s="64" t="str">
        <f t="shared" si="0"/>
        <v>n/a</v>
      </c>
      <c r="M26" s="64" t="str">
        <f>IFERROR(F26/I26-1,"n/a")</f>
        <v>n/a</v>
      </c>
      <c r="N26" s="60" t="str">
        <f t="shared" si="1"/>
        <v>n/a</v>
      </c>
      <c r="O26" s="68">
        <f>'Nov-23'!O26+'Dec-23'!F26</f>
        <v>38626</v>
      </c>
      <c r="P26" s="68">
        <f>'Nov-23'!P26+'Dec-23'!G26</f>
        <v>15637</v>
      </c>
      <c r="Q26" s="68">
        <f>'Nov-23'!Q26+'Dec-23'!H26</f>
        <v>0</v>
      </c>
      <c r="R26" s="68">
        <f>'Nov-23'!R26+'Dec-23'!I26</f>
        <v>0</v>
      </c>
      <c r="S26" s="68">
        <f>'Nov-23'!S26+'Dec-23'!J26</f>
        <v>20248</v>
      </c>
      <c r="T26" s="64">
        <f>IFERROR(O26/P26-1,"n/a")</f>
        <v>1.4701669118117286</v>
      </c>
      <c r="U26" s="64" t="str">
        <f>IFERROR(O26/Q26-1,"n/a")</f>
        <v>n/a</v>
      </c>
      <c r="V26" s="64" t="str">
        <f>IFERROR(O26/R26-1,"n/a")</f>
        <v>n/a</v>
      </c>
      <c r="W26" s="60">
        <f>IFERROR(O26/S26-1,"n/a")</f>
        <v>0.90764519952587919</v>
      </c>
      <c r="X26" s="68">
        <v>15637</v>
      </c>
      <c r="Y26" s="68">
        <v>0</v>
      </c>
      <c r="Z26" s="68">
        <v>0</v>
      </c>
      <c r="AA26" s="137">
        <v>20248</v>
      </c>
      <c r="AB26" s="123"/>
      <c r="AC26" s="123"/>
    </row>
    <row r="27" spans="1:29" s="124" customFormat="1" ht="13.5" thickBot="1">
      <c r="A27" s="123"/>
      <c r="B27" s="128"/>
      <c r="C27" s="35" t="s">
        <v>12</v>
      </c>
      <c r="D27" s="36"/>
      <c r="E27" s="37"/>
      <c r="F27" s="75">
        <f t="shared" ref="F27:J28" si="2">F13+F16+F19+F22+F25</f>
        <v>377</v>
      </c>
      <c r="G27" s="75">
        <f t="shared" si="2"/>
        <v>273</v>
      </c>
      <c r="H27" s="75">
        <f t="shared" si="2"/>
        <v>207</v>
      </c>
      <c r="I27" s="75">
        <f t="shared" si="2"/>
        <v>6</v>
      </c>
      <c r="J27" s="75">
        <f t="shared" si="2"/>
        <v>277</v>
      </c>
      <c r="K27" s="66">
        <f>IFERROR(F27/G27-1,"n/a")</f>
        <v>0.38095238095238093</v>
      </c>
      <c r="L27" s="66">
        <f t="shared" si="0"/>
        <v>0.82125603864734309</v>
      </c>
      <c r="M27" s="66">
        <f>IFERROR(F27/I27-1,"n/a")</f>
        <v>61.833333333333336</v>
      </c>
      <c r="N27" s="62">
        <f t="shared" si="1"/>
        <v>0.36101083032490977</v>
      </c>
      <c r="O27" s="75">
        <f t="shared" ref="O27:S28" si="3">O13+O16+O19+O22+O25</f>
        <v>4431</v>
      </c>
      <c r="P27" s="75">
        <f t="shared" si="3"/>
        <v>3616</v>
      </c>
      <c r="Q27" s="75">
        <f t="shared" si="3"/>
        <v>1049</v>
      </c>
      <c r="R27" s="75">
        <f t="shared" si="3"/>
        <v>820</v>
      </c>
      <c r="S27" s="75">
        <f t="shared" si="3"/>
        <v>3544</v>
      </c>
      <c r="T27" s="66">
        <f>IFERROR(O27/P27-1,"n/a")</f>
        <v>0.22538716814159288</v>
      </c>
      <c r="U27" s="66">
        <f>IFERROR(O27/Q27-1,"n/a")</f>
        <v>3.2240228789323169</v>
      </c>
      <c r="V27" s="66">
        <f>IFERROR(O27/R27-1,"n/a")</f>
        <v>4.4036585365853655</v>
      </c>
      <c r="W27" s="62">
        <f>IFERROR(O27/S27-1,"n/a")</f>
        <v>0.25028216704288941</v>
      </c>
      <c r="X27" s="75">
        <f>X13+X16+X19+X22+X25</f>
        <v>3620</v>
      </c>
      <c r="Y27" s="46">
        <f t="shared" ref="Y27:AA28" si="4">Y13+Y16+Y19+Y22+Y25</f>
        <v>1054</v>
      </c>
      <c r="Z27" s="46">
        <f t="shared" si="4"/>
        <v>657</v>
      </c>
      <c r="AA27" s="80">
        <f t="shared" si="4"/>
        <v>3310</v>
      </c>
      <c r="AB27" s="123"/>
      <c r="AC27" s="123"/>
    </row>
    <row r="28" spans="1:29" s="124" customFormat="1" ht="14.25" thickTop="1" thickBot="1">
      <c r="A28" s="123"/>
      <c r="B28" s="128"/>
      <c r="C28" s="38" t="s">
        <v>13</v>
      </c>
      <c r="D28" s="39"/>
      <c r="E28" s="40"/>
      <c r="F28" s="76">
        <f t="shared" si="2"/>
        <v>1087969</v>
      </c>
      <c r="G28" s="76">
        <f t="shared" si="2"/>
        <v>762932</v>
      </c>
      <c r="H28" s="76">
        <f t="shared" si="2"/>
        <v>307043</v>
      </c>
      <c r="I28" s="76">
        <f t="shared" si="2"/>
        <v>2141</v>
      </c>
      <c r="J28" s="76">
        <f t="shared" si="2"/>
        <v>632077</v>
      </c>
      <c r="K28" s="67">
        <f>IFERROR(F28/G28-1,"n/a")</f>
        <v>0.42603665857507611</v>
      </c>
      <c r="L28" s="67">
        <f t="shared" si="0"/>
        <v>2.5433766605980268</v>
      </c>
      <c r="M28" s="67">
        <f>IFERROR(F28/I28-1,"n/a")</f>
        <v>507.1592713685194</v>
      </c>
      <c r="N28" s="63">
        <f t="shared" si="1"/>
        <v>0.72126022620661723</v>
      </c>
      <c r="O28" s="76">
        <f t="shared" si="3"/>
        <v>12649840</v>
      </c>
      <c r="P28" s="76">
        <f t="shared" si="3"/>
        <v>7620758</v>
      </c>
      <c r="Q28" s="76">
        <f t="shared" si="3"/>
        <v>1548386</v>
      </c>
      <c r="R28" s="76">
        <f t="shared" si="3"/>
        <v>1719580</v>
      </c>
      <c r="S28" s="76">
        <f t="shared" si="3"/>
        <v>9796644</v>
      </c>
      <c r="T28" s="67">
        <f>IFERROR(O28/P28-1,"n/a")</f>
        <v>0.65991886896290364</v>
      </c>
      <c r="U28" s="67">
        <f>IFERROR(O28/Q28-1,"n/a")</f>
        <v>7.1696941202000026</v>
      </c>
      <c r="V28" s="67">
        <f>IFERROR(O28/R28-1,"n/a")</f>
        <v>6.3563544586468792</v>
      </c>
      <c r="W28" s="63">
        <f>IFERROR(O28/S28-1,"n/a")</f>
        <v>0.29124218456851136</v>
      </c>
      <c r="X28" s="76">
        <f>X14+X17+X20+X23+X26</f>
        <v>7626669</v>
      </c>
      <c r="Y28" s="47">
        <f t="shared" si="4"/>
        <v>1552483</v>
      </c>
      <c r="Z28" s="47">
        <f t="shared" si="4"/>
        <v>1314158</v>
      </c>
      <c r="AA28" s="81">
        <f t="shared" si="4"/>
        <v>9152531</v>
      </c>
      <c r="AB28" s="123"/>
      <c r="AC28" s="123"/>
    </row>
    <row r="29" spans="1:29" s="124" customFormat="1" ht="12" thickTop="1">
      <c r="A29" s="123"/>
      <c r="B29" s="123"/>
      <c r="C29" s="123"/>
      <c r="D29" s="123"/>
      <c r="E29" s="123"/>
      <c r="F29" s="129"/>
      <c r="G29" s="129"/>
      <c r="H29" s="129"/>
      <c r="I29" s="129"/>
      <c r="J29" s="129"/>
      <c r="K29" s="129"/>
      <c r="L29" s="129"/>
      <c r="M29" s="129"/>
      <c r="N29" s="123"/>
      <c r="O29" s="123"/>
      <c r="P29" s="123"/>
      <c r="Q29" s="123"/>
      <c r="R29" s="123"/>
      <c r="S29" s="123"/>
      <c r="T29" s="123"/>
      <c r="U29" s="123"/>
      <c r="V29" s="123"/>
      <c r="W29" s="123"/>
      <c r="X29" s="123"/>
      <c r="Y29" s="123"/>
      <c r="Z29" s="123"/>
      <c r="AA29" s="123"/>
      <c r="AB29" s="123"/>
      <c r="AC29" s="123"/>
    </row>
    <row r="30" spans="1:29" s="124" customFormat="1" ht="11.25">
      <c r="A30" s="123"/>
      <c r="B30" s="123"/>
      <c r="C30" s="123"/>
      <c r="D30" s="123"/>
      <c r="E30" s="123"/>
      <c r="F30" s="129"/>
      <c r="G30" s="129"/>
      <c r="H30" s="129"/>
      <c r="I30" s="129"/>
      <c r="J30" s="129"/>
      <c r="K30" s="129"/>
      <c r="L30" s="129"/>
      <c r="M30" s="129"/>
      <c r="N30" s="123"/>
      <c r="O30" s="129"/>
      <c r="P30" s="123"/>
      <c r="Q30" s="123"/>
      <c r="R30" s="123"/>
      <c r="S30" s="123"/>
      <c r="T30" s="123"/>
      <c r="U30" s="123"/>
      <c r="V30" s="123"/>
      <c r="W30" s="123"/>
      <c r="X30" s="123"/>
      <c r="Y30" s="123"/>
      <c r="Z30" s="123"/>
      <c r="AA30" s="123"/>
      <c r="AB30" s="123"/>
      <c r="AC30" s="123"/>
    </row>
    <row r="31" spans="1:29" s="124" customFormat="1" ht="12.75">
      <c r="A31" s="123"/>
      <c r="B31" s="130"/>
      <c r="C31" s="131" t="s">
        <v>63</v>
      </c>
      <c r="D31" s="24"/>
      <c r="E31" s="24"/>
      <c r="F31" s="24"/>
      <c r="G31" s="24"/>
      <c r="H31" s="24"/>
      <c r="I31" s="24"/>
      <c r="J31" s="95"/>
      <c r="K31" s="95"/>
      <c r="L31" s="95"/>
      <c r="M31" s="95"/>
      <c r="N31" s="24"/>
      <c r="O31" s="24"/>
      <c r="P31" s="24"/>
      <c r="Q31" s="24"/>
      <c r="R31" s="24"/>
      <c r="S31" s="24"/>
      <c r="T31" s="24"/>
      <c r="U31" s="24"/>
      <c r="V31" s="24"/>
      <c r="W31" s="24"/>
      <c r="X31" s="24"/>
      <c r="Y31" s="24"/>
      <c r="Z31" s="24"/>
      <c r="AA31" s="24"/>
      <c r="AB31" s="24"/>
      <c r="AC31" s="123"/>
    </row>
    <row r="32" spans="1:29" s="124" customFormat="1" ht="12.75">
      <c r="A32" s="123"/>
      <c r="B32" s="130"/>
      <c r="C32" s="24"/>
      <c r="D32" s="24"/>
      <c r="E32" s="24"/>
      <c r="F32" s="24"/>
      <c r="G32" s="24"/>
      <c r="H32" s="24"/>
      <c r="I32" s="24"/>
      <c r="J32" s="95"/>
      <c r="K32" s="95"/>
      <c r="L32" s="95"/>
      <c r="M32" s="95"/>
      <c r="N32" s="24"/>
      <c r="O32" s="24"/>
      <c r="P32" s="24"/>
      <c r="Q32" s="24"/>
      <c r="R32" s="24"/>
      <c r="S32" s="24"/>
      <c r="T32" s="24"/>
      <c r="U32" s="24"/>
      <c r="V32" s="24"/>
      <c r="W32" s="24"/>
      <c r="X32" s="24"/>
      <c r="Y32" s="24"/>
      <c r="Z32" s="24"/>
      <c r="AA32" s="24"/>
      <c r="AB32" s="24"/>
      <c r="AC32" s="123"/>
    </row>
    <row r="33" spans="1:29" s="124" customFormat="1" ht="11.25">
      <c r="A33" s="123"/>
      <c r="B33" s="123"/>
      <c r="C33" s="27" t="s">
        <v>7</v>
      </c>
      <c r="D33" s="28"/>
      <c r="E33" s="28"/>
      <c r="F33" s="158" t="str">
        <f>F9</f>
        <v>December</v>
      </c>
      <c r="G33" s="158"/>
      <c r="H33" s="158"/>
      <c r="I33" s="158"/>
      <c r="J33" s="158"/>
      <c r="K33" s="158"/>
      <c r="L33" s="158"/>
      <c r="M33" s="158"/>
      <c r="N33" s="159"/>
      <c r="O33" s="161" t="str">
        <f>"April to "&amp;D4&amp;" (YTD)"</f>
        <v>April to December (YTD)</v>
      </c>
      <c r="P33" s="162"/>
      <c r="Q33" s="162"/>
      <c r="R33" s="162"/>
      <c r="S33" s="162"/>
      <c r="T33" s="162"/>
      <c r="U33" s="162"/>
      <c r="V33" s="162"/>
      <c r="W33" s="163"/>
      <c r="X33" s="157" t="s">
        <v>58</v>
      </c>
      <c r="Y33" s="158"/>
      <c r="Z33" s="158"/>
      <c r="AA33" s="160"/>
    </row>
    <row r="34" spans="1:29" s="124" customFormat="1" ht="11.25">
      <c r="A34" s="123"/>
      <c r="B34" s="123"/>
      <c r="C34" s="29"/>
      <c r="D34" s="30"/>
      <c r="E34" s="30"/>
      <c r="F34" s="152"/>
      <c r="G34" s="153"/>
      <c r="H34" s="153"/>
      <c r="I34" s="153"/>
      <c r="J34" s="153"/>
      <c r="K34" s="153"/>
      <c r="L34" s="153"/>
      <c r="M34" s="153"/>
      <c r="N34" s="154"/>
      <c r="O34" s="152"/>
      <c r="P34" s="153"/>
      <c r="Q34" s="153"/>
      <c r="R34" s="153"/>
      <c r="S34" s="153"/>
      <c r="T34" s="153"/>
      <c r="U34" s="153"/>
      <c r="V34" s="153"/>
      <c r="W34" s="154"/>
      <c r="X34" s="152"/>
      <c r="Y34" s="153"/>
      <c r="Z34" s="153"/>
      <c r="AA34" s="154"/>
    </row>
    <row r="35" spans="1:29" s="124" customFormat="1" ht="22.5">
      <c r="A35" s="123"/>
      <c r="B35" s="123"/>
      <c r="C35" s="59" t="s">
        <v>29</v>
      </c>
      <c r="D35" s="50"/>
      <c r="E35" s="51"/>
      <c r="F35" s="55">
        <v>2023</v>
      </c>
      <c r="G35" s="52">
        <v>2022</v>
      </c>
      <c r="H35" s="52">
        <v>2021</v>
      </c>
      <c r="I35" s="52">
        <v>2020</v>
      </c>
      <c r="J35" s="52">
        <v>2019</v>
      </c>
      <c r="K35" s="53" t="s">
        <v>66</v>
      </c>
      <c r="L35" s="53" t="s">
        <v>67</v>
      </c>
      <c r="M35" s="53" t="s">
        <v>68</v>
      </c>
      <c r="N35" s="57" t="s">
        <v>101</v>
      </c>
      <c r="O35" s="53" t="s">
        <v>115</v>
      </c>
      <c r="P35" s="53" t="s">
        <v>53</v>
      </c>
      <c r="Q35" s="52" t="s">
        <v>54</v>
      </c>
      <c r="R35" s="52" t="s">
        <v>59</v>
      </c>
      <c r="S35" s="52" t="s">
        <v>64</v>
      </c>
      <c r="T35" s="53" t="s">
        <v>116</v>
      </c>
      <c r="U35" s="53" t="s">
        <v>117</v>
      </c>
      <c r="V35" s="53" t="s">
        <v>118</v>
      </c>
      <c r="W35" s="57" t="s">
        <v>119</v>
      </c>
      <c r="X35" s="53" t="s">
        <v>53</v>
      </c>
      <c r="Y35" s="53" t="s">
        <v>54</v>
      </c>
      <c r="Z35" s="53" t="s">
        <v>65</v>
      </c>
      <c r="AA35" s="57" t="s">
        <v>73</v>
      </c>
      <c r="AC35" s="123"/>
    </row>
    <row r="36" spans="1:29" s="124" customFormat="1" ht="11.25">
      <c r="A36" s="123"/>
      <c r="B36" s="123"/>
      <c r="C36" s="31" t="s">
        <v>108</v>
      </c>
      <c r="D36" s="26"/>
      <c r="E36" s="32"/>
      <c r="F36" s="26"/>
      <c r="G36" s="26"/>
      <c r="H36" s="26"/>
      <c r="I36" s="26"/>
      <c r="J36" s="26"/>
      <c r="K36" s="26"/>
      <c r="L36" s="26"/>
      <c r="M36" s="26"/>
      <c r="N36" s="32"/>
      <c r="O36" s="26"/>
      <c r="P36" s="26"/>
      <c r="Q36" s="26"/>
      <c r="R36" s="26"/>
      <c r="S36" s="123"/>
      <c r="T36" s="26"/>
      <c r="U36" s="123"/>
      <c r="V36" s="26"/>
      <c r="W36" s="32"/>
      <c r="X36" s="33"/>
      <c r="Y36" s="26"/>
      <c r="Z36" s="88"/>
      <c r="AA36" s="85"/>
      <c r="AC36" s="123"/>
    </row>
    <row r="37" spans="1:29" s="124" customFormat="1" ht="11.25">
      <c r="A37" s="123"/>
      <c r="B37" s="123"/>
      <c r="C37" s="33"/>
      <c r="D37" s="26" t="s">
        <v>5</v>
      </c>
      <c r="E37" s="32"/>
      <c r="F37" s="74">
        <f t="shared" ref="F37:J38" si="5">F13</f>
        <v>229</v>
      </c>
      <c r="G37" s="74">
        <f t="shared" si="5"/>
        <v>191</v>
      </c>
      <c r="H37" s="74">
        <f t="shared" si="5"/>
        <v>172</v>
      </c>
      <c r="I37" s="74">
        <f t="shared" si="5"/>
        <v>0</v>
      </c>
      <c r="J37" s="74">
        <f t="shared" si="5"/>
        <v>200</v>
      </c>
      <c r="K37" s="64">
        <f>IFERROR(F37/G37-1,"n/a")</f>
        <v>0.19895287958115193</v>
      </c>
      <c r="L37" s="64">
        <f>IFERROR(F37/H37-1,"n/a")</f>
        <v>0.33139534883720922</v>
      </c>
      <c r="M37" s="64" t="str">
        <f>IFERROR(F37/I37-1,"n/a")</f>
        <v>n/a</v>
      </c>
      <c r="N37" s="60">
        <f>IFERROR(F37/J37-1,"n/a")</f>
        <v>0.14500000000000002</v>
      </c>
      <c r="O37" s="74">
        <f>'Nov-23'!O37+'Dec-23'!F37</f>
        <v>1100</v>
      </c>
      <c r="P37" s="74">
        <f>'Nov-23'!P37+'Dec-23'!G37</f>
        <v>956</v>
      </c>
      <c r="Q37" s="74">
        <f>'Nov-23'!Q37+'Dec-23'!H37</f>
        <v>515</v>
      </c>
      <c r="R37" s="74">
        <f>'Nov-23'!R37+'Dec-23'!I37</f>
        <v>42</v>
      </c>
      <c r="S37" s="74">
        <f>'Nov-23'!S37+'Dec-23'!J37</f>
        <v>1068</v>
      </c>
      <c r="T37" s="120">
        <f>IFERROR(O37/P37-1,"n/a")</f>
        <v>0.15062761506276146</v>
      </c>
      <c r="U37" s="120">
        <f>IFERROR(O37/Q37-1,"n/a")</f>
        <v>1.1359223300970873</v>
      </c>
      <c r="V37" s="120">
        <f>IFERROR(O37/R37-1,"n/a")</f>
        <v>25.19047619047619</v>
      </c>
      <c r="W37" s="121">
        <f>IFERROR(O37/S37-1,"n/a")</f>
        <v>2.9962546816479474E-2</v>
      </c>
      <c r="X37" s="89">
        <v>1486</v>
      </c>
      <c r="Y37" s="89">
        <v>1052</v>
      </c>
      <c r="Z37" s="70">
        <v>551</v>
      </c>
      <c r="AA37" s="78">
        <v>1584</v>
      </c>
      <c r="AC37" s="123"/>
    </row>
    <row r="38" spans="1:29" s="124" customFormat="1" ht="11.25">
      <c r="A38" s="123"/>
      <c r="B38" s="123"/>
      <c r="C38" s="33"/>
      <c r="D38" s="26" t="s">
        <v>11</v>
      </c>
      <c r="E38" s="32"/>
      <c r="F38" s="74">
        <f t="shared" si="5"/>
        <v>666281</v>
      </c>
      <c r="G38" s="74">
        <f t="shared" si="5"/>
        <v>518319</v>
      </c>
      <c r="H38" s="74">
        <f t="shared" si="5"/>
        <v>253217</v>
      </c>
      <c r="I38" s="74">
        <f t="shared" si="5"/>
        <v>0</v>
      </c>
      <c r="J38" s="74">
        <f t="shared" si="5"/>
        <v>506611</v>
      </c>
      <c r="K38" s="64">
        <f>IFERROR(F38/G38-1,"n/a")</f>
        <v>0.28546512861770457</v>
      </c>
      <c r="L38" s="64">
        <f>IFERROR(F38/H38-1,"n/a")</f>
        <v>1.6312648834793873</v>
      </c>
      <c r="M38" s="64" t="str">
        <f>IFERROR(F38/I38-1,"n/a")</f>
        <v>n/a</v>
      </c>
      <c r="N38" s="60">
        <f>IFERROR(F38/J38-1,"n/a")</f>
        <v>0.31517278543103089</v>
      </c>
      <c r="O38" s="74">
        <f>'Nov-23'!O38+'Dec-23'!F38</f>
        <v>3694353</v>
      </c>
      <c r="P38" s="74">
        <f>'Nov-23'!P38+'Dec-23'!G38</f>
        <v>2832755</v>
      </c>
      <c r="Q38" s="74">
        <f>'Nov-23'!Q38+'Dec-23'!H38</f>
        <v>763201</v>
      </c>
      <c r="R38" s="74">
        <f>'Nov-23'!R38+'Dec-23'!I38</f>
        <v>0</v>
      </c>
      <c r="S38" s="74">
        <f>'Nov-23'!S38+'Dec-23'!J38</f>
        <v>3119972</v>
      </c>
      <c r="T38" s="120">
        <f>IFERROR(O38/P38-1,"n/a")</f>
        <v>0.30415549526874019</v>
      </c>
      <c r="U38" s="120">
        <f>IFERROR(O38/Q38-1,"n/a")</f>
        <v>3.8406029342204739</v>
      </c>
      <c r="V38" s="120" t="str">
        <f>IFERROR(O38/R38-1,"n/a")</f>
        <v>n/a</v>
      </c>
      <c r="W38" s="121">
        <f>IFERROR(O38/S38-1,"n/a")</f>
        <v>0.18409812652164836</v>
      </c>
      <c r="X38" s="89">
        <v>4370939</v>
      </c>
      <c r="Y38" s="89">
        <v>1527970</v>
      </c>
      <c r="Z38" s="84">
        <v>1092884</v>
      </c>
      <c r="AA38" s="78">
        <v>4234259</v>
      </c>
      <c r="AC38" s="123"/>
    </row>
    <row r="39" spans="1:29" s="124" customFormat="1" ht="11.25">
      <c r="A39" s="123"/>
      <c r="B39" s="123"/>
      <c r="C39" s="31" t="s">
        <v>109</v>
      </c>
      <c r="D39" s="26"/>
      <c r="E39" s="32"/>
      <c r="F39" s="26"/>
      <c r="G39" s="26"/>
      <c r="H39" s="26"/>
      <c r="I39" s="26"/>
      <c r="J39" s="26"/>
      <c r="K39" s="64"/>
      <c r="L39" s="64"/>
      <c r="M39" s="64"/>
      <c r="N39" s="61"/>
      <c r="O39" s="26"/>
      <c r="P39" s="26"/>
      <c r="Q39" s="26"/>
      <c r="R39" s="26"/>
      <c r="S39" s="26"/>
      <c r="T39" s="65"/>
      <c r="U39" s="65"/>
      <c r="V39" s="65"/>
      <c r="W39" s="61"/>
      <c r="X39" s="90"/>
      <c r="Y39" s="90"/>
      <c r="Z39" s="44"/>
      <c r="AA39" s="79"/>
      <c r="AC39" s="123"/>
    </row>
    <row r="40" spans="1:29" s="124" customFormat="1" ht="11.25">
      <c r="A40" s="123"/>
      <c r="B40" s="123"/>
      <c r="C40" s="33"/>
      <c r="D40" s="26" t="s">
        <v>5</v>
      </c>
      <c r="E40" s="32"/>
      <c r="F40" s="74">
        <f t="shared" ref="F40:J41" si="6">F16</f>
        <v>12</v>
      </c>
      <c r="G40" s="74">
        <f t="shared" si="6"/>
        <v>6</v>
      </c>
      <c r="H40" s="74">
        <f t="shared" si="6"/>
        <v>7</v>
      </c>
      <c r="I40" s="74">
        <f t="shared" si="6"/>
        <v>6</v>
      </c>
      <c r="J40" s="74">
        <f t="shared" si="6"/>
        <v>47</v>
      </c>
      <c r="K40" s="64">
        <f>IFERROR(F40/G40-1,"n/a")</f>
        <v>1</v>
      </c>
      <c r="L40" s="64">
        <f>IFERROR(F40/H40-1,"n/a")</f>
        <v>0.71428571428571419</v>
      </c>
      <c r="M40" s="64">
        <f>IFERROR(F40/I40-1,"n/a")</f>
        <v>1</v>
      </c>
      <c r="N40" s="60">
        <f>IFERROR(F40/J40-1,"n/a")</f>
        <v>-0.74468085106382986</v>
      </c>
      <c r="O40" s="74">
        <f>'Nov-23'!O40+'Dec-23'!F40</f>
        <v>546</v>
      </c>
      <c r="P40" s="74">
        <f>'Nov-23'!P40+'Dec-23'!G40</f>
        <v>536</v>
      </c>
      <c r="Q40" s="74">
        <f>'Nov-23'!Q40+'Dec-23'!H40</f>
        <v>192</v>
      </c>
      <c r="R40" s="74">
        <f>'Nov-23'!R40+'Dec-23'!I40</f>
        <v>44</v>
      </c>
      <c r="S40" s="74">
        <f>'Nov-23'!S40+'Dec-23'!J40</f>
        <v>570</v>
      </c>
      <c r="T40" s="120">
        <f>IFERROR(O40/P40-1,"n/a")</f>
        <v>1.8656716417910557E-2</v>
      </c>
      <c r="U40" s="120">
        <f>IFERROR(O40/Q40-1,"n/a")</f>
        <v>1.84375</v>
      </c>
      <c r="V40" s="120">
        <f>IFERROR(O40/R40-1,"n/a")</f>
        <v>11.409090909090908</v>
      </c>
      <c r="W40" s="121">
        <f>IFERROR(O40/S40-1,"n/a")</f>
        <v>-4.2105263157894757E-2</v>
      </c>
      <c r="X40" s="89">
        <v>563</v>
      </c>
      <c r="Y40" s="89">
        <v>226</v>
      </c>
      <c r="Z40" s="70">
        <v>66</v>
      </c>
      <c r="AA40" s="78">
        <v>573</v>
      </c>
      <c r="AC40" s="123"/>
    </row>
    <row r="41" spans="1:29" s="124" customFormat="1" ht="11.25">
      <c r="A41" s="123"/>
      <c r="B41" s="123"/>
      <c r="C41" s="33"/>
      <c r="D41" s="26" t="s">
        <v>11</v>
      </c>
      <c r="E41" s="32"/>
      <c r="F41" s="74">
        <f t="shared" si="6"/>
        <v>30889</v>
      </c>
      <c r="G41" s="74">
        <f t="shared" si="6"/>
        <v>22360</v>
      </c>
      <c r="H41" s="74">
        <f t="shared" si="6"/>
        <v>13748</v>
      </c>
      <c r="I41" s="74">
        <f t="shared" si="6"/>
        <v>2141</v>
      </c>
      <c r="J41" s="74">
        <f t="shared" si="6"/>
        <v>55736</v>
      </c>
      <c r="K41" s="64">
        <f>IFERROR(F41/G41-1,"n/a")</f>
        <v>0.38144007155635062</v>
      </c>
      <c r="L41" s="64">
        <f>IFERROR(F41/H41-1,"n/a")</f>
        <v>1.2467995344777423</v>
      </c>
      <c r="M41" s="64">
        <f>IFERROR(F41/I41-1,"n/a")</f>
        <v>13.427370387669313</v>
      </c>
      <c r="N41" s="60">
        <f>IFERROR(F41/J41-1,"n/a")</f>
        <v>-0.44579804794028999</v>
      </c>
      <c r="O41" s="74">
        <f>'Nov-23'!O41+'Dec-23'!F41</f>
        <v>1577630</v>
      </c>
      <c r="P41" s="74">
        <f>'Nov-23'!P41+'Dec-23'!G41</f>
        <v>929455</v>
      </c>
      <c r="Q41" s="74">
        <f>'Nov-23'!Q41+'Dec-23'!H41</f>
        <v>292432</v>
      </c>
      <c r="R41" s="74">
        <f>'Nov-23'!R41+'Dec-23'!I41</f>
        <v>29562</v>
      </c>
      <c r="S41" s="74">
        <f>'Nov-23'!S41+'Dec-23'!J41</f>
        <v>1318159</v>
      </c>
      <c r="T41" s="120">
        <f>IFERROR(O41/P41-1,"n/a")</f>
        <v>0.69737104001807504</v>
      </c>
      <c r="U41" s="120">
        <f>IFERROR(O41/Q41-1,"n/a")</f>
        <v>4.3948610275209283</v>
      </c>
      <c r="V41" s="120">
        <f>IFERROR(O41/R41-1,"n/a")</f>
        <v>52.366822271835467</v>
      </c>
      <c r="W41" s="121">
        <f>IFERROR(O41/S41-1,"n/a")</f>
        <v>0.1968434763939706</v>
      </c>
      <c r="X41" s="89">
        <v>1012510</v>
      </c>
      <c r="Y41" s="89">
        <v>327926</v>
      </c>
      <c r="Z41" s="84">
        <v>80778</v>
      </c>
      <c r="AA41" s="78">
        <v>1361671</v>
      </c>
      <c r="AC41" s="123"/>
    </row>
    <row r="42" spans="1:29" s="124" customFormat="1" ht="11.25">
      <c r="A42" s="123"/>
      <c r="B42" s="123"/>
      <c r="C42" s="31" t="s">
        <v>110</v>
      </c>
      <c r="D42" s="26"/>
      <c r="E42" s="32"/>
      <c r="F42" s="87"/>
      <c r="G42" s="87"/>
      <c r="H42" s="87"/>
      <c r="I42" s="87"/>
      <c r="J42" s="72"/>
      <c r="K42" s="64"/>
      <c r="L42" s="64"/>
      <c r="M42" s="64"/>
      <c r="N42" s="60"/>
      <c r="O42" s="87"/>
      <c r="P42" s="87"/>
      <c r="Q42" s="87"/>
      <c r="R42" s="87"/>
      <c r="S42" s="72"/>
      <c r="T42" s="64"/>
      <c r="U42" s="64"/>
      <c r="V42" s="64"/>
      <c r="W42" s="60"/>
      <c r="X42" s="90"/>
      <c r="Y42" s="90"/>
      <c r="Z42" s="44"/>
      <c r="AA42" s="79"/>
      <c r="AC42" s="123"/>
    </row>
    <row r="43" spans="1:29" s="124" customFormat="1" ht="11.25">
      <c r="A43" s="123"/>
      <c r="B43" s="123"/>
      <c r="C43" s="33"/>
      <c r="D43" s="26" t="s">
        <v>5</v>
      </c>
      <c r="E43" s="32"/>
      <c r="F43" s="74">
        <f t="shared" ref="F43:J44" si="7">F19</f>
        <v>8</v>
      </c>
      <c r="G43" s="74">
        <f t="shared" si="7"/>
        <v>9</v>
      </c>
      <c r="H43" s="74">
        <f t="shared" si="7"/>
        <v>3</v>
      </c>
      <c r="I43" s="74">
        <f t="shared" si="7"/>
        <v>0</v>
      </c>
      <c r="J43" s="74">
        <f t="shared" si="7"/>
        <v>10</v>
      </c>
      <c r="K43" s="64">
        <f>IFERROR(F43/G43-1,"n/a")</f>
        <v>-0.11111111111111116</v>
      </c>
      <c r="L43" s="64">
        <f>IFERROR(F43/H43-1,"n/a")</f>
        <v>1.6666666666666665</v>
      </c>
      <c r="M43" s="64" t="str">
        <f>IFERROR(F43/I43-1,"n/a")</f>
        <v>n/a</v>
      </c>
      <c r="N43" s="60">
        <f>IFERROR(F43/J43-1,"n/a")</f>
        <v>-0.19999999999999996</v>
      </c>
      <c r="O43" s="74">
        <f>'Nov-23'!O43+'Dec-23'!F43</f>
        <v>685</v>
      </c>
      <c r="P43" s="74">
        <f>'Nov-23'!P43+'Dec-23'!G43</f>
        <v>646</v>
      </c>
      <c r="Q43" s="74">
        <f>'Nov-23'!Q43+'Dec-23'!H43</f>
        <v>47</v>
      </c>
      <c r="R43" s="74">
        <f>'Nov-23'!R43+'Dec-23'!I43</f>
        <v>7</v>
      </c>
      <c r="S43" s="74">
        <f>'Nov-23'!S43+'Dec-23'!J43</f>
        <v>284</v>
      </c>
      <c r="T43" s="120">
        <f>IFERROR(O43/P43-1,"n/a")</f>
        <v>6.0371517027863808E-2</v>
      </c>
      <c r="U43" s="120">
        <f>IFERROR(O43/Q43-1,"n/a")</f>
        <v>13.574468085106384</v>
      </c>
      <c r="V43" s="120">
        <f>IFERROR(O43/R43-1,"n/a")</f>
        <v>96.857142857142861</v>
      </c>
      <c r="W43" s="121">
        <f>IFERROR(O43/S43-1,"n/a")</f>
        <v>1.4119718309859155</v>
      </c>
      <c r="X43" s="89">
        <v>669</v>
      </c>
      <c r="Y43" s="89">
        <v>59</v>
      </c>
      <c r="Z43" s="70">
        <v>9</v>
      </c>
      <c r="AA43" s="78">
        <v>287</v>
      </c>
      <c r="AC43" s="123"/>
    </row>
    <row r="44" spans="1:29" s="124" customFormat="1" ht="11.25">
      <c r="A44" s="123"/>
      <c r="B44" s="123"/>
      <c r="C44" s="33"/>
      <c r="D44" s="26" t="s">
        <v>11</v>
      </c>
      <c r="E44" s="32"/>
      <c r="F44" s="74">
        <f t="shared" si="7"/>
        <v>7403</v>
      </c>
      <c r="G44" s="74">
        <f t="shared" si="7"/>
        <v>6763</v>
      </c>
      <c r="H44" s="74">
        <f t="shared" si="7"/>
        <v>864</v>
      </c>
      <c r="I44" s="74">
        <f t="shared" si="7"/>
        <v>0</v>
      </c>
      <c r="J44" s="74">
        <f t="shared" si="7"/>
        <v>10787</v>
      </c>
      <c r="K44" s="64">
        <f>IFERROR(F44/G44-1,"n/a")</f>
        <v>9.4632559515008152E-2</v>
      </c>
      <c r="L44" s="64">
        <f>IFERROR(F44/H44-1,"n/a")</f>
        <v>7.5682870370370363</v>
      </c>
      <c r="M44" s="64" t="str">
        <f>IFERROR(F44/I44-1,"n/a")</f>
        <v>n/a</v>
      </c>
      <c r="N44" s="60">
        <f>IFERROR(F44/J44-1,"n/a")</f>
        <v>-0.31371094836377122</v>
      </c>
      <c r="O44" s="74">
        <f>'Nov-23'!O44+'Dec-23'!F44</f>
        <v>1256680</v>
      </c>
      <c r="P44" s="74">
        <f>'Nov-23'!P44+'Dec-23'!G44</f>
        <v>884410</v>
      </c>
      <c r="Q44" s="74">
        <f>'Nov-23'!Q44+'Dec-23'!H44</f>
        <v>17541</v>
      </c>
      <c r="R44" s="74">
        <f>'Nov-23'!R44+'Dec-23'!I44</f>
        <v>8294</v>
      </c>
      <c r="S44" s="74">
        <f>'Nov-23'!S44+'Dec-23'!J44</f>
        <v>579446</v>
      </c>
      <c r="T44" s="120">
        <f>IFERROR(O44/P44-1,"n/a")</f>
        <v>0.42092468425277874</v>
      </c>
      <c r="U44" s="120">
        <f>IFERROR(O44/Q44-1,"n/a")</f>
        <v>70.642437717347931</v>
      </c>
      <c r="V44" s="120">
        <f>IFERROR(O44/R44-1,"n/a")</f>
        <v>150.51675910296601</v>
      </c>
      <c r="W44" s="121">
        <f>IFERROR(O44/S44-1,"n/a")</f>
        <v>1.1687611960389752</v>
      </c>
      <c r="X44" s="82">
        <v>905256</v>
      </c>
      <c r="Y44" s="82">
        <v>20626</v>
      </c>
      <c r="Z44" s="84">
        <v>10047</v>
      </c>
      <c r="AA44" s="78">
        <v>581199</v>
      </c>
      <c r="AC44" s="123"/>
    </row>
    <row r="45" spans="1:29" s="124" customFormat="1" ht="11.25">
      <c r="A45" s="123"/>
      <c r="B45" s="123"/>
      <c r="C45" s="31" t="s">
        <v>111</v>
      </c>
      <c r="D45" s="26"/>
      <c r="E45" s="34"/>
      <c r="F45" s="72"/>
      <c r="G45" s="72"/>
      <c r="H45" s="72"/>
      <c r="I45" s="72"/>
      <c r="J45" s="72"/>
      <c r="K45" s="64"/>
      <c r="L45" s="64"/>
      <c r="M45" s="64"/>
      <c r="N45" s="60"/>
      <c r="O45" s="72"/>
      <c r="P45" s="72"/>
      <c r="Q45" s="72"/>
      <c r="R45" s="72"/>
      <c r="S45" s="72"/>
      <c r="T45" s="64"/>
      <c r="U45" s="64"/>
      <c r="V45" s="64"/>
      <c r="W45" s="60"/>
      <c r="X45" s="90"/>
      <c r="Y45" s="90"/>
      <c r="Z45" s="44"/>
      <c r="AA45" s="79"/>
      <c r="AC45" s="123"/>
    </row>
    <row r="46" spans="1:29" s="124" customFormat="1" ht="11.25">
      <c r="A46" s="123"/>
      <c r="B46" s="123"/>
      <c r="C46" s="33"/>
      <c r="D46" s="26" t="s">
        <v>5</v>
      </c>
      <c r="E46" s="34"/>
      <c r="F46" s="74">
        <f t="shared" ref="F46:J47" si="8">F22</f>
        <v>128</v>
      </c>
      <c r="G46" s="74">
        <f t="shared" si="8"/>
        <v>67</v>
      </c>
      <c r="H46" s="74">
        <f t="shared" si="8"/>
        <v>25</v>
      </c>
      <c r="I46" s="74">
        <f t="shared" si="8"/>
        <v>0</v>
      </c>
      <c r="J46" s="74">
        <f t="shared" si="8"/>
        <v>20</v>
      </c>
      <c r="K46" s="64">
        <f>IFERROR(F46/G46-1,"n/a")</f>
        <v>0.91044776119402981</v>
      </c>
      <c r="L46" s="64">
        <f>IFERROR(F46/H46-1,"n/a")</f>
        <v>4.12</v>
      </c>
      <c r="M46" s="64" t="str">
        <f>IFERROR(F46/I46-1,"n/a")</f>
        <v>n/a</v>
      </c>
      <c r="N46" s="60">
        <f>IFERROR(F46/J46-1,"n/a")</f>
        <v>5.4</v>
      </c>
      <c r="O46" s="74">
        <f>'Nov-23'!O46+'Dec-23'!F46</f>
        <v>1212</v>
      </c>
      <c r="P46" s="74">
        <f>'Nov-23'!P46+'Dec-23'!G46</f>
        <v>838</v>
      </c>
      <c r="Q46" s="74">
        <f>'Nov-23'!Q46+'Dec-23'!H46</f>
        <v>283</v>
      </c>
      <c r="R46" s="74">
        <f>'Nov-23'!R46+'Dec-23'!I46</f>
        <v>0</v>
      </c>
      <c r="S46" s="74">
        <f>'Nov-23'!S46+'Dec-23'!J46</f>
        <v>738</v>
      </c>
      <c r="T46" s="120">
        <f>IFERROR(O46/P46-1,"n/a")</f>
        <v>0.44630071599045351</v>
      </c>
      <c r="U46" s="120">
        <f>IFERROR(O46/Q46-1,"n/a")</f>
        <v>3.2826855123674914</v>
      </c>
      <c r="V46" s="120" t="str">
        <f>IFERROR(O46/R46-1,"n/a")</f>
        <v>n/a</v>
      </c>
      <c r="W46" s="121">
        <f>IFERROR(O46/S46-1,"n/a")</f>
        <v>0.64227642276422769</v>
      </c>
      <c r="X46" s="89">
        <v>1129</v>
      </c>
      <c r="Y46" s="89">
        <v>336</v>
      </c>
      <c r="Z46" s="84">
        <v>43</v>
      </c>
      <c r="AA46" s="78">
        <v>781</v>
      </c>
      <c r="AC46" s="123"/>
    </row>
    <row r="47" spans="1:29" s="124" customFormat="1" ht="11.25">
      <c r="A47" s="123"/>
      <c r="B47" s="123"/>
      <c r="C47" s="33"/>
      <c r="D47" s="26" t="s">
        <v>11</v>
      </c>
      <c r="E47" s="32"/>
      <c r="F47" s="74">
        <f t="shared" si="8"/>
        <v>383396</v>
      </c>
      <c r="G47" s="74">
        <f t="shared" si="8"/>
        <v>215490</v>
      </c>
      <c r="H47" s="74">
        <f t="shared" si="8"/>
        <v>39214</v>
      </c>
      <c r="I47" s="74">
        <f t="shared" si="8"/>
        <v>0</v>
      </c>
      <c r="J47" s="74">
        <f t="shared" si="8"/>
        <v>58943</v>
      </c>
      <c r="K47" s="64">
        <f>IFERROR(F47/G47-1,"n/a")</f>
        <v>0.77918232864634085</v>
      </c>
      <c r="L47" s="64">
        <f>IFERROR(F47/H47-1,"n/a")</f>
        <v>8.7770184117917065</v>
      </c>
      <c r="M47" s="64" t="str">
        <f>IFERROR(F47/I47-1,"n/a")</f>
        <v>n/a</v>
      </c>
      <c r="N47" s="60">
        <f>IFERROR(F47/J47-1,"n/a")</f>
        <v>5.5045213172047571</v>
      </c>
      <c r="O47" s="74">
        <f>'Nov-23'!O47+'Dec-23'!F47</f>
        <v>3604192</v>
      </c>
      <c r="P47" s="74">
        <f>'Nov-23'!P47+'Dec-23'!G47</f>
        <v>2090796</v>
      </c>
      <c r="Q47" s="74">
        <f>'Nov-23'!Q47+'Dec-23'!H47</f>
        <v>465109</v>
      </c>
      <c r="R47" s="74">
        <f>'Nov-23'!R47+'Dec-23'!I47</f>
        <v>0</v>
      </c>
      <c r="S47" s="74">
        <f>'Nov-23'!S47+'Dec-23'!J47</f>
        <v>2301042</v>
      </c>
      <c r="T47" s="120">
        <f>IFERROR(O47/P47-1,"n/a")</f>
        <v>0.72383723710969416</v>
      </c>
      <c r="U47" s="120">
        <f>IFERROR(O47/Q47-1,"n/a")</f>
        <v>6.749134073948257</v>
      </c>
      <c r="V47" s="120" t="str">
        <f>IFERROR(O47/R47-1,"n/a")</f>
        <v>n/a</v>
      </c>
      <c r="W47" s="121">
        <f>IFERROR(O47/S47-1,"n/a")</f>
        <v>0.56633038423462057</v>
      </c>
      <c r="X47" s="82">
        <v>2932981</v>
      </c>
      <c r="Y47" s="82">
        <v>533563</v>
      </c>
      <c r="Z47" s="84">
        <v>140552</v>
      </c>
      <c r="AA47" s="78">
        <v>2441594</v>
      </c>
      <c r="AC47" s="123"/>
    </row>
    <row r="48" spans="1:29" s="124" customFormat="1" ht="11.25">
      <c r="C48" s="31" t="s">
        <v>112</v>
      </c>
      <c r="D48" s="26"/>
      <c r="E48" s="32"/>
      <c r="F48" s="72"/>
      <c r="G48" s="72"/>
      <c r="H48" s="72"/>
      <c r="I48" s="72"/>
      <c r="J48" s="72"/>
      <c r="K48" s="64"/>
      <c r="L48" s="64"/>
      <c r="M48" s="64"/>
      <c r="N48" s="60"/>
      <c r="O48" s="72"/>
      <c r="P48" s="72"/>
      <c r="Q48" s="72"/>
      <c r="R48" s="72"/>
      <c r="S48" s="72"/>
      <c r="T48" s="64"/>
      <c r="U48" s="64"/>
      <c r="V48" s="64"/>
      <c r="W48" s="60"/>
      <c r="X48" s="90"/>
      <c r="Y48" s="90"/>
      <c r="Z48" s="44"/>
      <c r="AA48" s="79"/>
      <c r="AC48" s="123"/>
    </row>
    <row r="49" spans="3:29" s="124" customFormat="1" ht="11.25">
      <c r="C49" s="33"/>
      <c r="D49" s="26" t="s">
        <v>5</v>
      </c>
      <c r="E49" s="32"/>
      <c r="F49" s="74">
        <f t="shared" ref="F49:J50" si="9">F25</f>
        <v>0</v>
      </c>
      <c r="G49" s="74">
        <f t="shared" si="9"/>
        <v>0</v>
      </c>
      <c r="H49" s="74">
        <f t="shared" si="9"/>
        <v>0</v>
      </c>
      <c r="I49" s="74">
        <f t="shared" si="9"/>
        <v>0</v>
      </c>
      <c r="J49" s="74">
        <f t="shared" si="9"/>
        <v>0</v>
      </c>
      <c r="K49" s="64" t="str">
        <f>IFERROR(F49/G49-1,"n/a")</f>
        <v>n/a</v>
      </c>
      <c r="L49" s="64" t="str">
        <f>IFERROR(F49/H49-1,"n/a")</f>
        <v>n/a</v>
      </c>
      <c r="M49" s="64" t="str">
        <f>IFERROR(F49/I49-1,"n/a")</f>
        <v>n/a</v>
      </c>
      <c r="N49" s="60" t="str">
        <f>IFERROR(F49/J49-1,"n/a")</f>
        <v>n/a</v>
      </c>
      <c r="O49" s="74">
        <f>'Nov-23'!O49+'Dec-23'!F49</f>
        <v>21</v>
      </c>
      <c r="P49" s="74">
        <f>'Nov-23'!P49+'Dec-23'!G49</f>
        <v>9</v>
      </c>
      <c r="Q49" s="74">
        <f>'Nov-23'!Q49+'Dec-23'!H49</f>
        <v>0</v>
      </c>
      <c r="R49" s="74">
        <f>'Nov-23'!R49+'Dec-23'!I49</f>
        <v>0</v>
      </c>
      <c r="S49" s="74">
        <f>'Nov-23'!S49+'Dec-23'!J49</f>
        <v>16</v>
      </c>
      <c r="T49" s="120">
        <f>IFERROR(O49/P49-1,"n/a")</f>
        <v>1.3333333333333335</v>
      </c>
      <c r="U49" s="120" t="str">
        <f>IFERROR(O49/Q49-1,"n/a")</f>
        <v>n/a</v>
      </c>
      <c r="V49" s="120" t="str">
        <f>IFERROR(O49/R49-1,"n/a")</f>
        <v>n/a</v>
      </c>
      <c r="W49" s="121">
        <f>IFERROR(O49/S49-1,"n/a")</f>
        <v>0.3125</v>
      </c>
      <c r="X49" s="89">
        <v>9</v>
      </c>
      <c r="Y49" s="68">
        <v>0</v>
      </c>
      <c r="Z49" s="68">
        <v>0</v>
      </c>
      <c r="AA49" s="78">
        <v>16</v>
      </c>
      <c r="AC49" s="123"/>
    </row>
    <row r="50" spans="3:29" s="124" customFormat="1" ht="11.25">
      <c r="C50" s="33"/>
      <c r="D50" s="26" t="s">
        <v>11</v>
      </c>
      <c r="E50" s="32"/>
      <c r="F50" s="74">
        <f t="shared" si="9"/>
        <v>0</v>
      </c>
      <c r="G50" s="74">
        <f t="shared" si="9"/>
        <v>0</v>
      </c>
      <c r="H50" s="74">
        <f t="shared" si="9"/>
        <v>0</v>
      </c>
      <c r="I50" s="74">
        <f t="shared" si="9"/>
        <v>0</v>
      </c>
      <c r="J50" s="74">
        <f t="shared" si="9"/>
        <v>0</v>
      </c>
      <c r="K50" s="64" t="str">
        <f>IFERROR(F50/G50-1,"n/a")</f>
        <v>n/a</v>
      </c>
      <c r="L50" s="64" t="str">
        <f>IFERROR(F50/H50-1,"n/a")</f>
        <v>n/a</v>
      </c>
      <c r="M50" s="64" t="str">
        <f>IFERROR(F50/I50-1,"n/a")</f>
        <v>n/a</v>
      </c>
      <c r="N50" s="60" t="str">
        <f>IFERROR(F50/J50-1,"n/a")</f>
        <v>n/a</v>
      </c>
      <c r="O50" s="74">
        <f>'Nov-23'!O50+'Dec-23'!F50</f>
        <v>38626</v>
      </c>
      <c r="P50" s="74">
        <f>'Nov-23'!P50+'Dec-23'!G50</f>
        <v>15637</v>
      </c>
      <c r="Q50" s="74">
        <f>'Nov-23'!Q50+'Dec-23'!H50</f>
        <v>0</v>
      </c>
      <c r="R50" s="74">
        <f>'Nov-23'!R50+'Dec-23'!I50</f>
        <v>0</v>
      </c>
      <c r="S50" s="74">
        <f>'Nov-23'!S50+'Dec-23'!J50</f>
        <v>20248</v>
      </c>
      <c r="T50" s="120">
        <f>IFERROR(O50/P50-1,"n/a")</f>
        <v>1.4701669118117286</v>
      </c>
      <c r="U50" s="120" t="str">
        <f>IFERROR(O50/Q50-1,"n/a")</f>
        <v>n/a</v>
      </c>
      <c r="V50" s="120" t="str">
        <f>IFERROR(O50/R50-1,"n/a")</f>
        <v>n/a</v>
      </c>
      <c r="W50" s="121">
        <f>IFERROR(O50/S50-1,"n/a")</f>
        <v>0.90764519952587919</v>
      </c>
      <c r="X50" s="82">
        <v>15637</v>
      </c>
      <c r="Y50" s="68">
        <v>0</v>
      </c>
      <c r="Z50" s="68">
        <v>0</v>
      </c>
      <c r="AA50" s="78">
        <v>20248</v>
      </c>
      <c r="AC50" s="123"/>
    </row>
    <row r="51" spans="3:29" s="124" customFormat="1" ht="12" thickBot="1">
      <c r="C51" s="35" t="s">
        <v>12</v>
      </c>
      <c r="D51" s="36"/>
      <c r="E51" s="37"/>
      <c r="F51" s="75">
        <f>F37+F40+F43+F46+F49</f>
        <v>377</v>
      </c>
      <c r="G51" s="75">
        <f t="shared" ref="G51:J52" si="10">G37+G40+G43+G46+G49</f>
        <v>273</v>
      </c>
      <c r="H51" s="75">
        <f t="shared" si="10"/>
        <v>207</v>
      </c>
      <c r="I51" s="75">
        <f t="shared" si="10"/>
        <v>6</v>
      </c>
      <c r="J51" s="75">
        <f t="shared" si="10"/>
        <v>277</v>
      </c>
      <c r="K51" s="66">
        <f>IFERROR(F51/G51-1,"n/a")</f>
        <v>0.38095238095238093</v>
      </c>
      <c r="L51" s="66">
        <f>IFERROR(F51/H51-1,"n/a")</f>
        <v>0.82125603864734309</v>
      </c>
      <c r="M51" s="66">
        <f>IFERROR(F51/I51-1,"n/a")</f>
        <v>61.833333333333336</v>
      </c>
      <c r="N51" s="62">
        <f>IFERROR(F51/J51-1,"n/a")</f>
        <v>0.36101083032490977</v>
      </c>
      <c r="O51" s="75">
        <f t="shared" ref="O51:S52" si="11">O37+O40+O43+O46+O49</f>
        <v>3564</v>
      </c>
      <c r="P51" s="75">
        <f t="shared" si="11"/>
        <v>2985</v>
      </c>
      <c r="Q51" s="75">
        <f t="shared" si="11"/>
        <v>1037</v>
      </c>
      <c r="R51" s="75">
        <f t="shared" si="11"/>
        <v>93</v>
      </c>
      <c r="S51" s="75">
        <f t="shared" si="11"/>
        <v>2676</v>
      </c>
      <c r="T51" s="66">
        <f>IFERROR(O51/P51-1,"n/a")</f>
        <v>0.19396984924623117</v>
      </c>
      <c r="U51" s="66">
        <f>IFERROR(O51/Q51-1,"n/a")</f>
        <v>2.4368370298939248</v>
      </c>
      <c r="V51" s="66">
        <f>IFERROR(O51/R51-1,"n/a")</f>
        <v>37.322580645161288</v>
      </c>
      <c r="W51" s="62">
        <f>IFERROR(O51/S51-1,"n/a")</f>
        <v>0.33183856502242159</v>
      </c>
      <c r="X51" s="46">
        <f t="shared" ref="X51:Z52" si="12">X37+X40+X43+X46+X49</f>
        <v>3856</v>
      </c>
      <c r="Y51" s="46">
        <f t="shared" si="12"/>
        <v>1673</v>
      </c>
      <c r="Z51" s="46">
        <f t="shared" si="12"/>
        <v>669</v>
      </c>
      <c r="AA51" s="80">
        <f>AA37+AA40+AA43+AA46+AA49</f>
        <v>3241</v>
      </c>
      <c r="AC51" s="123"/>
    </row>
    <row r="52" spans="3:29" s="124" customFormat="1" ht="12.75" thickTop="1" thickBot="1">
      <c r="C52" s="38" t="s">
        <v>13</v>
      </c>
      <c r="D52" s="39"/>
      <c r="E52" s="40"/>
      <c r="F52" s="76">
        <f>F38+F41+F44+F47+F50</f>
        <v>1087969</v>
      </c>
      <c r="G52" s="76">
        <f t="shared" si="10"/>
        <v>762932</v>
      </c>
      <c r="H52" s="76">
        <f t="shared" si="10"/>
        <v>307043</v>
      </c>
      <c r="I52" s="76">
        <f t="shared" si="10"/>
        <v>2141</v>
      </c>
      <c r="J52" s="76">
        <f t="shared" si="10"/>
        <v>632077</v>
      </c>
      <c r="K52" s="67">
        <f>IFERROR(F52/G52-1,"n/a")</f>
        <v>0.42603665857507611</v>
      </c>
      <c r="L52" s="67">
        <f>IFERROR(F52/H52-1,"n/a")</f>
        <v>2.5433766605980268</v>
      </c>
      <c r="M52" s="67">
        <f>IFERROR(F52/I52-1,"n/a")</f>
        <v>507.1592713685194</v>
      </c>
      <c r="N52" s="63">
        <f>IFERROR(F52/J52-1,"n/a")</f>
        <v>0.72126022620661723</v>
      </c>
      <c r="O52" s="76">
        <f t="shared" si="11"/>
        <v>10171481</v>
      </c>
      <c r="P52" s="76">
        <f t="shared" si="11"/>
        <v>6753053</v>
      </c>
      <c r="Q52" s="76">
        <f t="shared" si="11"/>
        <v>1538283</v>
      </c>
      <c r="R52" s="76">
        <f t="shared" si="11"/>
        <v>37856</v>
      </c>
      <c r="S52" s="76">
        <f t="shared" si="11"/>
        <v>7338867</v>
      </c>
      <c r="T52" s="67">
        <f>IFERROR(O52/P52-1,"n/a")</f>
        <v>0.50620482321107207</v>
      </c>
      <c r="U52" s="118">
        <f>IFERROR(O52/Q52-1,"n/a")</f>
        <v>5.6122299992914177</v>
      </c>
      <c r="V52" s="118">
        <f>IFERROR(O52/R52-1,"n/a")</f>
        <v>267.68874154691463</v>
      </c>
      <c r="W52" s="119">
        <f>IFERROR(O52/S52-1,"n/a")</f>
        <v>0.38597429276208439</v>
      </c>
      <c r="X52" s="47">
        <f t="shared" si="12"/>
        <v>9237323</v>
      </c>
      <c r="Y52" s="47">
        <f t="shared" si="12"/>
        <v>2410085</v>
      </c>
      <c r="Z52" s="47">
        <f t="shared" si="12"/>
        <v>1324261</v>
      </c>
      <c r="AA52" s="81">
        <f>AA38+AA41+AA44+AA47+AA50</f>
        <v>8638971</v>
      </c>
      <c r="AC52" s="123"/>
    </row>
    <row r="53" spans="3:29" s="124" customFormat="1" ht="12" thickTop="1">
      <c r="AC53" s="123"/>
    </row>
    <row r="54" spans="3:29" s="124" customFormat="1" ht="11.25">
      <c r="P54" s="132"/>
      <c r="Q54" s="132"/>
      <c r="R54" s="132"/>
      <c r="S54" s="132"/>
      <c r="AC54" s="123"/>
    </row>
    <row r="55" spans="3:29">
      <c r="P55" s="111"/>
      <c r="Q55" s="111"/>
      <c r="R55" s="111"/>
      <c r="S55" s="111"/>
      <c r="AC55" s="9"/>
    </row>
    <row r="56" spans="3:29">
      <c r="P56" s="111"/>
      <c r="Q56" s="111"/>
      <c r="R56" s="111"/>
      <c r="S56" s="111"/>
      <c r="AC56" s="9"/>
    </row>
    <row r="57" spans="3:29">
      <c r="P57" s="111"/>
      <c r="Q57" s="111"/>
      <c r="R57" s="111"/>
      <c r="S57" s="111"/>
      <c r="AC57" s="9"/>
    </row>
    <row r="58" spans="3:29">
      <c r="AC58" s="9"/>
    </row>
    <row r="59" spans="3:29">
      <c r="AC59" s="9"/>
    </row>
    <row r="60" spans="3:29">
      <c r="AC60" s="9"/>
    </row>
    <row r="61" spans="3:29" ht="15" customHeight="1"/>
    <row r="62" spans="3:29" ht="15" customHeight="1"/>
    <row r="63" spans="3:29" ht="15" customHeight="1"/>
    <row r="64" spans="3:29" ht="15" customHeight="1"/>
    <row r="65" ht="15" customHeight="1"/>
    <row r="66" ht="15" customHeight="1"/>
  </sheetData>
  <mergeCells count="9">
    <mergeCell ref="F34:N34"/>
    <mergeCell ref="O34:W34"/>
    <mergeCell ref="X34:AA34"/>
    <mergeCell ref="F9:N9"/>
    <mergeCell ref="O9:W9"/>
    <mergeCell ref="X9:AA9"/>
    <mergeCell ref="F33:N33"/>
    <mergeCell ref="O33:W33"/>
    <mergeCell ref="X33:AA33"/>
  </mergeCells>
  <pageMargins left="0.7" right="0.7" top="0.75" bottom="0.75" header="0.3" footer="0.3"/>
  <pageSetup paperSize="9" orientation="portrait" horizontalDpi="0" verticalDpi="0"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6"/>
  <sheetViews>
    <sheetView showGridLines="0" topLeftCell="A14" zoomScaleNormal="100" workbookViewId="0">
      <selection activeCell="O37" sqref="O37"/>
    </sheetView>
  </sheetViews>
  <sheetFormatPr defaultColWidth="0" defaultRowHeight="15" customHeight="1" zeroHeight="1"/>
  <cols>
    <col min="1" max="2" width="4.140625" customWidth="1"/>
    <col min="3" max="3" width="3.85546875" customWidth="1"/>
    <col min="4" max="4" width="8.85546875" customWidth="1"/>
    <col min="5" max="5" width="13" customWidth="1"/>
    <col min="6" max="6" width="11.140625" bestFit="1" customWidth="1"/>
    <col min="7" max="7" width="10.140625" bestFit="1" customWidth="1"/>
    <col min="8" max="9" width="8.85546875" customWidth="1"/>
    <col min="10" max="10" width="10.140625" bestFit="1" customWidth="1"/>
    <col min="11" max="11" width="8" customWidth="1"/>
    <col min="12" max="12" width="8.85546875" bestFit="1" customWidth="1"/>
    <col min="13" max="14" width="8" customWidth="1"/>
    <col min="15" max="15" width="12" bestFit="1" customWidth="1"/>
    <col min="16" max="16" width="11.5703125" bestFit="1" customWidth="1"/>
    <col min="17" max="17" width="10.42578125" bestFit="1" customWidth="1"/>
    <col min="18" max="18" width="11.5703125" bestFit="1" customWidth="1"/>
    <col min="19" max="19" width="11.85546875" bestFit="1" customWidth="1"/>
    <col min="20" max="20" width="9.140625" bestFit="1" customWidth="1"/>
    <col min="21" max="21" width="8.85546875" bestFit="1" customWidth="1"/>
    <col min="22" max="22" width="9" bestFit="1" customWidth="1"/>
    <col min="23" max="23" width="7.85546875" customWidth="1"/>
    <col min="24" max="24" width="13.42578125" bestFit="1" customWidth="1"/>
    <col min="25" max="25" width="13.140625" bestFit="1" customWidth="1"/>
    <col min="26" max="26" width="12.85546875" bestFit="1" customWidth="1"/>
    <col min="27" max="27" width="15.42578125" bestFit="1" customWidth="1"/>
    <col min="28" max="28" width="11.140625" customWidth="1"/>
    <col min="29" max="29" width="3.42578125" customWidth="1"/>
    <col min="30" max="16384" width="8.85546875" hidden="1"/>
  </cols>
  <sheetData>
    <row r="1" spans="1:29">
      <c r="A1" s="9"/>
      <c r="B1" s="9"/>
      <c r="C1" s="9"/>
      <c r="D1" s="9"/>
      <c r="E1" s="9"/>
      <c r="F1" s="9"/>
      <c r="G1" s="9"/>
      <c r="H1" s="9"/>
      <c r="I1" s="9"/>
      <c r="J1" s="9"/>
      <c r="K1" s="9"/>
      <c r="L1" s="9"/>
      <c r="M1" s="9"/>
      <c r="N1" s="9"/>
      <c r="O1" s="9"/>
      <c r="P1" s="9"/>
      <c r="Q1" s="9"/>
      <c r="R1" s="9"/>
      <c r="S1" s="9"/>
      <c r="T1" s="9"/>
      <c r="U1" s="9"/>
      <c r="V1" s="9"/>
      <c r="W1" s="9"/>
      <c r="X1" s="9"/>
      <c r="Y1" s="9"/>
      <c r="Z1" s="9"/>
      <c r="AA1" s="9"/>
      <c r="AB1" s="9"/>
      <c r="AC1" s="9"/>
    </row>
    <row r="2" spans="1:29" ht="31.35" customHeight="1" thickBot="1">
      <c r="A2" s="9"/>
      <c r="B2" s="8" t="s">
        <v>6</v>
      </c>
      <c r="C2" s="23"/>
      <c r="D2" s="23"/>
      <c r="E2" s="23"/>
      <c r="F2" s="23"/>
      <c r="G2" s="23"/>
      <c r="H2" s="23"/>
      <c r="I2" s="23"/>
      <c r="J2" s="23"/>
      <c r="K2" s="23"/>
      <c r="L2" s="23"/>
      <c r="M2" s="23"/>
      <c r="N2" s="23"/>
      <c r="O2" s="23"/>
      <c r="P2" s="23"/>
      <c r="Q2" s="23"/>
      <c r="R2" s="23"/>
      <c r="S2" s="23"/>
      <c r="T2" s="23"/>
      <c r="U2" s="23"/>
      <c r="V2" s="23"/>
      <c r="W2" s="23"/>
      <c r="X2" s="23"/>
      <c r="Y2" s="23"/>
      <c r="Z2" s="23"/>
      <c r="AA2" s="23"/>
      <c r="AB2" s="24"/>
      <c r="AC2" s="9"/>
    </row>
    <row r="3" spans="1:29">
      <c r="A3" s="9"/>
      <c r="B3" s="10"/>
      <c r="C3" s="24"/>
      <c r="D3" s="24"/>
      <c r="E3" s="24"/>
      <c r="F3" s="24"/>
      <c r="G3" s="24"/>
      <c r="H3" s="24"/>
      <c r="I3" s="24"/>
      <c r="J3" s="24"/>
      <c r="K3" s="24"/>
      <c r="L3" s="24"/>
      <c r="M3" s="24"/>
      <c r="N3" s="24"/>
      <c r="O3" s="24"/>
      <c r="P3" s="24"/>
      <c r="Q3" s="24"/>
      <c r="R3" s="24"/>
      <c r="S3" s="24"/>
      <c r="T3" s="24"/>
      <c r="U3" s="24"/>
      <c r="V3" s="24"/>
      <c r="W3" s="24"/>
      <c r="X3" s="24"/>
      <c r="Y3" s="24"/>
      <c r="Z3" s="24"/>
      <c r="AA3" s="25">
        <v>45275</v>
      </c>
      <c r="AB3" s="25"/>
      <c r="AC3" s="9"/>
    </row>
    <row r="4" spans="1:29" ht="15.75">
      <c r="A4" s="9"/>
      <c r="B4" s="11" t="s">
        <v>7</v>
      </c>
      <c r="C4" s="26"/>
      <c r="D4" s="93" t="s">
        <v>27</v>
      </c>
      <c r="E4" s="134">
        <v>2023</v>
      </c>
      <c r="F4" s="24"/>
      <c r="G4" s="24"/>
      <c r="H4" s="24"/>
      <c r="I4" s="24"/>
      <c r="J4" s="24"/>
      <c r="K4" s="24"/>
      <c r="L4" s="24"/>
      <c r="M4" s="24"/>
      <c r="N4" s="24"/>
      <c r="O4" s="24"/>
      <c r="P4" s="24"/>
      <c r="Q4" s="24"/>
      <c r="R4" s="24"/>
      <c r="S4" s="24"/>
      <c r="T4" s="24"/>
      <c r="U4" s="24"/>
      <c r="V4" s="24"/>
      <c r="W4" s="24"/>
      <c r="X4" s="24"/>
      <c r="Y4" s="24"/>
      <c r="Z4" s="24"/>
      <c r="AA4" s="24"/>
      <c r="AB4" s="24"/>
      <c r="AC4" s="9"/>
    </row>
    <row r="5" spans="1:29">
      <c r="A5" s="9"/>
      <c r="B5" s="10"/>
      <c r="C5" s="24"/>
      <c r="D5" s="24"/>
      <c r="E5" s="24"/>
      <c r="F5" s="24"/>
      <c r="G5" s="24"/>
      <c r="H5" s="24"/>
      <c r="I5" s="24"/>
      <c r="J5" s="24"/>
      <c r="K5" s="24"/>
      <c r="L5" s="24"/>
      <c r="M5" s="24"/>
      <c r="N5" s="24"/>
      <c r="O5" s="24"/>
      <c r="P5" s="24"/>
      <c r="Q5" s="24"/>
      <c r="R5" s="24"/>
      <c r="S5" s="24"/>
      <c r="T5" s="24"/>
      <c r="U5" s="24"/>
      <c r="V5" s="24"/>
      <c r="W5" s="24"/>
      <c r="X5" s="24"/>
      <c r="Y5" s="24"/>
      <c r="Z5" s="24"/>
      <c r="AA5" s="24"/>
      <c r="AB5" s="24"/>
      <c r="AC5" s="9"/>
    </row>
    <row r="6" spans="1:29">
      <c r="A6" s="9"/>
      <c r="B6" s="10"/>
      <c r="C6" s="24"/>
      <c r="D6" s="24"/>
      <c r="E6" s="24"/>
      <c r="F6" s="24"/>
      <c r="G6" s="24"/>
      <c r="H6" s="24"/>
      <c r="I6" s="24"/>
      <c r="J6" s="24"/>
      <c r="K6" s="24"/>
      <c r="L6" s="24"/>
      <c r="M6" s="24"/>
      <c r="N6" s="24"/>
      <c r="O6" s="24"/>
      <c r="P6" s="24"/>
      <c r="Q6" s="24"/>
      <c r="R6" s="24"/>
      <c r="S6" s="24"/>
      <c r="T6" s="24"/>
      <c r="U6" s="24"/>
      <c r="V6" s="24"/>
      <c r="W6" s="24"/>
      <c r="X6" s="24"/>
      <c r="Y6" s="24"/>
      <c r="Z6" s="24"/>
      <c r="AA6" s="24"/>
      <c r="AB6" s="24"/>
      <c r="AC6" s="9"/>
    </row>
    <row r="7" spans="1:29">
      <c r="A7" s="9"/>
      <c r="B7" s="10"/>
      <c r="C7" s="86" t="s">
        <v>62</v>
      </c>
      <c r="D7" s="24"/>
      <c r="E7" s="24"/>
      <c r="F7" s="24"/>
      <c r="G7" s="24"/>
      <c r="H7" s="24"/>
      <c r="I7" s="24"/>
      <c r="J7" s="24"/>
      <c r="K7" s="24"/>
      <c r="L7" s="24"/>
      <c r="M7" s="24"/>
      <c r="N7" s="24"/>
      <c r="O7" s="24"/>
      <c r="P7" s="24"/>
      <c r="Q7" s="24"/>
      <c r="R7" s="24"/>
      <c r="S7" s="24"/>
      <c r="T7" s="24"/>
      <c r="U7" s="24"/>
      <c r="V7" s="24"/>
      <c r="W7" s="24"/>
      <c r="X7" s="24"/>
      <c r="Y7" s="24"/>
      <c r="Z7" s="24"/>
      <c r="AA7" s="24"/>
      <c r="AB7" s="24"/>
      <c r="AC7" s="9"/>
    </row>
    <row r="8" spans="1:29">
      <c r="A8" s="9"/>
      <c r="B8" s="10"/>
      <c r="C8" s="24"/>
      <c r="D8" s="24"/>
      <c r="E8" s="24"/>
      <c r="F8" s="24"/>
      <c r="G8" s="24"/>
      <c r="H8" s="24"/>
      <c r="I8" s="24"/>
      <c r="J8" s="24"/>
      <c r="K8" s="24"/>
      <c r="L8" s="24"/>
      <c r="M8" s="24"/>
      <c r="N8" s="24"/>
      <c r="O8" s="24"/>
      <c r="P8" s="24"/>
      <c r="Q8" s="24"/>
      <c r="R8" s="24"/>
      <c r="S8" s="24"/>
      <c r="T8" s="24"/>
      <c r="U8" s="24"/>
      <c r="V8" s="24"/>
      <c r="W8" s="24"/>
      <c r="X8" s="24"/>
      <c r="Y8" s="24"/>
      <c r="Z8" s="24"/>
      <c r="AA8" s="24"/>
      <c r="AB8" s="24"/>
      <c r="AC8" s="9"/>
    </row>
    <row r="9" spans="1:29" s="124" customFormat="1" ht="11.25">
      <c r="A9" s="123"/>
      <c r="C9" s="27" t="s">
        <v>7</v>
      </c>
      <c r="D9" s="28"/>
      <c r="E9" s="28"/>
      <c r="F9" s="155" t="str">
        <f>D4</f>
        <v>November</v>
      </c>
      <c r="G9" s="158"/>
      <c r="H9" s="158"/>
      <c r="I9" s="158"/>
      <c r="J9" s="158"/>
      <c r="K9" s="158"/>
      <c r="L9" s="158"/>
      <c r="M9" s="158"/>
      <c r="N9" s="159"/>
      <c r="O9" s="157" t="str">
        <f>"January to "&amp; D4</f>
        <v>January to November</v>
      </c>
      <c r="P9" s="158"/>
      <c r="Q9" s="158"/>
      <c r="R9" s="158"/>
      <c r="S9" s="158"/>
      <c r="T9" s="158"/>
      <c r="U9" s="158"/>
      <c r="V9" s="158"/>
      <c r="W9" s="158"/>
      <c r="X9" s="165" t="s">
        <v>57</v>
      </c>
      <c r="Y9" s="158"/>
      <c r="Z9" s="158"/>
      <c r="AA9" s="160"/>
      <c r="AB9" s="123"/>
      <c r="AC9" s="123"/>
    </row>
    <row r="10" spans="1:29" s="124" customFormat="1" ht="13.5">
      <c r="A10" s="123"/>
      <c r="B10" s="125"/>
      <c r="C10" s="29"/>
      <c r="D10" s="30"/>
      <c r="E10" s="30"/>
      <c r="F10" s="29"/>
      <c r="G10" s="30"/>
      <c r="H10" s="30"/>
      <c r="I10" s="30"/>
      <c r="J10" s="30"/>
      <c r="K10" s="30"/>
      <c r="L10" s="30"/>
      <c r="M10" s="30"/>
      <c r="N10" s="56"/>
      <c r="O10" s="30"/>
      <c r="P10" s="30"/>
      <c r="Q10" s="30"/>
      <c r="R10" s="30"/>
      <c r="S10" s="30"/>
      <c r="T10" s="30"/>
      <c r="U10" s="30"/>
      <c r="V10" s="30"/>
      <c r="W10" s="30"/>
      <c r="X10" s="29"/>
      <c r="Y10" s="30"/>
      <c r="Z10" s="30"/>
      <c r="AA10" s="56"/>
      <c r="AB10" s="123"/>
      <c r="AC10" s="123"/>
    </row>
    <row r="11" spans="1:29" s="124" customFormat="1" ht="26.1" customHeight="1">
      <c r="A11" s="126"/>
      <c r="B11" s="127"/>
      <c r="C11" s="59" t="s">
        <v>29</v>
      </c>
      <c r="D11" s="50"/>
      <c r="E11" s="51"/>
      <c r="F11" s="55">
        <v>2023</v>
      </c>
      <c r="G11" s="52">
        <v>2022</v>
      </c>
      <c r="H11" s="52">
        <v>2021</v>
      </c>
      <c r="I11" s="52">
        <v>2020</v>
      </c>
      <c r="J11" s="52">
        <v>2019</v>
      </c>
      <c r="K11" s="53" t="s">
        <v>66</v>
      </c>
      <c r="L11" s="53" t="s">
        <v>67</v>
      </c>
      <c r="M11" s="53" t="s">
        <v>68</v>
      </c>
      <c r="N11" s="57" t="s">
        <v>101</v>
      </c>
      <c r="O11" s="53">
        <v>2023</v>
      </c>
      <c r="P11" s="53">
        <v>2022</v>
      </c>
      <c r="Q11" s="52">
        <v>2021</v>
      </c>
      <c r="R11" s="52">
        <v>2020</v>
      </c>
      <c r="S11" s="52">
        <v>2019</v>
      </c>
      <c r="T11" s="53" t="s">
        <v>66</v>
      </c>
      <c r="U11" s="53" t="s">
        <v>67</v>
      </c>
      <c r="V11" s="53" t="s">
        <v>68</v>
      </c>
      <c r="W11" s="53" t="s">
        <v>101</v>
      </c>
      <c r="X11" s="138">
        <v>2022</v>
      </c>
      <c r="Y11" s="53">
        <v>2021</v>
      </c>
      <c r="Z11" s="52">
        <v>2020</v>
      </c>
      <c r="AA11" s="77">
        <v>2019</v>
      </c>
      <c r="AB11" s="126"/>
      <c r="AC11" s="126"/>
    </row>
    <row r="12" spans="1:29" s="124" customFormat="1" ht="12.75">
      <c r="A12" s="123"/>
      <c r="B12" s="128"/>
      <c r="C12" s="31" t="s">
        <v>108</v>
      </c>
      <c r="D12" s="26"/>
      <c r="E12" s="32"/>
      <c r="F12" s="26"/>
      <c r="G12" s="26"/>
      <c r="H12" s="26"/>
      <c r="I12" s="26"/>
      <c r="J12" s="26"/>
      <c r="K12" s="26"/>
      <c r="L12" s="26"/>
      <c r="M12" s="26"/>
      <c r="N12" s="32"/>
      <c r="O12" s="26"/>
      <c r="P12" s="26"/>
      <c r="Q12" s="26"/>
      <c r="R12" s="26"/>
      <c r="S12" s="26"/>
      <c r="T12" s="26"/>
      <c r="U12" s="26"/>
      <c r="V12" s="26"/>
      <c r="W12" s="26"/>
      <c r="X12" s="33"/>
      <c r="Y12" s="26"/>
      <c r="Z12" s="26"/>
      <c r="AA12" s="32"/>
      <c r="AB12" s="123"/>
      <c r="AC12" s="123"/>
    </row>
    <row r="13" spans="1:29" s="124" customFormat="1" ht="12.75">
      <c r="A13" s="123"/>
      <c r="B13" s="128"/>
      <c r="C13" s="33"/>
      <c r="D13" s="26" t="s">
        <v>5</v>
      </c>
      <c r="E13" s="32"/>
      <c r="F13" s="71">
        <v>165</v>
      </c>
      <c r="G13" s="71">
        <v>144</v>
      </c>
      <c r="H13" s="71">
        <v>115</v>
      </c>
      <c r="I13" s="71">
        <v>0</v>
      </c>
      <c r="J13" s="71">
        <v>172</v>
      </c>
      <c r="K13" s="64">
        <f>IFERROR(F13/G13-1,"n/a")</f>
        <v>0.14583333333333326</v>
      </c>
      <c r="L13" s="64">
        <f t="shared" ref="L13:L28" si="0">IFERROR(F13/H13-1,"n/a")</f>
        <v>0.43478260869565211</v>
      </c>
      <c r="M13" s="64" t="str">
        <f>IFERROR(F13/I13-1,"n/a")</f>
        <v>n/a</v>
      </c>
      <c r="N13" s="60">
        <f>IFERROR(F13/J13-1,"n/a")</f>
        <v>-4.0697674418604612E-2</v>
      </c>
      <c r="O13" s="68">
        <f>'Oct-23'!O13+'Nov-23'!F13</f>
        <v>1401</v>
      </c>
      <c r="P13" s="68">
        <f>'Oct-23'!$P$13+G13</f>
        <v>1295</v>
      </c>
      <c r="Q13" s="68">
        <f>'Oct-23'!Q13+'Nov-23'!H13</f>
        <v>343</v>
      </c>
      <c r="R13" s="68">
        <f>'Oct-23'!R13+'Nov-23'!I13</f>
        <v>551</v>
      </c>
      <c r="S13" s="68">
        <f>'Oct-23'!S13+'Nov-23'!J13</f>
        <v>1384</v>
      </c>
      <c r="T13" s="64">
        <f>IFERROR(O13/P13-1,"n/a")</f>
        <v>8.1853281853281779E-2</v>
      </c>
      <c r="U13" s="64">
        <f>IFERROR(O13/Q13-1,"n/a")</f>
        <v>3.0845481049562684</v>
      </c>
      <c r="V13" s="64">
        <f>IFERROR(O13/R13-1,"n/a")</f>
        <v>1.5426497277676949</v>
      </c>
      <c r="W13" s="64">
        <f>IFERROR(O13/S13-1,"n/a")</f>
        <v>1.2283236994219626E-2</v>
      </c>
      <c r="X13" s="139">
        <v>1486</v>
      </c>
      <c r="Y13" s="68">
        <v>522</v>
      </c>
      <c r="Z13" s="68">
        <v>551</v>
      </c>
      <c r="AA13" s="135">
        <v>1591</v>
      </c>
      <c r="AB13" s="123"/>
      <c r="AC13" s="123"/>
    </row>
    <row r="14" spans="1:29" s="124" customFormat="1" ht="12.75">
      <c r="A14" s="123"/>
      <c r="B14" s="128"/>
      <c r="C14" s="33"/>
      <c r="D14" s="26" t="s">
        <v>11</v>
      </c>
      <c r="E14" s="32"/>
      <c r="F14" s="71">
        <v>497550</v>
      </c>
      <c r="G14" s="71">
        <v>410205</v>
      </c>
      <c r="H14" s="71">
        <v>185964</v>
      </c>
      <c r="I14" s="71">
        <v>0</v>
      </c>
      <c r="J14" s="71">
        <v>421184</v>
      </c>
      <c r="K14" s="64">
        <f>IFERROR(F14/G14-1,"n/a")</f>
        <v>0.2129301203057008</v>
      </c>
      <c r="L14" s="64">
        <f t="shared" si="0"/>
        <v>1.6755178421629995</v>
      </c>
      <c r="M14" s="64" t="str">
        <f>IFERROR(F14/I14-1,"n/a")</f>
        <v>n/a</v>
      </c>
      <c r="N14" s="60">
        <f>IFERROR(F14/J14-1,"n/a")</f>
        <v>0.18131268044370152</v>
      </c>
      <c r="O14" s="68">
        <f>'Oct-23'!$O$14+F14</f>
        <v>4566256</v>
      </c>
      <c r="P14" s="68">
        <f>'Oct-23'!P14+'Nov-23'!G14</f>
        <v>3074094</v>
      </c>
      <c r="Q14" s="68">
        <f>'Oct-23'!Q14+'Nov-23'!H14</f>
        <v>509984</v>
      </c>
      <c r="R14" s="68">
        <f>'Oct-23'!R14+'Nov-23'!I14</f>
        <v>1092884</v>
      </c>
      <c r="S14" s="68">
        <f>'Oct-23'!S14+'Nov-23'!J14</f>
        <v>4064465</v>
      </c>
      <c r="T14" s="64">
        <f>IFERROR(O14/P14-1,"n/a")</f>
        <v>0.48539895006463696</v>
      </c>
      <c r="U14" s="64">
        <f>IFERROR(O14/Q14-1,"n/a")</f>
        <v>7.9537240384012051</v>
      </c>
      <c r="V14" s="64">
        <f>IFERROR(O14/R14-1,"n/a")</f>
        <v>3.1781707848225427</v>
      </c>
      <c r="W14" s="64">
        <f>IFERROR(O14/S14-1,"n/a")</f>
        <v>0.12345806889713651</v>
      </c>
      <c r="X14" s="139">
        <v>3592413</v>
      </c>
      <c r="Y14" s="68">
        <v>768312</v>
      </c>
      <c r="Z14" s="68">
        <v>1092884</v>
      </c>
      <c r="AA14" s="135">
        <v>4592479</v>
      </c>
      <c r="AB14" s="123"/>
      <c r="AC14" s="123"/>
    </row>
    <row r="15" spans="1:29" s="124" customFormat="1" ht="12.75">
      <c r="A15" s="123"/>
      <c r="B15" s="128"/>
      <c r="C15" s="31" t="s">
        <v>109</v>
      </c>
      <c r="D15" s="26"/>
      <c r="E15" s="32"/>
      <c r="F15" s="97"/>
      <c r="G15" s="26"/>
      <c r="H15" s="26"/>
      <c r="I15" s="26"/>
      <c r="J15" s="26"/>
      <c r="K15" s="64"/>
      <c r="L15" s="64"/>
      <c r="M15" s="64"/>
      <c r="N15" s="61"/>
      <c r="O15" s="87"/>
      <c r="P15" s="87"/>
      <c r="Q15" s="87"/>
      <c r="R15" s="87"/>
      <c r="S15" s="87"/>
      <c r="T15" s="64"/>
      <c r="U15" s="64"/>
      <c r="V15" s="65"/>
      <c r="W15" s="65"/>
      <c r="X15" s="140"/>
      <c r="Y15" s="43"/>
      <c r="Z15" s="43"/>
      <c r="AA15" s="136"/>
      <c r="AB15" s="123"/>
      <c r="AC15" s="123"/>
    </row>
    <row r="16" spans="1:29" s="124" customFormat="1" ht="12.75">
      <c r="A16" s="123"/>
      <c r="B16" s="128"/>
      <c r="C16" s="33"/>
      <c r="D16" s="26" t="s">
        <v>5</v>
      </c>
      <c r="E16" s="32"/>
      <c r="F16" s="71">
        <v>49</v>
      </c>
      <c r="G16" s="71">
        <v>27</v>
      </c>
      <c r="H16" s="71">
        <v>28</v>
      </c>
      <c r="I16" s="71">
        <v>10</v>
      </c>
      <c r="J16" s="71">
        <v>29</v>
      </c>
      <c r="K16" s="64">
        <f>IFERROR(F16/G16-1,"n/a")</f>
        <v>0.81481481481481488</v>
      </c>
      <c r="L16" s="64">
        <f t="shared" si="0"/>
        <v>0.75</v>
      </c>
      <c r="M16" s="64">
        <f>IFERROR(F16/I16-1,"n/a")</f>
        <v>3.9000000000000004</v>
      </c>
      <c r="N16" s="60">
        <f>IFERROR(F16/J16-1,"n/a")</f>
        <v>0.68965517241379315</v>
      </c>
      <c r="O16" s="68">
        <f>'Oct-23'!$O$16+F16</f>
        <v>561</v>
      </c>
      <c r="P16" s="68">
        <f>'Oct-23'!P16+'Nov-23'!G16</f>
        <v>566</v>
      </c>
      <c r="Q16" s="68">
        <f>'Oct-23'!Q16+'Nov-23'!H16</f>
        <v>197</v>
      </c>
      <c r="R16" s="68">
        <f>'Oct-23'!R16+'Nov-23'!I16</f>
        <v>48</v>
      </c>
      <c r="S16" s="68">
        <f>'Oct-23'!S16+'Nov-23'!J16</f>
        <v>546</v>
      </c>
      <c r="T16" s="64">
        <f>IFERROR(O16/P16-1,"n/a")</f>
        <v>-8.8339222614840507E-3</v>
      </c>
      <c r="U16" s="64">
        <f>IFERROR(O16/Q16-1,"n/a")</f>
        <v>1.8477157360406093</v>
      </c>
      <c r="V16" s="64">
        <f>IFERROR(O16/R16-1,"n/a")</f>
        <v>10.6875</v>
      </c>
      <c r="W16" s="64">
        <f>IFERROR(O16/S16-1,"n/a")</f>
        <v>2.7472527472527375E-2</v>
      </c>
      <c r="X16" s="139">
        <v>572</v>
      </c>
      <c r="Y16" s="68">
        <v>202</v>
      </c>
      <c r="Z16" s="68">
        <v>54</v>
      </c>
      <c r="AA16" s="135">
        <v>586</v>
      </c>
      <c r="AB16" s="123"/>
      <c r="AC16" s="123"/>
    </row>
    <row r="17" spans="1:29" s="124" customFormat="1" ht="12.75">
      <c r="A17" s="123"/>
      <c r="B17" s="128"/>
      <c r="C17" s="33"/>
      <c r="D17" s="26" t="s">
        <v>11</v>
      </c>
      <c r="E17" s="32"/>
      <c r="F17" s="71">
        <v>98994</v>
      </c>
      <c r="G17" s="71">
        <v>51003</v>
      </c>
      <c r="H17" s="71">
        <v>29456</v>
      </c>
      <c r="I17" s="71">
        <v>4854</v>
      </c>
      <c r="J17" s="71">
        <v>37844</v>
      </c>
      <c r="K17" s="64">
        <f>IFERROR(F17/G17-1,"n/a")</f>
        <v>0.94094465031468744</v>
      </c>
      <c r="L17" s="64">
        <f t="shared" si="0"/>
        <v>2.3607414448669202</v>
      </c>
      <c r="M17" s="64">
        <f>IFERROR(F17/I17-1,"n/a")</f>
        <v>19.394313967861557</v>
      </c>
      <c r="N17" s="60">
        <f>IFERROR(F17/J17-1,"n/a")</f>
        <v>1.6158439911214457</v>
      </c>
      <c r="O17" s="68">
        <f>'Oct-23'!O17+'Nov-23'!F17</f>
        <v>1629796</v>
      </c>
      <c r="P17" s="68">
        <f>'Oct-23'!P17+'Nov-23'!G17</f>
        <v>943603</v>
      </c>
      <c r="Q17" s="68">
        <f>'Oct-23'!Q17+'Nov-23'!H17</f>
        <v>288787</v>
      </c>
      <c r="R17" s="68">
        <f>'Oct-23'!R17+'Nov-23'!I17</f>
        <v>68534</v>
      </c>
      <c r="S17" s="68">
        <f>'Oct-23'!S17+'Nov-23'!J17</f>
        <v>1342797</v>
      </c>
      <c r="T17" s="64">
        <f>IFERROR(O17/P17-1,"n/a")</f>
        <v>0.72720519116620008</v>
      </c>
      <c r="U17" s="64">
        <f>IFERROR(O17/Q17-1,"n/a")</f>
        <v>4.643591989944146</v>
      </c>
      <c r="V17" s="64">
        <f>IFERROR(O17/R17-1,"n/a")</f>
        <v>22.780838707794672</v>
      </c>
      <c r="W17" s="64">
        <f>IFERROR(O17/S17-1,"n/a")</f>
        <v>0.21373223204996727</v>
      </c>
      <c r="X17" s="139">
        <v>965963</v>
      </c>
      <c r="Y17" s="68">
        <v>301521</v>
      </c>
      <c r="Z17" s="68">
        <v>70675</v>
      </c>
      <c r="AA17" s="135">
        <v>1400932</v>
      </c>
      <c r="AB17" s="123"/>
      <c r="AC17" s="123"/>
    </row>
    <row r="18" spans="1:29" s="124" customFormat="1" ht="12.75">
      <c r="A18" s="123"/>
      <c r="B18" s="128"/>
      <c r="C18" s="31" t="s">
        <v>110</v>
      </c>
      <c r="D18" s="26"/>
      <c r="E18" s="32"/>
      <c r="F18" s="72"/>
      <c r="G18" s="72"/>
      <c r="H18" s="72"/>
      <c r="I18" s="72"/>
      <c r="J18" s="72"/>
      <c r="K18" s="64"/>
      <c r="L18" s="64"/>
      <c r="M18" s="64"/>
      <c r="N18" s="60"/>
      <c r="O18" s="87"/>
      <c r="P18" s="87"/>
      <c r="Q18" s="87"/>
      <c r="R18" s="87"/>
      <c r="S18" s="87"/>
      <c r="T18" s="64"/>
      <c r="U18" s="64"/>
      <c r="V18" s="64"/>
      <c r="W18" s="64"/>
      <c r="X18" s="140"/>
      <c r="Y18" s="43"/>
      <c r="Z18" s="43"/>
      <c r="AA18" s="136"/>
      <c r="AB18" s="123"/>
      <c r="AC18" s="123"/>
    </row>
    <row r="19" spans="1:29" s="124" customFormat="1" ht="12.75">
      <c r="A19" s="123"/>
      <c r="B19" s="128"/>
      <c r="C19" s="33"/>
      <c r="D19" s="26" t="s">
        <v>5</v>
      </c>
      <c r="E19" s="32"/>
      <c r="F19" s="71">
        <v>39</v>
      </c>
      <c r="G19" s="71">
        <v>39</v>
      </c>
      <c r="H19" s="71">
        <v>13</v>
      </c>
      <c r="I19" s="71">
        <v>1</v>
      </c>
      <c r="J19" s="71">
        <v>15</v>
      </c>
      <c r="K19" s="64">
        <f>IFERROR(F19/G19-1,"n/a")</f>
        <v>0</v>
      </c>
      <c r="L19" s="64">
        <f t="shared" si="0"/>
        <v>2</v>
      </c>
      <c r="M19" s="64">
        <f>IFERROR(F19/I19-1,"n/a")</f>
        <v>38</v>
      </c>
      <c r="N19" s="60">
        <f>IFERROR(F19/J19-1,"n/a")</f>
        <v>1.6</v>
      </c>
      <c r="O19" s="68">
        <f>'Oct-23'!O19+'Nov-23'!F19</f>
        <v>700</v>
      </c>
      <c r="P19" s="68">
        <f>'Oct-23'!P19+'Nov-23'!G19</f>
        <v>649</v>
      </c>
      <c r="Q19" s="68">
        <f>'Oct-23'!Q19+'Nov-23'!H19</f>
        <v>44</v>
      </c>
      <c r="R19" s="68">
        <f>'Oct-23'!R19+'Nov-23'!I19</f>
        <v>10</v>
      </c>
      <c r="S19" s="68">
        <f>'Oct-23'!S19+'Nov-23'!J19</f>
        <v>280</v>
      </c>
      <c r="T19" s="64">
        <f>IFERROR(O19/P19-1,"n/a")</f>
        <v>7.8582434514637978E-2</v>
      </c>
      <c r="U19" s="64">
        <f>IFERROR(O19/Q19-1,"n/a")</f>
        <v>14.909090909090908</v>
      </c>
      <c r="V19" s="64">
        <f>IFERROR(O19/R19-1,"n/a")</f>
        <v>69</v>
      </c>
      <c r="W19" s="64">
        <f>IFERROR(O19/S19-1,"n/a")</f>
        <v>1.5</v>
      </c>
      <c r="X19" s="139">
        <v>658</v>
      </c>
      <c r="Y19" s="68">
        <v>47</v>
      </c>
      <c r="Z19" s="68">
        <v>9</v>
      </c>
      <c r="AA19" s="135">
        <v>290</v>
      </c>
      <c r="AB19" s="123"/>
      <c r="AC19" s="123"/>
    </row>
    <row r="20" spans="1:29" s="124" customFormat="1" ht="12.75">
      <c r="A20" s="123"/>
      <c r="B20" s="128"/>
      <c r="C20" s="33"/>
      <c r="D20" s="26" t="s">
        <v>11</v>
      </c>
      <c r="E20" s="32"/>
      <c r="F20" s="71">
        <v>44881</v>
      </c>
      <c r="G20" s="71">
        <v>43590</v>
      </c>
      <c r="H20" s="71">
        <v>5685</v>
      </c>
      <c r="I20" s="71">
        <v>0</v>
      </c>
      <c r="J20" s="71">
        <v>20135</v>
      </c>
      <c r="K20" s="64">
        <f>IFERROR(F20/G20-1,"n/a")</f>
        <v>2.96168846065612E-2</v>
      </c>
      <c r="L20" s="64">
        <f t="shared" si="0"/>
        <v>6.8946350043975375</v>
      </c>
      <c r="M20" s="64" t="str">
        <f>IFERROR(F20/I20-1,"n/a")</f>
        <v>n/a</v>
      </c>
      <c r="N20" s="60">
        <f t="shared" ref="N20:N28" si="1">IFERROR(F20/J20-1,"n/a")</f>
        <v>1.2290042215048422</v>
      </c>
      <c r="O20" s="68">
        <f>'Oct-23'!O20+'Nov-23'!F20</f>
        <v>1270123</v>
      </c>
      <c r="P20" s="68">
        <f>'Oct-23'!P20+'Nov-23'!G20</f>
        <v>880732</v>
      </c>
      <c r="Q20" s="68">
        <f>'Oct-23'!Q20+'Nov-23'!H20</f>
        <v>16677</v>
      </c>
      <c r="R20" s="68">
        <f>'Oct-23'!R20+'Nov-23'!I20</f>
        <v>10047</v>
      </c>
      <c r="S20" s="68">
        <f>'Oct-23'!S20+'Nov-23'!J20</f>
        <v>575143</v>
      </c>
      <c r="T20" s="64">
        <f>IFERROR(O20/P20-1,"n/a")</f>
        <v>0.44212200760276676</v>
      </c>
      <c r="U20" s="64">
        <f>IFERROR(O20/Q20-1,"n/a")</f>
        <v>75.160160700365779</v>
      </c>
      <c r="V20" s="64">
        <f>IFERROR(O20/R20-1,"n/a")</f>
        <v>125.41813476659699</v>
      </c>
      <c r="W20" s="64">
        <f>IFERROR(O20/S20-1,"n/a")</f>
        <v>1.2083603555985207</v>
      </c>
      <c r="X20" s="139">
        <v>887495</v>
      </c>
      <c r="Y20" s="68">
        <v>17541</v>
      </c>
      <c r="Z20" s="68">
        <v>10046.999999999998</v>
      </c>
      <c r="AA20" s="135">
        <v>585930</v>
      </c>
      <c r="AB20" s="123"/>
      <c r="AC20" s="123"/>
    </row>
    <row r="21" spans="1:29" s="124" customFormat="1" ht="12.75">
      <c r="A21" s="123"/>
      <c r="B21" s="128"/>
      <c r="C21" s="31" t="s">
        <v>111</v>
      </c>
      <c r="D21" s="26"/>
      <c r="E21" s="34"/>
      <c r="F21" s="72"/>
      <c r="G21" s="72"/>
      <c r="H21" s="72"/>
      <c r="I21" s="72"/>
      <c r="J21" s="72"/>
      <c r="K21" s="64"/>
      <c r="L21" s="64"/>
      <c r="M21" s="64"/>
      <c r="N21" s="60"/>
      <c r="O21" s="87"/>
      <c r="P21" s="87"/>
      <c r="Q21" s="87"/>
      <c r="R21" s="87"/>
      <c r="S21" s="87"/>
      <c r="T21" s="64"/>
      <c r="U21" s="64"/>
      <c r="V21" s="64"/>
      <c r="W21" s="64"/>
      <c r="X21" s="140"/>
      <c r="Y21" s="43"/>
      <c r="Z21" s="43"/>
      <c r="AA21" s="136"/>
      <c r="AB21" s="123"/>
      <c r="AC21" s="123"/>
    </row>
    <row r="22" spans="1:29" s="124" customFormat="1" ht="12.75">
      <c r="A22" s="123"/>
      <c r="B22" s="128"/>
      <c r="C22" s="33"/>
      <c r="D22" s="26" t="s">
        <v>5</v>
      </c>
      <c r="E22" s="34"/>
      <c r="F22" s="71">
        <v>210</v>
      </c>
      <c r="G22" s="71">
        <v>130</v>
      </c>
      <c r="H22" s="71">
        <v>67</v>
      </c>
      <c r="I22" s="71">
        <v>0</v>
      </c>
      <c r="J22" s="71">
        <v>95</v>
      </c>
      <c r="K22" s="64">
        <f>IFERROR(F22/G22-1,"n/a")</f>
        <v>0.61538461538461542</v>
      </c>
      <c r="L22" s="64">
        <f t="shared" si="0"/>
        <v>2.1343283582089554</v>
      </c>
      <c r="M22" s="64" t="str">
        <f>IFERROR(F22/I22-1,"n/a")</f>
        <v>n/a</v>
      </c>
      <c r="N22" s="60">
        <f t="shared" si="1"/>
        <v>1.2105263157894739</v>
      </c>
      <c r="O22" s="68">
        <f>'Oct-23'!O22+'Nov-23'!F22</f>
        <v>1371</v>
      </c>
      <c r="P22" s="68">
        <f>'Oct-23'!P22+'Nov-23'!G22</f>
        <v>824</v>
      </c>
      <c r="Q22" s="68">
        <f>'Oct-23'!Q22+'Nov-23'!H22</f>
        <v>258</v>
      </c>
      <c r="R22" s="68">
        <f>'Oct-23'!R22+'Nov-23'!I22</f>
        <v>205</v>
      </c>
      <c r="S22" s="68">
        <f>'Oct-23'!S22+'Nov-23'!J22</f>
        <v>1041</v>
      </c>
      <c r="T22" s="64">
        <f>IFERROR(O22/P22-1,"n/a")</f>
        <v>0.66383495145631066</v>
      </c>
      <c r="U22" s="64">
        <f>IFERROR(O22/Q22-1,"n/a")</f>
        <v>4.3139534883720927</v>
      </c>
      <c r="V22" s="64">
        <f>IFERROR(O22/R22-1,"n/a")</f>
        <v>5.6878048780487802</v>
      </c>
      <c r="W22" s="64">
        <f>IFERROR(O22/S22-1,"n/a")</f>
        <v>0.31700288184438041</v>
      </c>
      <c r="X22" s="139">
        <v>895</v>
      </c>
      <c r="Y22" s="68">
        <v>283</v>
      </c>
      <c r="Z22" s="68">
        <v>43</v>
      </c>
      <c r="AA22" s="135">
        <v>827</v>
      </c>
      <c r="AB22" s="123"/>
      <c r="AC22" s="123"/>
    </row>
    <row r="23" spans="1:29" s="124" customFormat="1" ht="12.75">
      <c r="A23" s="123"/>
      <c r="B23" s="128"/>
      <c r="C23" s="33"/>
      <c r="D23" s="26" t="s">
        <v>11</v>
      </c>
      <c r="E23" s="32"/>
      <c r="F23" s="71">
        <v>507202</v>
      </c>
      <c r="G23" s="71">
        <v>274849</v>
      </c>
      <c r="H23" s="71">
        <v>83507</v>
      </c>
      <c r="I23" s="71">
        <v>0</v>
      </c>
      <c r="J23" s="71">
        <v>263747</v>
      </c>
      <c r="K23" s="64">
        <f>IFERROR(F23/G23-1,"n/a")</f>
        <v>0.84538419277494192</v>
      </c>
      <c r="L23" s="64">
        <f t="shared" si="0"/>
        <v>5.0737662710910465</v>
      </c>
      <c r="M23" s="64" t="str">
        <f>IFERROR(F23/I23-1,"n/a")</f>
        <v>n/a</v>
      </c>
      <c r="N23" s="60">
        <f t="shared" si="1"/>
        <v>0.92306263199202276</v>
      </c>
      <c r="O23" s="68">
        <f>'Oct-23'!O23+'Nov-23'!F23</f>
        <v>4057070</v>
      </c>
      <c r="P23" s="68">
        <f>'Oct-23'!P23+'Nov-23'!G23</f>
        <v>1943760</v>
      </c>
      <c r="Q23" s="68">
        <f>'Oct-23'!Q23+'Nov-23'!H23</f>
        <v>425895</v>
      </c>
      <c r="R23" s="68">
        <f>'Oct-23'!R23+'Nov-23'!I23</f>
        <v>545974</v>
      </c>
      <c r="S23" s="68">
        <f>'Oct-23'!S23+'Nov-23'!J23</f>
        <v>3161914</v>
      </c>
      <c r="T23" s="64">
        <f>IFERROR(O23/P23-1,"n/a")</f>
        <v>1.0872278470593075</v>
      </c>
      <c r="U23" s="64">
        <f>IFERROR(O23/Q23-1,"n/a")</f>
        <v>8.5259864520597795</v>
      </c>
      <c r="V23" s="64">
        <f>IFERROR(O23/R23-1,"n/a")</f>
        <v>6.4308849871971923</v>
      </c>
      <c r="W23" s="64">
        <f>IFERROR(O23/S23-1,"n/a")</f>
        <v>0.28310573911877435</v>
      </c>
      <c r="X23" s="139">
        <v>2165161</v>
      </c>
      <c r="Y23" s="68">
        <v>465109</v>
      </c>
      <c r="Z23" s="68">
        <v>140552</v>
      </c>
      <c r="AA23" s="135">
        <v>2552942</v>
      </c>
      <c r="AB23" s="123"/>
      <c r="AC23" s="123"/>
    </row>
    <row r="24" spans="1:29" s="124" customFormat="1" ht="12.75">
      <c r="A24" s="123"/>
      <c r="B24" s="128"/>
      <c r="C24" s="31" t="s">
        <v>112</v>
      </c>
      <c r="D24" s="26"/>
      <c r="E24" s="32"/>
      <c r="F24" s="72"/>
      <c r="G24" s="72"/>
      <c r="H24" s="72"/>
      <c r="I24" s="72"/>
      <c r="J24" s="72"/>
      <c r="K24" s="64"/>
      <c r="L24" s="64"/>
      <c r="M24" s="64"/>
      <c r="N24" s="60"/>
      <c r="O24" s="87"/>
      <c r="P24" s="87"/>
      <c r="Q24" s="87"/>
      <c r="R24" s="87"/>
      <c r="S24" s="87"/>
      <c r="T24" s="64"/>
      <c r="U24" s="64"/>
      <c r="V24" s="64"/>
      <c r="W24" s="64"/>
      <c r="X24" s="140"/>
      <c r="Y24" s="43"/>
      <c r="Z24" s="43"/>
      <c r="AA24" s="136"/>
      <c r="AB24" s="123"/>
      <c r="AC24" s="123"/>
    </row>
    <row r="25" spans="1:29" s="124" customFormat="1" ht="12.75">
      <c r="B25" s="128"/>
      <c r="C25" s="33"/>
      <c r="D25" s="26" t="s">
        <v>5</v>
      </c>
      <c r="E25" s="32"/>
      <c r="F25" s="71">
        <v>0</v>
      </c>
      <c r="G25" s="71">
        <v>0</v>
      </c>
      <c r="H25" s="71">
        <v>0</v>
      </c>
      <c r="I25" s="71">
        <v>0</v>
      </c>
      <c r="J25" s="71">
        <v>0</v>
      </c>
      <c r="K25" s="64" t="str">
        <f>IFERROR(F25/G25-1,"n/a")</f>
        <v>n/a</v>
      </c>
      <c r="L25" s="64" t="str">
        <f t="shared" si="0"/>
        <v>n/a</v>
      </c>
      <c r="M25" s="64" t="str">
        <f>IFERROR(F25/I25-1,"n/a")</f>
        <v>n/a</v>
      </c>
      <c r="N25" s="60" t="str">
        <f t="shared" si="1"/>
        <v>n/a</v>
      </c>
      <c r="O25" s="68">
        <f>'Oct-23'!O25+'Nov-23'!F25</f>
        <v>21</v>
      </c>
      <c r="P25" s="68">
        <f>'Oct-23'!P25+'Nov-23'!G25</f>
        <v>9</v>
      </c>
      <c r="Q25" s="68">
        <f>'Oct-23'!Q25+'Nov-23'!H25</f>
        <v>0</v>
      </c>
      <c r="R25" s="68">
        <f>'Oct-23'!R25+'Nov-23'!I25</f>
        <v>0</v>
      </c>
      <c r="S25" s="68">
        <f>'Oct-23'!S25+'Nov-23'!J25</f>
        <v>16</v>
      </c>
      <c r="T25" s="64">
        <f>IFERROR(O25/P25-1,"n/a")</f>
        <v>1.3333333333333335</v>
      </c>
      <c r="U25" s="64" t="str">
        <f>IFERROR(O25/Q25-1,"n/a")</f>
        <v>n/a</v>
      </c>
      <c r="V25" s="64" t="str">
        <f>IFERROR(O25/R25-1,"n/a")</f>
        <v>n/a</v>
      </c>
      <c r="W25" s="64">
        <f>IFERROR(O25/S25-1,"n/a")</f>
        <v>0.3125</v>
      </c>
      <c r="X25" s="139">
        <v>9</v>
      </c>
      <c r="Y25" s="68">
        <v>0</v>
      </c>
      <c r="Z25" s="68">
        <v>0</v>
      </c>
      <c r="AA25" s="135">
        <v>16</v>
      </c>
      <c r="AB25" s="123"/>
      <c r="AC25" s="123"/>
    </row>
    <row r="26" spans="1:29" s="124" customFormat="1" ht="12.75">
      <c r="A26" s="123"/>
      <c r="B26" s="128"/>
      <c r="C26" s="33"/>
      <c r="D26" s="26" t="s">
        <v>11</v>
      </c>
      <c r="E26" s="32"/>
      <c r="F26" s="71">
        <v>0</v>
      </c>
      <c r="G26" s="71">
        <v>0</v>
      </c>
      <c r="H26" s="71">
        <v>0</v>
      </c>
      <c r="I26" s="71">
        <v>0</v>
      </c>
      <c r="J26" s="71">
        <v>0</v>
      </c>
      <c r="K26" s="64" t="str">
        <f>IFERROR(F26/G26-1,"n/a")</f>
        <v>n/a</v>
      </c>
      <c r="L26" s="64" t="str">
        <f t="shared" si="0"/>
        <v>n/a</v>
      </c>
      <c r="M26" s="64" t="str">
        <f>IFERROR(F26/I26-1,"n/a")</f>
        <v>n/a</v>
      </c>
      <c r="N26" s="60" t="str">
        <f t="shared" si="1"/>
        <v>n/a</v>
      </c>
      <c r="O26" s="68">
        <f>'Oct-23'!O26+'Nov-23'!F26</f>
        <v>38626</v>
      </c>
      <c r="P26" s="68">
        <f>'Oct-23'!P26+'Nov-23'!G26</f>
        <v>15637</v>
      </c>
      <c r="Q26" s="68">
        <f>'Oct-23'!Q26+'Nov-23'!H26</f>
        <v>0</v>
      </c>
      <c r="R26" s="68">
        <f>'Oct-23'!R26+'Nov-23'!I26</f>
        <v>0</v>
      </c>
      <c r="S26" s="68">
        <f>'Oct-23'!S26+'Nov-23'!J26</f>
        <v>20248</v>
      </c>
      <c r="T26" s="64">
        <f>IFERROR(O26/P26-1,"n/a")</f>
        <v>1.4701669118117286</v>
      </c>
      <c r="U26" s="64" t="str">
        <f>IFERROR(O26/Q26-1,"n/a")</f>
        <v>n/a</v>
      </c>
      <c r="V26" s="64" t="str">
        <f>IFERROR(O26/R26-1,"n/a")</f>
        <v>n/a</v>
      </c>
      <c r="W26" s="64">
        <f>IFERROR(O26/S26-1,"n/a")</f>
        <v>0.90764519952587919</v>
      </c>
      <c r="X26" s="141">
        <v>15637</v>
      </c>
      <c r="Y26" s="142">
        <v>0</v>
      </c>
      <c r="Z26" s="142">
        <v>0</v>
      </c>
      <c r="AA26" s="137">
        <v>20248</v>
      </c>
      <c r="AB26" s="123"/>
      <c r="AC26" s="123"/>
    </row>
    <row r="27" spans="1:29" s="124" customFormat="1" ht="13.5" thickBot="1">
      <c r="A27" s="123"/>
      <c r="B27" s="128"/>
      <c r="C27" s="35" t="s">
        <v>12</v>
      </c>
      <c r="D27" s="36"/>
      <c r="E27" s="37"/>
      <c r="F27" s="75">
        <f t="shared" ref="F27:J28" si="2">F13+F16+F19+F22+F25</f>
        <v>463</v>
      </c>
      <c r="G27" s="75">
        <f t="shared" si="2"/>
        <v>340</v>
      </c>
      <c r="H27" s="75">
        <f t="shared" si="2"/>
        <v>223</v>
      </c>
      <c r="I27" s="75">
        <f t="shared" si="2"/>
        <v>11</v>
      </c>
      <c r="J27" s="75">
        <f t="shared" si="2"/>
        <v>311</v>
      </c>
      <c r="K27" s="66">
        <f>IFERROR(F27/G27-1,"n/a")</f>
        <v>0.36176470588235299</v>
      </c>
      <c r="L27" s="66">
        <f t="shared" si="0"/>
        <v>1.0762331838565022</v>
      </c>
      <c r="M27" s="66">
        <f>IFERROR(F27/I27-1,"n/a")</f>
        <v>41.090909090909093</v>
      </c>
      <c r="N27" s="62">
        <f t="shared" si="1"/>
        <v>0.4887459807073955</v>
      </c>
      <c r="O27" s="75">
        <f t="shared" ref="O27:S28" si="3">O13+O16+O19+O22+O25</f>
        <v>4054</v>
      </c>
      <c r="P27" s="75">
        <f t="shared" si="3"/>
        <v>3343</v>
      </c>
      <c r="Q27" s="75">
        <f t="shared" si="3"/>
        <v>842</v>
      </c>
      <c r="R27" s="75">
        <f t="shared" si="3"/>
        <v>814</v>
      </c>
      <c r="S27" s="75">
        <f t="shared" si="3"/>
        <v>3267</v>
      </c>
      <c r="T27" s="66">
        <f>IFERROR(O27/P27-1,"n/a")</f>
        <v>0.21268321866586892</v>
      </c>
      <c r="U27" s="66">
        <f>IFERROR(O27/Q27-1,"n/a")</f>
        <v>3.8147268408551067</v>
      </c>
      <c r="V27" s="66">
        <f>IFERROR(O27/R27-1,"n/a")</f>
        <v>3.9803439803439806</v>
      </c>
      <c r="W27" s="62">
        <f>IFERROR(O27/S27-1,"n/a")</f>
        <v>0.24089378634833181</v>
      </c>
      <c r="X27" s="75">
        <f>X13+X16+X19+X22+X25</f>
        <v>3620</v>
      </c>
      <c r="Y27" s="46">
        <f t="shared" ref="Y27:AA28" si="4">Y13+Y16+Y19+Y22+Y25</f>
        <v>1054</v>
      </c>
      <c r="Z27" s="46">
        <f t="shared" si="4"/>
        <v>657</v>
      </c>
      <c r="AA27" s="80">
        <f t="shared" si="4"/>
        <v>3310</v>
      </c>
      <c r="AB27" s="123"/>
      <c r="AC27" s="123"/>
    </row>
    <row r="28" spans="1:29" s="124" customFormat="1" ht="14.25" thickTop="1" thickBot="1">
      <c r="A28" s="123"/>
      <c r="B28" s="128"/>
      <c r="C28" s="38" t="s">
        <v>13</v>
      </c>
      <c r="D28" s="39"/>
      <c r="E28" s="40"/>
      <c r="F28" s="76">
        <f t="shared" si="2"/>
        <v>1148627</v>
      </c>
      <c r="G28" s="76">
        <f t="shared" si="2"/>
        <v>779647</v>
      </c>
      <c r="H28" s="76">
        <f t="shared" si="2"/>
        <v>304612</v>
      </c>
      <c r="I28" s="76">
        <f t="shared" si="2"/>
        <v>4854</v>
      </c>
      <c r="J28" s="76">
        <f t="shared" si="2"/>
        <v>742910</v>
      </c>
      <c r="K28" s="67">
        <f>IFERROR(F28/G28-1,"n/a")</f>
        <v>0.47326546501172961</v>
      </c>
      <c r="L28" s="67">
        <f t="shared" si="0"/>
        <v>2.7707870996546426</v>
      </c>
      <c r="M28" s="67">
        <f>IFERROR(F28/I28-1,"n/a")</f>
        <v>235.63514627111661</v>
      </c>
      <c r="N28" s="63">
        <f t="shared" si="1"/>
        <v>0.54611864155819689</v>
      </c>
      <c r="O28" s="76">
        <f t="shared" si="3"/>
        <v>11561871</v>
      </c>
      <c r="P28" s="76">
        <f t="shared" si="3"/>
        <v>6857826</v>
      </c>
      <c r="Q28" s="76">
        <f t="shared" si="3"/>
        <v>1241343</v>
      </c>
      <c r="R28" s="76">
        <f t="shared" si="3"/>
        <v>1717439</v>
      </c>
      <c r="S28" s="76">
        <f t="shared" si="3"/>
        <v>9164567</v>
      </c>
      <c r="T28" s="67">
        <f>IFERROR(O28/P28-1,"n/a")</f>
        <v>0.68593822590424436</v>
      </c>
      <c r="U28" s="67">
        <f>IFERROR(O28/Q28-1,"n/a")</f>
        <v>8.314001851220814</v>
      </c>
      <c r="V28" s="67">
        <f>IFERROR(O28/R28-1,"n/a")</f>
        <v>5.7320417202590601</v>
      </c>
      <c r="W28" s="63">
        <f>IFERROR(O28/S28-1,"n/a")</f>
        <v>0.26158398972913832</v>
      </c>
      <c r="X28" s="76">
        <f>X14+X17+X20+X23+X26</f>
        <v>7626669</v>
      </c>
      <c r="Y28" s="47">
        <f t="shared" si="4"/>
        <v>1552483</v>
      </c>
      <c r="Z28" s="47">
        <f t="shared" si="4"/>
        <v>1314158</v>
      </c>
      <c r="AA28" s="81">
        <f t="shared" si="4"/>
        <v>9152531</v>
      </c>
      <c r="AB28" s="123"/>
      <c r="AC28" s="123"/>
    </row>
    <row r="29" spans="1:29" s="124" customFormat="1" ht="12" thickTop="1">
      <c r="A29" s="123"/>
      <c r="B29" s="123"/>
      <c r="C29" s="123"/>
      <c r="D29" s="123"/>
      <c r="E29" s="123"/>
      <c r="F29" s="129"/>
      <c r="G29" s="129"/>
      <c r="H29" s="129"/>
      <c r="I29" s="129"/>
      <c r="J29" s="129"/>
      <c r="K29" s="129"/>
      <c r="L29" s="129"/>
      <c r="M29" s="129"/>
      <c r="N29" s="123"/>
      <c r="O29" s="123"/>
      <c r="P29" s="123"/>
      <c r="Q29" s="123"/>
      <c r="R29" s="123"/>
      <c r="S29" s="123"/>
      <c r="T29" s="123"/>
      <c r="U29" s="123"/>
      <c r="V29" s="123"/>
      <c r="W29" s="123"/>
      <c r="X29" s="123"/>
      <c r="Y29" s="123"/>
      <c r="Z29" s="123"/>
      <c r="AA29" s="123"/>
      <c r="AB29" s="123"/>
      <c r="AC29" s="123"/>
    </row>
    <row r="30" spans="1:29" s="124" customFormat="1" ht="11.25">
      <c r="A30" s="123"/>
      <c r="B30" s="123"/>
      <c r="C30" s="123"/>
      <c r="D30" s="123"/>
      <c r="E30" s="123"/>
      <c r="F30" s="129"/>
      <c r="G30" s="129"/>
      <c r="H30" s="129"/>
      <c r="I30" s="129"/>
      <c r="J30" s="129"/>
      <c r="K30" s="129"/>
      <c r="L30" s="129"/>
      <c r="M30" s="129"/>
      <c r="N30" s="123"/>
      <c r="O30" s="129"/>
      <c r="P30" s="123"/>
      <c r="Q30" s="123"/>
      <c r="R30" s="123"/>
      <c r="S30" s="123"/>
      <c r="T30" s="123"/>
      <c r="U30" s="123"/>
      <c r="V30" s="123"/>
      <c r="W30" s="123"/>
      <c r="X30" s="123"/>
      <c r="Y30" s="123"/>
      <c r="Z30" s="123"/>
      <c r="AA30" s="123"/>
      <c r="AB30" s="123"/>
      <c r="AC30" s="123"/>
    </row>
    <row r="31" spans="1:29" s="124" customFormat="1" ht="12.75">
      <c r="A31" s="123"/>
      <c r="B31" s="130"/>
      <c r="C31" s="131" t="s">
        <v>63</v>
      </c>
      <c r="D31" s="24"/>
      <c r="E31" s="24"/>
      <c r="F31" s="24"/>
      <c r="G31" s="24"/>
      <c r="H31" s="24"/>
      <c r="I31" s="24"/>
      <c r="J31" s="95"/>
      <c r="K31" s="95"/>
      <c r="L31" s="95"/>
      <c r="M31" s="95"/>
      <c r="N31" s="24"/>
      <c r="O31" s="24"/>
      <c r="P31" s="24"/>
      <c r="Q31" s="24"/>
      <c r="R31" s="24"/>
      <c r="S31" s="24"/>
      <c r="T31" s="24"/>
      <c r="U31" s="24"/>
      <c r="V31" s="24"/>
      <c r="W31" s="24"/>
      <c r="X31" s="24"/>
      <c r="Y31" s="24"/>
      <c r="Z31" s="24"/>
      <c r="AA31" s="24"/>
      <c r="AB31" s="24"/>
      <c r="AC31" s="123"/>
    </row>
    <row r="32" spans="1:29" s="124" customFormat="1" ht="12.75">
      <c r="A32" s="123"/>
      <c r="B32" s="130"/>
      <c r="C32" s="24"/>
      <c r="D32" s="24"/>
      <c r="E32" s="24"/>
      <c r="F32" s="24"/>
      <c r="G32" s="24"/>
      <c r="H32" s="24"/>
      <c r="I32" s="24"/>
      <c r="J32" s="95"/>
      <c r="K32" s="95"/>
      <c r="L32" s="95"/>
      <c r="M32" s="95"/>
      <c r="N32" s="24"/>
      <c r="O32" s="24"/>
      <c r="P32" s="24"/>
      <c r="Q32" s="24"/>
      <c r="R32" s="24"/>
      <c r="S32" s="24"/>
      <c r="T32" s="24"/>
      <c r="U32" s="24"/>
      <c r="V32" s="24"/>
      <c r="W32" s="24"/>
      <c r="X32" s="24"/>
      <c r="Y32" s="24"/>
      <c r="Z32" s="24"/>
      <c r="AA32" s="24"/>
      <c r="AB32" s="24"/>
      <c r="AC32" s="123"/>
    </row>
    <row r="33" spans="1:29" s="124" customFormat="1" ht="11.25">
      <c r="A33" s="123"/>
      <c r="B33" s="123"/>
      <c r="C33" s="27" t="s">
        <v>7</v>
      </c>
      <c r="D33" s="28"/>
      <c r="E33" s="28"/>
      <c r="F33" s="158" t="str">
        <f>F9</f>
        <v>November</v>
      </c>
      <c r="G33" s="158"/>
      <c r="H33" s="158"/>
      <c r="I33" s="158"/>
      <c r="J33" s="158"/>
      <c r="K33" s="158"/>
      <c r="L33" s="158"/>
      <c r="M33" s="158"/>
      <c r="N33" s="159"/>
      <c r="O33" s="161" t="str">
        <f>"April to "&amp;D4&amp;" (YTD)"</f>
        <v>April to November (YTD)</v>
      </c>
      <c r="P33" s="162"/>
      <c r="Q33" s="162"/>
      <c r="R33" s="162"/>
      <c r="S33" s="162"/>
      <c r="T33" s="162"/>
      <c r="U33" s="162"/>
      <c r="V33" s="162"/>
      <c r="W33" s="163"/>
      <c r="X33" s="157" t="s">
        <v>58</v>
      </c>
      <c r="Y33" s="158"/>
      <c r="Z33" s="158"/>
      <c r="AA33" s="160"/>
    </row>
    <row r="34" spans="1:29" s="124" customFormat="1" ht="11.25">
      <c r="A34" s="123"/>
      <c r="B34" s="123"/>
      <c r="C34" s="29"/>
      <c r="D34" s="30"/>
      <c r="E34" s="30"/>
      <c r="F34" s="152"/>
      <c r="G34" s="153"/>
      <c r="H34" s="153"/>
      <c r="I34" s="153"/>
      <c r="J34" s="153"/>
      <c r="K34" s="153"/>
      <c r="L34" s="153"/>
      <c r="M34" s="153"/>
      <c r="N34" s="154"/>
      <c r="O34" s="152"/>
      <c r="P34" s="153"/>
      <c r="Q34" s="153"/>
      <c r="R34" s="153"/>
      <c r="S34" s="153"/>
      <c r="T34" s="153"/>
      <c r="U34" s="153"/>
      <c r="V34" s="153"/>
      <c r="W34" s="154"/>
      <c r="X34" s="152"/>
      <c r="Y34" s="153"/>
      <c r="Z34" s="153"/>
      <c r="AA34" s="154"/>
    </row>
    <row r="35" spans="1:29" s="124" customFormat="1" ht="22.5">
      <c r="A35" s="123"/>
      <c r="B35" s="123"/>
      <c r="C35" s="59" t="s">
        <v>29</v>
      </c>
      <c r="D35" s="50"/>
      <c r="E35" s="51"/>
      <c r="F35" s="55">
        <v>2023</v>
      </c>
      <c r="G35" s="52">
        <v>2022</v>
      </c>
      <c r="H35" s="52">
        <v>2021</v>
      </c>
      <c r="I35" s="52">
        <v>2020</v>
      </c>
      <c r="J35" s="52">
        <v>2019</v>
      </c>
      <c r="K35" s="53" t="s">
        <v>66</v>
      </c>
      <c r="L35" s="53" t="s">
        <v>67</v>
      </c>
      <c r="M35" s="53" t="s">
        <v>68</v>
      </c>
      <c r="N35" s="57" t="s">
        <v>101</v>
      </c>
      <c r="O35" s="53" t="s">
        <v>115</v>
      </c>
      <c r="P35" s="53" t="s">
        <v>53</v>
      </c>
      <c r="Q35" s="52" t="s">
        <v>54</v>
      </c>
      <c r="R35" s="52" t="s">
        <v>59</v>
      </c>
      <c r="S35" s="52" t="s">
        <v>64</v>
      </c>
      <c r="T35" s="53" t="s">
        <v>116</v>
      </c>
      <c r="U35" s="53" t="s">
        <v>117</v>
      </c>
      <c r="V35" s="53" t="s">
        <v>118</v>
      </c>
      <c r="W35" s="57" t="s">
        <v>119</v>
      </c>
      <c r="X35" s="53" t="s">
        <v>53</v>
      </c>
      <c r="Y35" s="53" t="s">
        <v>54</v>
      </c>
      <c r="Z35" s="53" t="s">
        <v>65</v>
      </c>
      <c r="AA35" s="57" t="s">
        <v>73</v>
      </c>
      <c r="AC35" s="123"/>
    </row>
    <row r="36" spans="1:29" s="124" customFormat="1" ht="11.25">
      <c r="A36" s="123"/>
      <c r="B36" s="123"/>
      <c r="C36" s="31" t="s">
        <v>108</v>
      </c>
      <c r="D36" s="26"/>
      <c r="E36" s="32"/>
      <c r="F36" s="26"/>
      <c r="G36" s="26"/>
      <c r="H36" s="26"/>
      <c r="I36" s="26"/>
      <c r="J36" s="26"/>
      <c r="K36" s="26"/>
      <c r="L36" s="26"/>
      <c r="M36" s="26"/>
      <c r="N36" s="32"/>
      <c r="O36" s="26"/>
      <c r="P36" s="26"/>
      <c r="Q36" s="26"/>
      <c r="R36" s="26"/>
      <c r="S36" s="123"/>
      <c r="T36" s="26"/>
      <c r="U36" s="123"/>
      <c r="V36" s="26"/>
      <c r="W36" s="32"/>
      <c r="X36" s="33"/>
      <c r="Y36" s="26"/>
      <c r="Z36" s="88"/>
      <c r="AA36" s="85"/>
      <c r="AC36" s="123"/>
    </row>
    <row r="37" spans="1:29" s="124" customFormat="1" ht="11.25">
      <c r="A37" s="123"/>
      <c r="B37" s="123"/>
      <c r="C37" s="33"/>
      <c r="D37" s="26" t="s">
        <v>5</v>
      </c>
      <c r="E37" s="32"/>
      <c r="F37" s="74">
        <f t="shared" ref="F37:J38" si="5">F13</f>
        <v>165</v>
      </c>
      <c r="G37" s="74">
        <f t="shared" si="5"/>
        <v>144</v>
      </c>
      <c r="H37" s="74">
        <f t="shared" si="5"/>
        <v>115</v>
      </c>
      <c r="I37" s="74">
        <f t="shared" si="5"/>
        <v>0</v>
      </c>
      <c r="J37" s="74">
        <f t="shared" si="5"/>
        <v>172</v>
      </c>
      <c r="K37" s="64">
        <f>IFERROR(F37/G37-1,"n/a")</f>
        <v>0.14583333333333326</v>
      </c>
      <c r="L37" s="64">
        <f>IFERROR(F37/H37-1,"n/a")</f>
        <v>0.43478260869565211</v>
      </c>
      <c r="M37" s="64" t="str">
        <f>IFERROR(F37/I37-1,"n/a")</f>
        <v>n/a</v>
      </c>
      <c r="N37" s="60">
        <f>IFERROR(F37/J37-1,"n/a")</f>
        <v>-4.0697674418604612E-2</v>
      </c>
      <c r="O37" s="74">
        <f>'Oct-23'!O37+'Nov-23'!F37</f>
        <v>871</v>
      </c>
      <c r="P37" s="74">
        <f>'Oct-23'!P37+'Nov-23'!G37</f>
        <v>765</v>
      </c>
      <c r="Q37" s="74">
        <f>'Oct-23'!Q37+'Nov-23'!H37</f>
        <v>343</v>
      </c>
      <c r="R37" s="74">
        <f>'Oct-23'!R37+'Nov-23'!I37</f>
        <v>42</v>
      </c>
      <c r="S37" s="74">
        <f>'Oct-23'!S37+'Nov-23'!J37</f>
        <v>868</v>
      </c>
      <c r="T37" s="120">
        <f>IFERROR(O37/P37-1,"n/a")</f>
        <v>0.13856209150326793</v>
      </c>
      <c r="U37" s="120">
        <f>IFERROR(O37/Q37-1,"n/a")</f>
        <v>1.5393586005830904</v>
      </c>
      <c r="V37" s="120">
        <f>IFERROR(O37/R37-1,"n/a")</f>
        <v>19.738095238095237</v>
      </c>
      <c r="W37" s="121">
        <f>IFERROR(O37/S37-1,"n/a")</f>
        <v>3.4562211981565838E-3</v>
      </c>
      <c r="X37" s="89">
        <v>1486</v>
      </c>
      <c r="Y37" s="89">
        <v>1052</v>
      </c>
      <c r="Z37" s="70">
        <v>551</v>
      </c>
      <c r="AA37" s="78">
        <v>1584</v>
      </c>
      <c r="AC37" s="123"/>
    </row>
    <row r="38" spans="1:29" s="124" customFormat="1" ht="11.25">
      <c r="A38" s="123"/>
      <c r="B38" s="123"/>
      <c r="C38" s="33"/>
      <c r="D38" s="26" t="s">
        <v>11</v>
      </c>
      <c r="E38" s="32"/>
      <c r="F38" s="74">
        <f t="shared" si="5"/>
        <v>497550</v>
      </c>
      <c r="G38" s="74">
        <f t="shared" si="5"/>
        <v>410205</v>
      </c>
      <c r="H38" s="74">
        <f t="shared" si="5"/>
        <v>185964</v>
      </c>
      <c r="I38" s="74">
        <f t="shared" si="5"/>
        <v>0</v>
      </c>
      <c r="J38" s="74">
        <f t="shared" si="5"/>
        <v>421184</v>
      </c>
      <c r="K38" s="64">
        <f>IFERROR(F38/G38-1,"n/a")</f>
        <v>0.2129301203057008</v>
      </c>
      <c r="L38" s="64">
        <f>IFERROR(F38/H38-1,"n/a")</f>
        <v>1.6755178421629995</v>
      </c>
      <c r="M38" s="64" t="str">
        <f>IFERROR(F38/I38-1,"n/a")</f>
        <v>n/a</v>
      </c>
      <c r="N38" s="60">
        <f>IFERROR(F38/J38-1,"n/a")</f>
        <v>0.18131268044370152</v>
      </c>
      <c r="O38" s="74">
        <f>'Oct-23'!O38+'Nov-23'!F38</f>
        <v>3028072</v>
      </c>
      <c r="P38" s="74">
        <f>'Oct-23'!P38+'Nov-23'!G38</f>
        <v>2314436</v>
      </c>
      <c r="Q38" s="74">
        <f>'Oct-23'!Q38+'Nov-23'!H38</f>
        <v>509984</v>
      </c>
      <c r="R38" s="74">
        <f>'Oct-23'!R38+'Nov-23'!I38</f>
        <v>0</v>
      </c>
      <c r="S38" s="74">
        <f>'Oct-23'!S38+'Nov-23'!J38</f>
        <v>2613361</v>
      </c>
      <c r="T38" s="120">
        <f>IFERROR(O38/P38-1,"n/a")</f>
        <v>0.30834121142256699</v>
      </c>
      <c r="U38" s="120">
        <f>IFERROR(O38/Q38-1,"n/a")</f>
        <v>4.9375823555248788</v>
      </c>
      <c r="V38" s="120" t="str">
        <f>IFERROR(O38/R38-1,"n/a")</f>
        <v>n/a</v>
      </c>
      <c r="W38" s="121">
        <f>IFERROR(O38/S38-1,"n/a")</f>
        <v>0.15868875367773527</v>
      </c>
      <c r="X38" s="89">
        <v>4370939</v>
      </c>
      <c r="Y38" s="89">
        <v>1527970</v>
      </c>
      <c r="Z38" s="84">
        <v>1092884</v>
      </c>
      <c r="AA38" s="78">
        <v>4234259</v>
      </c>
      <c r="AC38" s="123"/>
    </row>
    <row r="39" spans="1:29" s="124" customFormat="1" ht="11.25">
      <c r="A39" s="123"/>
      <c r="B39" s="123"/>
      <c r="C39" s="31" t="s">
        <v>109</v>
      </c>
      <c r="D39" s="26"/>
      <c r="E39" s="32"/>
      <c r="F39" s="26"/>
      <c r="G39" s="26"/>
      <c r="H39" s="26"/>
      <c r="I39" s="26"/>
      <c r="J39" s="26"/>
      <c r="K39" s="64"/>
      <c r="L39" s="64"/>
      <c r="M39" s="64"/>
      <c r="N39" s="61"/>
      <c r="O39" s="26"/>
      <c r="P39" s="26"/>
      <c r="Q39" s="26"/>
      <c r="R39" s="26"/>
      <c r="S39" s="26"/>
      <c r="T39" s="65"/>
      <c r="U39" s="65"/>
      <c r="V39" s="65"/>
      <c r="W39" s="61"/>
      <c r="X39" s="90"/>
      <c r="Y39" s="90"/>
      <c r="Z39" s="44"/>
      <c r="AA39" s="79"/>
      <c r="AC39" s="123"/>
    </row>
    <row r="40" spans="1:29" s="124" customFormat="1" ht="11.25">
      <c r="A40" s="123"/>
      <c r="B40" s="123"/>
      <c r="C40" s="33"/>
      <c r="D40" s="26" t="s">
        <v>5</v>
      </c>
      <c r="E40" s="32"/>
      <c r="F40" s="74">
        <f t="shared" ref="F40:J41" si="6">F16</f>
        <v>49</v>
      </c>
      <c r="G40" s="74">
        <f t="shared" si="6"/>
        <v>27</v>
      </c>
      <c r="H40" s="74">
        <f t="shared" si="6"/>
        <v>28</v>
      </c>
      <c r="I40" s="74">
        <f t="shared" si="6"/>
        <v>10</v>
      </c>
      <c r="J40" s="74">
        <f t="shared" si="6"/>
        <v>29</v>
      </c>
      <c r="K40" s="64">
        <f>IFERROR(F40/G40-1,"n/a")</f>
        <v>0.81481481481481488</v>
      </c>
      <c r="L40" s="64">
        <f>IFERROR(F40/H40-1,"n/a")</f>
        <v>0.75</v>
      </c>
      <c r="M40" s="64">
        <f>IFERROR(F40/I40-1,"n/a")</f>
        <v>3.9000000000000004</v>
      </c>
      <c r="N40" s="60">
        <f>IFERROR(F40/J40-1,"n/a")</f>
        <v>0.68965517241379315</v>
      </c>
      <c r="O40" s="74">
        <f>'Oct-23'!O40+'Nov-23'!F40</f>
        <v>534</v>
      </c>
      <c r="P40" s="74">
        <f>'Oct-23'!P40+'Nov-23'!G40</f>
        <v>530</v>
      </c>
      <c r="Q40" s="74">
        <f>'Oct-23'!Q40+'Nov-23'!H40</f>
        <v>185</v>
      </c>
      <c r="R40" s="74">
        <f>'Oct-23'!R40+'Nov-23'!I40</f>
        <v>38</v>
      </c>
      <c r="S40" s="74">
        <f>'Oct-23'!S40+'Nov-23'!J40</f>
        <v>523</v>
      </c>
      <c r="T40" s="120">
        <f>IFERROR(O40/P40-1,"n/a")</f>
        <v>7.547169811320753E-3</v>
      </c>
      <c r="U40" s="120">
        <f>IFERROR(O40/Q40-1,"n/a")</f>
        <v>1.8864864864864863</v>
      </c>
      <c r="V40" s="120">
        <f>IFERROR(O40/R40-1,"n/a")</f>
        <v>13.052631578947368</v>
      </c>
      <c r="W40" s="121">
        <f>IFERROR(O40/S40-1,"n/a")</f>
        <v>2.1032504780114758E-2</v>
      </c>
      <c r="X40" s="89">
        <v>563</v>
      </c>
      <c r="Y40" s="89">
        <v>226</v>
      </c>
      <c r="Z40" s="70">
        <v>66</v>
      </c>
      <c r="AA40" s="78">
        <v>573</v>
      </c>
      <c r="AC40" s="123"/>
    </row>
    <row r="41" spans="1:29" s="124" customFormat="1" ht="11.25">
      <c r="A41" s="123"/>
      <c r="B41" s="123"/>
      <c r="C41" s="33"/>
      <c r="D41" s="26" t="s">
        <v>11</v>
      </c>
      <c r="E41" s="32"/>
      <c r="F41" s="74">
        <f t="shared" si="6"/>
        <v>98994</v>
      </c>
      <c r="G41" s="74">
        <f t="shared" si="6"/>
        <v>51003</v>
      </c>
      <c r="H41" s="74">
        <f t="shared" si="6"/>
        <v>29456</v>
      </c>
      <c r="I41" s="74">
        <f t="shared" si="6"/>
        <v>4854</v>
      </c>
      <c r="J41" s="74">
        <f t="shared" si="6"/>
        <v>37844</v>
      </c>
      <c r="K41" s="64">
        <f>IFERROR(F41/G41-1,"n/a")</f>
        <v>0.94094465031468744</v>
      </c>
      <c r="L41" s="64">
        <f>IFERROR(F41/H41-1,"n/a")</f>
        <v>2.3607414448669202</v>
      </c>
      <c r="M41" s="64">
        <f>IFERROR(F41/I41-1,"n/a")</f>
        <v>19.394313967861557</v>
      </c>
      <c r="N41" s="60">
        <f>IFERROR(F41/J41-1,"n/a")</f>
        <v>1.6158439911214457</v>
      </c>
      <c r="O41" s="74">
        <f>'Oct-23'!O41+'Nov-23'!F41</f>
        <v>1546741</v>
      </c>
      <c r="P41" s="74">
        <f>'Oct-23'!P41+'Nov-23'!G41</f>
        <v>907095</v>
      </c>
      <c r="Q41" s="74">
        <f>'Oct-23'!Q41+'Nov-23'!H41</f>
        <v>278684</v>
      </c>
      <c r="R41" s="74">
        <f>'Oct-23'!R41+'Nov-23'!I41</f>
        <v>27421</v>
      </c>
      <c r="S41" s="74">
        <f>'Oct-23'!S41+'Nov-23'!J41</f>
        <v>1262423</v>
      </c>
      <c r="T41" s="120">
        <f>IFERROR(O41/P41-1,"n/a")</f>
        <v>0.70515877609291189</v>
      </c>
      <c r="U41" s="120">
        <f>IFERROR(O41/Q41-1,"n/a")</f>
        <v>4.5501607555510901</v>
      </c>
      <c r="V41" s="120">
        <f>IFERROR(O41/R41-1,"n/a")</f>
        <v>55.40716968746581</v>
      </c>
      <c r="W41" s="121">
        <f>IFERROR(O41/S41-1,"n/a")</f>
        <v>0.22521611219060489</v>
      </c>
      <c r="X41" s="89">
        <v>1012510</v>
      </c>
      <c r="Y41" s="89">
        <v>327926</v>
      </c>
      <c r="Z41" s="84">
        <v>80778</v>
      </c>
      <c r="AA41" s="78">
        <v>1361671</v>
      </c>
      <c r="AC41" s="123"/>
    </row>
    <row r="42" spans="1:29" s="124" customFormat="1" ht="11.25">
      <c r="A42" s="123"/>
      <c r="B42" s="123"/>
      <c r="C42" s="31" t="s">
        <v>110</v>
      </c>
      <c r="D42" s="26"/>
      <c r="E42" s="32"/>
      <c r="F42" s="87"/>
      <c r="G42" s="87"/>
      <c r="H42" s="87"/>
      <c r="I42" s="87"/>
      <c r="J42" s="72"/>
      <c r="K42" s="64"/>
      <c r="L42" s="64"/>
      <c r="M42" s="64"/>
      <c r="N42" s="60"/>
      <c r="O42" s="87"/>
      <c r="P42" s="87"/>
      <c r="Q42" s="87"/>
      <c r="R42" s="87"/>
      <c r="S42" s="72"/>
      <c r="T42" s="64"/>
      <c r="U42" s="64"/>
      <c r="V42" s="64"/>
      <c r="W42" s="60"/>
      <c r="X42" s="90"/>
      <c r="Y42" s="90"/>
      <c r="Z42" s="44"/>
      <c r="AA42" s="79"/>
      <c r="AC42" s="123"/>
    </row>
    <row r="43" spans="1:29" s="124" customFormat="1" ht="11.25">
      <c r="A43" s="123"/>
      <c r="B43" s="123"/>
      <c r="C43" s="33"/>
      <c r="D43" s="26" t="s">
        <v>5</v>
      </c>
      <c r="E43" s="32"/>
      <c r="F43" s="74">
        <f t="shared" ref="F43:J44" si="7">F19</f>
        <v>39</v>
      </c>
      <c r="G43" s="74">
        <f t="shared" si="7"/>
        <v>39</v>
      </c>
      <c r="H43" s="74">
        <f t="shared" si="7"/>
        <v>13</v>
      </c>
      <c r="I43" s="74">
        <f t="shared" si="7"/>
        <v>1</v>
      </c>
      <c r="J43" s="74">
        <f t="shared" si="7"/>
        <v>15</v>
      </c>
      <c r="K43" s="64">
        <f>IFERROR(F43/G43-1,"n/a")</f>
        <v>0</v>
      </c>
      <c r="L43" s="64">
        <f>IFERROR(F43/H43-1,"n/a")</f>
        <v>2</v>
      </c>
      <c r="M43" s="64">
        <f>IFERROR(F43/I43-1,"n/a")</f>
        <v>38</v>
      </c>
      <c r="N43" s="60">
        <f>IFERROR(F43/J43-1,"n/a")</f>
        <v>1.6</v>
      </c>
      <c r="O43" s="74">
        <f>'Oct-23'!O43+'Nov-23'!F43</f>
        <v>677</v>
      </c>
      <c r="P43" s="74">
        <f>'Oct-23'!P43+'Nov-23'!G43</f>
        <v>637</v>
      </c>
      <c r="Q43" s="74">
        <f>'Oct-23'!Q43+'Nov-23'!H43</f>
        <v>44</v>
      </c>
      <c r="R43" s="74">
        <f>'Oct-23'!R43+'Nov-23'!I43</f>
        <v>7</v>
      </c>
      <c r="S43" s="74">
        <f>'Oct-23'!S43+'Nov-23'!J43</f>
        <v>274</v>
      </c>
      <c r="T43" s="120">
        <f>IFERROR(O43/P43-1,"n/a")</f>
        <v>6.279434850863419E-2</v>
      </c>
      <c r="U43" s="120">
        <f>IFERROR(O43/Q43-1,"n/a")</f>
        <v>14.386363636363637</v>
      </c>
      <c r="V43" s="120">
        <f>IFERROR(O43/R43-1,"n/a")</f>
        <v>95.714285714285708</v>
      </c>
      <c r="W43" s="121">
        <f>IFERROR(O43/S43-1,"n/a")</f>
        <v>1.4708029197080292</v>
      </c>
      <c r="X43" s="89">
        <v>669</v>
      </c>
      <c r="Y43" s="89">
        <v>59</v>
      </c>
      <c r="Z43" s="70">
        <v>9</v>
      </c>
      <c r="AA43" s="78">
        <v>287</v>
      </c>
      <c r="AC43" s="123"/>
    </row>
    <row r="44" spans="1:29" s="124" customFormat="1" ht="11.25">
      <c r="A44" s="123"/>
      <c r="B44" s="123"/>
      <c r="C44" s="33"/>
      <c r="D44" s="26" t="s">
        <v>11</v>
      </c>
      <c r="E44" s="32"/>
      <c r="F44" s="74">
        <f t="shared" si="7"/>
        <v>44881</v>
      </c>
      <c r="G44" s="74">
        <f t="shared" si="7"/>
        <v>43590</v>
      </c>
      <c r="H44" s="74">
        <f t="shared" si="7"/>
        <v>5685</v>
      </c>
      <c r="I44" s="74">
        <f t="shared" si="7"/>
        <v>0</v>
      </c>
      <c r="J44" s="74">
        <f t="shared" si="7"/>
        <v>20135</v>
      </c>
      <c r="K44" s="64">
        <f>IFERROR(F44/G44-1,"n/a")</f>
        <v>2.96168846065612E-2</v>
      </c>
      <c r="L44" s="64">
        <f>IFERROR(F44/H44-1,"n/a")</f>
        <v>6.8946350043975375</v>
      </c>
      <c r="M44" s="64" t="str">
        <f>IFERROR(F44/I44-1,"n/a")</f>
        <v>n/a</v>
      </c>
      <c r="N44" s="60">
        <f>IFERROR(F44/J44-1,"n/a")</f>
        <v>1.2290042215048422</v>
      </c>
      <c r="O44" s="74">
        <f>'Oct-23'!O44+'Nov-23'!F44</f>
        <v>1249277</v>
      </c>
      <c r="P44" s="74">
        <f>'Oct-23'!P44+'Nov-23'!G44</f>
        <v>877647</v>
      </c>
      <c r="Q44" s="74">
        <f>'Oct-23'!Q44+'Nov-23'!H44</f>
        <v>16677</v>
      </c>
      <c r="R44" s="74">
        <f>'Oct-23'!R44+'Nov-23'!I44</f>
        <v>8294</v>
      </c>
      <c r="S44" s="74">
        <f>'Oct-23'!S44+'Nov-23'!J44</f>
        <v>568659</v>
      </c>
      <c r="T44" s="120">
        <f>IFERROR(O44/P44-1,"n/a")</f>
        <v>0.42343903642352787</v>
      </c>
      <c r="U44" s="120">
        <f>IFERROR(O44/Q44-1,"n/a")</f>
        <v>73.91017569107153</v>
      </c>
      <c r="V44" s="120">
        <f>IFERROR(O44/R44-1,"n/a")</f>
        <v>149.62418615866892</v>
      </c>
      <c r="W44" s="121">
        <f>IFERROR(O44/S44-1,"n/a")</f>
        <v>1.1968824902094224</v>
      </c>
      <c r="X44" s="82">
        <v>905256</v>
      </c>
      <c r="Y44" s="82">
        <v>20626</v>
      </c>
      <c r="Z44" s="84">
        <v>10047</v>
      </c>
      <c r="AA44" s="78">
        <v>581199</v>
      </c>
      <c r="AC44" s="123"/>
    </row>
    <row r="45" spans="1:29" s="124" customFormat="1" ht="11.25">
      <c r="A45" s="123"/>
      <c r="B45" s="123"/>
      <c r="C45" s="31" t="s">
        <v>111</v>
      </c>
      <c r="D45" s="26"/>
      <c r="E45" s="34"/>
      <c r="F45" s="72"/>
      <c r="G45" s="72"/>
      <c r="H45" s="72"/>
      <c r="I45" s="72"/>
      <c r="J45" s="72"/>
      <c r="K45" s="64"/>
      <c r="L45" s="64"/>
      <c r="M45" s="64"/>
      <c r="N45" s="60"/>
      <c r="O45" s="72"/>
      <c r="P45" s="72"/>
      <c r="Q45" s="72"/>
      <c r="R45" s="72"/>
      <c r="S45" s="72"/>
      <c r="T45" s="64"/>
      <c r="U45" s="64"/>
      <c r="V45" s="64"/>
      <c r="W45" s="60"/>
      <c r="X45" s="90"/>
      <c r="Y45" s="90"/>
      <c r="Z45" s="44"/>
      <c r="AA45" s="79"/>
      <c r="AC45" s="123"/>
    </row>
    <row r="46" spans="1:29" s="124" customFormat="1" ht="11.25">
      <c r="A46" s="123"/>
      <c r="B46" s="123"/>
      <c r="C46" s="33"/>
      <c r="D46" s="26" t="s">
        <v>5</v>
      </c>
      <c r="E46" s="34"/>
      <c r="F46" s="74">
        <f t="shared" ref="F46:J47" si="8">F22</f>
        <v>210</v>
      </c>
      <c r="G46" s="74">
        <f t="shared" si="8"/>
        <v>130</v>
      </c>
      <c r="H46" s="74">
        <f t="shared" si="8"/>
        <v>67</v>
      </c>
      <c r="I46" s="74">
        <f t="shared" si="8"/>
        <v>0</v>
      </c>
      <c r="J46" s="74">
        <f t="shared" si="8"/>
        <v>95</v>
      </c>
      <c r="K46" s="64">
        <f>IFERROR(F46/G46-1,"n/a")</f>
        <v>0.61538461538461542</v>
      </c>
      <c r="L46" s="64">
        <f>IFERROR(F46/H46-1,"n/a")</f>
        <v>2.1343283582089554</v>
      </c>
      <c r="M46" s="64" t="str">
        <f>IFERROR(F46/I46-1,"n/a")</f>
        <v>n/a</v>
      </c>
      <c r="N46" s="60">
        <f>IFERROR(F46/J46-1,"n/a")</f>
        <v>1.2105263157894739</v>
      </c>
      <c r="O46" s="74">
        <f>'Oct-23'!O46+'Nov-23'!F46</f>
        <v>1084</v>
      </c>
      <c r="P46" s="74">
        <f>'Oct-23'!P46+'Nov-23'!G46</f>
        <v>771</v>
      </c>
      <c r="Q46" s="74">
        <f>'Oct-23'!Q46+'Nov-23'!H46</f>
        <v>258</v>
      </c>
      <c r="R46" s="74">
        <f>'Oct-23'!R46+'Nov-23'!I46</f>
        <v>0</v>
      </c>
      <c r="S46" s="74">
        <f>'Oct-23'!S46+'Nov-23'!J46</f>
        <v>718</v>
      </c>
      <c r="T46" s="120">
        <f>IFERROR(O46/P46-1,"n/a")</f>
        <v>0.40596627756160819</v>
      </c>
      <c r="U46" s="120">
        <f>IFERROR(O46/Q46-1,"n/a")</f>
        <v>3.2015503875968996</v>
      </c>
      <c r="V46" s="120" t="str">
        <f>IFERROR(O46/R46-1,"n/a")</f>
        <v>n/a</v>
      </c>
      <c r="W46" s="121">
        <f>IFERROR(O46/S46-1,"n/a")</f>
        <v>0.50974930362116999</v>
      </c>
      <c r="X46" s="89">
        <v>1129</v>
      </c>
      <c r="Y46" s="89">
        <v>336</v>
      </c>
      <c r="Z46" s="84">
        <v>43</v>
      </c>
      <c r="AA46" s="78">
        <v>781</v>
      </c>
      <c r="AC46" s="123"/>
    </row>
    <row r="47" spans="1:29" s="124" customFormat="1" ht="11.25">
      <c r="A47" s="123"/>
      <c r="B47" s="123"/>
      <c r="C47" s="33"/>
      <c r="D47" s="26" t="s">
        <v>11</v>
      </c>
      <c r="E47" s="32"/>
      <c r="F47" s="74">
        <f t="shared" si="8"/>
        <v>507202</v>
      </c>
      <c r="G47" s="74">
        <f t="shared" si="8"/>
        <v>274849</v>
      </c>
      <c r="H47" s="74">
        <f t="shared" si="8"/>
        <v>83507</v>
      </c>
      <c r="I47" s="74">
        <f t="shared" si="8"/>
        <v>0</v>
      </c>
      <c r="J47" s="74">
        <f t="shared" si="8"/>
        <v>263747</v>
      </c>
      <c r="K47" s="64">
        <f>IFERROR(F47/G47-1,"n/a")</f>
        <v>0.84538419277494192</v>
      </c>
      <c r="L47" s="64">
        <f>IFERROR(F47/H47-1,"n/a")</f>
        <v>5.0737662710910465</v>
      </c>
      <c r="M47" s="64" t="str">
        <f>IFERROR(F47/I47-1,"n/a")</f>
        <v>n/a</v>
      </c>
      <c r="N47" s="60">
        <f>IFERROR(F47/J47-1,"n/a")</f>
        <v>0.92306263199202276</v>
      </c>
      <c r="O47" s="74">
        <f>'Oct-23'!O47+'Nov-23'!F47</f>
        <v>3220796</v>
      </c>
      <c r="P47" s="74">
        <f>'Oct-23'!P47+'Nov-23'!G47</f>
        <v>1875306</v>
      </c>
      <c r="Q47" s="74">
        <f>'Oct-23'!Q47+'Nov-23'!H47</f>
        <v>425895</v>
      </c>
      <c r="R47" s="74">
        <f>'Oct-23'!R47+'Nov-23'!I47</f>
        <v>0</v>
      </c>
      <c r="S47" s="74">
        <f>'Oct-23'!S47+'Nov-23'!J47</f>
        <v>2242099</v>
      </c>
      <c r="T47" s="120">
        <f>IFERROR(O47/P47-1,"n/a")</f>
        <v>0.71747757432653647</v>
      </c>
      <c r="U47" s="120">
        <f>IFERROR(O47/Q47-1,"n/a")</f>
        <v>6.5624179668697682</v>
      </c>
      <c r="V47" s="120" t="str">
        <f>IFERROR(O47/R47-1,"n/a")</f>
        <v>n/a</v>
      </c>
      <c r="W47" s="121">
        <f>IFERROR(O47/S47-1,"n/a")</f>
        <v>0.43650927100007619</v>
      </c>
      <c r="X47" s="82">
        <v>2932981</v>
      </c>
      <c r="Y47" s="82">
        <v>533563</v>
      </c>
      <c r="Z47" s="84">
        <v>140552</v>
      </c>
      <c r="AA47" s="78">
        <v>2441594</v>
      </c>
      <c r="AC47" s="123"/>
    </row>
    <row r="48" spans="1:29" s="124" customFormat="1" ht="11.25">
      <c r="C48" s="31" t="s">
        <v>112</v>
      </c>
      <c r="D48" s="26"/>
      <c r="E48" s="32"/>
      <c r="F48" s="72"/>
      <c r="G48" s="72"/>
      <c r="H48" s="72"/>
      <c r="I48" s="72"/>
      <c r="J48" s="72"/>
      <c r="K48" s="64"/>
      <c r="L48" s="64"/>
      <c r="M48" s="64"/>
      <c r="N48" s="60"/>
      <c r="O48" s="72"/>
      <c r="P48" s="72"/>
      <c r="Q48" s="72"/>
      <c r="R48" s="72"/>
      <c r="S48" s="72"/>
      <c r="T48" s="64"/>
      <c r="U48" s="64"/>
      <c r="V48" s="64"/>
      <c r="W48" s="60"/>
      <c r="X48" s="90"/>
      <c r="Y48" s="90"/>
      <c r="Z48" s="44"/>
      <c r="AA48" s="79"/>
      <c r="AC48" s="123"/>
    </row>
    <row r="49" spans="3:29" s="124" customFormat="1" ht="11.25">
      <c r="C49" s="33"/>
      <c r="D49" s="26" t="s">
        <v>5</v>
      </c>
      <c r="E49" s="32"/>
      <c r="F49" s="74">
        <f t="shared" ref="F49:J50" si="9">F25</f>
        <v>0</v>
      </c>
      <c r="G49" s="74">
        <f t="shared" si="9"/>
        <v>0</v>
      </c>
      <c r="H49" s="74">
        <f t="shared" si="9"/>
        <v>0</v>
      </c>
      <c r="I49" s="74">
        <f t="shared" si="9"/>
        <v>0</v>
      </c>
      <c r="J49" s="74">
        <f t="shared" si="9"/>
        <v>0</v>
      </c>
      <c r="K49" s="64" t="str">
        <f>IFERROR(F49/G49-1,"n/a")</f>
        <v>n/a</v>
      </c>
      <c r="L49" s="64" t="str">
        <f>IFERROR(F49/H49-1,"n/a")</f>
        <v>n/a</v>
      </c>
      <c r="M49" s="64" t="str">
        <f>IFERROR(F49/I49-1,"n/a")</f>
        <v>n/a</v>
      </c>
      <c r="N49" s="60" t="str">
        <f>IFERROR(F49/J49-1,"n/a")</f>
        <v>n/a</v>
      </c>
      <c r="O49" s="74">
        <f>'Oct-23'!O49+'Nov-23'!F49</f>
        <v>21</v>
      </c>
      <c r="P49" s="74">
        <f>'Oct-23'!P49+'Nov-23'!G49</f>
        <v>9</v>
      </c>
      <c r="Q49" s="74">
        <f>'Oct-23'!Q49+'Nov-23'!H49</f>
        <v>0</v>
      </c>
      <c r="R49" s="74">
        <f>'Oct-23'!R49+'Nov-23'!I49</f>
        <v>0</v>
      </c>
      <c r="S49" s="74">
        <f>'Oct-23'!S49+'Nov-23'!J49</f>
        <v>16</v>
      </c>
      <c r="T49" s="120">
        <f>IFERROR(O49/P49-1,"n/a")</f>
        <v>1.3333333333333335</v>
      </c>
      <c r="U49" s="120" t="str">
        <f>IFERROR(O49/Q49-1,"n/a")</f>
        <v>n/a</v>
      </c>
      <c r="V49" s="120" t="str">
        <f>IFERROR(O49/R49-1,"n/a")</f>
        <v>n/a</v>
      </c>
      <c r="W49" s="121">
        <f>IFERROR(O49/S49-1,"n/a")</f>
        <v>0.3125</v>
      </c>
      <c r="X49" s="89">
        <v>9</v>
      </c>
      <c r="Y49" s="68">
        <v>0</v>
      </c>
      <c r="Z49" s="68">
        <v>0</v>
      </c>
      <c r="AA49" s="78">
        <v>16</v>
      </c>
      <c r="AC49" s="123"/>
    </row>
    <row r="50" spans="3:29" s="124" customFormat="1" ht="11.25">
      <c r="C50" s="33"/>
      <c r="D50" s="26" t="s">
        <v>11</v>
      </c>
      <c r="E50" s="32"/>
      <c r="F50" s="74">
        <f t="shared" si="9"/>
        <v>0</v>
      </c>
      <c r="G50" s="74">
        <f t="shared" si="9"/>
        <v>0</v>
      </c>
      <c r="H50" s="74">
        <f t="shared" si="9"/>
        <v>0</v>
      </c>
      <c r="I50" s="74">
        <f t="shared" si="9"/>
        <v>0</v>
      </c>
      <c r="J50" s="74">
        <f t="shared" si="9"/>
        <v>0</v>
      </c>
      <c r="K50" s="64" t="str">
        <f>IFERROR(F50/G50-1,"n/a")</f>
        <v>n/a</v>
      </c>
      <c r="L50" s="64" t="str">
        <f>IFERROR(F50/H50-1,"n/a")</f>
        <v>n/a</v>
      </c>
      <c r="M50" s="64" t="str">
        <f>IFERROR(F50/I50-1,"n/a")</f>
        <v>n/a</v>
      </c>
      <c r="N50" s="60" t="str">
        <f>IFERROR(F50/J50-1,"n/a")</f>
        <v>n/a</v>
      </c>
      <c r="O50" s="74">
        <f>'Oct-23'!O50+'Nov-23'!F50</f>
        <v>38626</v>
      </c>
      <c r="P50" s="74">
        <f>'Oct-23'!P50+'Nov-23'!G50</f>
        <v>15637</v>
      </c>
      <c r="Q50" s="74">
        <f>'Oct-23'!Q50+'Nov-23'!H50</f>
        <v>0</v>
      </c>
      <c r="R50" s="74">
        <f>'Oct-23'!R50+'Nov-23'!I50</f>
        <v>0</v>
      </c>
      <c r="S50" s="74">
        <f>'Oct-23'!S50+'Nov-23'!J50</f>
        <v>20248</v>
      </c>
      <c r="T50" s="120">
        <f>IFERROR(O50/P50-1,"n/a")</f>
        <v>1.4701669118117286</v>
      </c>
      <c r="U50" s="120" t="str">
        <f>IFERROR(O50/Q50-1,"n/a")</f>
        <v>n/a</v>
      </c>
      <c r="V50" s="120" t="str">
        <f>IFERROR(O50/R50-1,"n/a")</f>
        <v>n/a</v>
      </c>
      <c r="W50" s="121">
        <f>IFERROR(O50/S50-1,"n/a")</f>
        <v>0.90764519952587919</v>
      </c>
      <c r="X50" s="82">
        <v>15637</v>
      </c>
      <c r="Y50" s="68">
        <v>0</v>
      </c>
      <c r="Z50" s="68">
        <v>0</v>
      </c>
      <c r="AA50" s="78">
        <v>20248</v>
      </c>
      <c r="AC50" s="123"/>
    </row>
    <row r="51" spans="3:29" s="124" customFormat="1" ht="12" thickBot="1">
      <c r="C51" s="35" t="s">
        <v>12</v>
      </c>
      <c r="D51" s="36"/>
      <c r="E51" s="37"/>
      <c r="F51" s="75">
        <f>F37+F40+F43+F46+F49</f>
        <v>463</v>
      </c>
      <c r="G51" s="75">
        <f t="shared" ref="G51:J52" si="10">G37+G40+G43+G46+G49</f>
        <v>340</v>
      </c>
      <c r="H51" s="75">
        <f t="shared" si="10"/>
        <v>223</v>
      </c>
      <c r="I51" s="75">
        <f t="shared" si="10"/>
        <v>11</v>
      </c>
      <c r="J51" s="75">
        <f t="shared" si="10"/>
        <v>311</v>
      </c>
      <c r="K51" s="66">
        <f>IFERROR(F51/G51-1,"n/a")</f>
        <v>0.36176470588235299</v>
      </c>
      <c r="L51" s="66">
        <f>IFERROR(F51/H51-1,"n/a")</f>
        <v>1.0762331838565022</v>
      </c>
      <c r="M51" s="66">
        <f>IFERROR(F51/I51-1,"n/a")</f>
        <v>41.090909090909093</v>
      </c>
      <c r="N51" s="62">
        <f>IFERROR(F51/J51-1,"n/a")</f>
        <v>0.4887459807073955</v>
      </c>
      <c r="O51" s="75">
        <f t="shared" ref="O51:S52" si="11">O37+O40+O43+O46+O49</f>
        <v>3187</v>
      </c>
      <c r="P51" s="75">
        <f t="shared" si="11"/>
        <v>2712</v>
      </c>
      <c r="Q51" s="75">
        <f t="shared" si="11"/>
        <v>830</v>
      </c>
      <c r="R51" s="75">
        <f t="shared" si="11"/>
        <v>87</v>
      </c>
      <c r="S51" s="75">
        <f t="shared" si="11"/>
        <v>2399</v>
      </c>
      <c r="T51" s="66">
        <f>IFERROR(O51/P51-1,"n/a")</f>
        <v>0.17514749262536866</v>
      </c>
      <c r="U51" s="66">
        <f>IFERROR(O51/Q51-1,"n/a")</f>
        <v>2.8397590361445784</v>
      </c>
      <c r="V51" s="66">
        <f>IFERROR(O51/R51-1,"n/a")</f>
        <v>35.632183908045974</v>
      </c>
      <c r="W51" s="62">
        <f>IFERROR(O51/S51-1,"n/a")</f>
        <v>0.32847019591496451</v>
      </c>
      <c r="X51" s="46">
        <f t="shared" ref="X51:Z52" si="12">X37+X40+X43+X46+X49</f>
        <v>3856</v>
      </c>
      <c r="Y51" s="46">
        <f t="shared" si="12"/>
        <v>1673</v>
      </c>
      <c r="Z51" s="46">
        <f t="shared" si="12"/>
        <v>669</v>
      </c>
      <c r="AA51" s="80">
        <f>AA37+AA40+AA43+AA46+AA49</f>
        <v>3241</v>
      </c>
      <c r="AC51" s="123"/>
    </row>
    <row r="52" spans="3:29" s="124" customFormat="1" ht="12.75" thickTop="1" thickBot="1">
      <c r="C52" s="38" t="s">
        <v>13</v>
      </c>
      <c r="D52" s="39"/>
      <c r="E52" s="40"/>
      <c r="F52" s="76">
        <f>F38+F41+F44+F47+F50</f>
        <v>1148627</v>
      </c>
      <c r="G52" s="76">
        <f t="shared" si="10"/>
        <v>779647</v>
      </c>
      <c r="H52" s="76">
        <f t="shared" si="10"/>
        <v>304612</v>
      </c>
      <c r="I52" s="76">
        <f t="shared" si="10"/>
        <v>4854</v>
      </c>
      <c r="J52" s="76">
        <f t="shared" si="10"/>
        <v>742910</v>
      </c>
      <c r="K52" s="67">
        <f>IFERROR(F52/G52-1,"n/a")</f>
        <v>0.47326546501172961</v>
      </c>
      <c r="L52" s="67">
        <f>IFERROR(F52/H52-1,"n/a")</f>
        <v>2.7707870996546426</v>
      </c>
      <c r="M52" s="67">
        <f>IFERROR(F52/I52-1,"n/a")</f>
        <v>235.63514627111661</v>
      </c>
      <c r="N52" s="63">
        <f>IFERROR(F52/J52-1,"n/a")</f>
        <v>0.54611864155819689</v>
      </c>
      <c r="O52" s="76">
        <f t="shared" si="11"/>
        <v>9083512</v>
      </c>
      <c r="P52" s="76">
        <f t="shared" si="11"/>
        <v>5990121</v>
      </c>
      <c r="Q52" s="76">
        <f t="shared" si="11"/>
        <v>1231240</v>
      </c>
      <c r="R52" s="76">
        <f t="shared" si="11"/>
        <v>35715</v>
      </c>
      <c r="S52" s="76">
        <f t="shared" si="11"/>
        <v>6706790</v>
      </c>
      <c r="T52" s="67">
        <f>IFERROR(O52/P52-1,"n/a")</f>
        <v>0.51641544469635914</v>
      </c>
      <c r="U52" s="118">
        <f>IFERROR(O52/Q52-1,"n/a")</f>
        <v>6.377531594165232</v>
      </c>
      <c r="V52" s="118">
        <f>IFERROR(O52/R52-1,"n/a")</f>
        <v>253.33324933501331</v>
      </c>
      <c r="W52" s="119">
        <f>IFERROR(O52/S52-1,"n/a")</f>
        <v>0.3543754911067738</v>
      </c>
      <c r="X52" s="47">
        <f t="shared" si="12"/>
        <v>9237323</v>
      </c>
      <c r="Y52" s="47">
        <f t="shared" si="12"/>
        <v>2410085</v>
      </c>
      <c r="Z52" s="47">
        <f t="shared" si="12"/>
        <v>1324261</v>
      </c>
      <c r="AA52" s="81">
        <f>AA38+AA41+AA44+AA47+AA50</f>
        <v>8638971</v>
      </c>
      <c r="AC52" s="123"/>
    </row>
    <row r="53" spans="3:29" s="124" customFormat="1" ht="12" thickTop="1">
      <c r="AC53" s="123"/>
    </row>
    <row r="54" spans="3:29" s="124" customFormat="1" ht="11.25">
      <c r="P54" s="132"/>
      <c r="Q54" s="132"/>
      <c r="R54" s="132"/>
      <c r="S54" s="132"/>
      <c r="AC54" s="123"/>
    </row>
    <row r="55" spans="3:29">
      <c r="P55" s="111"/>
      <c r="Q55" s="111"/>
      <c r="R55" s="111"/>
      <c r="S55" s="111"/>
      <c r="AC55" s="9"/>
    </row>
    <row r="56" spans="3:29">
      <c r="P56" s="111"/>
      <c r="Q56" s="111"/>
      <c r="R56" s="111"/>
      <c r="S56" s="111"/>
      <c r="AC56" s="9"/>
    </row>
    <row r="57" spans="3:29">
      <c r="P57" s="111"/>
      <c r="Q57" s="111"/>
      <c r="R57" s="111"/>
      <c r="S57" s="111"/>
      <c r="AC57" s="9"/>
    </row>
    <row r="58" spans="3:29">
      <c r="AC58" s="9"/>
    </row>
    <row r="59" spans="3:29">
      <c r="AC59" s="9"/>
    </row>
    <row r="60" spans="3:29">
      <c r="AC60" s="9"/>
    </row>
    <row r="61" spans="3:29" ht="15" customHeight="1"/>
    <row r="62" spans="3:29" ht="15" customHeight="1"/>
    <row r="63" spans="3:29" ht="15" customHeight="1"/>
    <row r="64" spans="3:29" ht="15" customHeight="1"/>
    <row r="65" ht="15" customHeight="1"/>
    <row r="66" ht="15" customHeight="1"/>
  </sheetData>
  <mergeCells count="9">
    <mergeCell ref="F34:N34"/>
    <mergeCell ref="O34:W34"/>
    <mergeCell ref="X34:AA34"/>
    <mergeCell ref="F9:N9"/>
    <mergeCell ref="O9:W9"/>
    <mergeCell ref="X9:AA9"/>
    <mergeCell ref="F33:N33"/>
    <mergeCell ref="O33:W33"/>
    <mergeCell ref="X33:AA33"/>
  </mergeCells>
  <pageMargins left="0.7" right="0.7" top="0.75" bottom="0.75" header="0.3" footer="0.3"/>
  <pageSetup paperSize="9" orientation="portrait" horizontalDpi="0" verticalDpi="0"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6"/>
  <sheetViews>
    <sheetView showGridLines="0" topLeftCell="A6" zoomScaleNormal="100" workbookViewId="0">
      <selection activeCell="O27" sqref="O27"/>
    </sheetView>
  </sheetViews>
  <sheetFormatPr defaultColWidth="0" defaultRowHeight="15" customHeight="1" zeroHeight="1"/>
  <cols>
    <col min="1" max="2" width="4.140625" customWidth="1"/>
    <col min="3" max="3" width="3.85546875" customWidth="1"/>
    <col min="4" max="4" width="8.85546875" customWidth="1"/>
    <col min="5" max="5" width="13" customWidth="1"/>
    <col min="6" max="6" width="11.140625" bestFit="1" customWidth="1"/>
    <col min="7" max="7" width="10.140625" bestFit="1" customWidth="1"/>
    <col min="8" max="9" width="8.85546875" customWidth="1"/>
    <col min="10" max="10" width="10.140625" bestFit="1" customWidth="1"/>
    <col min="11" max="11" width="8" customWidth="1"/>
    <col min="12" max="12" width="8.85546875" bestFit="1" customWidth="1"/>
    <col min="13" max="14" width="8" customWidth="1"/>
    <col min="15" max="15" width="12" bestFit="1" customWidth="1"/>
    <col min="16" max="16" width="11.5703125" bestFit="1" customWidth="1"/>
    <col min="17" max="17" width="10.42578125" bestFit="1" customWidth="1"/>
    <col min="18" max="18" width="11.5703125" bestFit="1" customWidth="1"/>
    <col min="19" max="19" width="11.85546875" bestFit="1" customWidth="1"/>
    <col min="20" max="20" width="9.140625" bestFit="1" customWidth="1"/>
    <col min="21" max="21" width="8.85546875" bestFit="1" customWidth="1"/>
    <col min="22" max="22" width="9" bestFit="1" customWidth="1"/>
    <col min="23" max="23" width="7.85546875" customWidth="1"/>
    <col min="24" max="24" width="13.42578125" bestFit="1" customWidth="1"/>
    <col min="25" max="25" width="13.140625" bestFit="1" customWidth="1"/>
    <col min="26" max="26" width="12.85546875" bestFit="1" customWidth="1"/>
    <col min="27" max="27" width="15.42578125" bestFit="1" customWidth="1"/>
    <col min="28" max="28" width="11.140625" customWidth="1"/>
    <col min="29" max="29" width="3.42578125" customWidth="1"/>
    <col min="30" max="16384" width="8.85546875" hidden="1"/>
  </cols>
  <sheetData>
    <row r="1" spans="1:29">
      <c r="A1" s="9"/>
      <c r="B1" s="9"/>
      <c r="C1" s="9"/>
      <c r="D1" s="9"/>
      <c r="E1" s="9"/>
      <c r="F1" s="9"/>
      <c r="G1" s="9"/>
      <c r="H1" s="9"/>
      <c r="I1" s="9"/>
      <c r="J1" s="9"/>
      <c r="K1" s="9"/>
      <c r="L1" s="9"/>
      <c r="M1" s="9"/>
      <c r="N1" s="9"/>
      <c r="O1" s="9"/>
      <c r="P1" s="9"/>
      <c r="Q1" s="9"/>
      <c r="R1" s="9"/>
      <c r="S1" s="9"/>
      <c r="T1" s="9"/>
      <c r="U1" s="9"/>
      <c r="V1" s="9"/>
      <c r="W1" s="9"/>
      <c r="X1" s="9"/>
      <c r="Y1" s="9"/>
      <c r="Z1" s="9"/>
      <c r="AA1" s="9"/>
      <c r="AB1" s="9"/>
      <c r="AC1" s="9"/>
    </row>
    <row r="2" spans="1:29" ht="31.35" customHeight="1" thickBot="1">
      <c r="A2" s="9"/>
      <c r="B2" s="8" t="s">
        <v>6</v>
      </c>
      <c r="C2" s="23"/>
      <c r="D2" s="23"/>
      <c r="E2" s="23"/>
      <c r="F2" s="23"/>
      <c r="G2" s="23"/>
      <c r="H2" s="23"/>
      <c r="I2" s="23"/>
      <c r="J2" s="23"/>
      <c r="K2" s="23"/>
      <c r="L2" s="23"/>
      <c r="M2" s="23"/>
      <c r="N2" s="23"/>
      <c r="O2" s="23"/>
      <c r="P2" s="23"/>
      <c r="Q2" s="23"/>
      <c r="R2" s="23"/>
      <c r="S2" s="23"/>
      <c r="T2" s="23"/>
      <c r="U2" s="23"/>
      <c r="V2" s="23"/>
      <c r="W2" s="23"/>
      <c r="X2" s="23"/>
      <c r="Y2" s="23"/>
      <c r="Z2" s="23"/>
      <c r="AA2" s="23"/>
      <c r="AB2" s="24"/>
      <c r="AC2" s="9"/>
    </row>
    <row r="3" spans="1:29">
      <c r="A3" s="9"/>
      <c r="B3" s="10"/>
      <c r="C3" s="24"/>
      <c r="D3" s="24"/>
      <c r="E3" s="24"/>
      <c r="F3" s="24"/>
      <c r="G3" s="24"/>
      <c r="H3" s="24"/>
      <c r="I3" s="24"/>
      <c r="J3" s="24"/>
      <c r="K3" s="24"/>
      <c r="L3" s="24"/>
      <c r="M3" s="24"/>
      <c r="N3" s="24"/>
      <c r="O3" s="24"/>
      <c r="P3" s="24"/>
      <c r="Q3" s="24"/>
      <c r="R3" s="24"/>
      <c r="S3" s="24"/>
      <c r="T3" s="24"/>
      <c r="U3" s="24"/>
      <c r="V3" s="24"/>
      <c r="W3" s="24"/>
      <c r="X3" s="24"/>
      <c r="Y3" s="24"/>
      <c r="Z3" s="24"/>
      <c r="AA3" s="25">
        <v>45214</v>
      </c>
      <c r="AB3" s="25"/>
      <c r="AC3" s="9"/>
    </row>
    <row r="4" spans="1:29" ht="15.75">
      <c r="A4" s="9"/>
      <c r="B4" s="11" t="s">
        <v>7</v>
      </c>
      <c r="C4" s="26"/>
      <c r="D4" s="93" t="s">
        <v>24</v>
      </c>
      <c r="E4" s="134">
        <v>2023</v>
      </c>
      <c r="F4" s="24"/>
      <c r="G4" s="24"/>
      <c r="H4" s="24"/>
      <c r="I4" s="24"/>
      <c r="J4" s="24"/>
      <c r="K4" s="24"/>
      <c r="L4" s="24"/>
      <c r="M4" s="24"/>
      <c r="N4" s="24"/>
      <c r="O4" s="24"/>
      <c r="P4" s="24"/>
      <c r="Q4" s="24"/>
      <c r="R4" s="24"/>
      <c r="S4" s="24"/>
      <c r="T4" s="24"/>
      <c r="U4" s="24"/>
      <c r="V4" s="24"/>
      <c r="W4" s="24"/>
      <c r="X4" s="24"/>
      <c r="Y4" s="24"/>
      <c r="Z4" s="24"/>
      <c r="AA4" s="24"/>
      <c r="AB4" s="24"/>
      <c r="AC4" s="9"/>
    </row>
    <row r="5" spans="1:29">
      <c r="A5" s="9"/>
      <c r="B5" s="10"/>
      <c r="C5" s="24"/>
      <c r="D5" s="24"/>
      <c r="E5" s="24"/>
      <c r="F5" s="24"/>
      <c r="G5" s="24"/>
      <c r="H5" s="24"/>
      <c r="I5" s="24"/>
      <c r="J5" s="24"/>
      <c r="K5" s="24"/>
      <c r="L5" s="24"/>
      <c r="M5" s="24"/>
      <c r="N5" s="24"/>
      <c r="O5" s="24"/>
      <c r="P5" s="24"/>
      <c r="Q5" s="24"/>
      <c r="R5" s="24"/>
      <c r="S5" s="24"/>
      <c r="T5" s="24"/>
      <c r="U5" s="24"/>
      <c r="V5" s="24"/>
      <c r="W5" s="24"/>
      <c r="X5" s="24"/>
      <c r="Y5" s="24"/>
      <c r="Z5" s="24"/>
      <c r="AA5" s="24"/>
      <c r="AB5" s="24"/>
      <c r="AC5" s="9"/>
    </row>
    <row r="6" spans="1:29">
      <c r="A6" s="9"/>
      <c r="B6" s="10"/>
      <c r="C6" s="24"/>
      <c r="D6" s="24"/>
      <c r="E6" s="24"/>
      <c r="F6" s="24"/>
      <c r="G6" s="24"/>
      <c r="H6" s="24"/>
      <c r="I6" s="24"/>
      <c r="J6" s="24"/>
      <c r="K6" s="24"/>
      <c r="L6" s="24"/>
      <c r="M6" s="24"/>
      <c r="N6" s="24"/>
      <c r="O6" s="24"/>
      <c r="P6" s="24"/>
      <c r="Q6" s="24"/>
      <c r="R6" s="24"/>
      <c r="S6" s="24"/>
      <c r="T6" s="24"/>
      <c r="U6" s="24"/>
      <c r="V6" s="24"/>
      <c r="W6" s="24"/>
      <c r="X6" s="24"/>
      <c r="Y6" s="24"/>
      <c r="Z6" s="24"/>
      <c r="AA6" s="24"/>
      <c r="AB6" s="24"/>
      <c r="AC6" s="9"/>
    </row>
    <row r="7" spans="1:29">
      <c r="A7" s="9"/>
      <c r="B7" s="10"/>
      <c r="C7" s="86" t="s">
        <v>62</v>
      </c>
      <c r="D7" s="24"/>
      <c r="E7" s="24"/>
      <c r="F7" s="24"/>
      <c r="G7" s="24"/>
      <c r="H7" s="24"/>
      <c r="I7" s="24"/>
      <c r="J7" s="24"/>
      <c r="K7" s="24"/>
      <c r="L7" s="24"/>
      <c r="M7" s="24"/>
      <c r="N7" s="24"/>
      <c r="O7" s="24"/>
      <c r="P7" s="24"/>
      <c r="Q7" s="24"/>
      <c r="R7" s="24"/>
      <c r="S7" s="24"/>
      <c r="T7" s="24"/>
      <c r="U7" s="24"/>
      <c r="V7" s="24"/>
      <c r="W7" s="24"/>
      <c r="X7" s="24"/>
      <c r="Y7" s="24"/>
      <c r="Z7" s="24"/>
      <c r="AA7" s="24"/>
      <c r="AB7" s="24"/>
      <c r="AC7" s="9"/>
    </row>
    <row r="8" spans="1:29">
      <c r="A8" s="9"/>
      <c r="B8" s="10"/>
      <c r="C8" s="24"/>
      <c r="D8" s="24"/>
      <c r="E8" s="24"/>
      <c r="F8" s="24"/>
      <c r="G8" s="24"/>
      <c r="H8" s="24"/>
      <c r="I8" s="24"/>
      <c r="J8" s="24"/>
      <c r="K8" s="24"/>
      <c r="L8" s="24"/>
      <c r="M8" s="24"/>
      <c r="N8" s="24"/>
      <c r="O8" s="24"/>
      <c r="P8" s="24"/>
      <c r="Q8" s="24"/>
      <c r="R8" s="24"/>
      <c r="S8" s="24"/>
      <c r="T8" s="24"/>
      <c r="U8" s="24"/>
      <c r="V8" s="24"/>
      <c r="W8" s="24"/>
      <c r="X8" s="24"/>
      <c r="Y8" s="24"/>
      <c r="Z8" s="24"/>
      <c r="AA8" s="24"/>
      <c r="AB8" s="24"/>
      <c r="AC8" s="9"/>
    </row>
    <row r="9" spans="1:29" s="124" customFormat="1" ht="11.25">
      <c r="A9" s="123"/>
      <c r="C9" s="27" t="s">
        <v>7</v>
      </c>
      <c r="D9" s="28"/>
      <c r="E9" s="28"/>
      <c r="F9" s="155" t="str">
        <f>D4</f>
        <v>October</v>
      </c>
      <c r="G9" s="158"/>
      <c r="H9" s="158"/>
      <c r="I9" s="158"/>
      <c r="J9" s="158"/>
      <c r="K9" s="158"/>
      <c r="L9" s="158"/>
      <c r="M9" s="158"/>
      <c r="N9" s="159"/>
      <c r="O9" s="157" t="str">
        <f>"January to "&amp; D4</f>
        <v>January to October</v>
      </c>
      <c r="P9" s="158"/>
      <c r="Q9" s="158"/>
      <c r="R9" s="158"/>
      <c r="S9" s="158"/>
      <c r="T9" s="158"/>
      <c r="U9" s="158"/>
      <c r="V9" s="158"/>
      <c r="W9" s="159"/>
      <c r="X9" s="157" t="s">
        <v>57</v>
      </c>
      <c r="Y9" s="158"/>
      <c r="Z9" s="158"/>
      <c r="AA9" s="160"/>
      <c r="AB9" s="123"/>
      <c r="AC9" s="123"/>
    </row>
    <row r="10" spans="1:29" s="124" customFormat="1" ht="13.5">
      <c r="A10" s="123"/>
      <c r="B10" s="125"/>
      <c r="C10" s="29"/>
      <c r="D10" s="30"/>
      <c r="E10" s="30"/>
      <c r="F10" s="29"/>
      <c r="G10" s="30"/>
      <c r="H10" s="30"/>
      <c r="I10" s="30"/>
      <c r="J10" s="30"/>
      <c r="K10" s="30"/>
      <c r="L10" s="30"/>
      <c r="M10" s="30"/>
      <c r="N10" s="56"/>
      <c r="O10" s="30"/>
      <c r="P10" s="30"/>
      <c r="Q10" s="30"/>
      <c r="R10" s="30"/>
      <c r="S10" s="30"/>
      <c r="T10" s="30"/>
      <c r="U10" s="30"/>
      <c r="V10" s="30"/>
      <c r="W10" s="56"/>
      <c r="X10" s="30"/>
      <c r="Y10" s="30"/>
      <c r="Z10" s="30"/>
      <c r="AA10" s="56"/>
      <c r="AB10" s="123"/>
      <c r="AC10" s="123"/>
    </row>
    <row r="11" spans="1:29" s="124" customFormat="1" ht="26.1" customHeight="1">
      <c r="A11" s="126"/>
      <c r="B11" s="127"/>
      <c r="C11" s="59" t="s">
        <v>29</v>
      </c>
      <c r="D11" s="50"/>
      <c r="E11" s="51"/>
      <c r="F11" s="55">
        <v>2023</v>
      </c>
      <c r="G11" s="52">
        <v>2022</v>
      </c>
      <c r="H11" s="52">
        <v>2021</v>
      </c>
      <c r="I11" s="52">
        <v>2020</v>
      </c>
      <c r="J11" s="52">
        <v>2019</v>
      </c>
      <c r="K11" s="53" t="s">
        <v>66</v>
      </c>
      <c r="L11" s="53" t="s">
        <v>67</v>
      </c>
      <c r="M11" s="53" t="s">
        <v>68</v>
      </c>
      <c r="N11" s="57" t="s">
        <v>101</v>
      </c>
      <c r="O11" s="53">
        <v>2023</v>
      </c>
      <c r="P11" s="53">
        <v>2022</v>
      </c>
      <c r="Q11" s="52">
        <v>2021</v>
      </c>
      <c r="R11" s="52">
        <v>2020</v>
      </c>
      <c r="S11" s="52">
        <v>2019</v>
      </c>
      <c r="T11" s="53" t="s">
        <v>66</v>
      </c>
      <c r="U11" s="53" t="s">
        <v>67</v>
      </c>
      <c r="V11" s="53" t="s">
        <v>68</v>
      </c>
      <c r="W11" s="57" t="s">
        <v>101</v>
      </c>
      <c r="X11" s="53">
        <v>2022</v>
      </c>
      <c r="Y11" s="53">
        <v>2021</v>
      </c>
      <c r="Z11" s="52">
        <v>2020</v>
      </c>
      <c r="AA11" s="77">
        <v>2019</v>
      </c>
      <c r="AB11" s="126"/>
      <c r="AC11" s="126"/>
    </row>
    <row r="12" spans="1:29" s="124" customFormat="1" ht="12.75">
      <c r="A12" s="123"/>
      <c r="B12" s="128"/>
      <c r="C12" s="31" t="s">
        <v>108</v>
      </c>
      <c r="D12" s="26"/>
      <c r="E12" s="32"/>
      <c r="F12" s="26"/>
      <c r="G12" s="26"/>
      <c r="H12" s="26"/>
      <c r="I12" s="26"/>
      <c r="J12" s="26"/>
      <c r="K12" s="26"/>
      <c r="L12" s="26"/>
      <c r="M12" s="26"/>
      <c r="N12" s="32"/>
      <c r="O12" s="26"/>
      <c r="P12" s="26"/>
      <c r="Q12" s="26"/>
      <c r="R12" s="26"/>
      <c r="S12" s="26"/>
      <c r="T12" s="26"/>
      <c r="U12" s="26"/>
      <c r="V12" s="26"/>
      <c r="W12" s="32"/>
      <c r="X12" s="26"/>
      <c r="Y12" s="26"/>
      <c r="Z12" s="26"/>
      <c r="AA12" s="32"/>
      <c r="AB12" s="123"/>
      <c r="AC12" s="123"/>
    </row>
    <row r="13" spans="1:29" s="124" customFormat="1" ht="12.75">
      <c r="A13" s="123"/>
      <c r="B13" s="128"/>
      <c r="C13" s="33"/>
      <c r="D13" s="26" t="s">
        <v>5</v>
      </c>
      <c r="E13" s="32"/>
      <c r="F13" s="71">
        <v>81</v>
      </c>
      <c r="G13" s="71">
        <v>78</v>
      </c>
      <c r="H13" s="71">
        <v>89</v>
      </c>
      <c r="I13" s="71">
        <v>0</v>
      </c>
      <c r="J13" s="71">
        <v>110</v>
      </c>
      <c r="K13" s="64">
        <f>IFERROR(F13/G13-1,"n/a")</f>
        <v>3.8461538461538547E-2</v>
      </c>
      <c r="L13" s="64">
        <f t="shared" ref="L13:L28" si="0">IFERROR(F13/H13-1,"n/a")</f>
        <v>-8.98876404494382E-2</v>
      </c>
      <c r="M13" s="64" t="str">
        <f>IFERROR(F13/I13-1,"n/a")</f>
        <v>n/a</v>
      </c>
      <c r="N13" s="60">
        <f>IFERROR(F13/J13-1,"n/a")</f>
        <v>-0.26363636363636367</v>
      </c>
      <c r="O13" s="68">
        <f>'Sep-23'!O13+'Oct-23'!F13</f>
        <v>1236</v>
      </c>
      <c r="P13" s="68">
        <f>'Sep-23'!$P$13+G13</f>
        <v>1151</v>
      </c>
      <c r="Q13" s="68">
        <f>'Sep-23'!Q13+'Oct-23'!H13</f>
        <v>228</v>
      </c>
      <c r="R13" s="68">
        <f>'Sep-23'!R13+'Oct-23'!I13</f>
        <v>551</v>
      </c>
      <c r="S13" s="68">
        <f>'Sep-23'!S13+'Oct-23'!J13</f>
        <v>1212</v>
      </c>
      <c r="T13" s="64">
        <f>IFERROR(O13/P13-1,"n/a")</f>
        <v>7.3848827106863579E-2</v>
      </c>
      <c r="U13" s="64">
        <f>IFERROR(O13/Q13-1,"n/a")</f>
        <v>4.4210526315789478</v>
      </c>
      <c r="V13" s="64">
        <f>IFERROR(O13/R13-1,"n/a")</f>
        <v>1.2431941923774956</v>
      </c>
      <c r="W13" s="60">
        <f>IFERROR(O13/S13-1,"n/a")</f>
        <v>1.980198019801982E-2</v>
      </c>
      <c r="X13" s="68">
        <v>1486</v>
      </c>
      <c r="Y13" s="68">
        <v>522</v>
      </c>
      <c r="Z13" s="68">
        <v>551</v>
      </c>
      <c r="AA13" s="68">
        <v>1591</v>
      </c>
      <c r="AB13" s="123"/>
      <c r="AC13" s="123"/>
    </row>
    <row r="14" spans="1:29" s="124" customFormat="1" ht="12.75">
      <c r="A14" s="123"/>
      <c r="B14" s="128"/>
      <c r="C14" s="33"/>
      <c r="D14" s="26" t="s">
        <v>11</v>
      </c>
      <c r="E14" s="32"/>
      <c r="F14" s="71">
        <v>282162</v>
      </c>
      <c r="G14" s="71">
        <v>268578</v>
      </c>
      <c r="H14" s="71">
        <v>143120</v>
      </c>
      <c r="I14" s="71">
        <v>0</v>
      </c>
      <c r="J14" s="71">
        <v>299863</v>
      </c>
      <c r="K14" s="64">
        <f>IFERROR(F14/G14-1,"n/a")</f>
        <v>5.0577485870026528E-2</v>
      </c>
      <c r="L14" s="64">
        <f t="shared" si="0"/>
        <v>0.97150642817216326</v>
      </c>
      <c r="M14" s="64" t="str">
        <f>IFERROR(F14/I14-1,"n/a")</f>
        <v>n/a</v>
      </c>
      <c r="N14" s="60">
        <f>IFERROR(F14/J14-1,"n/a")</f>
        <v>-5.9030290499328064E-2</v>
      </c>
      <c r="O14" s="68">
        <f>'Sep-23'!$O$14+F14</f>
        <v>4068706</v>
      </c>
      <c r="P14" s="68">
        <f>'Sep-23'!P14+'Oct-23'!G14</f>
        <v>2663889</v>
      </c>
      <c r="Q14" s="68">
        <f>'Sep-23'!Q14+'Oct-23'!H14</f>
        <v>324020</v>
      </c>
      <c r="R14" s="68">
        <f>'Sep-23'!R14+'Oct-23'!I14</f>
        <v>1092884</v>
      </c>
      <c r="S14" s="68">
        <f>'Sep-23'!S14+'Oct-23'!J14</f>
        <v>3643281</v>
      </c>
      <c r="T14" s="64">
        <f>IFERROR(O14/P14-1,"n/a")</f>
        <v>0.52735568186211967</v>
      </c>
      <c r="U14" s="64">
        <f>IFERROR(O14/Q14-1,"n/a")</f>
        <v>11.556959446947719</v>
      </c>
      <c r="V14" s="64">
        <f>IFERROR(O14/R14-1,"n/a")</f>
        <v>2.7229074631891401</v>
      </c>
      <c r="W14" s="60">
        <f>IFERROR(O14/S14-1,"n/a")</f>
        <v>0.1167697468298492</v>
      </c>
      <c r="X14" s="68">
        <v>3592413</v>
      </c>
      <c r="Y14" s="68">
        <v>768312</v>
      </c>
      <c r="Z14" s="68">
        <v>1092884</v>
      </c>
      <c r="AA14" s="68">
        <v>4592479</v>
      </c>
      <c r="AB14" s="123"/>
      <c r="AC14" s="123"/>
    </row>
    <row r="15" spans="1:29" s="124" customFormat="1" ht="12.75">
      <c r="A15" s="123"/>
      <c r="B15" s="128"/>
      <c r="C15" s="31" t="s">
        <v>109</v>
      </c>
      <c r="D15" s="26"/>
      <c r="E15" s="32"/>
      <c r="F15" s="97"/>
      <c r="G15" s="26"/>
      <c r="H15" s="26"/>
      <c r="I15" s="26"/>
      <c r="J15" s="26"/>
      <c r="K15" s="64"/>
      <c r="L15" s="64"/>
      <c r="M15" s="64"/>
      <c r="N15" s="61"/>
      <c r="O15" s="87"/>
      <c r="P15" s="87"/>
      <c r="Q15" s="87"/>
      <c r="R15" s="87"/>
      <c r="S15" s="87"/>
      <c r="T15" s="64"/>
      <c r="U15" s="64"/>
      <c r="V15" s="65"/>
      <c r="W15" s="61"/>
      <c r="X15" s="43"/>
      <c r="Y15" s="43"/>
      <c r="Z15" s="43"/>
      <c r="AA15" s="43"/>
      <c r="AB15" s="123"/>
      <c r="AC15" s="123"/>
    </row>
    <row r="16" spans="1:29" s="124" customFormat="1" ht="12.75">
      <c r="A16" s="123"/>
      <c r="B16" s="128"/>
      <c r="C16" s="33"/>
      <c r="D16" s="26" t="s">
        <v>5</v>
      </c>
      <c r="E16" s="32"/>
      <c r="F16" s="71">
        <v>87</v>
      </c>
      <c r="G16" s="71">
        <v>89</v>
      </c>
      <c r="H16" s="71">
        <v>33</v>
      </c>
      <c r="I16" s="71">
        <v>17</v>
      </c>
      <c r="J16" s="71">
        <v>114</v>
      </c>
      <c r="K16" s="64">
        <f>IFERROR(F16/G16-1,"n/a")</f>
        <v>-2.2471910112359605E-2</v>
      </c>
      <c r="L16" s="64">
        <f t="shared" si="0"/>
        <v>1.6363636363636362</v>
      </c>
      <c r="M16" s="64">
        <f>IFERROR(F16/I16-1,"n/a")</f>
        <v>4.117647058823529</v>
      </c>
      <c r="N16" s="60">
        <f>IFERROR(F16/J16-1,"n/a")</f>
        <v>-0.23684210526315785</v>
      </c>
      <c r="O16" s="68">
        <f>'Sep-23'!$O$16+F16</f>
        <v>512</v>
      </c>
      <c r="P16" s="68">
        <f>'Sep-23'!P16+'Oct-23'!G16</f>
        <v>539</v>
      </c>
      <c r="Q16" s="68">
        <f>'Sep-23'!Q16+'Oct-23'!H16</f>
        <v>169</v>
      </c>
      <c r="R16" s="68">
        <f>'Sep-23'!R16+'Oct-23'!I16</f>
        <v>38</v>
      </c>
      <c r="S16" s="68">
        <f>'Sep-23'!S16+'Oct-23'!J16</f>
        <v>517</v>
      </c>
      <c r="T16" s="64">
        <f>IFERROR(O16/P16-1,"n/a")</f>
        <v>-5.0092764378478649E-2</v>
      </c>
      <c r="U16" s="64">
        <f>IFERROR(O16/Q16-1,"n/a")</f>
        <v>2.029585798816568</v>
      </c>
      <c r="V16" s="64">
        <f>IFERROR(O16/R16-1,"n/a")</f>
        <v>12.473684210526315</v>
      </c>
      <c r="W16" s="60">
        <f>IFERROR(O16/S16-1,"n/a")</f>
        <v>-9.6711798839458352E-3</v>
      </c>
      <c r="X16" s="68">
        <v>572</v>
      </c>
      <c r="Y16" s="68">
        <v>202</v>
      </c>
      <c r="Z16" s="68">
        <v>54</v>
      </c>
      <c r="AA16" s="68">
        <v>586</v>
      </c>
      <c r="AB16" s="123"/>
      <c r="AC16" s="123"/>
    </row>
    <row r="17" spans="1:29" s="124" customFormat="1" ht="12.75">
      <c r="A17" s="123"/>
      <c r="B17" s="128"/>
      <c r="C17" s="33"/>
      <c r="D17" s="26" t="s">
        <v>11</v>
      </c>
      <c r="E17" s="32"/>
      <c r="F17" s="71">
        <v>199183</v>
      </c>
      <c r="G17" s="71">
        <v>124605</v>
      </c>
      <c r="H17" s="71">
        <v>44045</v>
      </c>
      <c r="I17" s="71">
        <v>13954</v>
      </c>
      <c r="J17" s="71">
        <v>223063</v>
      </c>
      <c r="K17" s="64">
        <f>IFERROR(F17/G17-1,"n/a")</f>
        <v>0.59851530837446321</v>
      </c>
      <c r="L17" s="64">
        <f t="shared" si="0"/>
        <v>3.522261323646271</v>
      </c>
      <c r="M17" s="64">
        <f>IFERROR(F17/I17-1,"n/a")</f>
        <v>13.274258277196504</v>
      </c>
      <c r="N17" s="60">
        <f>IFERROR(F17/J17-1,"n/a")</f>
        <v>-0.10705495756804129</v>
      </c>
      <c r="O17" s="68">
        <f>'Sep-23'!O17+'Oct-23'!F17</f>
        <v>1530802</v>
      </c>
      <c r="P17" s="68">
        <f>'Sep-23'!P17+'Oct-23'!G17</f>
        <v>892600</v>
      </c>
      <c r="Q17" s="68">
        <f>'Sep-23'!Q17+'Oct-23'!H17</f>
        <v>259331</v>
      </c>
      <c r="R17" s="68">
        <f>'Sep-23'!R17+'Oct-23'!I17</f>
        <v>63680</v>
      </c>
      <c r="S17" s="68">
        <f>'Sep-23'!S17+'Oct-23'!J17</f>
        <v>1304953</v>
      </c>
      <c r="T17" s="64">
        <f>IFERROR(O17/P17-1,"n/a")</f>
        <v>0.71499215774142955</v>
      </c>
      <c r="U17" s="64">
        <f>IFERROR(O17/Q17-1,"n/a")</f>
        <v>4.9028885864011631</v>
      </c>
      <c r="V17" s="64">
        <f>IFERROR(O17/R17-1,"n/a")</f>
        <v>23.038976130653268</v>
      </c>
      <c r="W17" s="60">
        <f>IFERROR(O17/S17-1,"n/a")</f>
        <v>0.17307060101015126</v>
      </c>
      <c r="X17" s="68">
        <v>965963</v>
      </c>
      <c r="Y17" s="68">
        <v>301521</v>
      </c>
      <c r="Z17" s="68">
        <v>70675</v>
      </c>
      <c r="AA17" s="68">
        <v>1400932</v>
      </c>
      <c r="AB17" s="123"/>
      <c r="AC17" s="123"/>
    </row>
    <row r="18" spans="1:29" s="124" customFormat="1" ht="12.75">
      <c r="A18" s="123"/>
      <c r="B18" s="128"/>
      <c r="C18" s="31" t="s">
        <v>110</v>
      </c>
      <c r="D18" s="26"/>
      <c r="E18" s="32"/>
      <c r="F18" s="72"/>
      <c r="G18" s="72"/>
      <c r="H18" s="72"/>
      <c r="I18" s="72"/>
      <c r="J18" s="72"/>
      <c r="K18" s="64"/>
      <c r="L18" s="64"/>
      <c r="M18" s="64"/>
      <c r="N18" s="60"/>
      <c r="O18" s="87"/>
      <c r="P18" s="87"/>
      <c r="Q18" s="87"/>
      <c r="R18" s="87"/>
      <c r="S18" s="87"/>
      <c r="T18" s="64"/>
      <c r="U18" s="64"/>
      <c r="V18" s="64"/>
      <c r="W18" s="60"/>
      <c r="X18" s="43"/>
      <c r="Y18" s="43"/>
      <c r="Z18" s="43"/>
      <c r="AA18" s="43"/>
      <c r="AB18" s="123"/>
      <c r="AC18" s="123"/>
    </row>
    <row r="19" spans="1:29" s="124" customFormat="1" ht="12.75">
      <c r="A19" s="123"/>
      <c r="B19" s="128"/>
      <c r="C19" s="33"/>
      <c r="D19" s="26" t="s">
        <v>5</v>
      </c>
      <c r="E19" s="32"/>
      <c r="F19" s="71">
        <v>117</v>
      </c>
      <c r="G19" s="71">
        <v>97</v>
      </c>
      <c r="H19" s="71">
        <v>15</v>
      </c>
      <c r="I19" s="71">
        <v>1</v>
      </c>
      <c r="J19" s="71">
        <v>34</v>
      </c>
      <c r="K19" s="64">
        <f>IFERROR(F19/G19-1,"n/a")</f>
        <v>0.20618556701030921</v>
      </c>
      <c r="L19" s="64">
        <f t="shared" si="0"/>
        <v>6.8</v>
      </c>
      <c r="M19" s="64">
        <f>IFERROR(F19/I19-1,"n/a")</f>
        <v>116</v>
      </c>
      <c r="N19" s="60">
        <f>IFERROR(F19/J19-1,"n/a")</f>
        <v>2.4411764705882355</v>
      </c>
      <c r="O19" s="68">
        <f>'Sep-23'!O19+'Oct-23'!F19</f>
        <v>661</v>
      </c>
      <c r="P19" s="68">
        <f>'Sep-23'!P19+'Oct-23'!G19</f>
        <v>610</v>
      </c>
      <c r="Q19" s="68">
        <f>'Sep-23'!Q19+'Oct-23'!H19</f>
        <v>31</v>
      </c>
      <c r="R19" s="68">
        <f>'Sep-23'!R19+'Oct-23'!I19</f>
        <v>9</v>
      </c>
      <c r="S19" s="68">
        <f>'Sep-23'!S19+'Oct-23'!J19</f>
        <v>265</v>
      </c>
      <c r="T19" s="64">
        <f>IFERROR(O19/P19-1,"n/a")</f>
        <v>8.3606557377049251E-2</v>
      </c>
      <c r="U19" s="64">
        <f>IFERROR(O19/Q19-1,"n/a")</f>
        <v>20.322580645161292</v>
      </c>
      <c r="V19" s="64">
        <f>IFERROR(O19/R19-1,"n/a")</f>
        <v>72.444444444444443</v>
      </c>
      <c r="W19" s="60">
        <f>IFERROR(O19/S19-1,"n/a")</f>
        <v>1.4943396226415095</v>
      </c>
      <c r="X19" s="68">
        <v>658</v>
      </c>
      <c r="Y19" s="68">
        <v>47</v>
      </c>
      <c r="Z19" s="68">
        <v>9</v>
      </c>
      <c r="AA19" s="68">
        <v>290</v>
      </c>
      <c r="AB19" s="123"/>
      <c r="AC19" s="123"/>
    </row>
    <row r="20" spans="1:29" s="124" customFormat="1" ht="12.75">
      <c r="A20" s="123"/>
      <c r="B20" s="128"/>
      <c r="C20" s="33"/>
      <c r="D20" s="26" t="s">
        <v>11</v>
      </c>
      <c r="E20" s="32"/>
      <c r="F20" s="71">
        <v>211817</v>
      </c>
      <c r="G20" s="71">
        <v>133084</v>
      </c>
      <c r="H20" s="71">
        <v>6450</v>
      </c>
      <c r="I20" s="71">
        <v>0</v>
      </c>
      <c r="J20" s="71">
        <v>67246</v>
      </c>
      <c r="K20" s="64">
        <f>IFERROR(F20/G20-1,"n/a")</f>
        <v>0.59160379910432503</v>
      </c>
      <c r="L20" s="64">
        <f t="shared" si="0"/>
        <v>31.83984496124031</v>
      </c>
      <c r="M20" s="64" t="str">
        <f>IFERROR(F20/I20-1,"n/a")</f>
        <v>n/a</v>
      </c>
      <c r="N20" s="60">
        <f t="shared" ref="N20:N28" si="1">IFERROR(F20/J20-1,"n/a")</f>
        <v>2.1498825208934362</v>
      </c>
      <c r="O20" s="68">
        <f>'Sep-23'!O20+'Oct-23'!F20</f>
        <v>1225242</v>
      </c>
      <c r="P20" s="68">
        <f>'Sep-23'!P20+'Oct-23'!G20</f>
        <v>837142</v>
      </c>
      <c r="Q20" s="68">
        <f>'Sep-23'!Q20+'Oct-23'!H20</f>
        <v>10992</v>
      </c>
      <c r="R20" s="68">
        <f>'Sep-23'!R20+'Oct-23'!I20</f>
        <v>10047</v>
      </c>
      <c r="S20" s="68">
        <f>'Sep-23'!S20+'Oct-23'!J20</f>
        <v>555008</v>
      </c>
      <c r="T20" s="64">
        <f>IFERROR(O20/P20-1,"n/a")</f>
        <v>0.46360115727080942</v>
      </c>
      <c r="U20" s="64">
        <f>IFERROR(O20/Q20-1,"n/a")</f>
        <v>110.46670305676857</v>
      </c>
      <c r="V20" s="64">
        <f>IFERROR(O20/R20-1,"n/a")</f>
        <v>120.9510301582562</v>
      </c>
      <c r="W20" s="60">
        <f>IFERROR(O20/S20-1,"n/a")</f>
        <v>1.2076114218173433</v>
      </c>
      <c r="X20" s="68">
        <v>887495</v>
      </c>
      <c r="Y20" s="68">
        <v>17541</v>
      </c>
      <c r="Z20" s="68">
        <v>10046.999999999998</v>
      </c>
      <c r="AA20" s="68">
        <v>585930</v>
      </c>
      <c r="AB20" s="123"/>
      <c r="AC20" s="123"/>
    </row>
    <row r="21" spans="1:29" s="124" customFormat="1" ht="12.75">
      <c r="A21" s="123"/>
      <c r="B21" s="128"/>
      <c r="C21" s="31" t="s">
        <v>111</v>
      </c>
      <c r="D21" s="26"/>
      <c r="E21" s="34"/>
      <c r="F21" s="72"/>
      <c r="G21" s="72"/>
      <c r="H21" s="72"/>
      <c r="I21" s="72"/>
      <c r="J21" s="72"/>
      <c r="K21" s="64"/>
      <c r="L21" s="64"/>
      <c r="M21" s="64"/>
      <c r="N21" s="60"/>
      <c r="O21" s="87"/>
      <c r="P21" s="87"/>
      <c r="Q21" s="87"/>
      <c r="R21" s="87"/>
      <c r="S21" s="87"/>
      <c r="T21" s="64"/>
      <c r="U21" s="64"/>
      <c r="V21" s="64"/>
      <c r="W21" s="60"/>
      <c r="X21" s="43"/>
      <c r="Y21" s="43"/>
      <c r="Z21" s="43"/>
      <c r="AA21" s="43"/>
      <c r="AB21" s="123"/>
      <c r="AC21" s="123"/>
    </row>
    <row r="22" spans="1:29" s="124" customFormat="1" ht="12.75">
      <c r="A22" s="123"/>
      <c r="B22" s="128"/>
      <c r="C22" s="33"/>
      <c r="D22" s="26" t="s">
        <v>5</v>
      </c>
      <c r="E22" s="34"/>
      <c r="F22" s="71">
        <v>185</v>
      </c>
      <c r="G22" s="71">
        <v>149</v>
      </c>
      <c r="H22" s="71">
        <v>107</v>
      </c>
      <c r="I22" s="71">
        <v>0</v>
      </c>
      <c r="J22" s="71">
        <v>127</v>
      </c>
      <c r="K22" s="64">
        <f>IFERROR(F22/G22-1,"n/a")</f>
        <v>0.24161073825503365</v>
      </c>
      <c r="L22" s="64">
        <f t="shared" si="0"/>
        <v>0.72897196261682251</v>
      </c>
      <c r="M22" s="64" t="str">
        <f>IFERROR(F22/I22-1,"n/a")</f>
        <v>n/a</v>
      </c>
      <c r="N22" s="60">
        <f t="shared" si="1"/>
        <v>0.45669291338582685</v>
      </c>
      <c r="O22" s="68">
        <f>'Sep-23'!O22+'Oct-23'!F22</f>
        <v>1161</v>
      </c>
      <c r="P22" s="68">
        <f>'Sep-23'!P22+'Oct-23'!G22</f>
        <v>694</v>
      </c>
      <c r="Q22" s="68">
        <f>'Sep-23'!Q22+'Oct-23'!H22</f>
        <v>191</v>
      </c>
      <c r="R22" s="68">
        <f>'Sep-23'!R22+'Oct-23'!I22</f>
        <v>205</v>
      </c>
      <c r="S22" s="68">
        <f>'Sep-23'!S22+'Oct-23'!J22</f>
        <v>946</v>
      </c>
      <c r="T22" s="64">
        <f>IFERROR(O22/P22-1,"n/a")</f>
        <v>0.67291066282420742</v>
      </c>
      <c r="U22" s="64">
        <f>IFERROR(O22/Q22-1,"n/a")</f>
        <v>5.0785340314136125</v>
      </c>
      <c r="V22" s="64">
        <f>IFERROR(O22/R22-1,"n/a")</f>
        <v>4.6634146341463412</v>
      </c>
      <c r="W22" s="60">
        <f>IFERROR(O22/S22-1,"n/a")</f>
        <v>0.22727272727272729</v>
      </c>
      <c r="X22" s="68">
        <v>895</v>
      </c>
      <c r="Y22" s="68">
        <v>283</v>
      </c>
      <c r="Z22" s="68">
        <v>43</v>
      </c>
      <c r="AA22" s="68">
        <v>827</v>
      </c>
      <c r="AB22" s="123"/>
      <c r="AC22" s="123"/>
    </row>
    <row r="23" spans="1:29" s="124" customFormat="1" ht="12.75">
      <c r="A23" s="123"/>
      <c r="B23" s="128"/>
      <c r="C23" s="33"/>
      <c r="D23" s="26" t="s">
        <v>11</v>
      </c>
      <c r="E23" s="32"/>
      <c r="F23" s="71">
        <v>513716</v>
      </c>
      <c r="G23" s="71">
        <v>338461</v>
      </c>
      <c r="H23" s="71">
        <v>174505</v>
      </c>
      <c r="I23" s="71">
        <v>0</v>
      </c>
      <c r="J23" s="71">
        <v>332808</v>
      </c>
      <c r="K23" s="64">
        <f>IFERROR(F23/G23-1,"n/a")</f>
        <v>0.5177996874085935</v>
      </c>
      <c r="L23" s="64">
        <f t="shared" si="0"/>
        <v>1.9438468811781897</v>
      </c>
      <c r="M23" s="64" t="str">
        <f>IFERROR(F23/I23-1,"n/a")</f>
        <v>n/a</v>
      </c>
      <c r="N23" s="60">
        <f t="shared" si="1"/>
        <v>0.54358068315665498</v>
      </c>
      <c r="O23" s="68">
        <f>'Sep-23'!O23+'Oct-23'!F23</f>
        <v>3549868</v>
      </c>
      <c r="P23" s="68">
        <f>'Sep-23'!P23+'Oct-23'!G23</f>
        <v>1668911</v>
      </c>
      <c r="Q23" s="68">
        <f>'Sep-23'!Q23+'Oct-23'!H23</f>
        <v>342388</v>
      </c>
      <c r="R23" s="68">
        <f>'Sep-23'!R23+'Oct-23'!I23</f>
        <v>545974</v>
      </c>
      <c r="S23" s="68">
        <f>'Sep-23'!S23+'Oct-23'!J23</f>
        <v>2898167</v>
      </c>
      <c r="T23" s="64">
        <f>IFERROR(O23/P23-1,"n/a")</f>
        <v>1.1270565057094117</v>
      </c>
      <c r="U23" s="64">
        <f>IFERROR(O23/Q23-1,"n/a")</f>
        <v>9.3679685035690508</v>
      </c>
      <c r="V23" s="64">
        <f>IFERROR(O23/R23-1,"n/a")</f>
        <v>5.5018993578448789</v>
      </c>
      <c r="W23" s="60">
        <f>IFERROR(O23/S23-1,"n/a")</f>
        <v>0.22486661396668994</v>
      </c>
      <c r="X23" s="68">
        <v>2165161</v>
      </c>
      <c r="Y23" s="68">
        <v>465109</v>
      </c>
      <c r="Z23" s="68">
        <v>140552</v>
      </c>
      <c r="AA23" s="68">
        <v>2552942</v>
      </c>
      <c r="AB23" s="123"/>
      <c r="AC23" s="123"/>
    </row>
    <row r="24" spans="1:29" s="124" customFormat="1" ht="12.75">
      <c r="A24" s="123"/>
      <c r="B24" s="128"/>
      <c r="C24" s="31" t="s">
        <v>112</v>
      </c>
      <c r="D24" s="26"/>
      <c r="E24" s="32"/>
      <c r="F24" s="72"/>
      <c r="G24" s="72"/>
      <c r="H24" s="72"/>
      <c r="I24" s="72"/>
      <c r="J24" s="72"/>
      <c r="K24" s="64"/>
      <c r="L24" s="64"/>
      <c r="M24" s="64"/>
      <c r="N24" s="60"/>
      <c r="O24" s="87"/>
      <c r="P24" s="87"/>
      <c r="Q24" s="87"/>
      <c r="R24" s="87"/>
      <c r="S24" s="87"/>
      <c r="T24" s="64"/>
      <c r="U24" s="64"/>
      <c r="V24" s="64"/>
      <c r="W24" s="60"/>
      <c r="X24" s="43"/>
      <c r="Y24" s="43"/>
      <c r="Z24" s="43"/>
      <c r="AA24" s="43"/>
      <c r="AB24" s="123"/>
      <c r="AC24" s="123"/>
    </row>
    <row r="25" spans="1:29" s="124" customFormat="1" ht="12.75">
      <c r="B25" s="128"/>
      <c r="C25" s="33"/>
      <c r="D25" s="26" t="s">
        <v>5</v>
      </c>
      <c r="E25" s="32"/>
      <c r="F25" s="71">
        <v>2</v>
      </c>
      <c r="G25" s="71">
        <v>1</v>
      </c>
      <c r="H25" s="71">
        <v>0</v>
      </c>
      <c r="I25" s="71">
        <v>0</v>
      </c>
      <c r="J25" s="71">
        <v>3</v>
      </c>
      <c r="K25" s="64">
        <f>IFERROR(F25/G25-1,"n/a")</f>
        <v>1</v>
      </c>
      <c r="L25" s="64" t="str">
        <f t="shared" si="0"/>
        <v>n/a</v>
      </c>
      <c r="M25" s="64" t="str">
        <f>IFERROR(F25/I25-1,"n/a")</f>
        <v>n/a</v>
      </c>
      <c r="N25" s="60">
        <f t="shared" si="1"/>
        <v>-0.33333333333333337</v>
      </c>
      <c r="O25" s="68">
        <f>'Sep-23'!O25+'Oct-23'!F25</f>
        <v>21</v>
      </c>
      <c r="P25" s="68">
        <f>'Sep-23'!P25+'Oct-23'!G25</f>
        <v>9</v>
      </c>
      <c r="Q25" s="68">
        <f>'Sep-23'!Q25+'Oct-23'!H25</f>
        <v>0</v>
      </c>
      <c r="R25" s="68">
        <f>'Sep-23'!R25+'Oct-23'!I25</f>
        <v>0</v>
      </c>
      <c r="S25" s="68">
        <f>'Sep-23'!S25+'Oct-23'!J25</f>
        <v>16</v>
      </c>
      <c r="T25" s="64">
        <f>IFERROR(O25/P25-1,"n/a")</f>
        <v>1.3333333333333335</v>
      </c>
      <c r="U25" s="64" t="str">
        <f>IFERROR(O25/Q25-1,"n/a")</f>
        <v>n/a</v>
      </c>
      <c r="V25" s="64" t="str">
        <f>IFERROR(O25/R25-1,"n/a")</f>
        <v>n/a</v>
      </c>
      <c r="W25" s="60">
        <f>IFERROR(O25/S25-1,"n/a")</f>
        <v>0.3125</v>
      </c>
      <c r="X25" s="68">
        <v>9</v>
      </c>
      <c r="Y25" s="68">
        <v>0</v>
      </c>
      <c r="Z25" s="68">
        <v>0</v>
      </c>
      <c r="AA25" s="68">
        <v>16</v>
      </c>
      <c r="AB25" s="123"/>
      <c r="AC25" s="123"/>
    </row>
    <row r="26" spans="1:29" s="124" customFormat="1" ht="12.75">
      <c r="A26" s="123"/>
      <c r="B26" s="128"/>
      <c r="C26" s="33"/>
      <c r="D26" s="26" t="s">
        <v>11</v>
      </c>
      <c r="E26" s="32"/>
      <c r="F26" s="71">
        <v>4312</v>
      </c>
      <c r="G26" s="71">
        <v>2358</v>
      </c>
      <c r="H26" s="71">
        <v>0</v>
      </c>
      <c r="I26" s="71">
        <v>0</v>
      </c>
      <c r="J26" s="71">
        <v>3957</v>
      </c>
      <c r="K26" s="64">
        <f>IFERROR(F26/G26-1,"n/a")</f>
        <v>0.82866836301950797</v>
      </c>
      <c r="L26" s="64" t="str">
        <f t="shared" si="0"/>
        <v>n/a</v>
      </c>
      <c r="M26" s="64" t="str">
        <f>IFERROR(F26/I26-1,"n/a")</f>
        <v>n/a</v>
      </c>
      <c r="N26" s="60">
        <f t="shared" si="1"/>
        <v>8.971443012383129E-2</v>
      </c>
      <c r="O26" s="68">
        <f>'Sep-23'!O26+'Oct-23'!F26</f>
        <v>38626</v>
      </c>
      <c r="P26" s="68">
        <f>'Sep-23'!P26+'Oct-23'!G26</f>
        <v>15637</v>
      </c>
      <c r="Q26" s="68">
        <f>'Sep-23'!Q26+'Oct-23'!H26</f>
        <v>0</v>
      </c>
      <c r="R26" s="68">
        <f>'Sep-23'!R26+'Oct-23'!I26</f>
        <v>0</v>
      </c>
      <c r="S26" s="68">
        <f>'Sep-23'!S26+'Oct-23'!J26</f>
        <v>20248</v>
      </c>
      <c r="T26" s="64">
        <f>IFERROR(O26/P26-1,"n/a")</f>
        <v>1.4701669118117286</v>
      </c>
      <c r="U26" s="64" t="str">
        <f>IFERROR(O26/Q26-1,"n/a")</f>
        <v>n/a</v>
      </c>
      <c r="V26" s="64" t="str">
        <f>IFERROR(O26/R26-1,"n/a")</f>
        <v>n/a</v>
      </c>
      <c r="W26" s="60">
        <f>IFERROR(O26/S26-1,"n/a")</f>
        <v>0.90764519952587919</v>
      </c>
      <c r="X26" s="68">
        <v>15637</v>
      </c>
      <c r="Y26" s="68">
        <v>0</v>
      </c>
      <c r="Z26" s="68">
        <v>0</v>
      </c>
      <c r="AA26" s="68">
        <v>20248</v>
      </c>
      <c r="AB26" s="123"/>
      <c r="AC26" s="123"/>
    </row>
    <row r="27" spans="1:29" s="124" customFormat="1" ht="13.5" thickBot="1">
      <c r="A27" s="123"/>
      <c r="B27" s="128"/>
      <c r="C27" s="35" t="s">
        <v>12</v>
      </c>
      <c r="D27" s="36"/>
      <c r="E27" s="37"/>
      <c r="F27" s="75">
        <f t="shared" ref="F27:J28" si="2">F13+F16+F19+F22+F25</f>
        <v>472</v>
      </c>
      <c r="G27" s="75">
        <f t="shared" si="2"/>
        <v>414</v>
      </c>
      <c r="H27" s="75">
        <f t="shared" si="2"/>
        <v>244</v>
      </c>
      <c r="I27" s="75">
        <f t="shared" si="2"/>
        <v>18</v>
      </c>
      <c r="J27" s="75">
        <f t="shared" si="2"/>
        <v>388</v>
      </c>
      <c r="K27" s="66">
        <f>IFERROR(F27/G27-1,"n/a")</f>
        <v>0.14009661835748788</v>
      </c>
      <c r="L27" s="66">
        <f t="shared" si="0"/>
        <v>0.93442622950819665</v>
      </c>
      <c r="M27" s="66">
        <f>IFERROR(F27/I27-1,"n/a")</f>
        <v>25.222222222222221</v>
      </c>
      <c r="N27" s="62">
        <f t="shared" si="1"/>
        <v>0.21649484536082464</v>
      </c>
      <c r="O27" s="75">
        <f t="shared" ref="O27:S28" si="3">O13+O16+O19+O22+O25</f>
        <v>3591</v>
      </c>
      <c r="P27" s="75">
        <f t="shared" si="3"/>
        <v>3003</v>
      </c>
      <c r="Q27" s="75">
        <f t="shared" si="3"/>
        <v>619</v>
      </c>
      <c r="R27" s="75">
        <f t="shared" si="3"/>
        <v>803</v>
      </c>
      <c r="S27" s="75">
        <f t="shared" si="3"/>
        <v>2956</v>
      </c>
      <c r="T27" s="66">
        <f>IFERROR(O27/P27-1,"n/a")</f>
        <v>0.19580419580419584</v>
      </c>
      <c r="U27" s="66">
        <f>IFERROR(O27/Q27-1,"n/a")</f>
        <v>4.8012924071082388</v>
      </c>
      <c r="V27" s="66">
        <f>IFERROR(O27/R27-1,"n/a")</f>
        <v>3.4719800747198004</v>
      </c>
      <c r="W27" s="62">
        <f>IFERROR(O27/S27-1,"n/a")</f>
        <v>0.21481732070365367</v>
      </c>
      <c r="X27" s="75">
        <f>X13+X16+X19+X22+X25</f>
        <v>3620</v>
      </c>
      <c r="Y27" s="46">
        <f t="shared" ref="Y27:AA28" si="4">Y13+Y16+Y19+Y22+Y25</f>
        <v>1054</v>
      </c>
      <c r="Z27" s="46">
        <f t="shared" si="4"/>
        <v>657</v>
      </c>
      <c r="AA27" s="80">
        <f t="shared" si="4"/>
        <v>3310</v>
      </c>
      <c r="AB27" s="123"/>
      <c r="AC27" s="123"/>
    </row>
    <row r="28" spans="1:29" s="124" customFormat="1" ht="14.25" thickTop="1" thickBot="1">
      <c r="A28" s="123"/>
      <c r="B28" s="128"/>
      <c r="C28" s="38" t="s">
        <v>13</v>
      </c>
      <c r="D28" s="39"/>
      <c r="E28" s="40"/>
      <c r="F28" s="76">
        <f t="shared" si="2"/>
        <v>1211190</v>
      </c>
      <c r="G28" s="76">
        <f t="shared" si="2"/>
        <v>867086</v>
      </c>
      <c r="H28" s="76">
        <f t="shared" si="2"/>
        <v>368120</v>
      </c>
      <c r="I28" s="76">
        <f t="shared" si="2"/>
        <v>13954</v>
      </c>
      <c r="J28" s="76">
        <f t="shared" si="2"/>
        <v>926937</v>
      </c>
      <c r="K28" s="67">
        <f>IFERROR(F28/G28-1,"n/a")</f>
        <v>0.39685106206304788</v>
      </c>
      <c r="L28" s="67">
        <f t="shared" si="0"/>
        <v>2.290204281212648</v>
      </c>
      <c r="M28" s="67">
        <f>IFERROR(F28/I28-1,"n/a")</f>
        <v>85.798767378529448</v>
      </c>
      <c r="N28" s="63">
        <f t="shared" si="1"/>
        <v>0.30665838131394052</v>
      </c>
      <c r="O28" s="76">
        <f t="shared" si="3"/>
        <v>10413244</v>
      </c>
      <c r="P28" s="76">
        <f t="shared" si="3"/>
        <v>6078179</v>
      </c>
      <c r="Q28" s="76">
        <f t="shared" si="3"/>
        <v>936731</v>
      </c>
      <c r="R28" s="76">
        <f t="shared" si="3"/>
        <v>1712585</v>
      </c>
      <c r="S28" s="76">
        <f t="shared" si="3"/>
        <v>8421657</v>
      </c>
      <c r="T28" s="67">
        <f>IFERROR(O28/P28-1,"n/a")</f>
        <v>0.71321772524303739</v>
      </c>
      <c r="U28" s="67">
        <f>IFERROR(O28/Q28-1,"n/a")</f>
        <v>10.116578825724782</v>
      </c>
      <c r="V28" s="67">
        <f>IFERROR(O28/R28-1,"n/a")</f>
        <v>5.0804246212596746</v>
      </c>
      <c r="W28" s="63">
        <f>IFERROR(O28/S28-1,"n/a")</f>
        <v>0.23648398409006677</v>
      </c>
      <c r="X28" s="76">
        <f>X14+X17+X20+X23+X26</f>
        <v>7626669</v>
      </c>
      <c r="Y28" s="47">
        <f t="shared" si="4"/>
        <v>1552483</v>
      </c>
      <c r="Z28" s="47">
        <f t="shared" si="4"/>
        <v>1314158</v>
      </c>
      <c r="AA28" s="81">
        <f t="shared" si="4"/>
        <v>9152531</v>
      </c>
      <c r="AB28" s="123"/>
      <c r="AC28" s="123"/>
    </row>
    <row r="29" spans="1:29" s="124" customFormat="1" ht="12" thickTop="1">
      <c r="A29" s="123"/>
      <c r="B29" s="123"/>
      <c r="C29" s="123"/>
      <c r="D29" s="123"/>
      <c r="E29" s="123"/>
      <c r="F29" s="129"/>
      <c r="G29" s="129"/>
      <c r="H29" s="129"/>
      <c r="I29" s="129"/>
      <c r="J29" s="129"/>
      <c r="K29" s="129"/>
      <c r="L29" s="129"/>
      <c r="M29" s="129"/>
      <c r="N29" s="123"/>
      <c r="O29" s="123"/>
      <c r="P29" s="123"/>
      <c r="Q29" s="123"/>
      <c r="R29" s="123"/>
      <c r="S29" s="123"/>
      <c r="T29" s="123"/>
      <c r="U29" s="123"/>
      <c r="V29" s="123"/>
      <c r="W29" s="123"/>
      <c r="X29" s="123"/>
      <c r="Y29" s="123"/>
      <c r="Z29" s="123"/>
      <c r="AA29" s="123"/>
      <c r="AB29" s="123"/>
      <c r="AC29" s="123"/>
    </row>
    <row r="30" spans="1:29" s="124" customFormat="1" ht="11.25">
      <c r="A30" s="123"/>
      <c r="B30" s="123"/>
      <c r="C30" s="123"/>
      <c r="D30" s="123"/>
      <c r="E30" s="123"/>
      <c r="F30" s="129"/>
      <c r="G30" s="129"/>
      <c r="H30" s="129"/>
      <c r="I30" s="129"/>
      <c r="J30" s="129"/>
      <c r="K30" s="129"/>
      <c r="L30" s="129"/>
      <c r="M30" s="129"/>
      <c r="N30" s="123"/>
      <c r="O30" s="129"/>
      <c r="P30" s="123"/>
      <c r="Q30" s="123"/>
      <c r="R30" s="123"/>
      <c r="S30" s="123"/>
      <c r="T30" s="123"/>
      <c r="U30" s="123"/>
      <c r="V30" s="123"/>
      <c r="W30" s="123"/>
      <c r="X30" s="123"/>
      <c r="Y30" s="123"/>
      <c r="Z30" s="123"/>
      <c r="AA30" s="123"/>
      <c r="AB30" s="123"/>
      <c r="AC30" s="123"/>
    </row>
    <row r="31" spans="1:29" s="124" customFormat="1" ht="12.75">
      <c r="A31" s="123"/>
      <c r="B31" s="130"/>
      <c r="C31" s="131" t="s">
        <v>63</v>
      </c>
      <c r="D31" s="24"/>
      <c r="E31" s="24"/>
      <c r="F31" s="24"/>
      <c r="G31" s="24"/>
      <c r="H31" s="24"/>
      <c r="I31" s="24"/>
      <c r="J31" s="95"/>
      <c r="K31" s="95"/>
      <c r="L31" s="95"/>
      <c r="M31" s="95"/>
      <c r="N31" s="24"/>
      <c r="O31" s="24"/>
      <c r="P31" s="24"/>
      <c r="Q31" s="24"/>
      <c r="R31" s="24"/>
      <c r="S31" s="24"/>
      <c r="T31" s="24"/>
      <c r="U31" s="24"/>
      <c r="V31" s="24"/>
      <c r="W31" s="24"/>
      <c r="X31" s="24"/>
      <c r="Y31" s="24"/>
      <c r="Z31" s="24"/>
      <c r="AA31" s="24"/>
      <c r="AB31" s="24"/>
      <c r="AC31" s="123"/>
    </row>
    <row r="32" spans="1:29" s="124" customFormat="1" ht="12.75">
      <c r="A32" s="123"/>
      <c r="B32" s="130"/>
      <c r="C32" s="24"/>
      <c r="D32" s="24"/>
      <c r="E32" s="24"/>
      <c r="F32" s="24"/>
      <c r="G32" s="24"/>
      <c r="H32" s="24"/>
      <c r="I32" s="24"/>
      <c r="J32" s="95"/>
      <c r="K32" s="95"/>
      <c r="L32" s="95"/>
      <c r="M32" s="95"/>
      <c r="N32" s="24"/>
      <c r="O32" s="24"/>
      <c r="P32" s="24"/>
      <c r="Q32" s="24"/>
      <c r="R32" s="24"/>
      <c r="S32" s="24"/>
      <c r="T32" s="24"/>
      <c r="U32" s="24"/>
      <c r="V32" s="24"/>
      <c r="W32" s="24"/>
      <c r="X32" s="24"/>
      <c r="Y32" s="24"/>
      <c r="Z32" s="24"/>
      <c r="AA32" s="24"/>
      <c r="AB32" s="24"/>
      <c r="AC32" s="123"/>
    </row>
    <row r="33" spans="1:29" s="124" customFormat="1" ht="11.25">
      <c r="A33" s="123"/>
      <c r="B33" s="123"/>
      <c r="C33" s="27" t="s">
        <v>7</v>
      </c>
      <c r="D33" s="28"/>
      <c r="E33" s="28"/>
      <c r="F33" s="158" t="str">
        <f>F9</f>
        <v>October</v>
      </c>
      <c r="G33" s="158"/>
      <c r="H33" s="158"/>
      <c r="I33" s="158"/>
      <c r="J33" s="158"/>
      <c r="K33" s="158"/>
      <c r="L33" s="158"/>
      <c r="M33" s="158"/>
      <c r="N33" s="159"/>
      <c r="O33" s="161" t="str">
        <f>"April to "&amp;D4&amp;" (YTD)"</f>
        <v>April to October (YTD)</v>
      </c>
      <c r="P33" s="162"/>
      <c r="Q33" s="162"/>
      <c r="R33" s="162"/>
      <c r="S33" s="162"/>
      <c r="T33" s="162"/>
      <c r="U33" s="162"/>
      <c r="V33" s="162"/>
      <c r="W33" s="163"/>
      <c r="X33" s="157" t="s">
        <v>58</v>
      </c>
      <c r="Y33" s="158"/>
      <c r="Z33" s="158"/>
      <c r="AA33" s="160"/>
    </row>
    <row r="34" spans="1:29" s="124" customFormat="1" ht="11.25">
      <c r="A34" s="123"/>
      <c r="B34" s="123"/>
      <c r="C34" s="29"/>
      <c r="D34" s="30"/>
      <c r="E34" s="30"/>
      <c r="F34" s="152"/>
      <c r="G34" s="153"/>
      <c r="H34" s="153"/>
      <c r="I34" s="153"/>
      <c r="J34" s="153"/>
      <c r="K34" s="153"/>
      <c r="L34" s="153"/>
      <c r="M34" s="153"/>
      <c r="N34" s="154"/>
      <c r="O34" s="152"/>
      <c r="P34" s="153"/>
      <c r="Q34" s="153"/>
      <c r="R34" s="153"/>
      <c r="S34" s="153"/>
      <c r="T34" s="153"/>
      <c r="U34" s="153"/>
      <c r="V34" s="153"/>
      <c r="W34" s="154"/>
      <c r="X34" s="152"/>
      <c r="Y34" s="153"/>
      <c r="Z34" s="153"/>
      <c r="AA34" s="154"/>
    </row>
    <row r="35" spans="1:29" s="124" customFormat="1" ht="22.5">
      <c r="A35" s="123"/>
      <c r="B35" s="123"/>
      <c r="C35" s="59" t="s">
        <v>29</v>
      </c>
      <c r="D35" s="50"/>
      <c r="E35" s="51"/>
      <c r="F35" s="55">
        <v>2023</v>
      </c>
      <c r="G35" s="52">
        <v>2022</v>
      </c>
      <c r="H35" s="52">
        <v>2021</v>
      </c>
      <c r="I35" s="52">
        <v>2020</v>
      </c>
      <c r="J35" s="52">
        <v>2019</v>
      </c>
      <c r="K35" s="53" t="s">
        <v>66</v>
      </c>
      <c r="L35" s="53" t="s">
        <v>67</v>
      </c>
      <c r="M35" s="53" t="s">
        <v>68</v>
      </c>
      <c r="N35" s="57" t="s">
        <v>101</v>
      </c>
      <c r="O35" s="53" t="s">
        <v>115</v>
      </c>
      <c r="P35" s="53" t="s">
        <v>53</v>
      </c>
      <c r="Q35" s="52" t="s">
        <v>54</v>
      </c>
      <c r="R35" s="52" t="s">
        <v>59</v>
      </c>
      <c r="S35" s="52" t="s">
        <v>64</v>
      </c>
      <c r="T35" s="53" t="s">
        <v>116</v>
      </c>
      <c r="U35" s="53" t="s">
        <v>117</v>
      </c>
      <c r="V35" s="53" t="s">
        <v>118</v>
      </c>
      <c r="W35" s="57" t="s">
        <v>119</v>
      </c>
      <c r="X35" s="53" t="s">
        <v>53</v>
      </c>
      <c r="Y35" s="53" t="s">
        <v>54</v>
      </c>
      <c r="Z35" s="53" t="s">
        <v>65</v>
      </c>
      <c r="AA35" s="57" t="s">
        <v>73</v>
      </c>
      <c r="AC35" s="123"/>
    </row>
    <row r="36" spans="1:29" s="124" customFormat="1" ht="11.25">
      <c r="A36" s="123"/>
      <c r="B36" s="123"/>
      <c r="C36" s="31" t="s">
        <v>108</v>
      </c>
      <c r="D36" s="26"/>
      <c r="E36" s="32"/>
      <c r="F36" s="26"/>
      <c r="G36" s="26"/>
      <c r="H36" s="26"/>
      <c r="I36" s="26"/>
      <c r="J36" s="26"/>
      <c r="K36" s="26"/>
      <c r="L36" s="26"/>
      <c r="M36" s="26"/>
      <c r="N36" s="32"/>
      <c r="O36" s="26"/>
      <c r="P36" s="26"/>
      <c r="Q36" s="26"/>
      <c r="R36" s="26"/>
      <c r="S36" s="123"/>
      <c r="T36" s="26"/>
      <c r="U36" s="123"/>
      <c r="V36" s="26"/>
      <c r="W36" s="32"/>
      <c r="X36" s="33"/>
      <c r="Y36" s="26"/>
      <c r="Z36" s="88"/>
      <c r="AA36" s="85"/>
      <c r="AC36" s="123"/>
    </row>
    <row r="37" spans="1:29" s="124" customFormat="1" ht="11.25">
      <c r="A37" s="123"/>
      <c r="B37" s="123"/>
      <c r="C37" s="33"/>
      <c r="D37" s="26" t="s">
        <v>5</v>
      </c>
      <c r="E37" s="32"/>
      <c r="F37" s="74">
        <f t="shared" ref="F37:J38" si="5">F13</f>
        <v>81</v>
      </c>
      <c r="G37" s="74">
        <f t="shared" si="5"/>
        <v>78</v>
      </c>
      <c r="H37" s="74">
        <f t="shared" si="5"/>
        <v>89</v>
      </c>
      <c r="I37" s="74">
        <f t="shared" si="5"/>
        <v>0</v>
      </c>
      <c r="J37" s="74">
        <f t="shared" si="5"/>
        <v>110</v>
      </c>
      <c r="K37" s="64">
        <f>IFERROR(F37/G37-1,"n/a")</f>
        <v>3.8461538461538547E-2</v>
      </c>
      <c r="L37" s="64">
        <f>IFERROR(F37/H37-1,"n/a")</f>
        <v>-8.98876404494382E-2</v>
      </c>
      <c r="M37" s="64" t="str">
        <f>IFERROR(F37/I37-1,"n/a")</f>
        <v>n/a</v>
      </c>
      <c r="N37" s="60">
        <f>IFERROR(F37/J37-1,"n/a")</f>
        <v>-0.26363636363636367</v>
      </c>
      <c r="O37" s="74">
        <f>'Sep-23'!O37+'Oct-23'!F37</f>
        <v>706</v>
      </c>
      <c r="P37" s="74">
        <f>'Sep-23'!P37+'Oct-23'!G37</f>
        <v>621</v>
      </c>
      <c r="Q37" s="74">
        <f>'Sep-23'!Q37+'Oct-23'!H37</f>
        <v>228</v>
      </c>
      <c r="R37" s="74">
        <f>'Sep-23'!R37+'Oct-23'!I37</f>
        <v>42</v>
      </c>
      <c r="S37" s="74">
        <f>'Sep-23'!S37+'Oct-23'!J37</f>
        <v>696</v>
      </c>
      <c r="T37" s="120">
        <f>IFERROR(O37/P37-1,"n/a")</f>
        <v>0.13687600644122377</v>
      </c>
      <c r="U37" s="120">
        <f>IFERROR(O37/Q37-1,"n/a")</f>
        <v>2.0964912280701755</v>
      </c>
      <c r="V37" s="120">
        <f>IFERROR(O37/R37-1,"n/a")</f>
        <v>15.80952380952381</v>
      </c>
      <c r="W37" s="121">
        <f>IFERROR(O37/S37-1,"n/a")</f>
        <v>1.4367816091954033E-2</v>
      </c>
      <c r="X37" s="89">
        <v>1486</v>
      </c>
      <c r="Y37" s="89">
        <v>1052</v>
      </c>
      <c r="Z37" s="70">
        <v>551</v>
      </c>
      <c r="AA37" s="78">
        <v>1584</v>
      </c>
      <c r="AC37" s="123"/>
    </row>
    <row r="38" spans="1:29" s="124" customFormat="1" ht="11.25">
      <c r="A38" s="123"/>
      <c r="B38" s="123"/>
      <c r="C38" s="33"/>
      <c r="D38" s="26" t="s">
        <v>11</v>
      </c>
      <c r="E38" s="32"/>
      <c r="F38" s="74">
        <f t="shared" si="5"/>
        <v>282162</v>
      </c>
      <c r="G38" s="74">
        <f t="shared" si="5"/>
        <v>268578</v>
      </c>
      <c r="H38" s="74">
        <f t="shared" si="5"/>
        <v>143120</v>
      </c>
      <c r="I38" s="74">
        <f t="shared" si="5"/>
        <v>0</v>
      </c>
      <c r="J38" s="74">
        <f t="shared" si="5"/>
        <v>299863</v>
      </c>
      <c r="K38" s="64">
        <f>IFERROR(F38/G38-1,"n/a")</f>
        <v>5.0577485870026528E-2</v>
      </c>
      <c r="L38" s="64">
        <f>IFERROR(F38/H38-1,"n/a")</f>
        <v>0.97150642817216326</v>
      </c>
      <c r="M38" s="64" t="str">
        <f>IFERROR(F38/I38-1,"n/a")</f>
        <v>n/a</v>
      </c>
      <c r="N38" s="60">
        <f>IFERROR(F38/J38-1,"n/a")</f>
        <v>-5.9030290499328064E-2</v>
      </c>
      <c r="O38" s="74">
        <f>'Sep-23'!O38+'Oct-23'!F38</f>
        <v>2530522</v>
      </c>
      <c r="P38" s="74">
        <f>'Sep-23'!P38+'Oct-23'!G38</f>
        <v>1904231</v>
      </c>
      <c r="Q38" s="74">
        <f>'Sep-23'!Q38+'Oct-23'!H38</f>
        <v>324020</v>
      </c>
      <c r="R38" s="74">
        <f>'Sep-23'!R38+'Oct-23'!I38</f>
        <v>0</v>
      </c>
      <c r="S38" s="74">
        <f>'Sep-23'!S38+'Oct-23'!J38</f>
        <v>2192177</v>
      </c>
      <c r="T38" s="120">
        <f>IFERROR(O38/P38-1,"n/a")</f>
        <v>0.32889444610449048</v>
      </c>
      <c r="U38" s="120">
        <f>IFERROR(O38/Q38-1,"n/a")</f>
        <v>6.809771001790013</v>
      </c>
      <c r="V38" s="120" t="str">
        <f>IFERROR(O38/R38-1,"n/a")</f>
        <v>n/a</v>
      </c>
      <c r="W38" s="121">
        <f>IFERROR(O38/S38-1,"n/a")</f>
        <v>0.15434200796742226</v>
      </c>
      <c r="X38" s="89">
        <v>4370939</v>
      </c>
      <c r="Y38" s="89">
        <v>1527970</v>
      </c>
      <c r="Z38" s="84">
        <v>1092884</v>
      </c>
      <c r="AA38" s="78">
        <v>4234259</v>
      </c>
      <c r="AC38" s="123"/>
    </row>
    <row r="39" spans="1:29" s="124" customFormat="1" ht="11.25">
      <c r="A39" s="123"/>
      <c r="B39" s="123"/>
      <c r="C39" s="31" t="s">
        <v>109</v>
      </c>
      <c r="D39" s="26"/>
      <c r="E39" s="32"/>
      <c r="F39" s="26"/>
      <c r="G39" s="26"/>
      <c r="H39" s="26"/>
      <c r="I39" s="26"/>
      <c r="J39" s="26"/>
      <c r="K39" s="64"/>
      <c r="L39" s="64"/>
      <c r="M39" s="64"/>
      <c r="N39" s="61"/>
      <c r="O39" s="26"/>
      <c r="P39" s="26"/>
      <c r="Q39" s="26"/>
      <c r="R39" s="26"/>
      <c r="S39" s="26"/>
      <c r="T39" s="65"/>
      <c r="U39" s="65"/>
      <c r="V39" s="65"/>
      <c r="W39" s="61"/>
      <c r="X39" s="90"/>
      <c r="Y39" s="90"/>
      <c r="Z39" s="44"/>
      <c r="AA39" s="79"/>
      <c r="AC39" s="123"/>
    </row>
    <row r="40" spans="1:29" s="124" customFormat="1" ht="11.25">
      <c r="A40" s="123"/>
      <c r="B40" s="123"/>
      <c r="C40" s="33"/>
      <c r="D40" s="26" t="s">
        <v>5</v>
      </c>
      <c r="E40" s="32"/>
      <c r="F40" s="74">
        <f t="shared" ref="F40:J41" si="6">F16</f>
        <v>87</v>
      </c>
      <c r="G40" s="74">
        <f t="shared" si="6"/>
        <v>89</v>
      </c>
      <c r="H40" s="74">
        <f t="shared" si="6"/>
        <v>33</v>
      </c>
      <c r="I40" s="74">
        <f t="shared" si="6"/>
        <v>17</v>
      </c>
      <c r="J40" s="74">
        <f t="shared" si="6"/>
        <v>114</v>
      </c>
      <c r="K40" s="64">
        <f>IFERROR(F40/G40-1,"n/a")</f>
        <v>-2.2471910112359605E-2</v>
      </c>
      <c r="L40" s="64">
        <f>IFERROR(F40/H40-1,"n/a")</f>
        <v>1.6363636363636362</v>
      </c>
      <c r="M40" s="64">
        <f>IFERROR(F40/I40-1,"n/a")</f>
        <v>4.117647058823529</v>
      </c>
      <c r="N40" s="60">
        <f>IFERROR(F40/J40-1,"n/a")</f>
        <v>-0.23684210526315785</v>
      </c>
      <c r="O40" s="74">
        <f>'Sep-23'!O40+'Oct-23'!F40</f>
        <v>485</v>
      </c>
      <c r="P40" s="74">
        <f>'Sep-23'!P40+'Oct-23'!G40</f>
        <v>503</v>
      </c>
      <c r="Q40" s="74">
        <f>'Sep-23'!Q40+'Oct-23'!H40</f>
        <v>157</v>
      </c>
      <c r="R40" s="74">
        <f>'Sep-23'!R40+'Oct-23'!I40</f>
        <v>28</v>
      </c>
      <c r="S40" s="74">
        <f>'Sep-23'!S40+'Oct-23'!J40</f>
        <v>494</v>
      </c>
      <c r="T40" s="120">
        <f>IFERROR(O40/P40-1,"n/a")</f>
        <v>-3.5785288270377746E-2</v>
      </c>
      <c r="U40" s="120">
        <f>IFERROR(O40/Q40-1,"n/a")</f>
        <v>2.089171974522293</v>
      </c>
      <c r="V40" s="120">
        <f>IFERROR(O40/R40-1,"n/a")</f>
        <v>16.321428571428573</v>
      </c>
      <c r="W40" s="121">
        <f>IFERROR(O40/S40-1,"n/a")</f>
        <v>-1.8218623481781382E-2</v>
      </c>
      <c r="X40" s="89">
        <v>563</v>
      </c>
      <c r="Y40" s="89">
        <v>226</v>
      </c>
      <c r="Z40" s="70">
        <v>66</v>
      </c>
      <c r="AA40" s="78">
        <v>573</v>
      </c>
      <c r="AC40" s="123"/>
    </row>
    <row r="41" spans="1:29" s="124" customFormat="1" ht="11.25">
      <c r="A41" s="123"/>
      <c r="B41" s="123"/>
      <c r="C41" s="33"/>
      <c r="D41" s="26" t="s">
        <v>11</v>
      </c>
      <c r="E41" s="32"/>
      <c r="F41" s="74">
        <f t="shared" si="6"/>
        <v>199183</v>
      </c>
      <c r="G41" s="74">
        <f t="shared" si="6"/>
        <v>124605</v>
      </c>
      <c r="H41" s="74">
        <f t="shared" si="6"/>
        <v>44045</v>
      </c>
      <c r="I41" s="74">
        <f t="shared" si="6"/>
        <v>13954</v>
      </c>
      <c r="J41" s="74">
        <f t="shared" si="6"/>
        <v>223063</v>
      </c>
      <c r="K41" s="64">
        <f>IFERROR(F41/G41-1,"n/a")</f>
        <v>0.59851530837446321</v>
      </c>
      <c r="L41" s="64">
        <f>IFERROR(F41/H41-1,"n/a")</f>
        <v>3.522261323646271</v>
      </c>
      <c r="M41" s="64">
        <f>IFERROR(F41/I41-1,"n/a")</f>
        <v>13.274258277196504</v>
      </c>
      <c r="N41" s="60">
        <f>IFERROR(F41/J41-1,"n/a")</f>
        <v>-0.10705495756804129</v>
      </c>
      <c r="O41" s="74">
        <f>'Sep-23'!O41+'Oct-23'!F41</f>
        <v>1447747</v>
      </c>
      <c r="P41" s="74">
        <f>'Sep-23'!P41+'Oct-23'!G41</f>
        <v>856092</v>
      </c>
      <c r="Q41" s="74">
        <f>'Sep-23'!Q41+'Oct-23'!H41</f>
        <v>249228</v>
      </c>
      <c r="R41" s="74">
        <f>'Sep-23'!R41+'Oct-23'!I41</f>
        <v>22567</v>
      </c>
      <c r="S41" s="74">
        <f>'Sep-23'!S41+'Oct-23'!J41</f>
        <v>1224579</v>
      </c>
      <c r="T41" s="120">
        <f>IFERROR(O41/P41-1,"n/a")</f>
        <v>0.69111146932806289</v>
      </c>
      <c r="U41" s="120">
        <f>IFERROR(O41/Q41-1,"n/a")</f>
        <v>4.808925963374902</v>
      </c>
      <c r="V41" s="120">
        <f>IFERROR(O41/R41-1,"n/a")</f>
        <v>63.153276908760574</v>
      </c>
      <c r="W41" s="121">
        <f>IFERROR(O41/S41-1,"n/a")</f>
        <v>0.18224059043965313</v>
      </c>
      <c r="X41" s="89">
        <v>1012510</v>
      </c>
      <c r="Y41" s="89">
        <v>327926</v>
      </c>
      <c r="Z41" s="84">
        <v>80778</v>
      </c>
      <c r="AA41" s="78">
        <v>1361671</v>
      </c>
      <c r="AC41" s="123"/>
    </row>
    <row r="42" spans="1:29" s="124" customFormat="1" ht="11.25">
      <c r="A42" s="123"/>
      <c r="B42" s="123"/>
      <c r="C42" s="31" t="s">
        <v>110</v>
      </c>
      <c r="D42" s="26"/>
      <c r="E42" s="32"/>
      <c r="F42" s="87"/>
      <c r="G42" s="87"/>
      <c r="H42" s="87"/>
      <c r="I42" s="87"/>
      <c r="J42" s="72"/>
      <c r="K42" s="64"/>
      <c r="L42" s="64"/>
      <c r="M42" s="64"/>
      <c r="N42" s="60"/>
      <c r="O42" s="87"/>
      <c r="P42" s="87"/>
      <c r="Q42" s="87"/>
      <c r="R42" s="87"/>
      <c r="S42" s="72"/>
      <c r="T42" s="64"/>
      <c r="U42" s="64"/>
      <c r="V42" s="64"/>
      <c r="W42" s="60"/>
      <c r="X42" s="90"/>
      <c r="Y42" s="90"/>
      <c r="Z42" s="44"/>
      <c r="AA42" s="79"/>
      <c r="AC42" s="123"/>
    </row>
    <row r="43" spans="1:29" s="124" customFormat="1" ht="11.25">
      <c r="A43" s="123"/>
      <c r="B43" s="123"/>
      <c r="C43" s="33"/>
      <c r="D43" s="26" t="s">
        <v>5</v>
      </c>
      <c r="E43" s="32"/>
      <c r="F43" s="74">
        <f t="shared" ref="F43:J44" si="7">F19</f>
        <v>117</v>
      </c>
      <c r="G43" s="74">
        <f t="shared" si="7"/>
        <v>97</v>
      </c>
      <c r="H43" s="74">
        <f t="shared" si="7"/>
        <v>15</v>
      </c>
      <c r="I43" s="74">
        <f t="shared" si="7"/>
        <v>1</v>
      </c>
      <c r="J43" s="74">
        <f t="shared" si="7"/>
        <v>34</v>
      </c>
      <c r="K43" s="64">
        <f>IFERROR(F43/G43-1,"n/a")</f>
        <v>0.20618556701030921</v>
      </c>
      <c r="L43" s="64">
        <f>IFERROR(F43/H43-1,"n/a")</f>
        <v>6.8</v>
      </c>
      <c r="M43" s="64">
        <f>IFERROR(F43/I43-1,"n/a")</f>
        <v>116</v>
      </c>
      <c r="N43" s="60">
        <f>IFERROR(F43/J43-1,"n/a")</f>
        <v>2.4411764705882355</v>
      </c>
      <c r="O43" s="74">
        <f>'Sep-23'!O43+'Oct-23'!F43</f>
        <v>638</v>
      </c>
      <c r="P43" s="74">
        <f>'Sep-23'!P43+'Oct-23'!G43</f>
        <v>598</v>
      </c>
      <c r="Q43" s="74">
        <f>'Sep-23'!Q43+'Oct-23'!H43</f>
        <v>31</v>
      </c>
      <c r="R43" s="74">
        <f>'Sep-23'!R43+'Oct-23'!I43</f>
        <v>6</v>
      </c>
      <c r="S43" s="74">
        <f>'Sep-23'!S43+'Oct-23'!J43</f>
        <v>259</v>
      </c>
      <c r="T43" s="120">
        <f>IFERROR(O43/P43-1,"n/a")</f>
        <v>6.6889632107023367E-2</v>
      </c>
      <c r="U43" s="120">
        <f>IFERROR(O43/Q43-1,"n/a")</f>
        <v>19.580645161290324</v>
      </c>
      <c r="V43" s="120">
        <f>IFERROR(O43/R43-1,"n/a")</f>
        <v>105.33333333333333</v>
      </c>
      <c r="W43" s="121">
        <f>IFERROR(O43/S43-1,"n/a")</f>
        <v>1.4633204633204633</v>
      </c>
      <c r="X43" s="89">
        <v>669</v>
      </c>
      <c r="Y43" s="89">
        <v>59</v>
      </c>
      <c r="Z43" s="70">
        <v>9</v>
      </c>
      <c r="AA43" s="78">
        <v>287</v>
      </c>
      <c r="AC43" s="123"/>
    </row>
    <row r="44" spans="1:29" s="124" customFormat="1" ht="11.25">
      <c r="A44" s="123"/>
      <c r="B44" s="123"/>
      <c r="C44" s="33"/>
      <c r="D44" s="26" t="s">
        <v>11</v>
      </c>
      <c r="E44" s="32"/>
      <c r="F44" s="74">
        <f t="shared" si="7"/>
        <v>211817</v>
      </c>
      <c r="G44" s="74">
        <f t="shared" si="7"/>
        <v>133084</v>
      </c>
      <c r="H44" s="74">
        <f t="shared" si="7"/>
        <v>6450</v>
      </c>
      <c r="I44" s="74">
        <f t="shared" si="7"/>
        <v>0</v>
      </c>
      <c r="J44" s="74">
        <f t="shared" si="7"/>
        <v>67246</v>
      </c>
      <c r="K44" s="64">
        <f>IFERROR(F44/G44-1,"n/a")</f>
        <v>0.59160379910432503</v>
      </c>
      <c r="L44" s="64">
        <f>IFERROR(F44/H44-1,"n/a")</f>
        <v>31.83984496124031</v>
      </c>
      <c r="M44" s="64" t="str">
        <f>IFERROR(F44/I44-1,"n/a")</f>
        <v>n/a</v>
      </c>
      <c r="N44" s="60">
        <f>IFERROR(F44/J44-1,"n/a")</f>
        <v>2.1498825208934362</v>
      </c>
      <c r="O44" s="74">
        <f>'Sep-23'!O44+'Oct-23'!F44</f>
        <v>1204396</v>
      </c>
      <c r="P44" s="74">
        <f>'Sep-23'!P44+'Oct-23'!G44</f>
        <v>834057</v>
      </c>
      <c r="Q44" s="74">
        <f>'Sep-23'!Q44+'Oct-23'!H44</f>
        <v>10992</v>
      </c>
      <c r="R44" s="74">
        <f>'Sep-23'!R44+'Oct-23'!I44</f>
        <v>8294</v>
      </c>
      <c r="S44" s="74">
        <f>'Sep-23'!S44+'Oct-23'!J44</f>
        <v>548524</v>
      </c>
      <c r="T44" s="120">
        <f>IFERROR(O44/P44-1,"n/a")</f>
        <v>0.44402121197951705</v>
      </c>
      <c r="U44" s="120">
        <f>IFERROR(O44/Q44-1,"n/a")</f>
        <v>108.57023289665212</v>
      </c>
      <c r="V44" s="120">
        <f>IFERROR(O44/R44-1,"n/a")</f>
        <v>144.21292500602846</v>
      </c>
      <c r="W44" s="121">
        <f>IFERROR(O44/S44-1,"n/a")</f>
        <v>1.1957033785212681</v>
      </c>
      <c r="X44" s="82">
        <v>905256</v>
      </c>
      <c r="Y44" s="82">
        <v>20626</v>
      </c>
      <c r="Z44" s="84">
        <v>10047</v>
      </c>
      <c r="AA44" s="78">
        <v>581199</v>
      </c>
      <c r="AC44" s="123"/>
    </row>
    <row r="45" spans="1:29" s="124" customFormat="1" ht="11.25">
      <c r="A45" s="123"/>
      <c r="B45" s="123"/>
      <c r="C45" s="31" t="s">
        <v>111</v>
      </c>
      <c r="D45" s="26"/>
      <c r="E45" s="34"/>
      <c r="F45" s="72"/>
      <c r="G45" s="72"/>
      <c r="H45" s="72"/>
      <c r="I45" s="72"/>
      <c r="J45" s="72"/>
      <c r="K45" s="64"/>
      <c r="L45" s="64"/>
      <c r="M45" s="64"/>
      <c r="N45" s="60"/>
      <c r="O45" s="72"/>
      <c r="P45" s="72"/>
      <c r="Q45" s="72"/>
      <c r="R45" s="72"/>
      <c r="S45" s="72"/>
      <c r="T45" s="64"/>
      <c r="U45" s="64"/>
      <c r="V45" s="64"/>
      <c r="W45" s="60"/>
      <c r="X45" s="90"/>
      <c r="Y45" s="90"/>
      <c r="Z45" s="44"/>
      <c r="AA45" s="79"/>
      <c r="AC45" s="123"/>
    </row>
    <row r="46" spans="1:29" s="124" customFormat="1" ht="11.25">
      <c r="A46" s="123"/>
      <c r="B46" s="123"/>
      <c r="C46" s="33"/>
      <c r="D46" s="26" t="s">
        <v>5</v>
      </c>
      <c r="E46" s="34"/>
      <c r="F46" s="74">
        <f t="shared" ref="F46:J47" si="8">F22</f>
        <v>185</v>
      </c>
      <c r="G46" s="74">
        <f t="shared" si="8"/>
        <v>149</v>
      </c>
      <c r="H46" s="74">
        <f t="shared" si="8"/>
        <v>107</v>
      </c>
      <c r="I46" s="74">
        <f t="shared" si="8"/>
        <v>0</v>
      </c>
      <c r="J46" s="74">
        <f t="shared" si="8"/>
        <v>127</v>
      </c>
      <c r="K46" s="64">
        <f>IFERROR(F46/G46-1,"n/a")</f>
        <v>0.24161073825503365</v>
      </c>
      <c r="L46" s="64">
        <f>IFERROR(F46/H46-1,"n/a")</f>
        <v>0.72897196261682251</v>
      </c>
      <c r="M46" s="64" t="str">
        <f>IFERROR(F46/I46-1,"n/a")</f>
        <v>n/a</v>
      </c>
      <c r="N46" s="60">
        <f>IFERROR(F46/J46-1,"n/a")</f>
        <v>0.45669291338582685</v>
      </c>
      <c r="O46" s="74">
        <f>'Sep-23'!O46+'Oct-23'!F46</f>
        <v>874</v>
      </c>
      <c r="P46" s="74">
        <f>'Sep-23'!P46+'Oct-23'!G46</f>
        <v>641</v>
      </c>
      <c r="Q46" s="74">
        <f>'Sep-23'!Q46+'Oct-23'!H46</f>
        <v>191</v>
      </c>
      <c r="R46" s="74">
        <f>'Sep-23'!R46+'Oct-23'!I46</f>
        <v>0</v>
      </c>
      <c r="S46" s="74">
        <f>'Sep-23'!S46+'Oct-23'!J46</f>
        <v>623</v>
      </c>
      <c r="T46" s="120">
        <f>IFERROR(O46/P46-1,"n/a")</f>
        <v>0.36349453978159119</v>
      </c>
      <c r="U46" s="120">
        <f>IFERROR(O46/Q46-1,"n/a")</f>
        <v>3.5759162303664924</v>
      </c>
      <c r="V46" s="120" t="str">
        <f>IFERROR(O46/R46-1,"n/a")</f>
        <v>n/a</v>
      </c>
      <c r="W46" s="121">
        <f>IFERROR(O46/S46-1,"n/a")</f>
        <v>0.4028892455858748</v>
      </c>
      <c r="X46" s="89">
        <v>1129</v>
      </c>
      <c r="Y46" s="89">
        <v>336</v>
      </c>
      <c r="Z46" s="84">
        <v>43</v>
      </c>
      <c r="AA46" s="78">
        <v>781</v>
      </c>
      <c r="AC46" s="123"/>
    </row>
    <row r="47" spans="1:29" s="124" customFormat="1" ht="11.25">
      <c r="A47" s="123"/>
      <c r="B47" s="123"/>
      <c r="C47" s="33"/>
      <c r="D47" s="26" t="s">
        <v>11</v>
      </c>
      <c r="E47" s="32"/>
      <c r="F47" s="74">
        <f t="shared" si="8"/>
        <v>513716</v>
      </c>
      <c r="G47" s="74">
        <f t="shared" si="8"/>
        <v>338461</v>
      </c>
      <c r="H47" s="74">
        <f t="shared" si="8"/>
        <v>174505</v>
      </c>
      <c r="I47" s="74">
        <f t="shared" si="8"/>
        <v>0</v>
      </c>
      <c r="J47" s="74">
        <f t="shared" si="8"/>
        <v>332808</v>
      </c>
      <c r="K47" s="64">
        <f>IFERROR(F47/G47-1,"n/a")</f>
        <v>0.5177996874085935</v>
      </c>
      <c r="L47" s="64">
        <f>IFERROR(F47/H47-1,"n/a")</f>
        <v>1.9438468811781897</v>
      </c>
      <c r="M47" s="64" t="str">
        <f>IFERROR(F47/I47-1,"n/a")</f>
        <v>n/a</v>
      </c>
      <c r="N47" s="60">
        <f>IFERROR(F47/J47-1,"n/a")</f>
        <v>0.54358068315665498</v>
      </c>
      <c r="O47" s="74">
        <f>'Sep-23'!O47+'Oct-23'!F47</f>
        <v>2713594</v>
      </c>
      <c r="P47" s="74">
        <f>'Sep-23'!P47+'Oct-23'!G47</f>
        <v>1600457</v>
      </c>
      <c r="Q47" s="74">
        <f>'Sep-23'!Q47+'Oct-23'!H47</f>
        <v>342388</v>
      </c>
      <c r="R47" s="74">
        <f>'Sep-23'!R47+'Oct-23'!I47</f>
        <v>0</v>
      </c>
      <c r="S47" s="74">
        <f>'Sep-23'!S47+'Oct-23'!J47</f>
        <v>1978352</v>
      </c>
      <c r="T47" s="120">
        <f>IFERROR(O47/P47-1,"n/a")</f>
        <v>0.69551196939374194</v>
      </c>
      <c r="U47" s="120">
        <f>IFERROR(O47/Q47-1,"n/a")</f>
        <v>6.9254938841314528</v>
      </c>
      <c r="V47" s="120" t="str">
        <f>IFERROR(O47/R47-1,"n/a")</f>
        <v>n/a</v>
      </c>
      <c r="W47" s="121">
        <f>IFERROR(O47/S47-1,"n/a")</f>
        <v>0.37164367109594254</v>
      </c>
      <c r="X47" s="82">
        <v>2932981</v>
      </c>
      <c r="Y47" s="82">
        <v>533563</v>
      </c>
      <c r="Z47" s="84">
        <v>140552</v>
      </c>
      <c r="AA47" s="78">
        <v>2441594</v>
      </c>
      <c r="AC47" s="123"/>
    </row>
    <row r="48" spans="1:29" s="124" customFormat="1" ht="11.25">
      <c r="C48" s="31" t="s">
        <v>112</v>
      </c>
      <c r="D48" s="26"/>
      <c r="E48" s="32"/>
      <c r="F48" s="72"/>
      <c r="G48" s="72"/>
      <c r="H48" s="72"/>
      <c r="I48" s="72"/>
      <c r="J48" s="72"/>
      <c r="K48" s="64"/>
      <c r="L48" s="64"/>
      <c r="M48" s="64"/>
      <c r="N48" s="60"/>
      <c r="O48" s="72"/>
      <c r="P48" s="72"/>
      <c r="Q48" s="72"/>
      <c r="R48" s="72"/>
      <c r="S48" s="72"/>
      <c r="T48" s="64"/>
      <c r="U48" s="64"/>
      <c r="V48" s="64"/>
      <c r="W48" s="60"/>
      <c r="X48" s="90"/>
      <c r="Y48" s="90"/>
      <c r="Z48" s="44"/>
      <c r="AA48" s="79"/>
      <c r="AC48" s="123"/>
    </row>
    <row r="49" spans="3:29" s="124" customFormat="1" ht="11.25">
      <c r="C49" s="33"/>
      <c r="D49" s="26" t="s">
        <v>5</v>
      </c>
      <c r="E49" s="32"/>
      <c r="F49" s="74">
        <f t="shared" ref="F49:J50" si="9">F25</f>
        <v>2</v>
      </c>
      <c r="G49" s="74">
        <f t="shared" si="9"/>
        <v>1</v>
      </c>
      <c r="H49" s="74">
        <f t="shared" si="9"/>
        <v>0</v>
      </c>
      <c r="I49" s="74">
        <f t="shared" si="9"/>
        <v>0</v>
      </c>
      <c r="J49" s="74">
        <f t="shared" si="9"/>
        <v>3</v>
      </c>
      <c r="K49" s="64">
        <f>IFERROR(F49/G49-1,"n/a")</f>
        <v>1</v>
      </c>
      <c r="L49" s="64" t="str">
        <f>IFERROR(F49/H49-1,"n/a")</f>
        <v>n/a</v>
      </c>
      <c r="M49" s="64" t="str">
        <f>IFERROR(F49/I49-1,"n/a")</f>
        <v>n/a</v>
      </c>
      <c r="N49" s="60">
        <f>IFERROR(F49/J49-1,"n/a")</f>
        <v>-0.33333333333333337</v>
      </c>
      <c r="O49" s="74">
        <f>'Sep-23'!O49+'Oct-23'!F49</f>
        <v>21</v>
      </c>
      <c r="P49" s="74">
        <f>'Sep-23'!P49+'Oct-23'!G49</f>
        <v>9</v>
      </c>
      <c r="Q49" s="74">
        <f>'Sep-23'!Q49+'Oct-23'!H49</f>
        <v>0</v>
      </c>
      <c r="R49" s="74">
        <f>'Sep-23'!R49+'Oct-23'!I49</f>
        <v>0</v>
      </c>
      <c r="S49" s="74">
        <f>'Sep-23'!S49+'Oct-23'!J49</f>
        <v>16</v>
      </c>
      <c r="T49" s="120">
        <f>IFERROR(O49/P49-1,"n/a")</f>
        <v>1.3333333333333335</v>
      </c>
      <c r="U49" s="120" t="str">
        <f>IFERROR(O49/Q49-1,"n/a")</f>
        <v>n/a</v>
      </c>
      <c r="V49" s="120" t="str">
        <f>IFERROR(O49/R49-1,"n/a")</f>
        <v>n/a</v>
      </c>
      <c r="W49" s="121">
        <f>IFERROR(O49/S49-1,"n/a")</f>
        <v>0.3125</v>
      </c>
      <c r="X49" s="89">
        <v>9</v>
      </c>
      <c r="Y49" s="68">
        <v>0</v>
      </c>
      <c r="Z49" s="68">
        <v>0</v>
      </c>
      <c r="AA49" s="78">
        <v>16</v>
      </c>
      <c r="AC49" s="123"/>
    </row>
    <row r="50" spans="3:29" s="124" customFormat="1" ht="11.25">
      <c r="C50" s="33"/>
      <c r="D50" s="26" t="s">
        <v>11</v>
      </c>
      <c r="E50" s="32"/>
      <c r="F50" s="74">
        <f t="shared" si="9"/>
        <v>4312</v>
      </c>
      <c r="G50" s="74">
        <f t="shared" si="9"/>
        <v>2358</v>
      </c>
      <c r="H50" s="74">
        <f t="shared" si="9"/>
        <v>0</v>
      </c>
      <c r="I50" s="74">
        <f t="shared" si="9"/>
        <v>0</v>
      </c>
      <c r="J50" s="74">
        <f t="shared" si="9"/>
        <v>3957</v>
      </c>
      <c r="K50" s="64">
        <f>IFERROR(F50/G50-1,"n/a")</f>
        <v>0.82866836301950797</v>
      </c>
      <c r="L50" s="64" t="str">
        <f>IFERROR(F50/H50-1,"n/a")</f>
        <v>n/a</v>
      </c>
      <c r="M50" s="64" t="str">
        <f>IFERROR(F50/I50-1,"n/a")</f>
        <v>n/a</v>
      </c>
      <c r="N50" s="60">
        <f>IFERROR(F50/J50-1,"n/a")</f>
        <v>8.971443012383129E-2</v>
      </c>
      <c r="O50" s="74">
        <f>'Sep-23'!O50+'Oct-23'!F50</f>
        <v>38626</v>
      </c>
      <c r="P50" s="74">
        <f>'Sep-23'!P50+'Oct-23'!G50</f>
        <v>15637</v>
      </c>
      <c r="Q50" s="74">
        <f>'Sep-23'!Q50+'Oct-23'!H50</f>
        <v>0</v>
      </c>
      <c r="R50" s="74">
        <f>'Sep-23'!R50+'Oct-23'!I50</f>
        <v>0</v>
      </c>
      <c r="S50" s="74">
        <f>'Sep-23'!S50+'Oct-23'!J50</f>
        <v>20248</v>
      </c>
      <c r="T50" s="120">
        <f>IFERROR(O50/P50-1,"n/a")</f>
        <v>1.4701669118117286</v>
      </c>
      <c r="U50" s="120" t="str">
        <f>IFERROR(O50/Q50-1,"n/a")</f>
        <v>n/a</v>
      </c>
      <c r="V50" s="120" t="str">
        <f>IFERROR(O50/R50-1,"n/a")</f>
        <v>n/a</v>
      </c>
      <c r="W50" s="121">
        <f>IFERROR(O50/S50-1,"n/a")</f>
        <v>0.90764519952587919</v>
      </c>
      <c r="X50" s="82">
        <v>15637</v>
      </c>
      <c r="Y50" s="68">
        <v>0</v>
      </c>
      <c r="Z50" s="68">
        <v>0</v>
      </c>
      <c r="AA50" s="78">
        <v>20248</v>
      </c>
      <c r="AC50" s="123"/>
    </row>
    <row r="51" spans="3:29" s="124" customFormat="1" ht="12" thickBot="1">
      <c r="C51" s="35" t="s">
        <v>12</v>
      </c>
      <c r="D51" s="36"/>
      <c r="E51" s="37"/>
      <c r="F51" s="75">
        <f>F37+F40+F43+F46+F49</f>
        <v>472</v>
      </c>
      <c r="G51" s="75">
        <f t="shared" ref="G51:J52" si="10">G37+G40+G43+G46+G49</f>
        <v>414</v>
      </c>
      <c r="H51" s="75">
        <f t="shared" si="10"/>
        <v>244</v>
      </c>
      <c r="I51" s="75">
        <f t="shared" si="10"/>
        <v>18</v>
      </c>
      <c r="J51" s="75">
        <f t="shared" si="10"/>
        <v>388</v>
      </c>
      <c r="K51" s="66">
        <f>IFERROR(F51/G51-1,"n/a")</f>
        <v>0.14009661835748788</v>
      </c>
      <c r="L51" s="66">
        <f>IFERROR(F51/H51-1,"n/a")</f>
        <v>0.93442622950819665</v>
      </c>
      <c r="M51" s="66">
        <f>IFERROR(F51/I51-1,"n/a")</f>
        <v>25.222222222222221</v>
      </c>
      <c r="N51" s="62">
        <f>IFERROR(F51/J51-1,"n/a")</f>
        <v>0.21649484536082464</v>
      </c>
      <c r="O51" s="75">
        <f t="shared" ref="O51:S52" si="11">O37+O40+O43+O46+O49</f>
        <v>2724</v>
      </c>
      <c r="P51" s="75">
        <f t="shared" si="11"/>
        <v>2372</v>
      </c>
      <c r="Q51" s="75">
        <f t="shared" si="11"/>
        <v>607</v>
      </c>
      <c r="R51" s="75">
        <f t="shared" si="11"/>
        <v>76</v>
      </c>
      <c r="S51" s="75">
        <f t="shared" si="11"/>
        <v>2088</v>
      </c>
      <c r="T51" s="66">
        <f>IFERROR(O51/P51-1,"n/a")</f>
        <v>0.14839797639123109</v>
      </c>
      <c r="U51" s="66">
        <f>IFERROR(O51/Q51-1,"n/a")</f>
        <v>3.4876441515650738</v>
      </c>
      <c r="V51" s="66">
        <f>IFERROR(O51/R51-1,"n/a")</f>
        <v>34.842105263157897</v>
      </c>
      <c r="W51" s="62">
        <f>IFERROR(O51/S51-1,"n/a")</f>
        <v>0.30459770114942519</v>
      </c>
      <c r="X51" s="46">
        <f t="shared" ref="X51:Z52" si="12">X37+X40+X43+X46+X49</f>
        <v>3856</v>
      </c>
      <c r="Y51" s="46">
        <f t="shared" si="12"/>
        <v>1673</v>
      </c>
      <c r="Z51" s="46">
        <f t="shared" si="12"/>
        <v>669</v>
      </c>
      <c r="AA51" s="80">
        <f>AA37+AA40+AA43+AA46+AA49</f>
        <v>3241</v>
      </c>
      <c r="AC51" s="123"/>
    </row>
    <row r="52" spans="3:29" s="124" customFormat="1" ht="12.75" thickTop="1" thickBot="1">
      <c r="C52" s="38" t="s">
        <v>13</v>
      </c>
      <c r="D52" s="39"/>
      <c r="E52" s="40"/>
      <c r="F52" s="76">
        <f>F38+F41+F44+F47+F50</f>
        <v>1211190</v>
      </c>
      <c r="G52" s="76">
        <f t="shared" si="10"/>
        <v>867086</v>
      </c>
      <c r="H52" s="76">
        <f t="shared" si="10"/>
        <v>368120</v>
      </c>
      <c r="I52" s="76">
        <f t="shared" si="10"/>
        <v>13954</v>
      </c>
      <c r="J52" s="76">
        <f t="shared" si="10"/>
        <v>926937</v>
      </c>
      <c r="K52" s="67">
        <f>IFERROR(F52/G52-1,"n/a")</f>
        <v>0.39685106206304788</v>
      </c>
      <c r="L52" s="67">
        <f>IFERROR(F52/H52-1,"n/a")</f>
        <v>2.290204281212648</v>
      </c>
      <c r="M52" s="67">
        <f>IFERROR(F52/I52-1,"n/a")</f>
        <v>85.798767378529448</v>
      </c>
      <c r="N52" s="63">
        <f>IFERROR(F52/J52-1,"n/a")</f>
        <v>0.30665838131394052</v>
      </c>
      <c r="O52" s="76">
        <f t="shared" si="11"/>
        <v>7934885</v>
      </c>
      <c r="P52" s="76">
        <f t="shared" si="11"/>
        <v>5210474</v>
      </c>
      <c r="Q52" s="76">
        <f t="shared" si="11"/>
        <v>926628</v>
      </c>
      <c r="R52" s="76">
        <f t="shared" si="11"/>
        <v>30861</v>
      </c>
      <c r="S52" s="76">
        <f t="shared" si="11"/>
        <v>5963880</v>
      </c>
      <c r="T52" s="67">
        <f>IFERROR(O52/P52-1,"n/a")</f>
        <v>0.52287200742197348</v>
      </c>
      <c r="U52" s="118">
        <f>IFERROR(O52/Q52-1,"n/a")</f>
        <v>7.5631828522341227</v>
      </c>
      <c r="V52" s="118">
        <f>IFERROR(O52/R52-1,"n/a")</f>
        <v>256.11691131201195</v>
      </c>
      <c r="W52" s="119">
        <f>IFERROR(O52/S52-1,"n/a")</f>
        <v>0.33049038545376508</v>
      </c>
      <c r="X52" s="47">
        <f t="shared" si="12"/>
        <v>9237323</v>
      </c>
      <c r="Y52" s="47">
        <f t="shared" si="12"/>
        <v>2410085</v>
      </c>
      <c r="Z52" s="47">
        <f t="shared" si="12"/>
        <v>1324261</v>
      </c>
      <c r="AA52" s="81">
        <f>AA38+AA41+AA44+AA47+AA50</f>
        <v>8638971</v>
      </c>
      <c r="AC52" s="123"/>
    </row>
    <row r="53" spans="3:29" s="124" customFormat="1" ht="12" thickTop="1">
      <c r="AC53" s="123"/>
    </row>
    <row r="54" spans="3:29" s="124" customFormat="1" ht="11.25">
      <c r="P54" s="132"/>
      <c r="Q54" s="132"/>
      <c r="R54" s="132"/>
      <c r="S54" s="132"/>
      <c r="AC54" s="123"/>
    </row>
    <row r="55" spans="3:29">
      <c r="P55" s="111"/>
      <c r="Q55" s="111"/>
      <c r="R55" s="111"/>
      <c r="S55" s="111"/>
      <c r="AC55" s="9"/>
    </row>
    <row r="56" spans="3:29">
      <c r="P56" s="111"/>
      <c r="Q56" s="111"/>
      <c r="R56" s="111"/>
      <c r="S56" s="111"/>
      <c r="AC56" s="9"/>
    </row>
    <row r="57" spans="3:29">
      <c r="P57" s="111"/>
      <c r="Q57" s="111"/>
      <c r="R57" s="111"/>
      <c r="S57" s="111"/>
      <c r="AC57" s="9"/>
    </row>
    <row r="58" spans="3:29">
      <c r="AC58" s="9"/>
    </row>
    <row r="59" spans="3:29">
      <c r="AC59" s="9"/>
    </row>
    <row r="60" spans="3:29">
      <c r="AC60" s="9"/>
    </row>
    <row r="61" spans="3:29" ht="15" customHeight="1"/>
    <row r="62" spans="3:29" ht="15" customHeight="1"/>
    <row r="63" spans="3:29" ht="15" customHeight="1"/>
    <row r="64" spans="3:29" ht="15" customHeight="1"/>
    <row r="65" ht="15" customHeight="1"/>
    <row r="66" ht="15" customHeight="1"/>
  </sheetData>
  <mergeCells count="9">
    <mergeCell ref="F34:N34"/>
    <mergeCell ref="O34:W34"/>
    <mergeCell ref="X34:AA34"/>
    <mergeCell ref="F9:N9"/>
    <mergeCell ref="O9:W9"/>
    <mergeCell ref="X9:AA9"/>
    <mergeCell ref="F33:N33"/>
    <mergeCell ref="O33:W33"/>
    <mergeCell ref="X33:AA33"/>
  </mergeCells>
  <pageMargins left="0.7" right="0.7" top="0.75" bottom="0.75" header="0.3" footer="0.3"/>
  <pageSetup paperSize="9" orientation="portrait" horizontalDpi="0" verticalDpi="0"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6"/>
  <sheetViews>
    <sheetView showGridLines="0" zoomScaleNormal="100" workbookViewId="0">
      <selection activeCell="F13" sqref="F13:J26"/>
    </sheetView>
  </sheetViews>
  <sheetFormatPr defaultColWidth="0" defaultRowHeight="15" customHeight="1" zeroHeight="1"/>
  <cols>
    <col min="1" max="2" width="4.140625" customWidth="1"/>
    <col min="3" max="3" width="3.85546875" customWidth="1"/>
    <col min="4" max="4" width="8.85546875" customWidth="1"/>
    <col min="5" max="5" width="13" customWidth="1"/>
    <col min="6" max="6" width="11.140625" bestFit="1" customWidth="1"/>
    <col min="7" max="7" width="10.140625" bestFit="1" customWidth="1"/>
    <col min="8" max="9" width="8.85546875" customWidth="1"/>
    <col min="10" max="10" width="10.140625" bestFit="1" customWidth="1"/>
    <col min="11" max="11" width="8" customWidth="1"/>
    <col min="12" max="12" width="8.85546875" bestFit="1" customWidth="1"/>
    <col min="13" max="14" width="8" customWidth="1"/>
    <col min="15" max="15" width="12" bestFit="1" customWidth="1"/>
    <col min="16" max="16" width="11.5703125" bestFit="1" customWidth="1"/>
    <col min="17" max="17" width="10.42578125" bestFit="1" customWidth="1"/>
    <col min="18" max="18" width="11.5703125" bestFit="1" customWidth="1"/>
    <col min="19" max="19" width="11.85546875" bestFit="1" customWidth="1"/>
    <col min="20" max="20" width="9.140625" bestFit="1" customWidth="1"/>
    <col min="21" max="21" width="8.85546875" bestFit="1" customWidth="1"/>
    <col min="22" max="22" width="9" bestFit="1" customWidth="1"/>
    <col min="23" max="23" width="7.85546875" customWidth="1"/>
    <col min="24" max="24" width="13.42578125" bestFit="1" customWidth="1"/>
    <col min="25" max="25" width="13.140625" bestFit="1" customWidth="1"/>
    <col min="26" max="26" width="12.85546875" bestFit="1" customWidth="1"/>
    <col min="27" max="27" width="15.42578125" bestFit="1" customWidth="1"/>
    <col min="28" max="28" width="11.140625" customWidth="1"/>
    <col min="29" max="29" width="3.42578125" customWidth="1"/>
    <col min="30" max="16384" width="8.85546875" hidden="1"/>
  </cols>
  <sheetData>
    <row r="1" spans="1:29">
      <c r="A1" s="9"/>
      <c r="B1" s="9"/>
      <c r="C1" s="9"/>
      <c r="D1" s="9"/>
      <c r="E1" s="9"/>
      <c r="F1" s="9"/>
      <c r="G1" s="9"/>
      <c r="H1" s="9"/>
      <c r="I1" s="9"/>
      <c r="J1" s="9"/>
      <c r="K1" s="9"/>
      <c r="L1" s="9"/>
      <c r="M1" s="9"/>
      <c r="N1" s="9"/>
      <c r="O1" s="9"/>
      <c r="P1" s="9"/>
      <c r="Q1" s="9"/>
      <c r="R1" s="9"/>
      <c r="S1" s="9"/>
      <c r="T1" s="9"/>
      <c r="U1" s="9"/>
      <c r="V1" s="9"/>
      <c r="W1" s="9"/>
      <c r="X1" s="9"/>
      <c r="Y1" s="9"/>
      <c r="Z1" s="9"/>
      <c r="AA1" s="9"/>
      <c r="AB1" s="9"/>
      <c r="AC1" s="9"/>
    </row>
    <row r="2" spans="1:29" ht="31.35" customHeight="1" thickBot="1">
      <c r="A2" s="9"/>
      <c r="B2" s="8" t="s">
        <v>6</v>
      </c>
      <c r="C2" s="23"/>
      <c r="D2" s="23"/>
      <c r="E2" s="23"/>
      <c r="F2" s="23"/>
      <c r="G2" s="23"/>
      <c r="H2" s="23"/>
      <c r="I2" s="23"/>
      <c r="J2" s="23"/>
      <c r="K2" s="23"/>
      <c r="L2" s="23"/>
      <c r="M2" s="23"/>
      <c r="N2" s="23"/>
      <c r="O2" s="23"/>
      <c r="P2" s="23"/>
      <c r="Q2" s="23"/>
      <c r="R2" s="23"/>
      <c r="S2" s="23"/>
      <c r="T2" s="23"/>
      <c r="U2" s="23"/>
      <c r="V2" s="23"/>
      <c r="W2" s="23"/>
      <c r="X2" s="23"/>
      <c r="Y2" s="23"/>
      <c r="Z2" s="23"/>
      <c r="AA2" s="23"/>
      <c r="AB2" s="24"/>
      <c r="AC2" s="9"/>
    </row>
    <row r="3" spans="1:29">
      <c r="A3" s="9"/>
      <c r="B3" s="10"/>
      <c r="C3" s="24"/>
      <c r="D3" s="24"/>
      <c r="E3" s="24"/>
      <c r="F3" s="24"/>
      <c r="G3" s="24"/>
      <c r="H3" s="24"/>
      <c r="I3" s="24"/>
      <c r="J3" s="24"/>
      <c r="K3" s="24"/>
      <c r="L3" s="24"/>
      <c r="M3" s="24"/>
      <c r="N3" s="24"/>
      <c r="O3" s="24"/>
      <c r="P3" s="24"/>
      <c r="Q3" s="24"/>
      <c r="R3" s="24"/>
      <c r="S3" s="24"/>
      <c r="T3" s="24"/>
      <c r="U3" s="24"/>
      <c r="V3" s="24"/>
      <c r="W3" s="24"/>
      <c r="X3" s="24"/>
      <c r="Y3" s="24"/>
      <c r="Z3" s="24"/>
      <c r="AA3" s="25">
        <v>45214</v>
      </c>
      <c r="AB3" s="25"/>
      <c r="AC3" s="9"/>
    </row>
    <row r="4" spans="1:29" ht="15.75">
      <c r="A4" s="9"/>
      <c r="B4" s="11" t="s">
        <v>7</v>
      </c>
      <c r="C4" s="26"/>
      <c r="D4" s="93" t="s">
        <v>22</v>
      </c>
      <c r="E4" s="134">
        <v>2023</v>
      </c>
      <c r="F4" s="24"/>
      <c r="G4" s="24"/>
      <c r="H4" s="24"/>
      <c r="I4" s="24"/>
      <c r="J4" s="24"/>
      <c r="K4" s="24"/>
      <c r="L4" s="24"/>
      <c r="M4" s="24"/>
      <c r="N4" s="24"/>
      <c r="O4" s="24"/>
      <c r="P4" s="24"/>
      <c r="Q4" s="24"/>
      <c r="R4" s="24"/>
      <c r="S4" s="24"/>
      <c r="T4" s="24"/>
      <c r="U4" s="24"/>
      <c r="V4" s="24"/>
      <c r="W4" s="24"/>
      <c r="X4" s="24"/>
      <c r="Y4" s="24"/>
      <c r="Z4" s="24"/>
      <c r="AA4" s="24"/>
      <c r="AB4" s="24"/>
      <c r="AC4" s="9"/>
    </row>
    <row r="5" spans="1:29">
      <c r="A5" s="9"/>
      <c r="B5" s="10"/>
      <c r="C5" s="24"/>
      <c r="D5" s="24"/>
      <c r="E5" s="24"/>
      <c r="F5" s="24"/>
      <c r="G5" s="24"/>
      <c r="H5" s="24"/>
      <c r="I5" s="24"/>
      <c r="J5" s="24"/>
      <c r="K5" s="24"/>
      <c r="L5" s="24"/>
      <c r="M5" s="24"/>
      <c r="N5" s="24"/>
      <c r="O5" s="24"/>
      <c r="P5" s="24"/>
      <c r="Q5" s="24"/>
      <c r="R5" s="24"/>
      <c r="S5" s="24"/>
      <c r="T5" s="24"/>
      <c r="U5" s="24"/>
      <c r="V5" s="24"/>
      <c r="W5" s="24"/>
      <c r="X5" s="24"/>
      <c r="Y5" s="24"/>
      <c r="Z5" s="24"/>
      <c r="AA5" s="24"/>
      <c r="AB5" s="24"/>
      <c r="AC5" s="9"/>
    </row>
    <row r="6" spans="1:29">
      <c r="A6" s="9"/>
      <c r="B6" s="10"/>
      <c r="C6" s="24"/>
      <c r="D6" s="24"/>
      <c r="E6" s="24"/>
      <c r="F6" s="24"/>
      <c r="G6" s="24"/>
      <c r="H6" s="24"/>
      <c r="I6" s="24"/>
      <c r="J6" s="24"/>
      <c r="K6" s="24"/>
      <c r="L6" s="24"/>
      <c r="M6" s="24"/>
      <c r="N6" s="24"/>
      <c r="O6" s="24"/>
      <c r="P6" s="24"/>
      <c r="Q6" s="24"/>
      <c r="R6" s="24"/>
      <c r="S6" s="24"/>
      <c r="T6" s="24"/>
      <c r="U6" s="24"/>
      <c r="V6" s="24"/>
      <c r="W6" s="24"/>
      <c r="X6" s="24"/>
      <c r="Y6" s="24"/>
      <c r="Z6" s="24"/>
      <c r="AA6" s="24"/>
      <c r="AB6" s="24"/>
      <c r="AC6" s="9"/>
    </row>
    <row r="7" spans="1:29">
      <c r="A7" s="9"/>
      <c r="B7" s="10"/>
      <c r="C7" s="86" t="s">
        <v>62</v>
      </c>
      <c r="D7" s="24"/>
      <c r="E7" s="24"/>
      <c r="F7" s="24"/>
      <c r="G7" s="24"/>
      <c r="H7" s="24"/>
      <c r="I7" s="24"/>
      <c r="J7" s="24"/>
      <c r="K7" s="24"/>
      <c r="L7" s="24"/>
      <c r="M7" s="24"/>
      <c r="N7" s="24"/>
      <c r="O7" s="24"/>
      <c r="P7" s="24"/>
      <c r="Q7" s="24"/>
      <c r="R7" s="24"/>
      <c r="S7" s="24"/>
      <c r="T7" s="24"/>
      <c r="U7" s="24"/>
      <c r="V7" s="24"/>
      <c r="W7" s="24"/>
      <c r="X7" s="24"/>
      <c r="Y7" s="24"/>
      <c r="Z7" s="24"/>
      <c r="AA7" s="24"/>
      <c r="AB7" s="24"/>
      <c r="AC7" s="9"/>
    </row>
    <row r="8" spans="1:29">
      <c r="A8" s="9"/>
      <c r="B8" s="10"/>
      <c r="C8" s="24"/>
      <c r="D8" s="24"/>
      <c r="E8" s="24"/>
      <c r="F8" s="24"/>
      <c r="G8" s="24"/>
      <c r="H8" s="24"/>
      <c r="I8" s="24"/>
      <c r="J8" s="24"/>
      <c r="K8" s="24"/>
      <c r="L8" s="24"/>
      <c r="M8" s="24"/>
      <c r="N8" s="24"/>
      <c r="O8" s="24"/>
      <c r="P8" s="24"/>
      <c r="Q8" s="24"/>
      <c r="R8" s="24"/>
      <c r="S8" s="24"/>
      <c r="T8" s="24"/>
      <c r="U8" s="24"/>
      <c r="V8" s="24"/>
      <c r="W8" s="24"/>
      <c r="X8" s="24"/>
      <c r="Y8" s="24"/>
      <c r="Z8" s="24"/>
      <c r="AA8" s="24"/>
      <c r="AB8" s="24"/>
      <c r="AC8" s="9"/>
    </row>
    <row r="9" spans="1:29" s="124" customFormat="1" ht="11.25">
      <c r="A9" s="123"/>
      <c r="C9" s="27" t="s">
        <v>7</v>
      </c>
      <c r="D9" s="28"/>
      <c r="E9" s="28"/>
      <c r="F9" s="155" t="str">
        <f>D4</f>
        <v>September</v>
      </c>
      <c r="G9" s="158"/>
      <c r="H9" s="158"/>
      <c r="I9" s="158"/>
      <c r="J9" s="158"/>
      <c r="K9" s="158"/>
      <c r="L9" s="158"/>
      <c r="M9" s="158"/>
      <c r="N9" s="159"/>
      <c r="O9" s="157" t="str">
        <f>"January to "&amp; D4</f>
        <v>January to September</v>
      </c>
      <c r="P9" s="158"/>
      <c r="Q9" s="158"/>
      <c r="R9" s="158"/>
      <c r="S9" s="158"/>
      <c r="T9" s="158"/>
      <c r="U9" s="158"/>
      <c r="V9" s="158"/>
      <c r="W9" s="159"/>
      <c r="X9" s="157" t="s">
        <v>57</v>
      </c>
      <c r="Y9" s="158"/>
      <c r="Z9" s="158"/>
      <c r="AA9" s="160"/>
      <c r="AB9" s="123"/>
      <c r="AC9" s="123"/>
    </row>
    <row r="10" spans="1:29" s="124" customFormat="1" ht="13.5">
      <c r="A10" s="123"/>
      <c r="B10" s="125"/>
      <c r="C10" s="29"/>
      <c r="D10" s="30"/>
      <c r="E10" s="30"/>
      <c r="F10" s="29"/>
      <c r="G10" s="30"/>
      <c r="H10" s="30"/>
      <c r="I10" s="30"/>
      <c r="J10" s="30"/>
      <c r="K10" s="30"/>
      <c r="L10" s="30"/>
      <c r="M10" s="30"/>
      <c r="N10" s="56"/>
      <c r="O10" s="30"/>
      <c r="P10" s="30"/>
      <c r="Q10" s="30"/>
      <c r="R10" s="30"/>
      <c r="S10" s="30"/>
      <c r="T10" s="30"/>
      <c r="U10" s="30"/>
      <c r="V10" s="30"/>
      <c r="W10" s="56"/>
      <c r="X10" s="30"/>
      <c r="Y10" s="30"/>
      <c r="Z10" s="30"/>
      <c r="AA10" s="56"/>
      <c r="AB10" s="123"/>
      <c r="AC10" s="123"/>
    </row>
    <row r="11" spans="1:29" s="124" customFormat="1" ht="26.1" customHeight="1">
      <c r="A11" s="126"/>
      <c r="B11" s="127"/>
      <c r="C11" s="59" t="s">
        <v>29</v>
      </c>
      <c r="D11" s="50"/>
      <c r="E11" s="51"/>
      <c r="F11" s="55">
        <v>2023</v>
      </c>
      <c r="G11" s="52">
        <v>2022</v>
      </c>
      <c r="H11" s="52">
        <v>2021</v>
      </c>
      <c r="I11" s="52">
        <v>2020</v>
      </c>
      <c r="J11" s="52">
        <v>2019</v>
      </c>
      <c r="K11" s="53" t="s">
        <v>66</v>
      </c>
      <c r="L11" s="53" t="s">
        <v>67</v>
      </c>
      <c r="M11" s="53" t="s">
        <v>68</v>
      </c>
      <c r="N11" s="57" t="s">
        <v>101</v>
      </c>
      <c r="O11" s="53">
        <v>2023</v>
      </c>
      <c r="P11" s="53">
        <v>2022</v>
      </c>
      <c r="Q11" s="52">
        <v>2021</v>
      </c>
      <c r="R11" s="52">
        <v>2020</v>
      </c>
      <c r="S11" s="52">
        <v>2019</v>
      </c>
      <c r="T11" s="53" t="s">
        <v>66</v>
      </c>
      <c r="U11" s="53" t="s">
        <v>67</v>
      </c>
      <c r="V11" s="53" t="s">
        <v>68</v>
      </c>
      <c r="W11" s="57" t="s">
        <v>101</v>
      </c>
      <c r="X11" s="53">
        <v>2022</v>
      </c>
      <c r="Y11" s="53">
        <v>2021</v>
      </c>
      <c r="Z11" s="52">
        <v>2020</v>
      </c>
      <c r="AA11" s="77">
        <v>2019</v>
      </c>
      <c r="AB11" s="126"/>
      <c r="AC11" s="126"/>
    </row>
    <row r="12" spans="1:29" s="124" customFormat="1" ht="12.75">
      <c r="A12" s="123"/>
      <c r="B12" s="128"/>
      <c r="C12" s="31" t="s">
        <v>108</v>
      </c>
      <c r="D12" s="26"/>
      <c r="E12" s="32"/>
      <c r="F12" s="26"/>
      <c r="G12" s="26"/>
      <c r="H12" s="26"/>
      <c r="I12" s="26"/>
      <c r="J12" s="26"/>
      <c r="K12" s="26"/>
      <c r="L12" s="26"/>
      <c r="M12" s="26"/>
      <c r="N12" s="32"/>
      <c r="O12" s="26"/>
      <c r="P12" s="26"/>
      <c r="Q12" s="26"/>
      <c r="R12" s="26"/>
      <c r="S12" s="26"/>
      <c r="T12" s="26"/>
      <c r="U12" s="26"/>
      <c r="V12" s="26"/>
      <c r="W12" s="32"/>
      <c r="X12" s="26"/>
      <c r="Y12" s="26"/>
      <c r="Z12" s="26"/>
      <c r="AA12" s="32"/>
      <c r="AB12" s="123"/>
      <c r="AC12" s="123"/>
    </row>
    <row r="13" spans="1:29" s="124" customFormat="1" ht="12.75">
      <c r="A13" s="123"/>
      <c r="B13" s="128"/>
      <c r="C13" s="33"/>
      <c r="D13" s="26" t="s">
        <v>5</v>
      </c>
      <c r="E13" s="32"/>
      <c r="F13" s="71">
        <v>98</v>
      </c>
      <c r="G13" s="71">
        <v>82</v>
      </c>
      <c r="H13" s="71">
        <v>60</v>
      </c>
      <c r="I13" s="71">
        <v>0</v>
      </c>
      <c r="J13" s="71">
        <v>79</v>
      </c>
      <c r="K13" s="64">
        <f>IFERROR(F13/G13-1,"n/a")</f>
        <v>0.19512195121951215</v>
      </c>
      <c r="L13" s="64">
        <f t="shared" ref="L13:L28" si="0">IFERROR(F13/H13-1,"n/a")</f>
        <v>0.6333333333333333</v>
      </c>
      <c r="M13" s="64" t="str">
        <f>IFERROR(F13/I13-1,"n/a")</f>
        <v>n/a</v>
      </c>
      <c r="N13" s="60">
        <f>IFERROR(F13/J13-1,"n/a")</f>
        <v>0.240506329113924</v>
      </c>
      <c r="O13" s="68">
        <f>'Aug-23'!O13+'Sep-23'!F13</f>
        <v>1155</v>
      </c>
      <c r="P13" s="68">
        <f>'Aug-23'!$P$13+G13</f>
        <v>1073</v>
      </c>
      <c r="Q13" s="68">
        <f>'Aug-23'!Q13+'Sep-23'!H13</f>
        <v>139</v>
      </c>
      <c r="R13" s="68">
        <f>'Aug-23'!R13+'Sep-23'!I13</f>
        <v>551</v>
      </c>
      <c r="S13" s="68">
        <f>'Aug-23'!S13+'Sep-23'!J13</f>
        <v>1102</v>
      </c>
      <c r="T13" s="64">
        <f>IFERROR(O13/P13-1,"n/a")</f>
        <v>7.6421248835041977E-2</v>
      </c>
      <c r="U13" s="64">
        <f>IFERROR(O13/Q13-1,"n/a")</f>
        <v>7.3093525179856123</v>
      </c>
      <c r="V13" s="64">
        <f>IFERROR(O13/R13-1,"n/a")</f>
        <v>1.0961887477313974</v>
      </c>
      <c r="W13" s="60">
        <f>IFERROR(O13/S13-1,"n/a")</f>
        <v>4.8094373865698703E-2</v>
      </c>
      <c r="X13" s="68">
        <v>1486</v>
      </c>
      <c r="Y13" s="68">
        <v>522</v>
      </c>
      <c r="Z13" s="68">
        <v>551</v>
      </c>
      <c r="AA13" s="135">
        <v>1591</v>
      </c>
      <c r="AB13" s="123"/>
      <c r="AC13" s="123"/>
    </row>
    <row r="14" spans="1:29" s="124" customFormat="1" ht="12.75">
      <c r="A14" s="123"/>
      <c r="B14" s="128"/>
      <c r="C14" s="33"/>
      <c r="D14" s="26" t="s">
        <v>11</v>
      </c>
      <c r="E14" s="32"/>
      <c r="F14" s="71">
        <v>313650</v>
      </c>
      <c r="G14" s="71">
        <v>280580</v>
      </c>
      <c r="H14" s="71">
        <v>83395</v>
      </c>
      <c r="I14" s="71">
        <v>0</v>
      </c>
      <c r="J14" s="71">
        <v>234453</v>
      </c>
      <c r="K14" s="64">
        <f>IFERROR(F14/G14-1,"n/a")</f>
        <v>0.11786299807541512</v>
      </c>
      <c r="L14" s="64">
        <f t="shared" si="0"/>
        <v>2.7610168475328258</v>
      </c>
      <c r="M14" s="64" t="str">
        <f>IFERROR(F14/I14-1,"n/a")</f>
        <v>n/a</v>
      </c>
      <c r="N14" s="60">
        <f>IFERROR(F14/J14-1,"n/a")</f>
        <v>0.33779478189658474</v>
      </c>
      <c r="O14" s="68">
        <f>'Aug-23'!$O$14+F14</f>
        <v>3786544</v>
      </c>
      <c r="P14" s="68">
        <f>'Aug-23'!P14+'Sep-23'!G14</f>
        <v>2395311</v>
      </c>
      <c r="Q14" s="68">
        <f>'Aug-23'!Q14+'Sep-23'!H14</f>
        <v>180900</v>
      </c>
      <c r="R14" s="68">
        <f>'Aug-23'!R14+'Sep-23'!I14</f>
        <v>1092884</v>
      </c>
      <c r="S14" s="68">
        <f>'Aug-23'!S14+'Sep-23'!J14</f>
        <v>3343418</v>
      </c>
      <c r="T14" s="64">
        <f>IFERROR(O14/P14-1,"n/a")</f>
        <v>0.58081518433305734</v>
      </c>
      <c r="U14" s="64">
        <f>IFERROR(O14/Q14-1,"n/a")</f>
        <v>19.931697070204532</v>
      </c>
      <c r="V14" s="64">
        <f>IFERROR(O14/R14-1,"n/a")</f>
        <v>2.4647263570516174</v>
      </c>
      <c r="W14" s="60">
        <f>IFERROR(O14/S14-1,"n/a")</f>
        <v>0.13253682309540715</v>
      </c>
      <c r="X14" s="68">
        <v>3592413</v>
      </c>
      <c r="Y14" s="68">
        <v>768312</v>
      </c>
      <c r="Z14" s="68">
        <v>1092884</v>
      </c>
      <c r="AA14" s="135">
        <v>4592479</v>
      </c>
      <c r="AB14" s="123"/>
      <c r="AC14" s="123"/>
    </row>
    <row r="15" spans="1:29" s="124" customFormat="1" ht="12.75">
      <c r="A15" s="123"/>
      <c r="B15" s="128"/>
      <c r="C15" s="31" t="s">
        <v>109</v>
      </c>
      <c r="D15" s="26"/>
      <c r="E15" s="32"/>
      <c r="F15" s="97"/>
      <c r="G15" s="26"/>
      <c r="H15" s="26"/>
      <c r="I15" s="26"/>
      <c r="J15" s="26"/>
      <c r="K15" s="64"/>
      <c r="L15" s="64"/>
      <c r="M15" s="64"/>
      <c r="N15" s="61"/>
      <c r="O15" s="87"/>
      <c r="P15" s="87"/>
      <c r="Q15" s="87"/>
      <c r="R15" s="87"/>
      <c r="S15" s="87"/>
      <c r="T15" s="64"/>
      <c r="U15" s="64"/>
      <c r="V15" s="65"/>
      <c r="W15" s="61"/>
      <c r="X15" s="43"/>
      <c r="Y15" s="43"/>
      <c r="Z15" s="43"/>
      <c r="AA15" s="136"/>
      <c r="AB15" s="123"/>
      <c r="AC15" s="123"/>
    </row>
    <row r="16" spans="1:29" s="124" customFormat="1" ht="12.75">
      <c r="A16" s="123"/>
      <c r="B16" s="128"/>
      <c r="C16" s="33"/>
      <c r="D16" s="26" t="s">
        <v>5</v>
      </c>
      <c r="E16" s="32"/>
      <c r="F16" s="71">
        <v>68</v>
      </c>
      <c r="G16" s="71">
        <v>74</v>
      </c>
      <c r="H16" s="71">
        <v>34</v>
      </c>
      <c r="I16" s="71">
        <v>9</v>
      </c>
      <c r="J16" s="71">
        <v>70</v>
      </c>
      <c r="K16" s="64">
        <f>IFERROR(F16/G16-1,"n/a")</f>
        <v>-8.108108108108103E-2</v>
      </c>
      <c r="L16" s="64">
        <f t="shared" si="0"/>
        <v>1</v>
      </c>
      <c r="M16" s="64">
        <f>IFERROR(F16/I16-1,"n/a")</f>
        <v>6.5555555555555554</v>
      </c>
      <c r="N16" s="60">
        <f>IFERROR(F16/J16-1,"n/a")</f>
        <v>-2.8571428571428581E-2</v>
      </c>
      <c r="O16" s="68">
        <f>'Aug-23'!$O$16+F16</f>
        <v>425</v>
      </c>
      <c r="P16" s="68">
        <f>'Aug-23'!P16+'Sep-23'!G16</f>
        <v>450</v>
      </c>
      <c r="Q16" s="68">
        <f>'Aug-23'!Q16+'Sep-23'!H16</f>
        <v>136</v>
      </c>
      <c r="R16" s="68">
        <f>'Aug-23'!R16+'Sep-23'!I16</f>
        <v>21</v>
      </c>
      <c r="S16" s="68">
        <f>'Aug-23'!S16+'Sep-23'!J16</f>
        <v>403</v>
      </c>
      <c r="T16" s="64">
        <f>IFERROR(O16/P16-1,"n/a")</f>
        <v>-5.555555555555558E-2</v>
      </c>
      <c r="U16" s="64">
        <f>IFERROR(O16/Q16-1,"n/a")</f>
        <v>2.125</v>
      </c>
      <c r="V16" s="64">
        <f>IFERROR(O16/R16-1,"n/a")</f>
        <v>19.238095238095237</v>
      </c>
      <c r="W16" s="60">
        <f>IFERROR(O16/S16-1,"n/a")</f>
        <v>5.4590570719603049E-2</v>
      </c>
      <c r="X16" s="68">
        <v>572</v>
      </c>
      <c r="Y16" s="68">
        <v>202</v>
      </c>
      <c r="Z16" s="68">
        <v>54</v>
      </c>
      <c r="AA16" s="135">
        <v>586</v>
      </c>
      <c r="AB16" s="123"/>
      <c r="AC16" s="123"/>
    </row>
    <row r="17" spans="1:29" s="124" customFormat="1" ht="12.75">
      <c r="A17" s="123"/>
      <c r="B17" s="128"/>
      <c r="C17" s="33"/>
      <c r="D17" s="26" t="s">
        <v>11</v>
      </c>
      <c r="E17" s="32"/>
      <c r="F17" s="71">
        <v>223095</v>
      </c>
      <c r="G17" s="71">
        <v>150081</v>
      </c>
      <c r="H17" s="71">
        <v>64266</v>
      </c>
      <c r="I17" s="71">
        <v>6072</v>
      </c>
      <c r="J17" s="71">
        <v>169136</v>
      </c>
      <c r="K17" s="64">
        <f>IFERROR(F17/G17-1,"n/a")</f>
        <v>0.48649729146261023</v>
      </c>
      <c r="L17" s="64">
        <f t="shared" si="0"/>
        <v>2.4714312389132669</v>
      </c>
      <c r="M17" s="64">
        <f>IFERROR(F17/I17-1,"n/a")</f>
        <v>35.741600790513836</v>
      </c>
      <c r="N17" s="60">
        <f>IFERROR(F17/J17-1,"n/a")</f>
        <v>0.31902729164695875</v>
      </c>
      <c r="O17" s="68">
        <f>'Aug-23'!O17+'Sep-23'!F17</f>
        <v>1331619</v>
      </c>
      <c r="P17" s="68">
        <f>'Aug-23'!P17+'Sep-23'!G17</f>
        <v>767995</v>
      </c>
      <c r="Q17" s="68">
        <f>'Aug-23'!Q17+'Sep-23'!H17</f>
        <v>215286</v>
      </c>
      <c r="R17" s="68">
        <f>'Aug-23'!R17+'Sep-23'!I17</f>
        <v>49726</v>
      </c>
      <c r="S17" s="68">
        <f>'Aug-23'!S17+'Sep-23'!J17</f>
        <v>1081890</v>
      </c>
      <c r="T17" s="64">
        <f>IFERROR(O17/P17-1,"n/a")</f>
        <v>0.73389019459762106</v>
      </c>
      <c r="U17" s="64">
        <f>IFERROR(O17/Q17-1,"n/a")</f>
        <v>5.1853487918396919</v>
      </c>
      <c r="V17" s="64">
        <f>IFERROR(O17/R17-1,"n/a")</f>
        <v>25.779129630374452</v>
      </c>
      <c r="W17" s="60">
        <f>IFERROR(O17/S17-1,"n/a")</f>
        <v>0.23082660898982343</v>
      </c>
      <c r="X17" s="68">
        <v>965963</v>
      </c>
      <c r="Y17" s="68">
        <v>301521</v>
      </c>
      <c r="Z17" s="68">
        <v>70675</v>
      </c>
      <c r="AA17" s="135">
        <v>1400932</v>
      </c>
      <c r="AB17" s="123"/>
      <c r="AC17" s="123"/>
    </row>
    <row r="18" spans="1:29" s="124" customFormat="1" ht="12.75">
      <c r="A18" s="123"/>
      <c r="B18" s="128"/>
      <c r="C18" s="31" t="s">
        <v>110</v>
      </c>
      <c r="D18" s="26"/>
      <c r="E18" s="32"/>
      <c r="F18" s="72"/>
      <c r="G18" s="72"/>
      <c r="H18" s="72"/>
      <c r="I18" s="72"/>
      <c r="J18" s="72"/>
      <c r="K18" s="64"/>
      <c r="L18" s="64"/>
      <c r="M18" s="64"/>
      <c r="N18" s="60"/>
      <c r="O18" s="87"/>
      <c r="P18" s="87"/>
      <c r="Q18" s="87"/>
      <c r="R18" s="87"/>
      <c r="S18" s="87"/>
      <c r="T18" s="64"/>
      <c r="U18" s="64"/>
      <c r="V18" s="64"/>
      <c r="W18" s="60"/>
      <c r="X18" s="43"/>
      <c r="Y18" s="43"/>
      <c r="Z18" s="43"/>
      <c r="AA18" s="136"/>
      <c r="AB18" s="123"/>
      <c r="AC18" s="123"/>
    </row>
    <row r="19" spans="1:29" s="124" customFormat="1" ht="12.75">
      <c r="A19" s="123"/>
      <c r="B19" s="128"/>
      <c r="C19" s="33"/>
      <c r="D19" s="26" t="s">
        <v>5</v>
      </c>
      <c r="E19" s="32"/>
      <c r="F19" s="71">
        <v>100</v>
      </c>
      <c r="G19" s="71">
        <v>92</v>
      </c>
      <c r="H19" s="71">
        <v>7</v>
      </c>
      <c r="I19" s="71">
        <v>1</v>
      </c>
      <c r="J19" s="71">
        <v>32</v>
      </c>
      <c r="K19" s="64">
        <f>IFERROR(F19/G19-1,"n/a")</f>
        <v>8.6956521739130377E-2</v>
      </c>
      <c r="L19" s="64">
        <f t="shared" si="0"/>
        <v>13.285714285714286</v>
      </c>
      <c r="M19" s="64">
        <f>IFERROR(F19/I19-1,"n/a")</f>
        <v>99</v>
      </c>
      <c r="N19" s="60">
        <f>IFERROR(F19/J19-1,"n/a")</f>
        <v>2.125</v>
      </c>
      <c r="O19" s="68">
        <f>'Aug-23'!O19+'Sep-23'!F19</f>
        <v>544</v>
      </c>
      <c r="P19" s="68">
        <f>'Aug-23'!P19+'Sep-23'!G19</f>
        <v>513</v>
      </c>
      <c r="Q19" s="68">
        <f>'Aug-23'!Q19+'Sep-23'!H19</f>
        <v>16</v>
      </c>
      <c r="R19" s="68">
        <f>'Aug-23'!R19+'Sep-23'!I19</f>
        <v>8</v>
      </c>
      <c r="S19" s="68">
        <f>'Aug-23'!S19+'Sep-23'!J19</f>
        <v>231</v>
      </c>
      <c r="T19" s="64">
        <f>IFERROR(O19/P19-1,"n/a")</f>
        <v>6.0428849902534054E-2</v>
      </c>
      <c r="U19" s="64">
        <f>IFERROR(O19/Q19-1,"n/a")</f>
        <v>33</v>
      </c>
      <c r="V19" s="64">
        <f>IFERROR(O19/R19-1,"n/a")</f>
        <v>67</v>
      </c>
      <c r="W19" s="60">
        <f>IFERROR(O19/S19-1,"n/a")</f>
        <v>1.3549783549783552</v>
      </c>
      <c r="X19" s="68">
        <v>658</v>
      </c>
      <c r="Y19" s="68">
        <v>47</v>
      </c>
      <c r="Z19" s="68">
        <v>9</v>
      </c>
      <c r="AA19" s="135">
        <v>290</v>
      </c>
      <c r="AB19" s="123"/>
      <c r="AC19" s="123"/>
    </row>
    <row r="20" spans="1:29" s="124" customFormat="1" ht="12.75">
      <c r="A20" s="123"/>
      <c r="B20" s="128"/>
      <c r="C20" s="33"/>
      <c r="D20" s="26" t="s">
        <v>11</v>
      </c>
      <c r="E20" s="32"/>
      <c r="F20" s="71">
        <v>181434</v>
      </c>
      <c r="G20" s="71">
        <v>137415</v>
      </c>
      <c r="H20" s="71">
        <v>3224</v>
      </c>
      <c r="I20" s="71">
        <v>0</v>
      </c>
      <c r="J20" s="71">
        <v>76553</v>
      </c>
      <c r="K20" s="64">
        <f>IFERROR(F20/G20-1,"n/a")</f>
        <v>0.32033620783757222</v>
      </c>
      <c r="L20" s="64">
        <f t="shared" si="0"/>
        <v>55.276054590570716</v>
      </c>
      <c r="M20" s="64" t="str">
        <f>IFERROR(F20/I20-1,"n/a")</f>
        <v>n/a</v>
      </c>
      <c r="N20" s="60">
        <f t="shared" ref="N20:N28" si="1">IFERROR(F20/J20-1,"n/a")</f>
        <v>1.3700442830457331</v>
      </c>
      <c r="O20" s="68">
        <f>'Aug-23'!O20+'Sep-23'!F20</f>
        <v>1013425</v>
      </c>
      <c r="P20" s="68">
        <f>'Aug-23'!P20+'Sep-23'!G20</f>
        <v>704058</v>
      </c>
      <c r="Q20" s="68">
        <f>'Aug-23'!Q20+'Sep-23'!H20</f>
        <v>4542</v>
      </c>
      <c r="R20" s="68">
        <f>'Aug-23'!R20+'Sep-23'!I20</f>
        <v>10047</v>
      </c>
      <c r="S20" s="68">
        <f>'Aug-23'!S20+'Sep-23'!J20</f>
        <v>487762</v>
      </c>
      <c r="T20" s="64">
        <f>IFERROR(O20/P20-1,"n/a")</f>
        <v>0.43940556033735856</v>
      </c>
      <c r="U20" s="64">
        <f>IFERROR(O20/Q20-1,"n/a")</f>
        <v>222.12307353588727</v>
      </c>
      <c r="V20" s="64">
        <f>IFERROR(O20/R20-1,"n/a")</f>
        <v>99.868418433363189</v>
      </c>
      <c r="W20" s="60">
        <f>IFERROR(O20/S20-1,"n/a")</f>
        <v>1.0777038801710672</v>
      </c>
      <c r="X20" s="68">
        <v>887495</v>
      </c>
      <c r="Y20" s="68">
        <v>17541</v>
      </c>
      <c r="Z20" s="68">
        <v>10046.999999999998</v>
      </c>
      <c r="AA20" s="135">
        <v>585930</v>
      </c>
      <c r="AB20" s="123"/>
      <c r="AC20" s="123"/>
    </row>
    <row r="21" spans="1:29" s="124" customFormat="1" ht="12.75">
      <c r="A21" s="123"/>
      <c r="B21" s="128"/>
      <c r="C21" s="31" t="s">
        <v>111</v>
      </c>
      <c r="D21" s="26"/>
      <c r="E21" s="34"/>
      <c r="F21" s="72"/>
      <c r="G21" s="72"/>
      <c r="H21" s="72"/>
      <c r="I21" s="72"/>
      <c r="J21" s="72"/>
      <c r="K21" s="64"/>
      <c r="L21" s="64"/>
      <c r="M21" s="64"/>
      <c r="N21" s="60"/>
      <c r="O21" s="87"/>
      <c r="P21" s="87"/>
      <c r="Q21" s="87"/>
      <c r="R21" s="87"/>
      <c r="S21" s="87"/>
      <c r="T21" s="64"/>
      <c r="U21" s="64"/>
      <c r="V21" s="64"/>
      <c r="W21" s="60"/>
      <c r="X21" s="43"/>
      <c r="Y21" s="43"/>
      <c r="Z21" s="43"/>
      <c r="AA21" s="136"/>
      <c r="AB21" s="123"/>
      <c r="AC21" s="123"/>
    </row>
    <row r="22" spans="1:29" s="124" customFormat="1" ht="12.75">
      <c r="A22" s="123"/>
      <c r="B22" s="128"/>
      <c r="C22" s="33"/>
      <c r="D22" s="26" t="s">
        <v>5</v>
      </c>
      <c r="E22" s="34"/>
      <c r="F22" s="71">
        <v>119</v>
      </c>
      <c r="G22" s="71">
        <v>85</v>
      </c>
      <c r="H22" s="71">
        <v>46</v>
      </c>
      <c r="I22" s="71">
        <v>0</v>
      </c>
      <c r="J22" s="71">
        <v>86</v>
      </c>
      <c r="K22" s="64">
        <f>IFERROR(F22/G22-1,"n/a")</f>
        <v>0.39999999999999991</v>
      </c>
      <c r="L22" s="64">
        <f t="shared" si="0"/>
        <v>1.5869565217391304</v>
      </c>
      <c r="M22" s="64" t="str">
        <f>IFERROR(F22/I22-1,"n/a")</f>
        <v>n/a</v>
      </c>
      <c r="N22" s="60">
        <f t="shared" si="1"/>
        <v>0.38372093023255816</v>
      </c>
      <c r="O22" s="68">
        <f>'Aug-23'!O22+'Sep-23'!F22</f>
        <v>976</v>
      </c>
      <c r="P22" s="68">
        <f>'Aug-23'!P22+'Sep-23'!G22</f>
        <v>545</v>
      </c>
      <c r="Q22" s="68">
        <f>'Aug-23'!Q22+'Sep-23'!H22</f>
        <v>84</v>
      </c>
      <c r="R22" s="68">
        <f>'Aug-23'!R22+'Sep-23'!I22</f>
        <v>205</v>
      </c>
      <c r="S22" s="68">
        <f>'Aug-23'!S22+'Sep-23'!J22</f>
        <v>819</v>
      </c>
      <c r="T22" s="64">
        <f>IFERROR(O22/P22-1,"n/a")</f>
        <v>0.79082568807339459</v>
      </c>
      <c r="U22" s="64">
        <f>IFERROR(O22/Q22-1,"n/a")</f>
        <v>10.619047619047619</v>
      </c>
      <c r="V22" s="64">
        <f>IFERROR(O22/R22-1,"n/a")</f>
        <v>3.7609756097560973</v>
      </c>
      <c r="W22" s="60">
        <f>IFERROR(O22/S22-1,"n/a")</f>
        <v>0.19169719169719168</v>
      </c>
      <c r="X22" s="68">
        <v>895</v>
      </c>
      <c r="Y22" s="68">
        <v>283</v>
      </c>
      <c r="Z22" s="68">
        <v>43</v>
      </c>
      <c r="AA22" s="135">
        <v>827</v>
      </c>
      <c r="AB22" s="123"/>
      <c r="AC22" s="123"/>
    </row>
    <row r="23" spans="1:29" s="124" customFormat="1" ht="12.75">
      <c r="A23" s="123"/>
      <c r="B23" s="128"/>
      <c r="C23" s="33"/>
      <c r="D23" s="26" t="s">
        <v>11</v>
      </c>
      <c r="E23" s="32"/>
      <c r="F23" s="71">
        <v>374705</v>
      </c>
      <c r="G23" s="71">
        <v>267710</v>
      </c>
      <c r="H23" s="71">
        <v>89719</v>
      </c>
      <c r="I23" s="71">
        <v>0</v>
      </c>
      <c r="J23" s="71">
        <v>304036</v>
      </c>
      <c r="K23" s="64">
        <f>IFERROR(F23/G23-1,"n/a")</f>
        <v>0.39966755070785553</v>
      </c>
      <c r="L23" s="64">
        <f t="shared" si="0"/>
        <v>3.1764286271581268</v>
      </c>
      <c r="M23" s="64" t="str">
        <f>IFERROR(F23/I23-1,"n/a")</f>
        <v>n/a</v>
      </c>
      <c r="N23" s="60">
        <f t="shared" si="1"/>
        <v>0.23243629043929004</v>
      </c>
      <c r="O23" s="68">
        <f>'Aug-23'!O23+'Sep-23'!F23</f>
        <v>3036152</v>
      </c>
      <c r="P23" s="68">
        <f>'Aug-23'!P23+'Sep-23'!G23</f>
        <v>1330450</v>
      </c>
      <c r="Q23" s="68">
        <f>'Aug-23'!Q23+'Sep-23'!H23</f>
        <v>167883</v>
      </c>
      <c r="R23" s="68">
        <f>'Aug-23'!R23+'Sep-23'!I23</f>
        <v>545974</v>
      </c>
      <c r="S23" s="68">
        <f>'Aug-23'!S23+'Sep-23'!J23</f>
        <v>2565359</v>
      </c>
      <c r="T23" s="64">
        <f>IFERROR(O23/P23-1,"n/a")</f>
        <v>1.2820489308128828</v>
      </c>
      <c r="U23" s="64">
        <f>IFERROR(O23/Q23-1,"n/a")</f>
        <v>17.084928194039897</v>
      </c>
      <c r="V23" s="64">
        <f>IFERROR(O23/R23-1,"n/a")</f>
        <v>4.5609827574206827</v>
      </c>
      <c r="W23" s="60">
        <f>IFERROR(O23/S23-1,"n/a")</f>
        <v>0.18351934368640022</v>
      </c>
      <c r="X23" s="68">
        <v>2165161</v>
      </c>
      <c r="Y23" s="68">
        <v>465109</v>
      </c>
      <c r="Z23" s="68">
        <v>140552</v>
      </c>
      <c r="AA23" s="135">
        <v>2552942</v>
      </c>
      <c r="AB23" s="123"/>
      <c r="AC23" s="123"/>
    </row>
    <row r="24" spans="1:29" s="124" customFormat="1" ht="12.75">
      <c r="A24" s="123"/>
      <c r="B24" s="128"/>
      <c r="C24" s="31" t="s">
        <v>112</v>
      </c>
      <c r="D24" s="26"/>
      <c r="E24" s="32"/>
      <c r="F24" s="72"/>
      <c r="G24" s="72"/>
      <c r="H24" s="72"/>
      <c r="I24" s="72"/>
      <c r="J24" s="72"/>
      <c r="K24" s="64"/>
      <c r="L24" s="64"/>
      <c r="M24" s="64"/>
      <c r="N24" s="60"/>
      <c r="O24" s="87"/>
      <c r="P24" s="87"/>
      <c r="Q24" s="87"/>
      <c r="R24" s="87"/>
      <c r="S24" s="87"/>
      <c r="T24" s="64"/>
      <c r="U24" s="64"/>
      <c r="V24" s="64"/>
      <c r="W24" s="60"/>
      <c r="X24" s="43"/>
      <c r="Y24" s="43"/>
      <c r="Z24" s="43"/>
      <c r="AA24" s="136"/>
      <c r="AB24" s="123"/>
      <c r="AC24" s="123"/>
    </row>
    <row r="25" spans="1:29" s="124" customFormat="1" ht="12.75">
      <c r="B25" s="128"/>
      <c r="C25" s="33"/>
      <c r="D25" s="26" t="s">
        <v>5</v>
      </c>
      <c r="E25" s="32"/>
      <c r="F25" s="71">
        <v>4</v>
      </c>
      <c r="G25" s="71">
        <v>1</v>
      </c>
      <c r="H25" s="71">
        <v>0</v>
      </c>
      <c r="I25" s="71">
        <v>0</v>
      </c>
      <c r="J25" s="71">
        <v>1</v>
      </c>
      <c r="K25" s="64">
        <f>IFERROR(F25/G25-1,"n/a")</f>
        <v>3</v>
      </c>
      <c r="L25" s="64" t="str">
        <f t="shared" si="0"/>
        <v>n/a</v>
      </c>
      <c r="M25" s="64" t="str">
        <f>IFERROR(F25/I25-1,"n/a")</f>
        <v>n/a</v>
      </c>
      <c r="N25" s="60">
        <f t="shared" si="1"/>
        <v>3</v>
      </c>
      <c r="O25" s="68">
        <f>'Aug-23'!O25+'Sep-23'!F25</f>
        <v>19</v>
      </c>
      <c r="P25" s="68">
        <f>'Aug-23'!P25+'Sep-23'!G25</f>
        <v>8</v>
      </c>
      <c r="Q25" s="68">
        <f>'Aug-23'!Q25+'Sep-23'!H25</f>
        <v>0</v>
      </c>
      <c r="R25" s="68">
        <f>'Aug-23'!R25+'Sep-23'!I25</f>
        <v>0</v>
      </c>
      <c r="S25" s="68">
        <f>'Aug-23'!S25+'Sep-23'!J25</f>
        <v>13</v>
      </c>
      <c r="T25" s="64">
        <f>IFERROR(O25/P25-1,"n/a")</f>
        <v>1.375</v>
      </c>
      <c r="U25" s="64" t="str">
        <f>IFERROR(O25/Q25-1,"n/a")</f>
        <v>n/a</v>
      </c>
      <c r="V25" s="64" t="str">
        <f>IFERROR(O25/R25-1,"n/a")</f>
        <v>n/a</v>
      </c>
      <c r="W25" s="60">
        <f>IFERROR(O25/S25-1,"n/a")</f>
        <v>0.46153846153846145</v>
      </c>
      <c r="X25" s="68">
        <v>9</v>
      </c>
      <c r="Y25" s="68">
        <v>0</v>
      </c>
      <c r="Z25" s="68">
        <v>0</v>
      </c>
      <c r="AA25" s="135">
        <v>16</v>
      </c>
      <c r="AB25" s="123"/>
      <c r="AC25" s="123"/>
    </row>
    <row r="26" spans="1:29" s="124" customFormat="1" ht="12.75">
      <c r="A26" s="123"/>
      <c r="B26" s="128"/>
      <c r="C26" s="33"/>
      <c r="D26" s="26" t="s">
        <v>11</v>
      </c>
      <c r="E26" s="32"/>
      <c r="F26" s="71">
        <v>7920</v>
      </c>
      <c r="G26" s="71">
        <v>2266</v>
      </c>
      <c r="H26" s="71">
        <v>0</v>
      </c>
      <c r="I26" s="71">
        <v>0</v>
      </c>
      <c r="J26" s="71">
        <v>1243</v>
      </c>
      <c r="K26" s="64">
        <f>IFERROR(F26/G26-1,"n/a")</f>
        <v>2.4951456310679609</v>
      </c>
      <c r="L26" s="64" t="str">
        <f t="shared" si="0"/>
        <v>n/a</v>
      </c>
      <c r="M26" s="64" t="str">
        <f>IFERROR(F26/I26-1,"n/a")</f>
        <v>n/a</v>
      </c>
      <c r="N26" s="60">
        <f t="shared" si="1"/>
        <v>5.3716814159292037</v>
      </c>
      <c r="O26" s="68">
        <f>'Aug-23'!O26+'Sep-23'!F26</f>
        <v>34314</v>
      </c>
      <c r="P26" s="68">
        <f>'Aug-23'!P26+'Sep-23'!G26</f>
        <v>13279</v>
      </c>
      <c r="Q26" s="68">
        <f>'Aug-23'!Q26+'Sep-23'!H26</f>
        <v>0</v>
      </c>
      <c r="R26" s="68">
        <f>'Aug-23'!R26+'Sep-23'!I26</f>
        <v>0</v>
      </c>
      <c r="S26" s="68">
        <f>'Aug-23'!S26+'Sep-23'!J26</f>
        <v>16291</v>
      </c>
      <c r="T26" s="64">
        <f>IFERROR(O26/P26-1,"n/a")</f>
        <v>1.5840801265155511</v>
      </c>
      <c r="U26" s="64" t="str">
        <f>IFERROR(O26/Q26-1,"n/a")</f>
        <v>n/a</v>
      </c>
      <c r="V26" s="64" t="str">
        <f>IFERROR(O26/R26-1,"n/a")</f>
        <v>n/a</v>
      </c>
      <c r="W26" s="60">
        <f>IFERROR(O26/S26-1,"n/a")</f>
        <v>1.1063163710023938</v>
      </c>
      <c r="X26" s="68">
        <v>15637</v>
      </c>
      <c r="Y26" s="68">
        <v>0</v>
      </c>
      <c r="Z26" s="68">
        <v>0</v>
      </c>
      <c r="AA26" s="137">
        <v>20248</v>
      </c>
      <c r="AB26" s="123"/>
      <c r="AC26" s="123"/>
    </row>
    <row r="27" spans="1:29" s="124" customFormat="1" ht="13.5" thickBot="1">
      <c r="A27" s="123"/>
      <c r="B27" s="128"/>
      <c r="C27" s="35" t="s">
        <v>12</v>
      </c>
      <c r="D27" s="36"/>
      <c r="E27" s="37"/>
      <c r="F27" s="75">
        <f t="shared" ref="F27:J28" si="2">F13+F16+F19+F22+F25</f>
        <v>389</v>
      </c>
      <c r="G27" s="75">
        <f t="shared" si="2"/>
        <v>334</v>
      </c>
      <c r="H27" s="75">
        <f t="shared" si="2"/>
        <v>147</v>
      </c>
      <c r="I27" s="75">
        <f t="shared" si="2"/>
        <v>10</v>
      </c>
      <c r="J27" s="75">
        <f t="shared" si="2"/>
        <v>268</v>
      </c>
      <c r="K27" s="66">
        <f>IFERROR(F27/G27-1,"n/a")</f>
        <v>0.16467065868263475</v>
      </c>
      <c r="L27" s="66">
        <f t="shared" si="0"/>
        <v>1.6462585034013606</v>
      </c>
      <c r="M27" s="66">
        <f>IFERROR(F27/I27-1,"n/a")</f>
        <v>37.9</v>
      </c>
      <c r="N27" s="62">
        <f t="shared" si="1"/>
        <v>0.45149253731343286</v>
      </c>
      <c r="O27" s="75">
        <f t="shared" ref="O27:S28" si="3">O13+O16+O19+O22+O25</f>
        <v>3119</v>
      </c>
      <c r="P27" s="75">
        <f t="shared" si="3"/>
        <v>2589</v>
      </c>
      <c r="Q27" s="75">
        <f t="shared" si="3"/>
        <v>375</v>
      </c>
      <c r="R27" s="75">
        <f t="shared" si="3"/>
        <v>785</v>
      </c>
      <c r="S27" s="75">
        <f t="shared" si="3"/>
        <v>2568</v>
      </c>
      <c r="T27" s="66">
        <f>IFERROR(O27/P27-1,"n/a")</f>
        <v>0.20471224410969491</v>
      </c>
      <c r="U27" s="66">
        <f>IFERROR(O27/Q27-1,"n/a")</f>
        <v>7.3173333333333339</v>
      </c>
      <c r="V27" s="66">
        <f>IFERROR(O27/R27-1,"n/a")</f>
        <v>2.9732484076433119</v>
      </c>
      <c r="W27" s="62">
        <f>IFERROR(O27/S27-1,"n/a")</f>
        <v>0.21456386292834884</v>
      </c>
      <c r="X27" s="75">
        <f>X13+X16+X19+X22+X25</f>
        <v>3620</v>
      </c>
      <c r="Y27" s="46">
        <f t="shared" ref="Y27:AA28" si="4">Y13+Y16+Y19+Y22+Y25</f>
        <v>1054</v>
      </c>
      <c r="Z27" s="46">
        <f t="shared" si="4"/>
        <v>657</v>
      </c>
      <c r="AA27" s="80">
        <f t="shared" si="4"/>
        <v>3310</v>
      </c>
      <c r="AB27" s="123"/>
      <c r="AC27" s="123"/>
    </row>
    <row r="28" spans="1:29" s="124" customFormat="1" ht="14.25" thickTop="1" thickBot="1">
      <c r="A28" s="123"/>
      <c r="B28" s="128"/>
      <c r="C28" s="38" t="s">
        <v>13</v>
      </c>
      <c r="D28" s="39"/>
      <c r="E28" s="40"/>
      <c r="F28" s="76">
        <f t="shared" si="2"/>
        <v>1100804</v>
      </c>
      <c r="G28" s="76">
        <f t="shared" si="2"/>
        <v>838052</v>
      </c>
      <c r="H28" s="76">
        <f t="shared" si="2"/>
        <v>240604</v>
      </c>
      <c r="I28" s="76">
        <f t="shared" si="2"/>
        <v>6072</v>
      </c>
      <c r="J28" s="76">
        <f t="shared" si="2"/>
        <v>785421</v>
      </c>
      <c r="K28" s="67">
        <f>IFERROR(F28/G28-1,"n/a")</f>
        <v>0.31352708423820963</v>
      </c>
      <c r="L28" s="67">
        <f t="shared" si="0"/>
        <v>3.5751691576199898</v>
      </c>
      <c r="M28" s="67">
        <f>IFERROR(F28/I28-1,"n/a")</f>
        <v>180.29183135704875</v>
      </c>
      <c r="N28" s="63">
        <f t="shared" si="1"/>
        <v>0.40154643178626492</v>
      </c>
      <c r="O28" s="76">
        <f t="shared" si="3"/>
        <v>9202054</v>
      </c>
      <c r="P28" s="76">
        <f t="shared" si="3"/>
        <v>5211093</v>
      </c>
      <c r="Q28" s="76">
        <f t="shared" si="3"/>
        <v>568611</v>
      </c>
      <c r="R28" s="76">
        <f t="shared" si="3"/>
        <v>1698631</v>
      </c>
      <c r="S28" s="76">
        <f t="shared" si="3"/>
        <v>7494720</v>
      </c>
      <c r="T28" s="67">
        <f>IFERROR(O28/P28-1,"n/a")</f>
        <v>0.76585871716355869</v>
      </c>
      <c r="U28" s="67">
        <f>IFERROR(O28/Q28-1,"n/a")</f>
        <v>15.18339075396009</v>
      </c>
      <c r="V28" s="67">
        <f>IFERROR(O28/R28-1,"n/a")</f>
        <v>4.4173354895795498</v>
      </c>
      <c r="W28" s="63">
        <f>IFERROR(O28/S28-1,"n/a")</f>
        <v>0.22780490798855735</v>
      </c>
      <c r="X28" s="76">
        <f>X14+X17+X20+X23+X26</f>
        <v>7626669</v>
      </c>
      <c r="Y28" s="47">
        <f t="shared" si="4"/>
        <v>1552483</v>
      </c>
      <c r="Z28" s="47">
        <f t="shared" si="4"/>
        <v>1314158</v>
      </c>
      <c r="AA28" s="81">
        <f t="shared" si="4"/>
        <v>9152531</v>
      </c>
      <c r="AB28" s="123"/>
      <c r="AC28" s="123"/>
    </row>
    <row r="29" spans="1:29" s="124" customFormat="1" ht="12" thickTop="1">
      <c r="A29" s="123"/>
      <c r="B29" s="123"/>
      <c r="C29" s="123"/>
      <c r="D29" s="123"/>
      <c r="E29" s="123"/>
      <c r="F29" s="129"/>
      <c r="G29" s="129"/>
      <c r="H29" s="129"/>
      <c r="I29" s="129"/>
      <c r="J29" s="129"/>
      <c r="K29" s="129"/>
      <c r="L29" s="129"/>
      <c r="M29" s="129"/>
      <c r="N29" s="123"/>
      <c r="O29" s="123"/>
      <c r="P29" s="123"/>
      <c r="Q29" s="123"/>
      <c r="R29" s="123"/>
      <c r="S29" s="123"/>
      <c r="T29" s="123"/>
      <c r="U29" s="123"/>
      <c r="V29" s="123"/>
      <c r="W29" s="123"/>
      <c r="X29" s="123"/>
      <c r="Y29" s="123"/>
      <c r="Z29" s="123"/>
      <c r="AA29" s="123"/>
      <c r="AB29" s="123"/>
      <c r="AC29" s="123"/>
    </row>
    <row r="30" spans="1:29" s="124" customFormat="1" ht="11.25">
      <c r="A30" s="123"/>
      <c r="B30" s="123"/>
      <c r="C30" s="123"/>
      <c r="D30" s="123"/>
      <c r="E30" s="123"/>
      <c r="F30" s="129"/>
      <c r="G30" s="129"/>
      <c r="H30" s="129"/>
      <c r="I30" s="129"/>
      <c r="J30" s="129"/>
      <c r="K30" s="129"/>
      <c r="L30" s="129"/>
      <c r="M30" s="129"/>
      <c r="N30" s="123"/>
      <c r="O30" s="129"/>
      <c r="P30" s="123"/>
      <c r="Q30" s="123"/>
      <c r="R30" s="123"/>
      <c r="S30" s="123"/>
      <c r="T30" s="123"/>
      <c r="U30" s="123"/>
      <c r="V30" s="123"/>
      <c r="W30" s="123"/>
      <c r="X30" s="123"/>
      <c r="Y30" s="123"/>
      <c r="Z30" s="123"/>
      <c r="AA30" s="123"/>
      <c r="AB30" s="123"/>
      <c r="AC30" s="123"/>
    </row>
    <row r="31" spans="1:29" s="124" customFormat="1" ht="12.75">
      <c r="A31" s="123"/>
      <c r="B31" s="130"/>
      <c r="C31" s="131" t="s">
        <v>63</v>
      </c>
      <c r="D31" s="24"/>
      <c r="E31" s="24"/>
      <c r="F31" s="24"/>
      <c r="G31" s="24"/>
      <c r="H31" s="24"/>
      <c r="I31" s="24"/>
      <c r="J31" s="95"/>
      <c r="K31" s="95"/>
      <c r="L31" s="95"/>
      <c r="M31" s="95"/>
      <c r="N31" s="24"/>
      <c r="O31" s="24"/>
      <c r="P31" s="24"/>
      <c r="Q31" s="24"/>
      <c r="R31" s="24"/>
      <c r="S31" s="24"/>
      <c r="T31" s="24"/>
      <c r="U31" s="24"/>
      <c r="V31" s="24"/>
      <c r="W31" s="24"/>
      <c r="X31" s="24"/>
      <c r="Y31" s="24"/>
      <c r="Z31" s="24"/>
      <c r="AA31" s="24"/>
      <c r="AB31" s="24"/>
      <c r="AC31" s="123"/>
    </row>
    <row r="32" spans="1:29" s="124" customFormat="1" ht="12.75">
      <c r="A32" s="123"/>
      <c r="B32" s="130"/>
      <c r="C32" s="24"/>
      <c r="D32" s="24"/>
      <c r="E32" s="24"/>
      <c r="F32" s="24"/>
      <c r="G32" s="24"/>
      <c r="H32" s="24"/>
      <c r="I32" s="24"/>
      <c r="J32" s="95"/>
      <c r="K32" s="95"/>
      <c r="L32" s="95"/>
      <c r="M32" s="95"/>
      <c r="N32" s="24"/>
      <c r="O32" s="24"/>
      <c r="P32" s="24"/>
      <c r="Q32" s="24"/>
      <c r="R32" s="24"/>
      <c r="S32" s="24"/>
      <c r="T32" s="24"/>
      <c r="U32" s="24"/>
      <c r="V32" s="24"/>
      <c r="W32" s="24"/>
      <c r="X32" s="24"/>
      <c r="Y32" s="24"/>
      <c r="Z32" s="24"/>
      <c r="AA32" s="24"/>
      <c r="AB32" s="24"/>
      <c r="AC32" s="123"/>
    </row>
    <row r="33" spans="1:29" s="124" customFormat="1" ht="11.25">
      <c r="A33" s="123"/>
      <c r="B33" s="123"/>
      <c r="C33" s="27" t="s">
        <v>7</v>
      </c>
      <c r="D33" s="28"/>
      <c r="E33" s="28"/>
      <c r="F33" s="158" t="str">
        <f>F9</f>
        <v>September</v>
      </c>
      <c r="G33" s="158"/>
      <c r="H33" s="158"/>
      <c r="I33" s="158"/>
      <c r="J33" s="158"/>
      <c r="K33" s="158"/>
      <c r="L33" s="158"/>
      <c r="M33" s="158"/>
      <c r="N33" s="159"/>
      <c r="O33" s="161" t="str">
        <f>"April to "&amp;D4&amp;" (YTD)"</f>
        <v>April to September (YTD)</v>
      </c>
      <c r="P33" s="162"/>
      <c r="Q33" s="162"/>
      <c r="R33" s="162"/>
      <c r="S33" s="162"/>
      <c r="T33" s="162"/>
      <c r="U33" s="162"/>
      <c r="V33" s="162"/>
      <c r="W33" s="163"/>
      <c r="X33" s="157" t="s">
        <v>58</v>
      </c>
      <c r="Y33" s="158"/>
      <c r="Z33" s="158"/>
      <c r="AA33" s="160"/>
    </row>
    <row r="34" spans="1:29" s="124" customFormat="1" ht="11.25">
      <c r="A34" s="123"/>
      <c r="B34" s="123"/>
      <c r="C34" s="29"/>
      <c r="D34" s="30"/>
      <c r="E34" s="30"/>
      <c r="F34" s="152"/>
      <c r="G34" s="153"/>
      <c r="H34" s="153"/>
      <c r="I34" s="153"/>
      <c r="J34" s="153"/>
      <c r="K34" s="153"/>
      <c r="L34" s="153"/>
      <c r="M34" s="153"/>
      <c r="N34" s="154"/>
      <c r="O34" s="152"/>
      <c r="P34" s="153"/>
      <c r="Q34" s="153"/>
      <c r="R34" s="153"/>
      <c r="S34" s="153"/>
      <c r="T34" s="153"/>
      <c r="U34" s="153"/>
      <c r="V34" s="153"/>
      <c r="W34" s="154"/>
      <c r="X34" s="152"/>
      <c r="Y34" s="153"/>
      <c r="Z34" s="153"/>
      <c r="AA34" s="154"/>
    </row>
    <row r="35" spans="1:29" s="124" customFormat="1" ht="22.5">
      <c r="A35" s="123"/>
      <c r="B35" s="123"/>
      <c r="C35" s="59" t="s">
        <v>29</v>
      </c>
      <c r="D35" s="50"/>
      <c r="E35" s="51"/>
      <c r="F35" s="55">
        <v>2023</v>
      </c>
      <c r="G35" s="52">
        <v>2022</v>
      </c>
      <c r="H35" s="52">
        <v>2021</v>
      </c>
      <c r="I35" s="52">
        <v>2020</v>
      </c>
      <c r="J35" s="52">
        <v>2019</v>
      </c>
      <c r="K35" s="53" t="s">
        <v>66</v>
      </c>
      <c r="L35" s="53" t="s">
        <v>67</v>
      </c>
      <c r="M35" s="53" t="s">
        <v>68</v>
      </c>
      <c r="N35" s="57" t="s">
        <v>101</v>
      </c>
      <c r="O35" s="53" t="s">
        <v>115</v>
      </c>
      <c r="P35" s="53" t="s">
        <v>53</v>
      </c>
      <c r="Q35" s="52" t="s">
        <v>54</v>
      </c>
      <c r="R35" s="52" t="s">
        <v>59</v>
      </c>
      <c r="S35" s="52" t="s">
        <v>64</v>
      </c>
      <c r="T35" s="53" t="s">
        <v>116</v>
      </c>
      <c r="U35" s="53" t="s">
        <v>117</v>
      </c>
      <c r="V35" s="53" t="s">
        <v>118</v>
      </c>
      <c r="W35" s="57" t="s">
        <v>119</v>
      </c>
      <c r="X35" s="53" t="s">
        <v>53</v>
      </c>
      <c r="Y35" s="53" t="s">
        <v>54</v>
      </c>
      <c r="Z35" s="53" t="s">
        <v>65</v>
      </c>
      <c r="AA35" s="57" t="s">
        <v>73</v>
      </c>
      <c r="AC35" s="123"/>
    </row>
    <row r="36" spans="1:29" s="124" customFormat="1" ht="11.25">
      <c r="A36" s="123"/>
      <c r="B36" s="123"/>
      <c r="C36" s="31" t="s">
        <v>108</v>
      </c>
      <c r="D36" s="26"/>
      <c r="E36" s="32"/>
      <c r="F36" s="26"/>
      <c r="G36" s="26"/>
      <c r="H36" s="26"/>
      <c r="I36" s="26"/>
      <c r="J36" s="26"/>
      <c r="K36" s="26"/>
      <c r="L36" s="26"/>
      <c r="M36" s="26"/>
      <c r="N36" s="32"/>
      <c r="O36" s="26"/>
      <c r="P36" s="26"/>
      <c r="Q36" s="26"/>
      <c r="R36" s="26"/>
      <c r="S36" s="123"/>
      <c r="T36" s="26"/>
      <c r="U36" s="123"/>
      <c r="V36" s="26"/>
      <c r="W36" s="32"/>
      <c r="X36" s="33"/>
      <c r="Y36" s="26"/>
      <c r="Z36" s="88"/>
      <c r="AA36" s="85"/>
      <c r="AC36" s="123"/>
    </row>
    <row r="37" spans="1:29" s="124" customFormat="1" ht="11.25">
      <c r="A37" s="123"/>
      <c r="B37" s="123"/>
      <c r="C37" s="33"/>
      <c r="D37" s="26" t="s">
        <v>5</v>
      </c>
      <c r="E37" s="32"/>
      <c r="F37" s="74">
        <f t="shared" ref="F37:J38" si="5">F13</f>
        <v>98</v>
      </c>
      <c r="G37" s="74">
        <f t="shared" si="5"/>
        <v>82</v>
      </c>
      <c r="H37" s="74">
        <f t="shared" si="5"/>
        <v>60</v>
      </c>
      <c r="I37" s="74">
        <f t="shared" si="5"/>
        <v>0</v>
      </c>
      <c r="J37" s="74">
        <f t="shared" si="5"/>
        <v>79</v>
      </c>
      <c r="K37" s="64">
        <f>IFERROR(F37/G37-1,"n/a")</f>
        <v>0.19512195121951215</v>
      </c>
      <c r="L37" s="64">
        <f>IFERROR(F37/H37-1,"n/a")</f>
        <v>0.6333333333333333</v>
      </c>
      <c r="M37" s="64" t="str">
        <f>IFERROR(F37/I37-1,"n/a")</f>
        <v>n/a</v>
      </c>
      <c r="N37" s="60">
        <f>IFERROR(F37/J37-1,"n/a")</f>
        <v>0.240506329113924</v>
      </c>
      <c r="O37" s="74">
        <f>'Aug-23'!O37+'Sep-23'!F37</f>
        <v>625</v>
      </c>
      <c r="P37" s="74">
        <f>'Aug-23'!P37+'Sep-23'!G37</f>
        <v>543</v>
      </c>
      <c r="Q37" s="74">
        <f>'Aug-23'!Q37+'Sep-23'!H37</f>
        <v>139</v>
      </c>
      <c r="R37" s="74">
        <f>'Aug-23'!R37+'Sep-23'!I37</f>
        <v>42</v>
      </c>
      <c r="S37" s="74">
        <f>'Aug-23'!S37+'Sep-23'!J37</f>
        <v>586</v>
      </c>
      <c r="T37" s="120">
        <f>IFERROR(O37/P37-1,"n/a")</f>
        <v>0.15101289134438312</v>
      </c>
      <c r="U37" s="120">
        <f>IFERROR(O37/Q37-1,"n/a")</f>
        <v>3.4964028776978413</v>
      </c>
      <c r="V37" s="120">
        <f>IFERROR(O37/R37-1,"n/a")</f>
        <v>13.880952380952381</v>
      </c>
      <c r="W37" s="121">
        <f>IFERROR(O37/S37-1,"n/a")</f>
        <v>6.6552901023890776E-2</v>
      </c>
      <c r="X37" s="89">
        <v>1486</v>
      </c>
      <c r="Y37" s="89">
        <v>1052</v>
      </c>
      <c r="Z37" s="70">
        <v>551</v>
      </c>
      <c r="AA37" s="78">
        <v>1584</v>
      </c>
      <c r="AC37" s="123"/>
    </row>
    <row r="38" spans="1:29" s="124" customFormat="1" ht="11.25">
      <c r="A38" s="123"/>
      <c r="B38" s="123"/>
      <c r="C38" s="33"/>
      <c r="D38" s="26" t="s">
        <v>11</v>
      </c>
      <c r="E38" s="32"/>
      <c r="F38" s="74">
        <f t="shared" si="5"/>
        <v>313650</v>
      </c>
      <c r="G38" s="74">
        <f t="shared" si="5"/>
        <v>280580</v>
      </c>
      <c r="H38" s="74">
        <f t="shared" si="5"/>
        <v>83395</v>
      </c>
      <c r="I38" s="74">
        <f t="shared" si="5"/>
        <v>0</v>
      </c>
      <c r="J38" s="74">
        <f t="shared" si="5"/>
        <v>234453</v>
      </c>
      <c r="K38" s="64">
        <f>IFERROR(F38/G38-1,"n/a")</f>
        <v>0.11786299807541512</v>
      </c>
      <c r="L38" s="64">
        <f>IFERROR(F38/H38-1,"n/a")</f>
        <v>2.7610168475328258</v>
      </c>
      <c r="M38" s="64" t="str">
        <f>IFERROR(F38/I38-1,"n/a")</f>
        <v>n/a</v>
      </c>
      <c r="N38" s="60">
        <f>IFERROR(F38/J38-1,"n/a")</f>
        <v>0.33779478189658474</v>
      </c>
      <c r="O38" s="74">
        <f>'Aug-23'!O38+'Sep-23'!F38</f>
        <v>2248360</v>
      </c>
      <c r="P38" s="74">
        <f>'Aug-23'!P38+'Sep-23'!G38</f>
        <v>1635653</v>
      </c>
      <c r="Q38" s="74">
        <f>'Aug-23'!Q38+'Sep-23'!H38</f>
        <v>180900</v>
      </c>
      <c r="R38" s="74">
        <f>'Aug-23'!R38+'Sep-23'!I38</f>
        <v>0</v>
      </c>
      <c r="S38" s="74">
        <f>'Aug-23'!S38+'Sep-23'!J38</f>
        <v>1892314</v>
      </c>
      <c r="T38" s="120">
        <f>IFERROR(O38/P38-1,"n/a")</f>
        <v>0.37459473372408447</v>
      </c>
      <c r="U38" s="120">
        <f>IFERROR(O38/Q38-1,"n/a")</f>
        <v>11.428745163073522</v>
      </c>
      <c r="V38" s="120" t="str">
        <f>IFERROR(O38/R38-1,"n/a")</f>
        <v>n/a</v>
      </c>
      <c r="W38" s="121">
        <f>IFERROR(O38/S38-1,"n/a")</f>
        <v>0.18815376306469211</v>
      </c>
      <c r="X38" s="89">
        <v>4370939</v>
      </c>
      <c r="Y38" s="89">
        <v>1527970</v>
      </c>
      <c r="Z38" s="84">
        <v>1092884</v>
      </c>
      <c r="AA38" s="78">
        <v>4234259</v>
      </c>
      <c r="AC38" s="123"/>
    </row>
    <row r="39" spans="1:29" s="124" customFormat="1" ht="11.25">
      <c r="A39" s="123"/>
      <c r="B39" s="123"/>
      <c r="C39" s="31" t="s">
        <v>109</v>
      </c>
      <c r="D39" s="26"/>
      <c r="E39" s="32"/>
      <c r="F39" s="26"/>
      <c r="G39" s="26"/>
      <c r="H39" s="26"/>
      <c r="I39" s="26"/>
      <c r="J39" s="26"/>
      <c r="K39" s="64"/>
      <c r="L39" s="64"/>
      <c r="M39" s="64"/>
      <c r="N39" s="61"/>
      <c r="O39" s="26"/>
      <c r="P39" s="26"/>
      <c r="Q39" s="26"/>
      <c r="R39" s="26"/>
      <c r="S39" s="26"/>
      <c r="T39" s="65"/>
      <c r="U39" s="65"/>
      <c r="V39" s="65"/>
      <c r="W39" s="61"/>
      <c r="X39" s="90"/>
      <c r="Y39" s="90"/>
      <c r="Z39" s="44"/>
      <c r="AA39" s="79"/>
      <c r="AC39" s="123"/>
    </row>
    <row r="40" spans="1:29" s="124" customFormat="1" ht="11.25">
      <c r="A40" s="123"/>
      <c r="B40" s="123"/>
      <c r="C40" s="33"/>
      <c r="D40" s="26" t="s">
        <v>5</v>
      </c>
      <c r="E40" s="32"/>
      <c r="F40" s="74">
        <f t="shared" ref="F40:J41" si="6">F16</f>
        <v>68</v>
      </c>
      <c r="G40" s="74">
        <f t="shared" si="6"/>
        <v>74</v>
      </c>
      <c r="H40" s="74">
        <f t="shared" si="6"/>
        <v>34</v>
      </c>
      <c r="I40" s="74">
        <f t="shared" si="6"/>
        <v>9</v>
      </c>
      <c r="J40" s="74">
        <f t="shared" si="6"/>
        <v>70</v>
      </c>
      <c r="K40" s="64">
        <f>IFERROR(F40/G40-1,"n/a")</f>
        <v>-8.108108108108103E-2</v>
      </c>
      <c r="L40" s="64">
        <f>IFERROR(F40/H40-1,"n/a")</f>
        <v>1</v>
      </c>
      <c r="M40" s="64">
        <f>IFERROR(F40/I40-1,"n/a")</f>
        <v>6.5555555555555554</v>
      </c>
      <c r="N40" s="60">
        <f>IFERROR(F40/J40-1,"n/a")</f>
        <v>-2.8571428571428581E-2</v>
      </c>
      <c r="O40" s="74">
        <f>'Aug-23'!O40+'Sep-23'!F40</f>
        <v>398</v>
      </c>
      <c r="P40" s="74">
        <f>'Aug-23'!P40+'Sep-23'!G40</f>
        <v>414</v>
      </c>
      <c r="Q40" s="74">
        <f>'Aug-23'!Q40+'Sep-23'!H40</f>
        <v>124</v>
      </c>
      <c r="R40" s="74">
        <f>'Aug-23'!R40+'Sep-23'!I40</f>
        <v>11</v>
      </c>
      <c r="S40" s="74">
        <f>'Aug-23'!S40+'Sep-23'!J40</f>
        <v>380</v>
      </c>
      <c r="T40" s="120">
        <f>IFERROR(O40/P40-1,"n/a")</f>
        <v>-3.8647342995169032E-2</v>
      </c>
      <c r="U40" s="120">
        <f>IFERROR(O40/Q40-1,"n/a")</f>
        <v>2.2096774193548385</v>
      </c>
      <c r="V40" s="120">
        <f>IFERROR(O40/R40-1,"n/a")</f>
        <v>35.18181818181818</v>
      </c>
      <c r="W40" s="121">
        <f>IFERROR(O40/S40-1,"n/a")</f>
        <v>4.7368421052631504E-2</v>
      </c>
      <c r="X40" s="89">
        <v>563</v>
      </c>
      <c r="Y40" s="89">
        <v>226</v>
      </c>
      <c r="Z40" s="70">
        <v>66</v>
      </c>
      <c r="AA40" s="78">
        <v>573</v>
      </c>
      <c r="AC40" s="123"/>
    </row>
    <row r="41" spans="1:29" s="124" customFormat="1" ht="11.25">
      <c r="A41" s="123"/>
      <c r="B41" s="123"/>
      <c r="C41" s="33"/>
      <c r="D41" s="26" t="s">
        <v>11</v>
      </c>
      <c r="E41" s="32"/>
      <c r="F41" s="74">
        <f t="shared" si="6"/>
        <v>223095</v>
      </c>
      <c r="G41" s="74">
        <f t="shared" si="6"/>
        <v>150081</v>
      </c>
      <c r="H41" s="74">
        <f t="shared" si="6"/>
        <v>64266</v>
      </c>
      <c r="I41" s="74">
        <f t="shared" si="6"/>
        <v>6072</v>
      </c>
      <c r="J41" s="74">
        <f t="shared" si="6"/>
        <v>169136</v>
      </c>
      <c r="K41" s="64">
        <f>IFERROR(F41/G41-1,"n/a")</f>
        <v>0.48649729146261023</v>
      </c>
      <c r="L41" s="64">
        <f>IFERROR(F41/H41-1,"n/a")</f>
        <v>2.4714312389132669</v>
      </c>
      <c r="M41" s="64">
        <f>IFERROR(F41/I41-1,"n/a")</f>
        <v>35.741600790513836</v>
      </c>
      <c r="N41" s="60">
        <f>IFERROR(F41/J41-1,"n/a")</f>
        <v>0.31902729164695875</v>
      </c>
      <c r="O41" s="74">
        <f>'Aug-23'!O41+'Sep-23'!F41</f>
        <v>1248564</v>
      </c>
      <c r="P41" s="74">
        <f>'Aug-23'!P41+'Sep-23'!G41</f>
        <v>731487</v>
      </c>
      <c r="Q41" s="74">
        <f>'Aug-23'!Q41+'Sep-23'!H41</f>
        <v>205183</v>
      </c>
      <c r="R41" s="74">
        <f>'Aug-23'!R41+'Sep-23'!I41</f>
        <v>8613</v>
      </c>
      <c r="S41" s="74">
        <f>'Aug-23'!S41+'Sep-23'!J41</f>
        <v>1001516</v>
      </c>
      <c r="T41" s="120">
        <f>IFERROR(O41/P41-1,"n/a")</f>
        <v>0.70688474299611603</v>
      </c>
      <c r="U41" s="120">
        <f>IFERROR(O41/Q41-1,"n/a")</f>
        <v>5.085124011248495</v>
      </c>
      <c r="V41" s="120">
        <f>IFERROR(O41/R41-1,"n/a")</f>
        <v>143.9627307558342</v>
      </c>
      <c r="W41" s="121">
        <f>IFERROR(O41/S41-1,"n/a")</f>
        <v>0.24667404215209743</v>
      </c>
      <c r="X41" s="89">
        <v>1012510</v>
      </c>
      <c r="Y41" s="89">
        <v>327926</v>
      </c>
      <c r="Z41" s="84">
        <v>80778</v>
      </c>
      <c r="AA41" s="78">
        <v>1361671</v>
      </c>
      <c r="AC41" s="123"/>
    </row>
    <row r="42" spans="1:29" s="124" customFormat="1" ht="11.25">
      <c r="A42" s="123"/>
      <c r="B42" s="123"/>
      <c r="C42" s="31" t="s">
        <v>110</v>
      </c>
      <c r="D42" s="26"/>
      <c r="E42" s="32"/>
      <c r="F42" s="87"/>
      <c r="G42" s="87"/>
      <c r="H42" s="87"/>
      <c r="I42" s="87"/>
      <c r="J42" s="72"/>
      <c r="K42" s="64"/>
      <c r="L42" s="64"/>
      <c r="M42" s="64"/>
      <c r="N42" s="60"/>
      <c r="O42" s="87"/>
      <c r="P42" s="87"/>
      <c r="Q42" s="87"/>
      <c r="R42" s="87"/>
      <c r="S42" s="72"/>
      <c r="T42" s="64"/>
      <c r="U42" s="64"/>
      <c r="V42" s="64"/>
      <c r="W42" s="60"/>
      <c r="X42" s="90"/>
      <c r="Y42" s="90"/>
      <c r="Z42" s="44"/>
      <c r="AA42" s="79"/>
      <c r="AC42" s="123"/>
    </row>
    <row r="43" spans="1:29" s="124" customFormat="1" ht="11.25">
      <c r="A43" s="123"/>
      <c r="B43" s="123"/>
      <c r="C43" s="33"/>
      <c r="D43" s="26" t="s">
        <v>5</v>
      </c>
      <c r="E43" s="32"/>
      <c r="F43" s="74">
        <f t="shared" ref="F43:J44" si="7">F19</f>
        <v>100</v>
      </c>
      <c r="G43" s="74">
        <f t="shared" si="7"/>
        <v>92</v>
      </c>
      <c r="H43" s="74">
        <f t="shared" si="7"/>
        <v>7</v>
      </c>
      <c r="I43" s="74">
        <f t="shared" si="7"/>
        <v>1</v>
      </c>
      <c r="J43" s="74">
        <f t="shared" si="7"/>
        <v>32</v>
      </c>
      <c r="K43" s="64">
        <f>IFERROR(F43/G43-1,"n/a")</f>
        <v>8.6956521739130377E-2</v>
      </c>
      <c r="L43" s="64">
        <f>IFERROR(F43/H43-1,"n/a")</f>
        <v>13.285714285714286</v>
      </c>
      <c r="M43" s="64">
        <f>IFERROR(F43/I43-1,"n/a")</f>
        <v>99</v>
      </c>
      <c r="N43" s="60">
        <f>IFERROR(F43/J43-1,"n/a")</f>
        <v>2.125</v>
      </c>
      <c r="O43" s="74">
        <f>'Aug-23'!O43+'Sep-23'!F43</f>
        <v>521</v>
      </c>
      <c r="P43" s="74">
        <f>'Aug-23'!P43+'Sep-23'!G43</f>
        <v>501</v>
      </c>
      <c r="Q43" s="74">
        <f>'Aug-23'!Q43+'Sep-23'!H43</f>
        <v>16</v>
      </c>
      <c r="R43" s="74">
        <f>'Aug-23'!R43+'Sep-23'!I43</f>
        <v>5</v>
      </c>
      <c r="S43" s="74">
        <f>'Aug-23'!S43+'Sep-23'!J43</f>
        <v>225</v>
      </c>
      <c r="T43" s="120">
        <f>IFERROR(O43/P43-1,"n/a")</f>
        <v>3.9920159680638667E-2</v>
      </c>
      <c r="U43" s="120">
        <f>IFERROR(O43/Q43-1,"n/a")</f>
        <v>31.5625</v>
      </c>
      <c r="V43" s="120">
        <f>IFERROR(O43/R43-1,"n/a")</f>
        <v>103.2</v>
      </c>
      <c r="W43" s="121">
        <f>IFERROR(O43/S43-1,"n/a")</f>
        <v>1.3155555555555556</v>
      </c>
      <c r="X43" s="89">
        <v>669</v>
      </c>
      <c r="Y43" s="89">
        <v>59</v>
      </c>
      <c r="Z43" s="70">
        <v>9</v>
      </c>
      <c r="AA43" s="78">
        <v>287</v>
      </c>
      <c r="AC43" s="123"/>
    </row>
    <row r="44" spans="1:29" s="124" customFormat="1" ht="11.25">
      <c r="A44" s="123"/>
      <c r="B44" s="123"/>
      <c r="C44" s="33"/>
      <c r="D44" s="26" t="s">
        <v>11</v>
      </c>
      <c r="E44" s="32"/>
      <c r="F44" s="74">
        <f t="shared" si="7"/>
        <v>181434</v>
      </c>
      <c r="G44" s="74">
        <f t="shared" si="7"/>
        <v>137415</v>
      </c>
      <c r="H44" s="74">
        <f t="shared" si="7"/>
        <v>3224</v>
      </c>
      <c r="I44" s="74">
        <f t="shared" si="7"/>
        <v>0</v>
      </c>
      <c r="J44" s="74">
        <f t="shared" si="7"/>
        <v>76553</v>
      </c>
      <c r="K44" s="64">
        <f>IFERROR(F44/G44-1,"n/a")</f>
        <v>0.32033620783757222</v>
      </c>
      <c r="L44" s="64">
        <f>IFERROR(F44/H44-1,"n/a")</f>
        <v>55.276054590570716</v>
      </c>
      <c r="M44" s="64" t="str">
        <f>IFERROR(F44/I44-1,"n/a")</f>
        <v>n/a</v>
      </c>
      <c r="N44" s="60">
        <f>IFERROR(F44/J44-1,"n/a")</f>
        <v>1.3700442830457331</v>
      </c>
      <c r="O44" s="74">
        <f>'Aug-23'!O44+'Sep-23'!F44</f>
        <v>992579</v>
      </c>
      <c r="P44" s="74">
        <f>'Aug-23'!P44+'Sep-23'!G44</f>
        <v>700973</v>
      </c>
      <c r="Q44" s="74">
        <f>'Aug-23'!Q44+'Sep-23'!H44</f>
        <v>4542</v>
      </c>
      <c r="R44" s="74">
        <f>'Aug-23'!R44+'Sep-23'!I44</f>
        <v>8294</v>
      </c>
      <c r="S44" s="74">
        <f>'Aug-23'!S44+'Sep-23'!J44</f>
        <v>481278</v>
      </c>
      <c r="T44" s="120">
        <f>IFERROR(O44/P44-1,"n/a")</f>
        <v>0.41600175755699587</v>
      </c>
      <c r="U44" s="120">
        <f>IFERROR(O44/Q44-1,"n/a")</f>
        <v>217.53346543372965</v>
      </c>
      <c r="V44" s="120">
        <f>IFERROR(O44/R44-1,"n/a")</f>
        <v>118.67434289848083</v>
      </c>
      <c r="W44" s="121">
        <f>IFERROR(O44/S44-1,"n/a")</f>
        <v>1.062381825057451</v>
      </c>
      <c r="X44" s="82">
        <v>905256</v>
      </c>
      <c r="Y44" s="82">
        <v>20626</v>
      </c>
      <c r="Z44" s="84">
        <v>10047</v>
      </c>
      <c r="AA44" s="78">
        <v>581199</v>
      </c>
      <c r="AC44" s="123"/>
    </row>
    <row r="45" spans="1:29" s="124" customFormat="1" ht="11.25">
      <c r="A45" s="123"/>
      <c r="B45" s="123"/>
      <c r="C45" s="31" t="s">
        <v>111</v>
      </c>
      <c r="D45" s="26"/>
      <c r="E45" s="34"/>
      <c r="F45" s="72"/>
      <c r="G45" s="72"/>
      <c r="H45" s="72"/>
      <c r="I45" s="72"/>
      <c r="J45" s="72"/>
      <c r="K45" s="64"/>
      <c r="L45" s="64"/>
      <c r="M45" s="64"/>
      <c r="N45" s="60"/>
      <c r="O45" s="72"/>
      <c r="P45" s="72"/>
      <c r="Q45" s="72"/>
      <c r="R45" s="72"/>
      <c r="S45" s="72"/>
      <c r="T45" s="64"/>
      <c r="U45" s="64"/>
      <c r="V45" s="64"/>
      <c r="W45" s="60"/>
      <c r="X45" s="90"/>
      <c r="Y45" s="90"/>
      <c r="Z45" s="44"/>
      <c r="AA45" s="79"/>
      <c r="AC45" s="123"/>
    </row>
    <row r="46" spans="1:29" s="124" customFormat="1" ht="11.25">
      <c r="A46" s="123"/>
      <c r="B46" s="123"/>
      <c r="C46" s="33"/>
      <c r="D46" s="26" t="s">
        <v>5</v>
      </c>
      <c r="E46" s="34"/>
      <c r="F46" s="74">
        <f t="shared" ref="F46:J47" si="8">F22</f>
        <v>119</v>
      </c>
      <c r="G46" s="74">
        <f t="shared" si="8"/>
        <v>85</v>
      </c>
      <c r="H46" s="74">
        <f t="shared" si="8"/>
        <v>46</v>
      </c>
      <c r="I46" s="74">
        <f t="shared" si="8"/>
        <v>0</v>
      </c>
      <c r="J46" s="74">
        <f t="shared" si="8"/>
        <v>86</v>
      </c>
      <c r="K46" s="64">
        <f>IFERROR(F46/G46-1,"n/a")</f>
        <v>0.39999999999999991</v>
      </c>
      <c r="L46" s="64">
        <f>IFERROR(F46/H46-1,"n/a")</f>
        <v>1.5869565217391304</v>
      </c>
      <c r="M46" s="64" t="str">
        <f>IFERROR(F46/I46-1,"n/a")</f>
        <v>n/a</v>
      </c>
      <c r="N46" s="60">
        <f>IFERROR(F46/J46-1,"n/a")</f>
        <v>0.38372093023255816</v>
      </c>
      <c r="O46" s="74">
        <f>'Aug-23'!O46+'Sep-23'!F46</f>
        <v>689</v>
      </c>
      <c r="P46" s="74">
        <f>'Aug-23'!P46+'Sep-23'!G46</f>
        <v>492</v>
      </c>
      <c r="Q46" s="74">
        <f>'Aug-23'!Q46+'Sep-23'!H46</f>
        <v>84</v>
      </c>
      <c r="R46" s="74">
        <f>'Aug-23'!R46+'Sep-23'!I46</f>
        <v>0</v>
      </c>
      <c r="S46" s="74">
        <f>'Aug-23'!S46+'Sep-23'!J46</f>
        <v>496</v>
      </c>
      <c r="T46" s="120">
        <f>IFERROR(O46/P46-1,"n/a")</f>
        <v>0.40040650406504064</v>
      </c>
      <c r="U46" s="120">
        <f>IFERROR(O46/Q46-1,"n/a")</f>
        <v>7.2023809523809526</v>
      </c>
      <c r="V46" s="120" t="str">
        <f>IFERROR(O46/R46-1,"n/a")</f>
        <v>n/a</v>
      </c>
      <c r="W46" s="121">
        <f>IFERROR(O46/S46-1,"n/a")</f>
        <v>0.38911290322580649</v>
      </c>
      <c r="X46" s="89">
        <v>1129</v>
      </c>
      <c r="Y46" s="89">
        <v>336</v>
      </c>
      <c r="Z46" s="84">
        <v>43</v>
      </c>
      <c r="AA46" s="78">
        <v>781</v>
      </c>
      <c r="AC46" s="123"/>
    </row>
    <row r="47" spans="1:29" s="124" customFormat="1" ht="11.25">
      <c r="A47" s="123"/>
      <c r="B47" s="123"/>
      <c r="C47" s="33"/>
      <c r="D47" s="26" t="s">
        <v>11</v>
      </c>
      <c r="E47" s="32"/>
      <c r="F47" s="74">
        <f t="shared" si="8"/>
        <v>374705</v>
      </c>
      <c r="G47" s="74">
        <f t="shared" si="8"/>
        <v>267710</v>
      </c>
      <c r="H47" s="74">
        <f t="shared" si="8"/>
        <v>89719</v>
      </c>
      <c r="I47" s="74">
        <f t="shared" si="8"/>
        <v>0</v>
      </c>
      <c r="J47" s="74">
        <f t="shared" si="8"/>
        <v>304036</v>
      </c>
      <c r="K47" s="64">
        <f>IFERROR(F47/G47-1,"n/a")</f>
        <v>0.39966755070785553</v>
      </c>
      <c r="L47" s="64">
        <f>IFERROR(F47/H47-1,"n/a")</f>
        <v>3.1764286271581268</v>
      </c>
      <c r="M47" s="64" t="str">
        <f>IFERROR(F47/I47-1,"n/a")</f>
        <v>n/a</v>
      </c>
      <c r="N47" s="60">
        <f>IFERROR(F47/J47-1,"n/a")</f>
        <v>0.23243629043929004</v>
      </c>
      <c r="O47" s="74">
        <f>'Aug-23'!O47+'Sep-23'!F47</f>
        <v>2199878</v>
      </c>
      <c r="P47" s="74">
        <f>'Aug-23'!P47+'Sep-23'!G47</f>
        <v>1261996</v>
      </c>
      <c r="Q47" s="74">
        <f>'Aug-23'!Q47+'Sep-23'!H47</f>
        <v>167883</v>
      </c>
      <c r="R47" s="74">
        <f>'Aug-23'!R47+'Sep-23'!I47</f>
        <v>0</v>
      </c>
      <c r="S47" s="74">
        <f>'Aug-23'!S47+'Sep-23'!J47</f>
        <v>1645544</v>
      </c>
      <c r="T47" s="120">
        <f>IFERROR(O47/P47-1,"n/a")</f>
        <v>0.74317351243585561</v>
      </c>
      <c r="U47" s="120">
        <f>IFERROR(O47/Q47-1,"n/a")</f>
        <v>12.103637652412692</v>
      </c>
      <c r="V47" s="120" t="str">
        <f>IFERROR(O47/R47-1,"n/a")</f>
        <v>n/a</v>
      </c>
      <c r="W47" s="121">
        <f>IFERROR(O47/S47-1,"n/a")</f>
        <v>0.33686975249522355</v>
      </c>
      <c r="X47" s="82">
        <v>2932981</v>
      </c>
      <c r="Y47" s="82">
        <v>533563</v>
      </c>
      <c r="Z47" s="84">
        <v>140552</v>
      </c>
      <c r="AA47" s="78">
        <v>2441594</v>
      </c>
      <c r="AC47" s="123"/>
    </row>
    <row r="48" spans="1:29" s="124" customFormat="1" ht="11.25">
      <c r="C48" s="31" t="s">
        <v>112</v>
      </c>
      <c r="D48" s="26"/>
      <c r="E48" s="32"/>
      <c r="F48" s="72"/>
      <c r="G48" s="72"/>
      <c r="H48" s="72"/>
      <c r="I48" s="72"/>
      <c r="J48" s="72"/>
      <c r="K48" s="64"/>
      <c r="L48" s="64"/>
      <c r="M48" s="64"/>
      <c r="N48" s="60"/>
      <c r="O48" s="72"/>
      <c r="P48" s="72"/>
      <c r="Q48" s="72"/>
      <c r="R48" s="72"/>
      <c r="S48" s="72"/>
      <c r="T48" s="64"/>
      <c r="U48" s="64"/>
      <c r="V48" s="64"/>
      <c r="W48" s="60"/>
      <c r="X48" s="90"/>
      <c r="Y48" s="90"/>
      <c r="Z48" s="44"/>
      <c r="AA48" s="79"/>
      <c r="AC48" s="123"/>
    </row>
    <row r="49" spans="3:29" s="124" customFormat="1" ht="11.25">
      <c r="C49" s="33"/>
      <c r="D49" s="26" t="s">
        <v>5</v>
      </c>
      <c r="E49" s="32"/>
      <c r="F49" s="74">
        <f t="shared" ref="F49:J50" si="9">F25</f>
        <v>4</v>
      </c>
      <c r="G49" s="74">
        <f t="shared" si="9"/>
        <v>1</v>
      </c>
      <c r="H49" s="74">
        <f t="shared" si="9"/>
        <v>0</v>
      </c>
      <c r="I49" s="74">
        <f t="shared" si="9"/>
        <v>0</v>
      </c>
      <c r="J49" s="74">
        <f t="shared" si="9"/>
        <v>1</v>
      </c>
      <c r="K49" s="64">
        <f>IFERROR(F49/G49-1,"n/a")</f>
        <v>3</v>
      </c>
      <c r="L49" s="64" t="str">
        <f>IFERROR(F49/H49-1,"n/a")</f>
        <v>n/a</v>
      </c>
      <c r="M49" s="64" t="str">
        <f>IFERROR(F49/I49-1,"n/a")</f>
        <v>n/a</v>
      </c>
      <c r="N49" s="60">
        <f>IFERROR(F49/J49-1,"n/a")</f>
        <v>3</v>
      </c>
      <c r="O49" s="74">
        <f>'Aug-23'!O49+'Sep-23'!F49</f>
        <v>19</v>
      </c>
      <c r="P49" s="74">
        <f>'Aug-23'!P49+'Sep-23'!G49</f>
        <v>8</v>
      </c>
      <c r="Q49" s="74">
        <f>'Aug-23'!Q49+'Sep-23'!H49</f>
        <v>0</v>
      </c>
      <c r="R49" s="74">
        <f>'Aug-23'!R49+'Sep-23'!I49</f>
        <v>0</v>
      </c>
      <c r="S49" s="74">
        <f>'Aug-23'!S49+'Sep-23'!J49</f>
        <v>13</v>
      </c>
      <c r="T49" s="120">
        <f>IFERROR(O49/P49-1,"n/a")</f>
        <v>1.375</v>
      </c>
      <c r="U49" s="120" t="str">
        <f>IFERROR(O49/Q49-1,"n/a")</f>
        <v>n/a</v>
      </c>
      <c r="V49" s="120" t="str">
        <f>IFERROR(O49/R49-1,"n/a")</f>
        <v>n/a</v>
      </c>
      <c r="W49" s="121">
        <f>IFERROR(O49/S49-1,"n/a")</f>
        <v>0.46153846153846145</v>
      </c>
      <c r="X49" s="89">
        <v>9</v>
      </c>
      <c r="Y49" s="68">
        <v>0</v>
      </c>
      <c r="Z49" s="68">
        <v>0</v>
      </c>
      <c r="AA49" s="78">
        <v>16</v>
      </c>
      <c r="AC49" s="123"/>
    </row>
    <row r="50" spans="3:29" s="124" customFormat="1" ht="11.25">
      <c r="C50" s="33"/>
      <c r="D50" s="26" t="s">
        <v>11</v>
      </c>
      <c r="E50" s="32"/>
      <c r="F50" s="74">
        <f t="shared" si="9"/>
        <v>7920</v>
      </c>
      <c r="G50" s="74">
        <f t="shared" si="9"/>
        <v>2266</v>
      </c>
      <c r="H50" s="74">
        <f t="shared" si="9"/>
        <v>0</v>
      </c>
      <c r="I50" s="74">
        <f t="shared" si="9"/>
        <v>0</v>
      </c>
      <c r="J50" s="74">
        <f t="shared" si="9"/>
        <v>1243</v>
      </c>
      <c r="K50" s="64">
        <f>IFERROR(F50/G50-1,"n/a")</f>
        <v>2.4951456310679609</v>
      </c>
      <c r="L50" s="64" t="str">
        <f>IFERROR(F50/H50-1,"n/a")</f>
        <v>n/a</v>
      </c>
      <c r="M50" s="64" t="str">
        <f>IFERROR(F50/I50-1,"n/a")</f>
        <v>n/a</v>
      </c>
      <c r="N50" s="60">
        <f>IFERROR(F50/J50-1,"n/a")</f>
        <v>5.3716814159292037</v>
      </c>
      <c r="O50" s="74">
        <f>'Aug-23'!O50+'Sep-23'!F50</f>
        <v>34314</v>
      </c>
      <c r="P50" s="74">
        <f>'Aug-23'!P50+'Sep-23'!G50</f>
        <v>13279</v>
      </c>
      <c r="Q50" s="74">
        <f>'Aug-23'!Q50+'Sep-23'!H50</f>
        <v>0</v>
      </c>
      <c r="R50" s="74">
        <f>'Aug-23'!R50+'Sep-23'!I50</f>
        <v>0</v>
      </c>
      <c r="S50" s="74">
        <f>'Aug-23'!S50+'Sep-23'!J50</f>
        <v>16291</v>
      </c>
      <c r="T50" s="120">
        <f>IFERROR(O50/P50-1,"n/a")</f>
        <v>1.5840801265155511</v>
      </c>
      <c r="U50" s="120" t="str">
        <f>IFERROR(O50/Q50-1,"n/a")</f>
        <v>n/a</v>
      </c>
      <c r="V50" s="120" t="str">
        <f>IFERROR(O50/R50-1,"n/a")</f>
        <v>n/a</v>
      </c>
      <c r="W50" s="121">
        <f>IFERROR(O50/S50-1,"n/a")</f>
        <v>1.1063163710023938</v>
      </c>
      <c r="X50" s="82">
        <v>15637</v>
      </c>
      <c r="Y50" s="68">
        <v>0</v>
      </c>
      <c r="Z50" s="68">
        <v>0</v>
      </c>
      <c r="AA50" s="78">
        <v>20248</v>
      </c>
      <c r="AC50" s="123"/>
    </row>
    <row r="51" spans="3:29" s="124" customFormat="1" ht="12" thickBot="1">
      <c r="C51" s="35" t="s">
        <v>12</v>
      </c>
      <c r="D51" s="36"/>
      <c r="E51" s="37"/>
      <c r="F51" s="75">
        <f>F37+F40+F43+F46+F49</f>
        <v>389</v>
      </c>
      <c r="G51" s="75">
        <f t="shared" ref="G51:J52" si="10">G37+G40+G43+G46+G49</f>
        <v>334</v>
      </c>
      <c r="H51" s="75">
        <f t="shared" si="10"/>
        <v>147</v>
      </c>
      <c r="I51" s="75">
        <f t="shared" si="10"/>
        <v>10</v>
      </c>
      <c r="J51" s="75">
        <f t="shared" si="10"/>
        <v>268</v>
      </c>
      <c r="K51" s="66">
        <f>IFERROR(F51/G51-1,"n/a")</f>
        <v>0.16467065868263475</v>
      </c>
      <c r="L51" s="66">
        <f>IFERROR(F51/H51-1,"n/a")</f>
        <v>1.6462585034013606</v>
      </c>
      <c r="M51" s="66">
        <f>IFERROR(F51/I51-1,"n/a")</f>
        <v>37.9</v>
      </c>
      <c r="N51" s="62">
        <f>IFERROR(F51/J51-1,"n/a")</f>
        <v>0.45149253731343286</v>
      </c>
      <c r="O51" s="75">
        <f t="shared" ref="O51:S52" si="11">O37+O40+O43+O46+O49</f>
        <v>2252</v>
      </c>
      <c r="P51" s="75">
        <f t="shared" si="11"/>
        <v>1958</v>
      </c>
      <c r="Q51" s="75">
        <f t="shared" si="11"/>
        <v>363</v>
      </c>
      <c r="R51" s="75">
        <f t="shared" si="11"/>
        <v>58</v>
      </c>
      <c r="S51" s="75">
        <f t="shared" si="11"/>
        <v>1700</v>
      </c>
      <c r="T51" s="66">
        <f>IFERROR(O51/P51-1,"n/a")</f>
        <v>0.15015321756894795</v>
      </c>
      <c r="U51" s="66">
        <f>IFERROR(O51/Q51-1,"n/a")</f>
        <v>5.2038567493112948</v>
      </c>
      <c r="V51" s="66">
        <f>IFERROR(O51/R51-1,"n/a")</f>
        <v>37.827586206896555</v>
      </c>
      <c r="W51" s="62">
        <f>IFERROR(O51/S51-1,"n/a")</f>
        <v>0.32470588235294118</v>
      </c>
      <c r="X51" s="46">
        <f t="shared" ref="X51:Z52" si="12">X37+X40+X43+X46+X49</f>
        <v>3856</v>
      </c>
      <c r="Y51" s="46">
        <f t="shared" si="12"/>
        <v>1673</v>
      </c>
      <c r="Z51" s="46">
        <f t="shared" si="12"/>
        <v>669</v>
      </c>
      <c r="AA51" s="80">
        <f>AA37+AA40+AA43+AA46+AA49</f>
        <v>3241</v>
      </c>
      <c r="AC51" s="123"/>
    </row>
    <row r="52" spans="3:29" s="124" customFormat="1" ht="12.75" thickTop="1" thickBot="1">
      <c r="C52" s="38" t="s">
        <v>13</v>
      </c>
      <c r="D52" s="39"/>
      <c r="E52" s="40"/>
      <c r="F52" s="76">
        <f>F38+F41+F44+F47+F50</f>
        <v>1100804</v>
      </c>
      <c r="G52" s="76">
        <f t="shared" si="10"/>
        <v>838052</v>
      </c>
      <c r="H52" s="76">
        <f t="shared" si="10"/>
        <v>240604</v>
      </c>
      <c r="I52" s="76">
        <f t="shared" si="10"/>
        <v>6072</v>
      </c>
      <c r="J52" s="76">
        <f t="shared" si="10"/>
        <v>785421</v>
      </c>
      <c r="K52" s="67">
        <f>IFERROR(F52/G52-1,"n/a")</f>
        <v>0.31352708423820963</v>
      </c>
      <c r="L52" s="67">
        <f>IFERROR(F52/H52-1,"n/a")</f>
        <v>3.5751691576199898</v>
      </c>
      <c r="M52" s="67">
        <f>IFERROR(F52/I52-1,"n/a")</f>
        <v>180.29183135704875</v>
      </c>
      <c r="N52" s="63">
        <f>IFERROR(F52/J52-1,"n/a")</f>
        <v>0.40154643178626492</v>
      </c>
      <c r="O52" s="76">
        <f t="shared" si="11"/>
        <v>6723695</v>
      </c>
      <c r="P52" s="76">
        <f t="shared" si="11"/>
        <v>4343388</v>
      </c>
      <c r="Q52" s="76">
        <f t="shared" si="11"/>
        <v>558508</v>
      </c>
      <c r="R52" s="76">
        <f t="shared" si="11"/>
        <v>16907</v>
      </c>
      <c r="S52" s="76">
        <f t="shared" si="11"/>
        <v>5036943</v>
      </c>
      <c r="T52" s="67">
        <f>IFERROR(O52/P52-1,"n/a")</f>
        <v>0.54803001712027566</v>
      </c>
      <c r="U52" s="118">
        <f>IFERROR(O52/Q52-1,"n/a")</f>
        <v>11.038672677920459</v>
      </c>
      <c r="V52" s="118">
        <f>IFERROR(O52/R52-1,"n/a")</f>
        <v>396.68705270006507</v>
      </c>
      <c r="W52" s="119">
        <f>IFERROR(O52/S52-1,"n/a")</f>
        <v>0.3348761341948876</v>
      </c>
      <c r="X52" s="47">
        <f t="shared" si="12"/>
        <v>9237323</v>
      </c>
      <c r="Y52" s="47">
        <f t="shared" si="12"/>
        <v>2410085</v>
      </c>
      <c r="Z52" s="47">
        <f t="shared" si="12"/>
        <v>1324261</v>
      </c>
      <c r="AA52" s="81">
        <f>AA38+AA41+AA44+AA47+AA50</f>
        <v>8638971</v>
      </c>
      <c r="AC52" s="123"/>
    </row>
    <row r="53" spans="3:29" s="124" customFormat="1" ht="12" thickTop="1">
      <c r="AC53" s="123"/>
    </row>
    <row r="54" spans="3:29" s="124" customFormat="1" ht="11.25">
      <c r="P54" s="132"/>
      <c r="Q54" s="132"/>
      <c r="R54" s="132"/>
      <c r="S54" s="132"/>
      <c r="AC54" s="123"/>
    </row>
    <row r="55" spans="3:29">
      <c r="P55" s="111"/>
      <c r="Q55" s="111"/>
      <c r="R55" s="111"/>
      <c r="S55" s="111"/>
      <c r="AC55" s="9"/>
    </row>
    <row r="56" spans="3:29">
      <c r="P56" s="111"/>
      <c r="Q56" s="111"/>
      <c r="R56" s="111"/>
      <c r="S56" s="111"/>
      <c r="AC56" s="9"/>
    </row>
    <row r="57" spans="3:29">
      <c r="P57" s="111"/>
      <c r="Q57" s="111"/>
      <c r="R57" s="111"/>
      <c r="S57" s="111"/>
      <c r="AC57" s="9"/>
    </row>
    <row r="58" spans="3:29">
      <c r="AC58" s="9"/>
    </row>
    <row r="59" spans="3:29">
      <c r="AC59" s="9"/>
    </row>
    <row r="60" spans="3:29">
      <c r="AC60" s="9"/>
    </row>
    <row r="61" spans="3:29" ht="15" customHeight="1"/>
    <row r="62" spans="3:29" ht="15" customHeight="1"/>
    <row r="63" spans="3:29" ht="15" customHeight="1"/>
    <row r="64" spans="3:29" ht="15" customHeight="1"/>
    <row r="65" ht="15" customHeight="1"/>
    <row r="66" ht="15" customHeight="1"/>
  </sheetData>
  <mergeCells count="9">
    <mergeCell ref="F34:N34"/>
    <mergeCell ref="O34:W34"/>
    <mergeCell ref="X34:AA34"/>
    <mergeCell ref="F9:N9"/>
    <mergeCell ref="O9:W9"/>
    <mergeCell ref="X9:AA9"/>
    <mergeCell ref="F33:N33"/>
    <mergeCell ref="O33:W33"/>
    <mergeCell ref="X33:AA33"/>
  </mergeCells>
  <pageMargins left="0.7" right="0.7" top="0.75" bottom="0.75" header="0.3" footer="0.3"/>
  <pageSetup paperSize="9" orientation="portrait" horizontalDpi="0"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14999847407452621"/>
    <pageSetUpPr fitToPage="1"/>
  </sheetPr>
  <dimension ref="A1:AH44"/>
  <sheetViews>
    <sheetView showGridLines="0" zoomScale="75" zoomScaleNormal="75" workbookViewId="0"/>
  </sheetViews>
  <sheetFormatPr defaultColWidth="0" defaultRowHeight="0" customHeight="1" zeroHeight="1"/>
  <cols>
    <col min="1" max="2" width="2.5703125" style="2" customWidth="1"/>
    <col min="3" max="3" width="20.85546875" style="2" customWidth="1"/>
    <col min="4" max="4" width="10.5703125" style="2" bestFit="1" customWidth="1"/>
    <col min="5" max="8" width="9.140625" style="2" customWidth="1"/>
    <col min="9" max="9" width="14.140625" style="2" customWidth="1"/>
    <col min="10" max="10" width="5" style="2" customWidth="1"/>
    <col min="11" max="11" width="9.140625" style="2" customWidth="1"/>
    <col min="12" max="12" width="4.85546875" style="2" customWidth="1"/>
    <col min="13" max="16" width="9.140625" style="2" customWidth="1"/>
    <col min="17" max="17" width="3.5703125" style="2" customWidth="1"/>
    <col min="18" max="23" width="10.140625" style="2" customWidth="1"/>
    <col min="24" max="33" width="10.140625" style="2" hidden="1" customWidth="1"/>
    <col min="34" max="34" width="4.85546875" style="2" hidden="1" customWidth="1"/>
    <col min="35" max="16384" width="10.140625" style="2" hidden="1"/>
  </cols>
  <sheetData>
    <row r="1" spans="2:34" ht="23.25">
      <c r="B1" s="13"/>
      <c r="C1" s="14"/>
      <c r="D1" s="14"/>
      <c r="E1" s="14"/>
      <c r="F1" s="14"/>
      <c r="G1" s="14"/>
      <c r="H1" s="14"/>
      <c r="I1" s="13"/>
      <c r="J1" s="13"/>
      <c r="K1" s="13"/>
      <c r="L1" s="13"/>
      <c r="M1" s="13"/>
      <c r="N1" s="13"/>
      <c r="O1" s="13"/>
      <c r="P1" s="13"/>
      <c r="Q1" s="13"/>
      <c r="R1" s="13"/>
      <c r="S1" s="13"/>
      <c r="T1" s="13"/>
      <c r="U1" s="13"/>
      <c r="V1" s="13"/>
      <c r="W1" s="13"/>
      <c r="X1" s="13"/>
      <c r="Y1" s="13"/>
      <c r="Z1" s="13"/>
      <c r="AA1" s="13"/>
      <c r="AB1" s="13"/>
      <c r="AC1" s="13"/>
      <c r="AD1" s="13"/>
      <c r="AE1" s="13"/>
      <c r="AF1" s="13"/>
      <c r="AG1" s="13"/>
      <c r="AH1" s="13"/>
    </row>
    <row r="2" spans="2:34" ht="28.5" thickBot="1">
      <c r="B2" s="13"/>
      <c r="C2" s="15" t="s">
        <v>3</v>
      </c>
      <c r="D2" s="16"/>
      <c r="E2" s="16"/>
      <c r="F2" s="16"/>
      <c r="G2" s="16"/>
      <c r="H2" s="16"/>
      <c r="I2" s="16"/>
      <c r="J2" s="16"/>
      <c r="K2" s="16"/>
      <c r="L2" s="16"/>
      <c r="M2" s="16"/>
      <c r="N2" s="16"/>
      <c r="O2" s="16"/>
      <c r="P2" s="16"/>
      <c r="Q2" s="16"/>
      <c r="R2" s="16"/>
      <c r="S2" s="16"/>
      <c r="T2" s="16"/>
      <c r="U2" s="16"/>
      <c r="V2" s="16"/>
      <c r="W2" s="16"/>
      <c r="X2" s="16"/>
      <c r="Y2" s="16"/>
      <c r="Z2" s="16"/>
      <c r="AA2" s="16"/>
      <c r="AB2" s="16"/>
      <c r="AC2" s="16"/>
      <c r="AD2" s="16"/>
      <c r="AE2" s="16"/>
      <c r="AF2" s="16"/>
      <c r="AG2" s="16"/>
      <c r="AH2" s="13"/>
    </row>
    <row r="3" spans="2:34" ht="13.5">
      <c r="B3" s="13"/>
      <c r="C3" s="13"/>
      <c r="D3" s="13"/>
      <c r="E3" s="13"/>
      <c r="F3" s="13"/>
      <c r="G3" s="13"/>
      <c r="H3" s="13"/>
      <c r="I3" s="13"/>
      <c r="J3" s="13"/>
      <c r="K3" s="13"/>
      <c r="L3" s="13"/>
      <c r="M3" s="13"/>
      <c r="N3" s="13"/>
      <c r="O3" s="13"/>
      <c r="P3" s="13"/>
      <c r="Q3" s="13"/>
      <c r="R3" s="13"/>
      <c r="S3" s="13"/>
      <c r="T3" s="13"/>
      <c r="U3" s="13"/>
      <c r="V3" s="13"/>
      <c r="W3" s="13"/>
      <c r="X3" s="13"/>
      <c r="Y3" s="13"/>
      <c r="Z3" s="13"/>
      <c r="AA3" s="13"/>
      <c r="AB3" s="13"/>
      <c r="AC3" s="13"/>
      <c r="AD3" s="13"/>
      <c r="AE3" s="13"/>
      <c r="AF3" s="13"/>
      <c r="AG3" s="13"/>
      <c r="AH3" s="13"/>
    </row>
    <row r="4" spans="2:34" ht="15.75">
      <c r="B4" s="13"/>
      <c r="C4" s="17"/>
      <c r="E4" s="13"/>
      <c r="F4" s="13"/>
      <c r="G4" s="13"/>
      <c r="H4" s="13"/>
      <c r="I4" s="13"/>
      <c r="J4" s="13"/>
      <c r="K4" s="13"/>
      <c r="L4" s="13"/>
      <c r="M4" s="13"/>
      <c r="N4" s="13"/>
      <c r="O4" s="13"/>
      <c r="P4" s="13"/>
      <c r="Q4" s="13"/>
      <c r="R4" s="13"/>
      <c r="S4" s="13"/>
      <c r="T4" s="13"/>
      <c r="U4" s="13"/>
      <c r="V4" s="13"/>
      <c r="W4" s="13"/>
      <c r="X4" s="13"/>
      <c r="Y4" s="13"/>
      <c r="Z4" s="13"/>
      <c r="AA4" s="13"/>
      <c r="AB4" s="13"/>
      <c r="AC4" s="13"/>
      <c r="AD4" s="13"/>
      <c r="AE4" s="13"/>
      <c r="AF4" s="13"/>
      <c r="AG4" s="13"/>
      <c r="AH4" s="13"/>
    </row>
    <row r="5" spans="2:34" ht="13.5">
      <c r="B5" s="13"/>
      <c r="C5" s="13"/>
      <c r="D5" s="13"/>
      <c r="E5" s="13"/>
      <c r="F5" s="13"/>
      <c r="G5" s="13"/>
      <c r="H5" s="13"/>
      <c r="I5" s="13"/>
      <c r="J5" s="13"/>
      <c r="K5" s="13"/>
      <c r="L5" s="13"/>
      <c r="M5" s="13"/>
      <c r="N5" s="13"/>
      <c r="O5" s="13"/>
      <c r="P5" s="13"/>
      <c r="Q5" s="13"/>
      <c r="R5" s="13"/>
      <c r="S5" s="13"/>
      <c r="T5" s="13"/>
      <c r="U5" s="13"/>
      <c r="V5" s="13"/>
      <c r="W5" s="13"/>
      <c r="X5" s="13"/>
      <c r="Y5" s="13"/>
      <c r="Z5" s="13"/>
      <c r="AA5" s="13"/>
      <c r="AB5" s="13"/>
      <c r="AC5" s="13"/>
      <c r="AD5" s="13"/>
      <c r="AE5" s="13"/>
      <c r="AF5" s="13"/>
      <c r="AG5" s="13"/>
      <c r="AH5" s="13"/>
    </row>
    <row r="6" spans="2:34" ht="13.5">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row>
    <row r="7" spans="2:34" ht="15.75">
      <c r="B7" s="13"/>
      <c r="C7" s="17"/>
      <c r="D7" s="13"/>
      <c r="E7" s="13"/>
      <c r="F7" s="13"/>
      <c r="G7" s="13"/>
      <c r="H7" s="13"/>
      <c r="I7" s="13"/>
      <c r="J7" s="13"/>
      <c r="K7" s="13"/>
      <c r="L7" s="13"/>
      <c r="M7" s="13"/>
      <c r="N7" s="13"/>
      <c r="O7" s="13"/>
      <c r="P7" s="13"/>
      <c r="Q7" s="13"/>
      <c r="R7" s="13"/>
      <c r="S7" s="13"/>
      <c r="T7" s="13"/>
      <c r="U7" s="13"/>
      <c r="V7" s="13"/>
      <c r="W7" s="13"/>
      <c r="X7" s="13"/>
      <c r="Y7" s="13"/>
      <c r="Z7" s="13"/>
      <c r="AA7" s="13"/>
      <c r="AB7" s="13"/>
      <c r="AC7" s="13"/>
      <c r="AD7" s="13"/>
      <c r="AE7" s="13"/>
      <c r="AF7" s="13"/>
      <c r="AG7" s="13"/>
      <c r="AH7" s="13"/>
    </row>
    <row r="8" spans="2:34" ht="13.5">
      <c r="B8" s="13"/>
      <c r="C8" s="13"/>
      <c r="D8" s="13"/>
      <c r="F8" s="13"/>
      <c r="G8" s="13"/>
      <c r="H8" s="13"/>
      <c r="I8" s="13"/>
      <c r="J8" s="13"/>
      <c r="K8" s="13"/>
      <c r="L8" s="13"/>
      <c r="M8" s="13"/>
      <c r="N8" s="13"/>
      <c r="O8" s="13"/>
      <c r="P8" s="13"/>
      <c r="Q8" s="13"/>
      <c r="R8" s="13"/>
      <c r="S8" s="13"/>
      <c r="T8" s="13"/>
      <c r="U8" s="13"/>
      <c r="V8" s="13"/>
      <c r="W8" s="13"/>
      <c r="X8" s="13"/>
      <c r="Y8" s="13"/>
      <c r="Z8" s="13"/>
      <c r="AA8" s="13"/>
      <c r="AB8" s="13"/>
      <c r="AC8" s="13"/>
      <c r="AD8" s="13"/>
      <c r="AE8" s="13"/>
      <c r="AF8" s="13"/>
      <c r="AG8" s="13"/>
      <c r="AH8" s="13"/>
    </row>
    <row r="9" spans="2:34" ht="13.5" customHeight="1">
      <c r="B9" s="13"/>
      <c r="C9" s="13"/>
      <c r="D9" s="13"/>
      <c r="F9" s="13"/>
      <c r="G9" s="13"/>
      <c r="H9" s="13"/>
      <c r="I9" s="13"/>
      <c r="J9" s="13"/>
      <c r="K9" s="13"/>
      <c r="L9" s="13"/>
      <c r="M9" s="13"/>
      <c r="N9" s="13"/>
      <c r="O9" s="13"/>
      <c r="P9" s="13"/>
      <c r="Q9" s="13"/>
      <c r="R9" s="13"/>
      <c r="S9" s="13"/>
      <c r="T9" s="13"/>
      <c r="U9" s="13"/>
      <c r="V9" s="13"/>
      <c r="W9" s="13"/>
      <c r="X9" s="13"/>
      <c r="Y9" s="13"/>
      <c r="Z9" s="13"/>
      <c r="AA9" s="13"/>
      <c r="AB9" s="13"/>
      <c r="AC9" s="13"/>
      <c r="AD9" s="13"/>
      <c r="AE9" s="13"/>
      <c r="AF9" s="13"/>
      <c r="AG9" s="13"/>
      <c r="AH9" s="13"/>
    </row>
    <row r="10" spans="2:34" ht="13.5" customHeight="1">
      <c r="B10" s="13"/>
      <c r="C10" s="13"/>
      <c r="D10" s="13"/>
      <c r="E10" s="13"/>
      <c r="F10" s="13"/>
      <c r="G10" s="13"/>
      <c r="H10" s="13"/>
      <c r="I10" s="13"/>
      <c r="J10" s="13"/>
      <c r="K10" s="13"/>
      <c r="L10" s="13"/>
      <c r="M10" s="13"/>
      <c r="N10" s="13"/>
      <c r="O10" s="13"/>
      <c r="P10" s="13"/>
      <c r="Q10" s="13"/>
      <c r="R10" s="13"/>
      <c r="S10" s="13"/>
      <c r="T10" s="13"/>
      <c r="U10" s="13"/>
      <c r="V10" s="13"/>
      <c r="W10" s="13"/>
      <c r="X10" s="13"/>
      <c r="Y10" s="13"/>
      <c r="Z10" s="13"/>
      <c r="AA10" s="13"/>
      <c r="AB10" s="13"/>
      <c r="AC10" s="13"/>
      <c r="AD10" s="13"/>
      <c r="AE10" s="13"/>
      <c r="AF10" s="13"/>
      <c r="AG10" s="13"/>
      <c r="AH10" s="13"/>
    </row>
    <row r="11" spans="2:34" ht="13.5" customHeight="1">
      <c r="B11" s="13"/>
      <c r="C11" s="13"/>
      <c r="D11" s="13"/>
      <c r="E11" s="13"/>
      <c r="F11" s="13"/>
      <c r="G11" s="13"/>
      <c r="H11" s="13"/>
      <c r="I11" s="13"/>
      <c r="J11" s="13"/>
      <c r="K11" s="13"/>
      <c r="L11" s="13"/>
      <c r="M11" s="13"/>
      <c r="N11" s="13"/>
      <c r="O11" s="13"/>
      <c r="P11" s="13"/>
      <c r="Q11" s="13"/>
      <c r="R11" s="13"/>
      <c r="S11" s="13"/>
      <c r="T11" s="13"/>
      <c r="U11" s="13"/>
      <c r="V11" s="13"/>
      <c r="W11" s="13"/>
      <c r="X11" s="13"/>
      <c r="Y11" s="13"/>
      <c r="Z11" s="13"/>
      <c r="AA11" s="13"/>
      <c r="AB11" s="13"/>
      <c r="AC11" s="13"/>
      <c r="AD11" s="13"/>
      <c r="AE11" s="13"/>
      <c r="AF11" s="13"/>
      <c r="AG11" s="13"/>
      <c r="AH11" s="13"/>
    </row>
    <row r="12" spans="2:34" ht="13.5" customHeight="1">
      <c r="B12" s="13"/>
      <c r="C12" s="17"/>
      <c r="E12" s="13"/>
      <c r="F12" s="13"/>
      <c r="G12" s="13"/>
      <c r="H12" s="13"/>
      <c r="I12" s="13"/>
      <c r="J12" s="13"/>
      <c r="K12" s="13"/>
      <c r="L12" s="13"/>
      <c r="M12" s="13"/>
      <c r="N12" s="13"/>
      <c r="O12" s="13"/>
      <c r="P12" s="13"/>
      <c r="Q12" s="13"/>
      <c r="R12" s="13"/>
      <c r="S12" s="13"/>
      <c r="T12" s="13"/>
      <c r="U12" s="13"/>
      <c r="V12" s="13"/>
      <c r="W12" s="13"/>
      <c r="X12" s="13"/>
      <c r="Y12" s="13"/>
      <c r="Z12" s="13"/>
      <c r="AA12" s="13"/>
      <c r="AB12" s="13"/>
      <c r="AC12" s="13"/>
      <c r="AD12" s="13"/>
      <c r="AE12" s="13"/>
      <c r="AF12" s="13"/>
      <c r="AG12" s="13"/>
      <c r="AH12" s="13"/>
    </row>
    <row r="13" spans="2:34" ht="13.5" customHeight="1">
      <c r="B13" s="13"/>
      <c r="C13" s="42"/>
      <c r="D13" s="13"/>
      <c r="E13" s="13"/>
      <c r="F13" s="13"/>
      <c r="G13" s="13"/>
      <c r="H13" s="13"/>
      <c r="I13" s="13"/>
      <c r="J13" s="13"/>
      <c r="K13" s="13"/>
      <c r="L13" s="13"/>
      <c r="M13" s="13"/>
      <c r="N13" s="13"/>
      <c r="O13" s="13"/>
      <c r="P13" s="13"/>
      <c r="Q13" s="13"/>
      <c r="R13" s="13"/>
      <c r="S13" s="13"/>
      <c r="T13" s="13"/>
      <c r="U13" s="13"/>
      <c r="V13" s="13"/>
      <c r="W13" s="13"/>
      <c r="X13" s="13"/>
      <c r="Y13" s="13"/>
      <c r="Z13" s="13"/>
      <c r="AA13" s="13"/>
      <c r="AB13" s="13"/>
      <c r="AC13" s="13"/>
      <c r="AD13" s="13"/>
      <c r="AE13" s="13"/>
      <c r="AF13" s="13"/>
      <c r="AG13" s="13"/>
      <c r="AH13" s="13"/>
    </row>
    <row r="14" spans="2:34" ht="13.5" customHeight="1">
      <c r="B14" s="13"/>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row>
    <row r="15" spans="2:34" ht="13.5" customHeight="1">
      <c r="B15" s="13"/>
      <c r="C15" s="13"/>
      <c r="D15" s="13"/>
      <c r="E15" s="13"/>
      <c r="F15" s="13"/>
      <c r="G15" s="13"/>
      <c r="H15" s="13"/>
      <c r="I15" s="13"/>
      <c r="J15" s="13"/>
      <c r="K15" s="13"/>
      <c r="L15" s="13"/>
      <c r="M15" s="13"/>
      <c r="N15" s="13"/>
      <c r="O15" s="13"/>
      <c r="P15" s="13"/>
      <c r="Q15" s="13"/>
      <c r="R15" s="13"/>
      <c r="S15" s="13"/>
      <c r="T15" s="13"/>
      <c r="U15" s="13"/>
      <c r="V15" s="13"/>
      <c r="W15" s="13"/>
      <c r="X15" s="13"/>
      <c r="Y15" s="13"/>
      <c r="Z15" s="13"/>
      <c r="AA15" s="13"/>
      <c r="AB15" s="13"/>
      <c r="AC15" s="13"/>
      <c r="AD15" s="13"/>
      <c r="AE15" s="13"/>
      <c r="AF15" s="13"/>
      <c r="AG15" s="13"/>
      <c r="AH15" s="13"/>
    </row>
    <row r="16" spans="2:34" ht="13.5" customHeight="1">
      <c r="B16" s="13"/>
      <c r="C16" s="13"/>
      <c r="D16" s="13"/>
      <c r="E16" s="13"/>
      <c r="F16" s="13"/>
      <c r="G16" s="13"/>
      <c r="H16" s="13"/>
      <c r="I16" s="13"/>
      <c r="J16" s="13"/>
      <c r="K16" s="13"/>
      <c r="L16" s="13"/>
      <c r="M16" s="13"/>
      <c r="N16" s="13"/>
      <c r="O16" s="13"/>
      <c r="P16" s="13"/>
      <c r="Q16" s="13"/>
      <c r="R16" s="13"/>
      <c r="S16" s="13"/>
      <c r="T16" s="13"/>
      <c r="U16" s="13"/>
      <c r="V16" s="13"/>
      <c r="W16" s="13"/>
      <c r="X16" s="13"/>
      <c r="Y16" s="13"/>
      <c r="Z16" s="13"/>
      <c r="AA16" s="13"/>
      <c r="AB16" s="13"/>
      <c r="AC16" s="13"/>
      <c r="AD16" s="13"/>
      <c r="AE16" s="13"/>
      <c r="AF16" s="13"/>
      <c r="AG16" s="13"/>
      <c r="AH16" s="13"/>
    </row>
    <row r="17" spans="2:34" ht="13.5" customHeight="1">
      <c r="B17" s="13"/>
      <c r="C17" s="13"/>
      <c r="D17" s="13"/>
      <c r="E17" s="13"/>
      <c r="F17" s="13"/>
      <c r="G17" s="13"/>
      <c r="H17" s="13"/>
      <c r="I17" s="13"/>
      <c r="J17" s="13"/>
      <c r="K17" s="13"/>
      <c r="L17" s="13"/>
      <c r="M17" s="13"/>
      <c r="N17" s="13"/>
      <c r="O17" s="13"/>
      <c r="P17" s="13"/>
      <c r="Q17" s="13"/>
      <c r="R17" s="13"/>
      <c r="S17" s="13"/>
      <c r="T17" s="13"/>
      <c r="U17" s="13"/>
      <c r="V17" s="13"/>
      <c r="W17" s="13"/>
      <c r="X17" s="13"/>
      <c r="Y17" s="13"/>
      <c r="Z17" s="13"/>
      <c r="AA17" s="13"/>
      <c r="AB17" s="13"/>
      <c r="AC17" s="13"/>
      <c r="AD17" s="13"/>
      <c r="AE17" s="13"/>
      <c r="AF17" s="13"/>
      <c r="AG17" s="13"/>
      <c r="AH17" s="13"/>
    </row>
    <row r="18" spans="2:34" ht="13.5" customHeight="1">
      <c r="B18" s="13"/>
      <c r="C18" s="13"/>
      <c r="D18" s="13"/>
      <c r="E18" s="13"/>
      <c r="F18" s="13"/>
      <c r="G18" s="13"/>
      <c r="H18" s="13"/>
      <c r="I18" s="13"/>
      <c r="J18" s="13"/>
      <c r="K18" s="13"/>
      <c r="L18" s="13"/>
      <c r="M18" s="13"/>
      <c r="N18" s="13"/>
      <c r="O18" s="13"/>
      <c r="P18" s="13"/>
      <c r="Q18" s="13"/>
      <c r="R18" s="13"/>
      <c r="S18" s="13"/>
      <c r="T18" s="13"/>
      <c r="U18" s="13"/>
      <c r="V18" s="13"/>
      <c r="W18" s="13"/>
      <c r="X18" s="13"/>
      <c r="Y18" s="13"/>
      <c r="Z18" s="13"/>
      <c r="AA18" s="13"/>
      <c r="AB18" s="13"/>
      <c r="AC18" s="13"/>
      <c r="AD18" s="13"/>
      <c r="AE18" s="13"/>
      <c r="AF18" s="13"/>
      <c r="AG18" s="13"/>
      <c r="AH18" s="13"/>
    </row>
    <row r="19" spans="2:34" ht="13.5" customHeight="1">
      <c r="B19" s="13"/>
      <c r="C19" s="13"/>
      <c r="D19" s="13"/>
      <c r="E19" s="13"/>
      <c r="F19" s="13"/>
      <c r="G19" s="13"/>
      <c r="H19" s="13"/>
      <c r="I19" s="13"/>
      <c r="J19" s="13"/>
      <c r="K19" s="13"/>
      <c r="L19" s="13"/>
      <c r="M19" s="13"/>
      <c r="N19" s="13"/>
      <c r="O19" s="13"/>
      <c r="P19" s="13"/>
      <c r="Q19" s="13"/>
      <c r="R19" s="13"/>
      <c r="S19" s="13"/>
      <c r="T19" s="13"/>
      <c r="U19" s="13"/>
      <c r="V19" s="13"/>
      <c r="W19" s="13"/>
      <c r="X19" s="13"/>
      <c r="Y19" s="13"/>
      <c r="Z19" s="13"/>
      <c r="AA19" s="13"/>
      <c r="AB19" s="13"/>
      <c r="AC19" s="13"/>
      <c r="AD19" s="13"/>
      <c r="AE19" s="13"/>
      <c r="AF19" s="13"/>
      <c r="AG19" s="13"/>
      <c r="AH19" s="13"/>
    </row>
    <row r="20" spans="2:34" ht="13.5" customHeight="1">
      <c r="B20" s="13"/>
      <c r="C20" s="13"/>
      <c r="D20" s="13"/>
      <c r="E20" s="13"/>
      <c r="F20" s="13"/>
      <c r="G20" s="13"/>
      <c r="H20" s="13"/>
      <c r="I20" s="13"/>
      <c r="J20" s="13"/>
      <c r="K20" s="13"/>
      <c r="L20" s="13"/>
      <c r="M20" s="13"/>
      <c r="N20" s="13"/>
      <c r="O20" s="13"/>
      <c r="P20" s="13"/>
      <c r="Q20" s="13"/>
      <c r="R20" s="13"/>
      <c r="S20" s="13"/>
      <c r="T20" s="13"/>
      <c r="U20" s="13"/>
      <c r="V20" s="13"/>
      <c r="W20" s="13"/>
      <c r="X20" s="13"/>
      <c r="Y20" s="13"/>
      <c r="Z20" s="13"/>
      <c r="AA20" s="13"/>
      <c r="AB20" s="13"/>
      <c r="AC20" s="13"/>
      <c r="AD20" s="13"/>
      <c r="AE20" s="13"/>
      <c r="AF20" s="13"/>
      <c r="AG20" s="13"/>
      <c r="AH20" s="13"/>
    </row>
    <row r="21" spans="2:34" ht="13.5" customHeight="1">
      <c r="B21" s="13"/>
      <c r="C21" s="13"/>
      <c r="D21" s="13"/>
      <c r="E21" s="13"/>
      <c r="F21" s="13"/>
      <c r="G21" s="13"/>
      <c r="H21" s="13"/>
      <c r="I21" s="13"/>
      <c r="J21" s="13"/>
      <c r="K21" s="13"/>
      <c r="L21" s="13"/>
      <c r="M21" s="13"/>
      <c r="N21" s="13"/>
      <c r="O21" s="13"/>
      <c r="P21" s="13"/>
      <c r="Q21" s="13"/>
      <c r="R21" s="13"/>
      <c r="S21" s="13"/>
      <c r="T21" s="13"/>
      <c r="U21" s="13"/>
      <c r="V21" s="13"/>
      <c r="W21" s="13"/>
      <c r="X21" s="13"/>
      <c r="Y21" s="13"/>
      <c r="Z21" s="13"/>
      <c r="AA21" s="13"/>
      <c r="AB21" s="13"/>
      <c r="AC21" s="13"/>
      <c r="AD21" s="13"/>
      <c r="AE21" s="13"/>
      <c r="AF21" s="13"/>
      <c r="AG21" s="13"/>
      <c r="AH21" s="13"/>
    </row>
    <row r="22" spans="2:34" ht="13.5" customHeight="1">
      <c r="B22" s="13"/>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3"/>
    </row>
    <row r="23" spans="2:34" ht="13.5" customHeight="1">
      <c r="B23" s="13"/>
      <c r="C23" s="13"/>
      <c r="D23" s="13"/>
      <c r="E23" s="13"/>
      <c r="F23" s="13"/>
      <c r="G23" s="13"/>
      <c r="H23" s="13"/>
      <c r="I23" s="13"/>
      <c r="J23" s="13"/>
      <c r="K23" s="13"/>
      <c r="L23" s="13"/>
      <c r="M23" s="13"/>
      <c r="N23" s="13"/>
      <c r="O23" s="13"/>
      <c r="P23" s="13"/>
      <c r="Q23" s="13"/>
      <c r="R23" s="13"/>
      <c r="S23" s="13"/>
      <c r="T23" s="13"/>
      <c r="U23" s="13"/>
      <c r="V23" s="13"/>
      <c r="W23" s="13"/>
      <c r="X23" s="13"/>
      <c r="Y23" s="13"/>
      <c r="Z23" s="13"/>
      <c r="AA23" s="13"/>
      <c r="AB23" s="13"/>
      <c r="AC23" s="13"/>
      <c r="AD23" s="13"/>
      <c r="AE23" s="13"/>
      <c r="AF23" s="13"/>
      <c r="AG23" s="13"/>
      <c r="AH23" s="13"/>
    </row>
    <row r="24" spans="2:34" ht="13.5" customHeight="1">
      <c r="B24" s="13"/>
      <c r="C24" s="13"/>
      <c r="D24" s="13"/>
      <c r="E24" s="13"/>
      <c r="F24" s="13"/>
      <c r="G24" s="13"/>
      <c r="H24" s="13"/>
      <c r="I24" s="13"/>
      <c r="J24" s="13"/>
      <c r="K24" s="13"/>
      <c r="L24" s="13"/>
      <c r="M24" s="13"/>
      <c r="N24" s="13"/>
      <c r="O24" s="13"/>
      <c r="P24" s="13"/>
      <c r="Q24" s="13"/>
      <c r="R24" s="13"/>
      <c r="S24" s="13"/>
      <c r="T24" s="13"/>
      <c r="U24" s="13"/>
      <c r="V24" s="13"/>
      <c r="W24" s="13"/>
      <c r="X24" s="13"/>
      <c r="Y24" s="13"/>
      <c r="Z24" s="13"/>
      <c r="AA24" s="13"/>
      <c r="AB24" s="13"/>
      <c r="AC24" s="13"/>
      <c r="AD24" s="13"/>
      <c r="AE24" s="13"/>
      <c r="AF24" s="13"/>
      <c r="AG24" s="13"/>
      <c r="AH24" s="13"/>
    </row>
    <row r="25" spans="2:34" ht="13.5" customHeight="1">
      <c r="B25" s="13"/>
      <c r="C25" s="13"/>
      <c r="D25" s="13"/>
      <c r="E25" s="13"/>
      <c r="F25" s="13"/>
      <c r="G25" s="13"/>
      <c r="H25" s="13"/>
      <c r="I25" s="13"/>
      <c r="J25" s="13"/>
      <c r="K25" s="13"/>
      <c r="L25" s="13"/>
      <c r="M25" s="13"/>
      <c r="N25" s="13"/>
      <c r="O25" s="13"/>
      <c r="P25" s="13"/>
      <c r="Q25" s="13"/>
      <c r="R25" s="13"/>
      <c r="S25" s="13"/>
      <c r="T25" s="13"/>
      <c r="U25" s="13"/>
      <c r="V25" s="13"/>
      <c r="W25" s="13"/>
      <c r="X25" s="13"/>
      <c r="Y25" s="13"/>
      <c r="Z25" s="13"/>
      <c r="AA25" s="13"/>
      <c r="AB25" s="13"/>
      <c r="AC25" s="13"/>
      <c r="AD25" s="13"/>
      <c r="AE25" s="13"/>
      <c r="AF25" s="13"/>
      <c r="AG25" s="13"/>
      <c r="AH25" s="13"/>
    </row>
    <row r="26" spans="2:34" ht="13.5" customHeight="1">
      <c r="B26" s="13"/>
      <c r="C26" s="13"/>
      <c r="D26" s="13"/>
      <c r="E26" s="13"/>
      <c r="F26" s="13"/>
      <c r="G26" s="13"/>
      <c r="H26" s="13"/>
      <c r="I26" s="13"/>
      <c r="J26" s="13"/>
      <c r="K26" s="13"/>
      <c r="L26" s="13"/>
      <c r="M26" s="13"/>
      <c r="N26" s="13"/>
      <c r="O26" s="13"/>
      <c r="P26" s="13"/>
      <c r="Q26" s="13"/>
      <c r="R26" s="13"/>
      <c r="S26" s="13"/>
      <c r="T26" s="13"/>
      <c r="U26" s="13"/>
      <c r="V26" s="13"/>
      <c r="W26" s="13"/>
      <c r="X26" s="13"/>
      <c r="Y26" s="13"/>
      <c r="Z26" s="13"/>
      <c r="AA26" s="13"/>
      <c r="AB26" s="13"/>
      <c r="AC26" s="13"/>
      <c r="AD26" s="13"/>
      <c r="AE26" s="13"/>
      <c r="AF26" s="13"/>
      <c r="AG26" s="13"/>
      <c r="AH26" s="13"/>
    </row>
    <row r="27" spans="2:34" ht="13.5" customHeight="1">
      <c r="B27" s="13"/>
      <c r="C27" s="13"/>
      <c r="D27" s="13"/>
      <c r="E27" s="13"/>
      <c r="F27" s="13"/>
      <c r="G27" s="13"/>
      <c r="H27" s="13"/>
      <c r="I27" s="13"/>
      <c r="J27" s="13"/>
      <c r="K27" s="13"/>
      <c r="L27" s="13"/>
      <c r="M27" s="13"/>
      <c r="N27" s="13"/>
      <c r="O27" s="13"/>
      <c r="P27" s="13"/>
      <c r="Q27" s="13"/>
      <c r="R27" s="13"/>
      <c r="S27" s="13"/>
      <c r="T27" s="13"/>
      <c r="U27" s="13"/>
      <c r="V27" s="13"/>
      <c r="W27" s="13"/>
      <c r="X27" s="13"/>
      <c r="Y27" s="13"/>
      <c r="Z27" s="13"/>
      <c r="AA27" s="13"/>
      <c r="AB27" s="13"/>
      <c r="AC27" s="13"/>
      <c r="AD27" s="13"/>
      <c r="AE27" s="13"/>
      <c r="AF27" s="13"/>
      <c r="AG27" s="13"/>
      <c r="AH27" s="13"/>
    </row>
    <row r="28" spans="2:34" ht="13.5" customHeight="1">
      <c r="B28" s="13"/>
      <c r="C28" s="13"/>
      <c r="D28" s="13"/>
      <c r="E28" s="13"/>
      <c r="F28" s="13"/>
      <c r="G28" s="13"/>
      <c r="H28" s="13"/>
      <c r="I28" s="13"/>
      <c r="J28" s="13"/>
      <c r="K28" s="13"/>
      <c r="L28" s="13"/>
      <c r="M28" s="13"/>
      <c r="N28" s="13"/>
      <c r="O28" s="13"/>
      <c r="P28" s="13"/>
      <c r="Q28" s="13"/>
      <c r="R28" s="13"/>
      <c r="S28" s="13"/>
      <c r="T28" s="13"/>
      <c r="U28" s="13"/>
      <c r="V28" s="13"/>
      <c r="W28" s="13"/>
      <c r="X28" s="13"/>
      <c r="Y28" s="13"/>
      <c r="Z28" s="13"/>
      <c r="AA28" s="13"/>
      <c r="AB28" s="13"/>
      <c r="AC28" s="13"/>
      <c r="AD28" s="13"/>
      <c r="AE28" s="13"/>
      <c r="AF28" s="13"/>
      <c r="AG28" s="13"/>
      <c r="AH28" s="13"/>
    </row>
    <row r="29" spans="2:34" ht="13.5" customHeight="1">
      <c r="B29" s="13"/>
      <c r="C29" s="13"/>
      <c r="D29" s="13"/>
      <c r="E29" s="13"/>
      <c r="F29" s="13"/>
      <c r="G29" s="13"/>
      <c r="H29" s="13"/>
      <c r="I29" s="13"/>
      <c r="J29" s="13"/>
      <c r="K29" s="13"/>
      <c r="L29" s="13"/>
      <c r="M29" s="13"/>
      <c r="N29" s="13"/>
      <c r="O29" s="13"/>
      <c r="P29" s="13"/>
      <c r="Q29" s="13"/>
      <c r="R29" s="13"/>
      <c r="S29" s="13"/>
      <c r="T29" s="13"/>
      <c r="U29" s="13"/>
      <c r="V29" s="13"/>
      <c r="W29" s="13"/>
      <c r="X29" s="13"/>
      <c r="Y29" s="13"/>
      <c r="Z29" s="13"/>
      <c r="AA29" s="13"/>
      <c r="AB29" s="13"/>
      <c r="AC29" s="13"/>
      <c r="AD29" s="13"/>
      <c r="AE29" s="13"/>
      <c r="AF29" s="13"/>
      <c r="AG29" s="13"/>
      <c r="AH29" s="13"/>
    </row>
    <row r="30" spans="2:34" ht="13.5" hidden="1" customHeight="1"/>
    <row r="31" spans="2:34" ht="13.5" hidden="1" customHeight="1"/>
    <row r="32" spans="2:34" ht="13.5" hidden="1"/>
    <row r="33" ht="13.5" hidden="1"/>
    <row r="34" ht="13.5" hidden="1"/>
    <row r="35" ht="13.5" hidden="1"/>
    <row r="36" ht="13.5" hidden="1"/>
    <row r="37" ht="13.5" hidden="1"/>
    <row r="38" ht="13.5" hidden="1"/>
    <row r="39" ht="12.6" hidden="1" customHeight="1"/>
    <row r="40" ht="12.6" hidden="1" customHeight="1"/>
    <row r="41" ht="12.6" hidden="1" customHeight="1"/>
    <row r="42" ht="12.6" hidden="1" customHeight="1"/>
    <row r="43" ht="12.6" hidden="1" customHeight="1"/>
    <row r="44" ht="12.6" hidden="1" customHeight="1"/>
  </sheetData>
  <customSheetViews>
    <customSheetView guid="{5F6D01E3-9E6F-4D7F-980F-63899AF95899}" scale="75" showGridLines="0" fitToPage="1" hiddenRows="1" hiddenColumns="1">
      <pageMargins left="0.7" right="0.7" top="0.75" bottom="0.75" header="0.3" footer="0.3"/>
      <pageSetup paperSize="9" scale="62" orientation="landscape" r:id="rId1"/>
    </customSheetView>
  </customSheetViews>
  <pageMargins left="0.7" right="0.7" top="0.75" bottom="0.75" header="0.3" footer="0.3"/>
  <pageSetup paperSize="9" scale="62" orientation="landscape" r:id="rId2"/>
  <drawing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6"/>
  <sheetViews>
    <sheetView showGridLines="0" topLeftCell="A15" zoomScaleNormal="100" workbookViewId="0">
      <selection activeCell="F37" sqref="F37:J50"/>
    </sheetView>
  </sheetViews>
  <sheetFormatPr defaultColWidth="0" defaultRowHeight="15" customHeight="1" zeroHeight="1"/>
  <cols>
    <col min="1" max="2" width="4.140625" customWidth="1"/>
    <col min="3" max="3" width="3.85546875" customWidth="1"/>
    <col min="4" max="4" width="8.85546875" customWidth="1"/>
    <col min="5" max="5" width="13" customWidth="1"/>
    <col min="6" max="6" width="11.140625" bestFit="1" customWidth="1"/>
    <col min="7" max="7" width="10.140625" bestFit="1" customWidth="1"/>
    <col min="8" max="9" width="8.85546875" customWidth="1"/>
    <col min="10" max="10" width="10.140625" bestFit="1" customWidth="1"/>
    <col min="11" max="11" width="8" customWidth="1"/>
    <col min="12" max="12" width="8.85546875" bestFit="1" customWidth="1"/>
    <col min="13" max="14" width="8" customWidth="1"/>
    <col min="15" max="15" width="12" bestFit="1" customWidth="1"/>
    <col min="16" max="16" width="11.5703125" bestFit="1" customWidth="1"/>
    <col min="17" max="17" width="10.42578125" bestFit="1" customWidth="1"/>
    <col min="18" max="18" width="11.5703125" bestFit="1" customWidth="1"/>
    <col min="19" max="19" width="11.85546875" bestFit="1" customWidth="1"/>
    <col min="20" max="20" width="9.140625" bestFit="1" customWidth="1"/>
    <col min="21" max="21" width="8.85546875" bestFit="1" customWidth="1"/>
    <col min="22" max="22" width="9" bestFit="1" customWidth="1"/>
    <col min="23" max="23" width="7.85546875" customWidth="1"/>
    <col min="24" max="24" width="13.42578125" bestFit="1" customWidth="1"/>
    <col min="25" max="25" width="13.140625" bestFit="1" customWidth="1"/>
    <col min="26" max="26" width="12.85546875" bestFit="1" customWidth="1"/>
    <col min="27" max="27" width="15.42578125" bestFit="1" customWidth="1"/>
    <col min="28" max="28" width="11.140625" customWidth="1"/>
    <col min="29" max="29" width="3.42578125" customWidth="1"/>
    <col min="30" max="16384" width="8.85546875" hidden="1"/>
  </cols>
  <sheetData>
    <row r="1" spans="1:29">
      <c r="A1" s="9"/>
      <c r="B1" s="9"/>
      <c r="C1" s="9"/>
      <c r="D1" s="9"/>
      <c r="E1" s="9"/>
      <c r="F1" s="9"/>
      <c r="G1" s="9"/>
      <c r="H1" s="9"/>
      <c r="I1" s="9"/>
      <c r="J1" s="9"/>
      <c r="K1" s="9"/>
      <c r="L1" s="9"/>
      <c r="M1" s="9"/>
      <c r="N1" s="9"/>
      <c r="O1" s="9"/>
      <c r="P1" s="9"/>
      <c r="Q1" s="9"/>
      <c r="R1" s="9"/>
      <c r="S1" s="9"/>
      <c r="T1" s="9"/>
      <c r="U1" s="9"/>
      <c r="V1" s="9"/>
      <c r="W1" s="9"/>
      <c r="X1" s="9"/>
      <c r="Y1" s="9"/>
      <c r="Z1" s="9"/>
      <c r="AA1" s="9"/>
      <c r="AB1" s="9"/>
      <c r="AC1" s="9"/>
    </row>
    <row r="2" spans="1:29" ht="31.35" customHeight="1" thickBot="1">
      <c r="A2" s="9"/>
      <c r="B2" s="8" t="s">
        <v>6</v>
      </c>
      <c r="C2" s="23"/>
      <c r="D2" s="23"/>
      <c r="E2" s="23"/>
      <c r="F2" s="23"/>
      <c r="G2" s="23"/>
      <c r="H2" s="23"/>
      <c r="I2" s="23"/>
      <c r="J2" s="23"/>
      <c r="K2" s="23"/>
      <c r="L2" s="23"/>
      <c r="M2" s="23"/>
      <c r="N2" s="23"/>
      <c r="O2" s="23"/>
      <c r="P2" s="23"/>
      <c r="Q2" s="23"/>
      <c r="R2" s="23"/>
      <c r="S2" s="23"/>
      <c r="T2" s="23"/>
      <c r="U2" s="23"/>
      <c r="V2" s="23"/>
      <c r="W2" s="23"/>
      <c r="X2" s="23"/>
      <c r="Y2" s="23"/>
      <c r="Z2" s="23"/>
      <c r="AA2" s="23"/>
      <c r="AB2" s="24"/>
      <c r="AC2" s="9"/>
    </row>
    <row r="3" spans="1:29">
      <c r="A3" s="9"/>
      <c r="B3" s="10"/>
      <c r="C3" s="24"/>
      <c r="D3" s="24"/>
      <c r="E3" s="24"/>
      <c r="F3" s="24"/>
      <c r="G3" s="24"/>
      <c r="H3" s="24"/>
      <c r="I3" s="24"/>
      <c r="J3" s="24"/>
      <c r="K3" s="24"/>
      <c r="L3" s="24"/>
      <c r="M3" s="24"/>
      <c r="N3" s="24"/>
      <c r="O3" s="24"/>
      <c r="P3" s="24"/>
      <c r="Q3" s="24"/>
      <c r="R3" s="24"/>
      <c r="S3" s="24"/>
      <c r="T3" s="24"/>
      <c r="U3" s="24"/>
      <c r="V3" s="24"/>
      <c r="W3" s="24"/>
      <c r="X3" s="24"/>
      <c r="Y3" s="24"/>
      <c r="Z3" s="24"/>
      <c r="AA3" s="25">
        <v>45184</v>
      </c>
      <c r="AB3" s="25"/>
      <c r="AC3" s="9"/>
    </row>
    <row r="4" spans="1:29" ht="15.75">
      <c r="A4" s="9"/>
      <c r="B4" s="11" t="s">
        <v>7</v>
      </c>
      <c r="C4" s="26"/>
      <c r="D4" s="93" t="s">
        <v>69</v>
      </c>
      <c r="E4" s="134">
        <v>2023</v>
      </c>
      <c r="F4" s="24"/>
      <c r="G4" s="24"/>
      <c r="H4" s="24"/>
      <c r="I4" s="24"/>
      <c r="J4" s="24"/>
      <c r="K4" s="24"/>
      <c r="L4" s="24"/>
      <c r="M4" s="24"/>
      <c r="N4" s="24"/>
      <c r="O4" s="24"/>
      <c r="P4" s="24"/>
      <c r="Q4" s="24"/>
      <c r="R4" s="24"/>
      <c r="S4" s="24"/>
      <c r="T4" s="24"/>
      <c r="U4" s="24"/>
      <c r="V4" s="24"/>
      <c r="W4" s="24"/>
      <c r="X4" s="24"/>
      <c r="Y4" s="24"/>
      <c r="Z4" s="24"/>
      <c r="AA4" s="24"/>
      <c r="AB4" s="24"/>
      <c r="AC4" s="9"/>
    </row>
    <row r="5" spans="1:29">
      <c r="A5" s="9"/>
      <c r="B5" s="10"/>
      <c r="C5" s="24"/>
      <c r="D5" s="24"/>
      <c r="E5" s="24"/>
      <c r="F5" s="24"/>
      <c r="G5" s="24"/>
      <c r="H5" s="24"/>
      <c r="I5" s="24"/>
      <c r="J5" s="24"/>
      <c r="K5" s="24"/>
      <c r="L5" s="24"/>
      <c r="M5" s="24"/>
      <c r="N5" s="24"/>
      <c r="O5" s="24"/>
      <c r="P5" s="24"/>
      <c r="Q5" s="24"/>
      <c r="R5" s="24"/>
      <c r="S5" s="24"/>
      <c r="T5" s="24"/>
      <c r="U5" s="24"/>
      <c r="V5" s="24"/>
      <c r="W5" s="24"/>
      <c r="X5" s="24"/>
      <c r="Y5" s="24"/>
      <c r="Z5" s="24"/>
      <c r="AA5" s="24"/>
      <c r="AB5" s="24"/>
      <c r="AC5" s="9"/>
    </row>
    <row r="6" spans="1:29">
      <c r="A6" s="9"/>
      <c r="B6" s="10"/>
      <c r="C6" s="24"/>
      <c r="D6" s="24"/>
      <c r="E6" s="24"/>
      <c r="F6" s="24"/>
      <c r="G6" s="24"/>
      <c r="H6" s="24"/>
      <c r="I6" s="24"/>
      <c r="J6" s="24"/>
      <c r="K6" s="24"/>
      <c r="L6" s="24"/>
      <c r="M6" s="24"/>
      <c r="N6" s="24"/>
      <c r="O6" s="24"/>
      <c r="P6" s="24"/>
      <c r="Q6" s="24"/>
      <c r="R6" s="24"/>
      <c r="S6" s="24"/>
      <c r="T6" s="24"/>
      <c r="U6" s="24"/>
      <c r="V6" s="24"/>
      <c r="W6" s="24"/>
      <c r="X6" s="24"/>
      <c r="Y6" s="24"/>
      <c r="Z6" s="24"/>
      <c r="AA6" s="24"/>
      <c r="AB6" s="24"/>
      <c r="AC6" s="9"/>
    </row>
    <row r="7" spans="1:29">
      <c r="A7" s="9"/>
      <c r="B7" s="10"/>
      <c r="C7" s="86" t="s">
        <v>62</v>
      </c>
      <c r="D7" s="24"/>
      <c r="E7" s="24"/>
      <c r="F7" s="24"/>
      <c r="G7" s="24"/>
      <c r="H7" s="24"/>
      <c r="I7" s="24"/>
      <c r="J7" s="24"/>
      <c r="K7" s="24"/>
      <c r="L7" s="24"/>
      <c r="M7" s="24"/>
      <c r="N7" s="24"/>
      <c r="O7" s="24"/>
      <c r="P7" s="24"/>
      <c r="Q7" s="24"/>
      <c r="R7" s="24"/>
      <c r="S7" s="24"/>
      <c r="T7" s="24"/>
      <c r="U7" s="24"/>
      <c r="V7" s="24"/>
      <c r="W7" s="24"/>
      <c r="X7" s="24"/>
      <c r="Y7" s="24"/>
      <c r="Z7" s="24"/>
      <c r="AA7" s="24"/>
      <c r="AB7" s="24"/>
      <c r="AC7" s="9"/>
    </row>
    <row r="8" spans="1:29">
      <c r="A8" s="9"/>
      <c r="B8" s="10"/>
      <c r="C8" s="24"/>
      <c r="D8" s="24"/>
      <c r="E8" s="24"/>
      <c r="F8" s="24"/>
      <c r="G8" s="24"/>
      <c r="H8" s="24"/>
      <c r="I8" s="24"/>
      <c r="J8" s="24"/>
      <c r="K8" s="24"/>
      <c r="L8" s="24"/>
      <c r="M8" s="24"/>
      <c r="N8" s="24"/>
      <c r="O8" s="24"/>
      <c r="P8" s="24"/>
      <c r="Q8" s="24"/>
      <c r="R8" s="24"/>
      <c r="S8" s="24"/>
      <c r="T8" s="24"/>
      <c r="U8" s="24"/>
      <c r="V8" s="24"/>
      <c r="W8" s="24"/>
      <c r="X8" s="24"/>
      <c r="Y8" s="24"/>
      <c r="Z8" s="24"/>
      <c r="AA8" s="24"/>
      <c r="AB8" s="24"/>
      <c r="AC8" s="9"/>
    </row>
    <row r="9" spans="1:29" s="124" customFormat="1" ht="11.25">
      <c r="A9" s="123"/>
      <c r="C9" s="27" t="s">
        <v>7</v>
      </c>
      <c r="D9" s="28"/>
      <c r="E9" s="28"/>
      <c r="F9" s="155" t="str">
        <f>D4</f>
        <v>August</v>
      </c>
      <c r="G9" s="158"/>
      <c r="H9" s="158"/>
      <c r="I9" s="158"/>
      <c r="J9" s="158"/>
      <c r="K9" s="158"/>
      <c r="L9" s="158"/>
      <c r="M9" s="158"/>
      <c r="N9" s="159"/>
      <c r="O9" s="157" t="str">
        <f>"January to "&amp; D4</f>
        <v>January to August</v>
      </c>
      <c r="P9" s="158"/>
      <c r="Q9" s="158"/>
      <c r="R9" s="158"/>
      <c r="S9" s="158"/>
      <c r="T9" s="158"/>
      <c r="U9" s="158"/>
      <c r="V9" s="158"/>
      <c r="W9" s="159"/>
      <c r="X9" s="157" t="s">
        <v>57</v>
      </c>
      <c r="Y9" s="158"/>
      <c r="Z9" s="158"/>
      <c r="AA9" s="160"/>
      <c r="AB9" s="123"/>
      <c r="AC9" s="123"/>
    </row>
    <row r="10" spans="1:29" s="124" customFormat="1" ht="13.5">
      <c r="A10" s="123"/>
      <c r="B10" s="125"/>
      <c r="C10" s="29"/>
      <c r="D10" s="30"/>
      <c r="E10" s="30"/>
      <c r="F10" s="29"/>
      <c r="G10" s="30"/>
      <c r="H10" s="30"/>
      <c r="I10" s="30"/>
      <c r="J10" s="30"/>
      <c r="K10" s="30"/>
      <c r="L10" s="30"/>
      <c r="M10" s="30"/>
      <c r="N10" s="56"/>
      <c r="O10" s="30"/>
      <c r="P10" s="30"/>
      <c r="Q10" s="30"/>
      <c r="R10" s="30"/>
      <c r="S10" s="30"/>
      <c r="T10" s="30"/>
      <c r="U10" s="30"/>
      <c r="V10" s="30"/>
      <c r="W10" s="56"/>
      <c r="X10" s="30"/>
      <c r="Y10" s="30"/>
      <c r="Z10" s="30"/>
      <c r="AA10" s="56"/>
      <c r="AB10" s="123"/>
      <c r="AC10" s="123"/>
    </row>
    <row r="11" spans="1:29" s="124" customFormat="1" ht="26.1" customHeight="1">
      <c r="A11" s="126"/>
      <c r="B11" s="127"/>
      <c r="C11" s="59" t="s">
        <v>29</v>
      </c>
      <c r="D11" s="50"/>
      <c r="E11" s="51"/>
      <c r="F11" s="55">
        <v>2023</v>
      </c>
      <c r="G11" s="52">
        <v>2022</v>
      </c>
      <c r="H11" s="52">
        <v>2021</v>
      </c>
      <c r="I11" s="52">
        <v>2020</v>
      </c>
      <c r="J11" s="52">
        <v>2019</v>
      </c>
      <c r="K11" s="53" t="s">
        <v>66</v>
      </c>
      <c r="L11" s="53" t="s">
        <v>67</v>
      </c>
      <c r="M11" s="53" t="s">
        <v>68</v>
      </c>
      <c r="N11" s="57" t="s">
        <v>101</v>
      </c>
      <c r="O11" s="53">
        <v>2023</v>
      </c>
      <c r="P11" s="53">
        <v>2022</v>
      </c>
      <c r="Q11" s="52">
        <v>2021</v>
      </c>
      <c r="R11" s="52">
        <v>2020</v>
      </c>
      <c r="S11" s="52">
        <v>2019</v>
      </c>
      <c r="T11" s="53" t="s">
        <v>66</v>
      </c>
      <c r="U11" s="53" t="s">
        <v>67</v>
      </c>
      <c r="V11" s="53" t="s">
        <v>68</v>
      </c>
      <c r="W11" s="57" t="s">
        <v>101</v>
      </c>
      <c r="X11" s="53">
        <v>2022</v>
      </c>
      <c r="Y11" s="53">
        <v>2021</v>
      </c>
      <c r="Z11" s="52">
        <v>2020</v>
      </c>
      <c r="AA11" s="77">
        <v>2019</v>
      </c>
      <c r="AB11" s="126"/>
      <c r="AC11" s="126"/>
    </row>
    <row r="12" spans="1:29" s="124" customFormat="1" ht="12.75">
      <c r="A12" s="123"/>
      <c r="B12" s="128"/>
      <c r="C12" s="31" t="s">
        <v>108</v>
      </c>
      <c r="D12" s="26"/>
      <c r="E12" s="32"/>
      <c r="F12" s="26"/>
      <c r="G12" s="26"/>
      <c r="H12" s="26"/>
      <c r="I12" s="26"/>
      <c r="J12" s="26"/>
      <c r="K12" s="26"/>
      <c r="L12" s="26"/>
      <c r="M12" s="26"/>
      <c r="N12" s="32"/>
      <c r="O12" s="26"/>
      <c r="P12" s="26"/>
      <c r="Q12" s="26"/>
      <c r="R12" s="26"/>
      <c r="S12" s="26"/>
      <c r="T12" s="26"/>
      <c r="U12" s="26"/>
      <c r="V12" s="26"/>
      <c r="W12" s="32"/>
      <c r="X12" s="26"/>
      <c r="Y12" s="26"/>
      <c r="Z12" s="26"/>
      <c r="AA12" s="32"/>
      <c r="AB12" s="123"/>
      <c r="AC12" s="123"/>
    </row>
    <row r="13" spans="1:29" s="124" customFormat="1" ht="12.75">
      <c r="A13" s="123"/>
      <c r="B13" s="128"/>
      <c r="C13" s="33"/>
      <c r="D13" s="26" t="s">
        <v>5</v>
      </c>
      <c r="E13" s="32"/>
      <c r="F13" s="71">
        <v>99</v>
      </c>
      <c r="G13" s="71">
        <v>81</v>
      </c>
      <c r="H13" s="71">
        <v>51</v>
      </c>
      <c r="I13" s="71">
        <v>0</v>
      </c>
      <c r="J13" s="71">
        <v>97</v>
      </c>
      <c r="K13" s="64">
        <f>IFERROR(F13/G13-1,"n/a")</f>
        <v>0.22222222222222232</v>
      </c>
      <c r="L13" s="64">
        <f t="shared" ref="L13:L28" si="0">IFERROR(F13/H13-1,"n/a")</f>
        <v>0.94117647058823528</v>
      </c>
      <c r="M13" s="64" t="str">
        <f>IFERROR(F13/I13-1,"n/a")</f>
        <v>n/a</v>
      </c>
      <c r="N13" s="60">
        <f>IFERROR(F13/J13-1,"n/a")</f>
        <v>2.0618556701030855E-2</v>
      </c>
      <c r="O13" s="68">
        <f>'July-23'!O13+'Aug-23'!F13</f>
        <v>1057</v>
      </c>
      <c r="P13" s="68">
        <f>'July-23'!$P$13+G13</f>
        <v>991</v>
      </c>
      <c r="Q13" s="68">
        <f>'July-23'!Q13+'Aug-23'!H13</f>
        <v>79</v>
      </c>
      <c r="R13" s="68">
        <f>'July-23'!R13+'Aug-23'!I13</f>
        <v>551</v>
      </c>
      <c r="S13" s="68">
        <f>'July-23'!S13+'Aug-23'!J13</f>
        <v>1023</v>
      </c>
      <c r="T13" s="64">
        <f>IFERROR(O13/P13-1,"n/a")</f>
        <v>6.6599394550958646E-2</v>
      </c>
      <c r="U13" s="64">
        <f>IFERROR(O13/Q13-1,"n/a")</f>
        <v>12.379746835443038</v>
      </c>
      <c r="V13" s="64">
        <f>IFERROR(O13/R13-1,"n/a")</f>
        <v>0.91833030852994546</v>
      </c>
      <c r="W13" s="60">
        <f>IFERROR(O13/S13-1,"n/a")</f>
        <v>3.3235581622678367E-2</v>
      </c>
      <c r="X13" s="68">
        <v>1486</v>
      </c>
      <c r="Y13" s="68">
        <v>522</v>
      </c>
      <c r="Z13" s="68">
        <v>551</v>
      </c>
      <c r="AA13" s="135">
        <v>1591</v>
      </c>
      <c r="AB13" s="123"/>
      <c r="AC13" s="123"/>
    </row>
    <row r="14" spans="1:29" s="124" customFormat="1" ht="12.75">
      <c r="A14" s="123"/>
      <c r="B14" s="128"/>
      <c r="C14" s="33"/>
      <c r="D14" s="26" t="s">
        <v>11</v>
      </c>
      <c r="E14" s="32"/>
      <c r="F14" s="71">
        <v>375428</v>
      </c>
      <c r="G14" s="71">
        <v>278520</v>
      </c>
      <c r="H14" s="71">
        <v>66591</v>
      </c>
      <c r="I14" s="71">
        <v>0</v>
      </c>
      <c r="J14" s="71">
        <v>325246</v>
      </c>
      <c r="K14" s="64">
        <f>IFERROR(F14/G14-1,"n/a")</f>
        <v>0.34793910670687911</v>
      </c>
      <c r="L14" s="64">
        <f t="shared" si="0"/>
        <v>4.6378189244792836</v>
      </c>
      <c r="M14" s="64" t="str">
        <f>IFERROR(F14/I14-1,"n/a")</f>
        <v>n/a</v>
      </c>
      <c r="N14" s="60">
        <f>IFERROR(F14/J14-1,"n/a")</f>
        <v>0.15428936866248932</v>
      </c>
      <c r="O14" s="68">
        <f>'July-23'!$O$14+F14</f>
        <v>3472894</v>
      </c>
      <c r="P14" s="68">
        <f>'July-23'!P14+'Aug-23'!G14</f>
        <v>2114731</v>
      </c>
      <c r="Q14" s="68">
        <f>'July-23'!Q14+'Aug-23'!H14</f>
        <v>97505</v>
      </c>
      <c r="R14" s="68">
        <f>'July-23'!R14+'Aug-23'!I14</f>
        <v>1092884</v>
      </c>
      <c r="S14" s="68">
        <f>'July-23'!S14+'Aug-23'!J14</f>
        <v>3108965</v>
      </c>
      <c r="T14" s="64">
        <f>IFERROR(O14/P14-1,"n/a")</f>
        <v>0.64223913112353292</v>
      </c>
      <c r="U14" s="64">
        <f>IFERROR(O14/Q14-1,"n/a")</f>
        <v>34.617599097482177</v>
      </c>
      <c r="V14" s="64">
        <f>IFERROR(O14/R14-1,"n/a")</f>
        <v>2.177733409950187</v>
      </c>
      <c r="W14" s="60">
        <f>IFERROR(O14/S14-1,"n/a")</f>
        <v>0.1170579276382977</v>
      </c>
      <c r="X14" s="68">
        <v>3592413</v>
      </c>
      <c r="Y14" s="68">
        <v>768312</v>
      </c>
      <c r="Z14" s="68">
        <v>1092884</v>
      </c>
      <c r="AA14" s="135">
        <v>4592479</v>
      </c>
      <c r="AB14" s="123"/>
      <c r="AC14" s="123"/>
    </row>
    <row r="15" spans="1:29" s="124" customFormat="1" ht="12.75">
      <c r="A15" s="123"/>
      <c r="B15" s="128"/>
      <c r="C15" s="31" t="s">
        <v>109</v>
      </c>
      <c r="D15" s="26"/>
      <c r="E15" s="32"/>
      <c r="F15" s="97"/>
      <c r="G15" s="26"/>
      <c r="H15" s="26"/>
      <c r="I15" s="26"/>
      <c r="J15" s="26"/>
      <c r="K15" s="64"/>
      <c r="L15" s="64"/>
      <c r="M15" s="64"/>
      <c r="N15" s="61"/>
      <c r="O15" s="87"/>
      <c r="P15" s="87"/>
      <c r="Q15" s="87"/>
      <c r="R15" s="87"/>
      <c r="S15" s="87"/>
      <c r="T15" s="64"/>
      <c r="U15" s="64"/>
      <c r="V15" s="65"/>
      <c r="W15" s="61"/>
      <c r="X15" s="43"/>
      <c r="Y15" s="43"/>
      <c r="Z15" s="43"/>
      <c r="AA15" s="136"/>
      <c r="AB15" s="123"/>
      <c r="AC15" s="123"/>
    </row>
    <row r="16" spans="1:29" s="124" customFormat="1" ht="12.75">
      <c r="A16" s="123"/>
      <c r="B16" s="128"/>
      <c r="C16" s="33"/>
      <c r="D16" s="26" t="s">
        <v>5</v>
      </c>
      <c r="E16" s="32"/>
      <c r="F16" s="71">
        <v>71</v>
      </c>
      <c r="G16" s="71">
        <v>63</v>
      </c>
      <c r="H16" s="71">
        <v>29</v>
      </c>
      <c r="I16" s="71">
        <v>2</v>
      </c>
      <c r="J16" s="71">
        <v>58</v>
      </c>
      <c r="K16" s="64">
        <f>IFERROR(F16/G16-1,"n/a")</f>
        <v>0.12698412698412698</v>
      </c>
      <c r="L16" s="64">
        <f t="shared" si="0"/>
        <v>1.4482758620689653</v>
      </c>
      <c r="M16" s="64">
        <f>IFERROR(F16/I16-1,"n/a")</f>
        <v>34.5</v>
      </c>
      <c r="N16" s="60">
        <f>IFERROR(F16/J16-1,"n/a")</f>
        <v>0.22413793103448265</v>
      </c>
      <c r="O16" s="68">
        <f>'July-23'!$O$16+F16</f>
        <v>357</v>
      </c>
      <c r="P16" s="68">
        <f>'July-23'!P16+'Aug-23'!G16</f>
        <v>376</v>
      </c>
      <c r="Q16" s="68">
        <f>'July-23'!Q16+'Aug-23'!H16</f>
        <v>102</v>
      </c>
      <c r="R16" s="68">
        <f>'July-23'!R16+'Aug-23'!I16</f>
        <v>12</v>
      </c>
      <c r="S16" s="68">
        <f>'July-23'!S16+'Aug-23'!J16</f>
        <v>333</v>
      </c>
      <c r="T16" s="64">
        <f>IFERROR(O16/P16-1,"n/a")</f>
        <v>-5.0531914893616969E-2</v>
      </c>
      <c r="U16" s="64">
        <f>IFERROR(O16/Q16-1,"n/a")</f>
        <v>2.5</v>
      </c>
      <c r="V16" s="64">
        <f>IFERROR(O16/R16-1,"n/a")</f>
        <v>28.75</v>
      </c>
      <c r="W16" s="60">
        <f>IFERROR(O16/S16-1,"n/a")</f>
        <v>7.2072072072072002E-2</v>
      </c>
      <c r="X16" s="68">
        <v>572</v>
      </c>
      <c r="Y16" s="68">
        <v>202</v>
      </c>
      <c r="Z16" s="68">
        <v>54</v>
      </c>
      <c r="AA16" s="135">
        <v>586</v>
      </c>
      <c r="AB16" s="123"/>
      <c r="AC16" s="123"/>
    </row>
    <row r="17" spans="1:29" s="124" customFormat="1" ht="12.75">
      <c r="A17" s="123"/>
      <c r="B17" s="128"/>
      <c r="C17" s="33"/>
      <c r="D17" s="26" t="s">
        <v>11</v>
      </c>
      <c r="E17" s="32"/>
      <c r="F17" s="71">
        <v>262517</v>
      </c>
      <c r="G17" s="71">
        <v>183659</v>
      </c>
      <c r="H17" s="71">
        <v>48391</v>
      </c>
      <c r="I17" s="71">
        <v>2541</v>
      </c>
      <c r="J17" s="71">
        <v>180130</v>
      </c>
      <c r="K17" s="64">
        <f>IFERROR(F17/G17-1,"n/a")</f>
        <v>0.42937182495821058</v>
      </c>
      <c r="L17" s="64">
        <f t="shared" si="0"/>
        <v>4.4249137236262941</v>
      </c>
      <c r="M17" s="64">
        <f>IFERROR(F17/I17-1,"n/a")</f>
        <v>102.3124754033845</v>
      </c>
      <c r="N17" s="60">
        <f>IFERROR(F17/J17-1,"n/a")</f>
        <v>0.45737522900127692</v>
      </c>
      <c r="O17" s="68">
        <f>'July-23'!O17+'Aug-23'!F17</f>
        <v>1108524</v>
      </c>
      <c r="P17" s="68">
        <f>'July-23'!P17+'Aug-23'!G17</f>
        <v>617914</v>
      </c>
      <c r="Q17" s="68">
        <f>'July-23'!Q17+'Aug-23'!H17</f>
        <v>151020</v>
      </c>
      <c r="R17" s="68">
        <f>'July-23'!R17+'Aug-23'!I17</f>
        <v>43654</v>
      </c>
      <c r="S17" s="68">
        <f>'July-23'!S17+'Aug-23'!J17</f>
        <v>912754</v>
      </c>
      <c r="T17" s="64">
        <f>IFERROR(O17/P17-1,"n/a")</f>
        <v>0.79397780273630314</v>
      </c>
      <c r="U17" s="64">
        <f>IFERROR(O17/Q17-1,"n/a")</f>
        <v>6.3402463249900674</v>
      </c>
      <c r="V17" s="64">
        <f>IFERROR(O17/R17-1,"n/a")</f>
        <v>24.393411829385624</v>
      </c>
      <c r="W17" s="60">
        <f>IFERROR(O17/S17-1,"n/a")</f>
        <v>0.21448276315414661</v>
      </c>
      <c r="X17" s="68">
        <v>965963</v>
      </c>
      <c r="Y17" s="68">
        <v>301521</v>
      </c>
      <c r="Z17" s="68">
        <v>70675</v>
      </c>
      <c r="AA17" s="135">
        <v>1400932</v>
      </c>
      <c r="AB17" s="123"/>
      <c r="AC17" s="123"/>
    </row>
    <row r="18" spans="1:29" s="124" customFormat="1" ht="12.75">
      <c r="A18" s="123"/>
      <c r="B18" s="128"/>
      <c r="C18" s="31" t="s">
        <v>110</v>
      </c>
      <c r="D18" s="26"/>
      <c r="E18" s="32"/>
      <c r="F18" s="72"/>
      <c r="G18" s="72"/>
      <c r="H18" s="72"/>
      <c r="I18" s="72"/>
      <c r="J18" s="72"/>
      <c r="K18" s="64"/>
      <c r="L18" s="64"/>
      <c r="M18" s="64"/>
      <c r="N18" s="60"/>
      <c r="O18" s="87"/>
      <c r="P18" s="87"/>
      <c r="Q18" s="87"/>
      <c r="R18" s="87"/>
      <c r="S18" s="87"/>
      <c r="T18" s="64"/>
      <c r="U18" s="64"/>
      <c r="V18" s="64"/>
      <c r="W18" s="60"/>
      <c r="X18" s="43"/>
      <c r="Y18" s="43"/>
      <c r="Z18" s="43"/>
      <c r="AA18" s="136"/>
      <c r="AB18" s="123"/>
      <c r="AC18" s="123"/>
    </row>
    <row r="19" spans="1:29" s="124" customFormat="1" ht="12.75">
      <c r="A19" s="123"/>
      <c r="B19" s="128"/>
      <c r="C19" s="33"/>
      <c r="D19" s="26" t="s">
        <v>5</v>
      </c>
      <c r="E19" s="32"/>
      <c r="F19" s="71">
        <v>95</v>
      </c>
      <c r="G19" s="71">
        <v>104</v>
      </c>
      <c r="H19" s="71">
        <v>3</v>
      </c>
      <c r="I19" s="71">
        <v>2</v>
      </c>
      <c r="J19" s="71">
        <v>43</v>
      </c>
      <c r="K19" s="64">
        <f>IFERROR(F19/G19-1,"n/a")</f>
        <v>-8.6538461538461564E-2</v>
      </c>
      <c r="L19" s="64">
        <f t="shared" si="0"/>
        <v>30.666666666666668</v>
      </c>
      <c r="M19" s="64">
        <f>IFERROR(F19/I19-1,"n/a")</f>
        <v>46.5</v>
      </c>
      <c r="N19" s="60">
        <f>IFERROR(F19/J19-1,"n/a")</f>
        <v>1.2093023255813953</v>
      </c>
      <c r="O19" s="68">
        <f>'July-23'!O19+'Aug-23'!F19</f>
        <v>444</v>
      </c>
      <c r="P19" s="68">
        <f>'July-23'!P19+'Aug-23'!G19</f>
        <v>421</v>
      </c>
      <c r="Q19" s="68">
        <f>'July-23'!Q19+'Aug-23'!H19</f>
        <v>9</v>
      </c>
      <c r="R19" s="68">
        <f>'July-23'!R19+'Aug-23'!I19</f>
        <v>7</v>
      </c>
      <c r="S19" s="68">
        <f>'July-23'!S19+'Aug-23'!J19</f>
        <v>199</v>
      </c>
      <c r="T19" s="64">
        <f>IFERROR(O19/P19-1,"n/a")</f>
        <v>5.4631828978622288E-2</v>
      </c>
      <c r="U19" s="64">
        <f>IFERROR(O19/Q19-1,"n/a")</f>
        <v>48.333333333333336</v>
      </c>
      <c r="V19" s="64">
        <f>IFERROR(O19/R19-1,"n/a")</f>
        <v>62.428571428571431</v>
      </c>
      <c r="W19" s="60">
        <f>IFERROR(O19/S19-1,"n/a")</f>
        <v>1.2311557788944723</v>
      </c>
      <c r="X19" s="68">
        <v>658</v>
      </c>
      <c r="Y19" s="68">
        <v>47</v>
      </c>
      <c r="Z19" s="68">
        <v>9</v>
      </c>
      <c r="AA19" s="135">
        <v>290</v>
      </c>
      <c r="AB19" s="123"/>
      <c r="AC19" s="123"/>
    </row>
    <row r="20" spans="1:29" s="124" customFormat="1" ht="12.75">
      <c r="A20" s="123"/>
      <c r="B20" s="128"/>
      <c r="C20" s="33"/>
      <c r="D20" s="26" t="s">
        <v>11</v>
      </c>
      <c r="E20" s="32"/>
      <c r="F20" s="71">
        <v>234330</v>
      </c>
      <c r="G20" s="71">
        <v>185619</v>
      </c>
      <c r="H20" s="71">
        <v>850</v>
      </c>
      <c r="I20" s="71">
        <v>0</v>
      </c>
      <c r="J20" s="71">
        <v>126823</v>
      </c>
      <c r="K20" s="64">
        <f>IFERROR(F20/G20-1,"n/a")</f>
        <v>0.26242464402889798</v>
      </c>
      <c r="L20" s="64">
        <f t="shared" si="0"/>
        <v>274.68235294117648</v>
      </c>
      <c r="M20" s="64" t="str">
        <f>IFERROR(F20/I20-1,"n/a")</f>
        <v>n/a</v>
      </c>
      <c r="N20" s="60">
        <f t="shared" ref="N20:N28" si="1">IFERROR(F20/J20-1,"n/a")</f>
        <v>0.847693241762141</v>
      </c>
      <c r="O20" s="68">
        <f>'July-23'!O20+'Aug-23'!F20</f>
        <v>831991</v>
      </c>
      <c r="P20" s="68">
        <f>'July-23'!P20+'Aug-23'!G20</f>
        <v>566643</v>
      </c>
      <c r="Q20" s="68">
        <f>'July-23'!Q20+'Aug-23'!H20</f>
        <v>1318</v>
      </c>
      <c r="R20" s="68">
        <f>'July-23'!R20+'Aug-23'!I20</f>
        <v>10047</v>
      </c>
      <c r="S20" s="68">
        <f>'July-23'!S20+'Aug-23'!J20</f>
        <v>411209</v>
      </c>
      <c r="T20" s="64">
        <f>IFERROR(O20/P20-1,"n/a")</f>
        <v>0.46828073407771731</v>
      </c>
      <c r="U20" s="64">
        <f>IFERROR(O20/Q20-1,"n/a")</f>
        <v>630.25265553869497</v>
      </c>
      <c r="V20" s="64">
        <f>IFERROR(O20/R20-1,"n/a")</f>
        <v>81.809893500547432</v>
      </c>
      <c r="W20" s="60">
        <f>IFERROR(O20/S20-1,"n/a")</f>
        <v>1.0232801324873728</v>
      </c>
      <c r="X20" s="68">
        <v>887495</v>
      </c>
      <c r="Y20" s="68">
        <v>17541</v>
      </c>
      <c r="Z20" s="68">
        <v>10046.999999999998</v>
      </c>
      <c r="AA20" s="135">
        <v>585930</v>
      </c>
      <c r="AB20" s="123"/>
      <c r="AC20" s="123"/>
    </row>
    <row r="21" spans="1:29" s="124" customFormat="1" ht="12.75">
      <c r="A21" s="123"/>
      <c r="B21" s="128"/>
      <c r="C21" s="31" t="s">
        <v>111</v>
      </c>
      <c r="D21" s="26"/>
      <c r="E21" s="34"/>
      <c r="F21" s="72"/>
      <c r="G21" s="72"/>
      <c r="H21" s="72"/>
      <c r="I21" s="72"/>
      <c r="J21" s="72"/>
      <c r="K21" s="64"/>
      <c r="L21" s="64"/>
      <c r="M21" s="64"/>
      <c r="N21" s="60"/>
      <c r="O21" s="87"/>
      <c r="P21" s="87"/>
      <c r="Q21" s="87"/>
      <c r="R21" s="87"/>
      <c r="S21" s="87"/>
      <c r="T21" s="64"/>
      <c r="U21" s="64"/>
      <c r="V21" s="64"/>
      <c r="W21" s="60"/>
      <c r="X21" s="43"/>
      <c r="Y21" s="43"/>
      <c r="Z21" s="43"/>
      <c r="AA21" s="136"/>
      <c r="AB21" s="123"/>
      <c r="AC21" s="123"/>
    </row>
    <row r="22" spans="1:29" s="124" customFormat="1" ht="12.75">
      <c r="A22" s="123"/>
      <c r="B22" s="128"/>
      <c r="C22" s="33"/>
      <c r="D22" s="26" t="s">
        <v>5</v>
      </c>
      <c r="E22" s="34"/>
      <c r="F22" s="71">
        <v>80</v>
      </c>
      <c r="G22" s="71">
        <v>60</v>
      </c>
      <c r="H22" s="71">
        <v>24</v>
      </c>
      <c r="I22" s="71">
        <v>0</v>
      </c>
      <c r="J22" s="71">
        <v>69</v>
      </c>
      <c r="K22" s="64">
        <f>IFERROR(F22/G22-1,"n/a")</f>
        <v>0.33333333333333326</v>
      </c>
      <c r="L22" s="64">
        <f t="shared" si="0"/>
        <v>2.3333333333333335</v>
      </c>
      <c r="M22" s="64" t="str">
        <f>IFERROR(F22/I22-1,"n/a")</f>
        <v>n/a</v>
      </c>
      <c r="N22" s="60">
        <f t="shared" si="1"/>
        <v>0.15942028985507251</v>
      </c>
      <c r="O22" s="68">
        <f>'July-23'!O22+'Aug-23'!F22</f>
        <v>857</v>
      </c>
      <c r="P22" s="68">
        <f>'July-23'!P22+'Aug-23'!G22</f>
        <v>460</v>
      </c>
      <c r="Q22" s="68">
        <f>'July-23'!Q22+'Aug-23'!H22</f>
        <v>38</v>
      </c>
      <c r="R22" s="68">
        <f>'July-23'!R22+'Aug-23'!I22</f>
        <v>205</v>
      </c>
      <c r="S22" s="68">
        <f>'July-23'!S22+'Aug-23'!J22</f>
        <v>733</v>
      </c>
      <c r="T22" s="64">
        <f>IFERROR(O22/P22-1,"n/a")</f>
        <v>0.86304347826086958</v>
      </c>
      <c r="U22" s="64">
        <f>IFERROR(O22/Q22-1,"n/a")</f>
        <v>21.55263157894737</v>
      </c>
      <c r="V22" s="64">
        <f>IFERROR(O22/R22-1,"n/a")</f>
        <v>3.1804878048780489</v>
      </c>
      <c r="W22" s="60">
        <f>IFERROR(O22/S22-1,"n/a")</f>
        <v>0.16916780354706695</v>
      </c>
      <c r="X22" s="68">
        <v>895</v>
      </c>
      <c r="Y22" s="68">
        <v>283</v>
      </c>
      <c r="Z22" s="68">
        <v>43</v>
      </c>
      <c r="AA22" s="135">
        <v>827</v>
      </c>
      <c r="AB22" s="123"/>
      <c r="AC22" s="123"/>
    </row>
    <row r="23" spans="1:29" s="124" customFormat="1" ht="12.75">
      <c r="A23" s="123"/>
      <c r="B23" s="128"/>
      <c r="C23" s="33"/>
      <c r="D23" s="26" t="s">
        <v>11</v>
      </c>
      <c r="E23" s="32"/>
      <c r="F23" s="71">
        <v>371804</v>
      </c>
      <c r="G23" s="71">
        <v>239102</v>
      </c>
      <c r="H23" s="71">
        <v>49688</v>
      </c>
      <c r="I23" s="71">
        <v>0</v>
      </c>
      <c r="J23" s="71">
        <v>291759</v>
      </c>
      <c r="K23" s="64">
        <f>IFERROR(F23/G23-1,"n/a")</f>
        <v>0.5550016311030439</v>
      </c>
      <c r="L23" s="64">
        <f t="shared" si="0"/>
        <v>6.4827725004025121</v>
      </c>
      <c r="M23" s="64" t="str">
        <f>IFERROR(F23/I23-1,"n/a")</f>
        <v>n/a</v>
      </c>
      <c r="N23" s="60">
        <f t="shared" si="1"/>
        <v>0.27435314763212104</v>
      </c>
      <c r="O23" s="68">
        <f>'July-23'!O23+'Aug-23'!F23</f>
        <v>2661447</v>
      </c>
      <c r="P23" s="68">
        <f>'July-23'!P23+'Aug-23'!G23</f>
        <v>1062740</v>
      </c>
      <c r="Q23" s="68">
        <f>'July-23'!Q23+'Aug-23'!H23</f>
        <v>78164</v>
      </c>
      <c r="R23" s="68">
        <f>'July-23'!R23+'Aug-23'!I23</f>
        <v>545974</v>
      </c>
      <c r="S23" s="68">
        <f>'July-23'!S23+'Aug-23'!J23</f>
        <v>2261323</v>
      </c>
      <c r="T23" s="64">
        <f>IFERROR(O23/P23-1,"n/a")</f>
        <v>1.5043256111560681</v>
      </c>
      <c r="U23" s="64">
        <f>IFERROR(O23/Q23-1,"n/a")</f>
        <v>33.049524077580472</v>
      </c>
      <c r="V23" s="64">
        <f>IFERROR(O23/R23-1,"n/a")</f>
        <v>3.8746771824299326</v>
      </c>
      <c r="W23" s="60">
        <f>IFERROR(O23/S23-1,"n/a")</f>
        <v>0.17694243591030556</v>
      </c>
      <c r="X23" s="68">
        <v>2165161</v>
      </c>
      <c r="Y23" s="68">
        <v>465109</v>
      </c>
      <c r="Z23" s="68">
        <v>140552</v>
      </c>
      <c r="AA23" s="135">
        <v>2552942</v>
      </c>
      <c r="AB23" s="123"/>
      <c r="AC23" s="123"/>
    </row>
    <row r="24" spans="1:29" s="124" customFormat="1" ht="12.75">
      <c r="A24" s="123"/>
      <c r="B24" s="128"/>
      <c r="C24" s="31" t="s">
        <v>112</v>
      </c>
      <c r="D24" s="26"/>
      <c r="E24" s="32"/>
      <c r="F24" s="72"/>
      <c r="G24" s="72"/>
      <c r="H24" s="72"/>
      <c r="I24" s="72"/>
      <c r="J24" s="72"/>
      <c r="K24" s="64"/>
      <c r="L24" s="64"/>
      <c r="M24" s="64"/>
      <c r="N24" s="60"/>
      <c r="O24" s="87">
        <v>-19798</v>
      </c>
      <c r="P24" s="87"/>
      <c r="Q24" s="87"/>
      <c r="R24" s="87"/>
      <c r="S24" s="87"/>
      <c r="T24" s="64"/>
      <c r="U24" s="64"/>
      <c r="V24" s="64"/>
      <c r="W24" s="60"/>
      <c r="X24" s="43"/>
      <c r="Y24" s="43"/>
      <c r="Z24" s="43"/>
      <c r="AA24" s="136"/>
      <c r="AB24" s="123"/>
      <c r="AC24" s="123"/>
    </row>
    <row r="25" spans="1:29" s="124" customFormat="1" ht="12.75">
      <c r="B25" s="128"/>
      <c r="C25" s="33"/>
      <c r="D25" s="26" t="s">
        <v>5</v>
      </c>
      <c r="E25" s="32"/>
      <c r="F25" s="71">
        <v>4</v>
      </c>
      <c r="G25" s="71">
        <v>2</v>
      </c>
      <c r="H25" s="71">
        <v>0</v>
      </c>
      <c r="I25" s="71">
        <v>0</v>
      </c>
      <c r="J25" s="71">
        <v>1</v>
      </c>
      <c r="K25" s="64">
        <f>IFERROR(F25/G25-1,"n/a")</f>
        <v>1</v>
      </c>
      <c r="L25" s="64" t="str">
        <f t="shared" si="0"/>
        <v>n/a</v>
      </c>
      <c r="M25" s="64" t="str">
        <f>IFERROR(F25/I25-1,"n/a")</f>
        <v>n/a</v>
      </c>
      <c r="N25" s="60">
        <f t="shared" si="1"/>
        <v>3</v>
      </c>
      <c r="O25" s="68">
        <f>'July-23'!O25+'Aug-23'!F25</f>
        <v>15</v>
      </c>
      <c r="P25" s="68">
        <f>'July-23'!P25+'Aug-23'!G25</f>
        <v>7</v>
      </c>
      <c r="Q25" s="68">
        <f>'July-23'!Q25+'Aug-23'!H25</f>
        <v>0</v>
      </c>
      <c r="R25" s="68">
        <f>'July-23'!R25+'Aug-23'!I25</f>
        <v>0</v>
      </c>
      <c r="S25" s="68">
        <f>'July-23'!S25+'Aug-23'!J25</f>
        <v>12</v>
      </c>
      <c r="T25" s="64">
        <f>IFERROR(O25/P25-1,"n/a")</f>
        <v>1.1428571428571428</v>
      </c>
      <c r="U25" s="64" t="str">
        <f>IFERROR(O25/Q25-1,"n/a")</f>
        <v>n/a</v>
      </c>
      <c r="V25" s="64" t="str">
        <f>IFERROR(O25/R25-1,"n/a")</f>
        <v>n/a</v>
      </c>
      <c r="W25" s="60">
        <f>IFERROR(O25/S25-1,"n/a")</f>
        <v>0.25</v>
      </c>
      <c r="X25" s="68">
        <v>9</v>
      </c>
      <c r="Y25" s="68">
        <v>0</v>
      </c>
      <c r="Z25" s="68">
        <v>0</v>
      </c>
      <c r="AA25" s="135">
        <v>16</v>
      </c>
      <c r="AB25" s="123"/>
      <c r="AC25" s="123"/>
    </row>
    <row r="26" spans="1:29" s="124" customFormat="1" ht="12.75">
      <c r="A26" s="123"/>
      <c r="B26" s="128"/>
      <c r="C26" s="33"/>
      <c r="D26" s="26" t="s">
        <v>11</v>
      </c>
      <c r="E26" s="32"/>
      <c r="F26" s="71">
        <v>6619</v>
      </c>
      <c r="G26" s="71">
        <v>2336</v>
      </c>
      <c r="H26" s="71">
        <v>0</v>
      </c>
      <c r="I26" s="71">
        <v>0</v>
      </c>
      <c r="J26" s="71">
        <v>1298</v>
      </c>
      <c r="K26" s="64">
        <f>IFERROR(F26/G26-1,"n/a")</f>
        <v>1.8334760273972601</v>
      </c>
      <c r="L26" s="64" t="str">
        <f t="shared" si="0"/>
        <v>n/a</v>
      </c>
      <c r="M26" s="64" t="str">
        <f>IFERROR(F26/I26-1,"n/a")</f>
        <v>n/a</v>
      </c>
      <c r="N26" s="60">
        <f t="shared" si="1"/>
        <v>4.0993836671802777</v>
      </c>
      <c r="O26" s="68">
        <f>'July-23'!O26+'Aug-23'!F26</f>
        <v>26394</v>
      </c>
      <c r="P26" s="68">
        <f>'July-23'!P26+'Aug-23'!G26</f>
        <v>11013</v>
      </c>
      <c r="Q26" s="68">
        <f>'July-23'!Q26+'Aug-23'!H26</f>
        <v>0</v>
      </c>
      <c r="R26" s="68">
        <f>'July-23'!R26+'Aug-23'!I26</f>
        <v>0</v>
      </c>
      <c r="S26" s="68">
        <f>'July-23'!S26+'Aug-23'!J26</f>
        <v>15048</v>
      </c>
      <c r="T26" s="64">
        <f>IFERROR(O26/P26-1,"n/a")</f>
        <v>1.3966221737946065</v>
      </c>
      <c r="U26" s="64" t="str">
        <f>IFERROR(O26/Q26-1,"n/a")</f>
        <v>n/a</v>
      </c>
      <c r="V26" s="64" t="str">
        <f>IFERROR(O26/R26-1,"n/a")</f>
        <v>n/a</v>
      </c>
      <c r="W26" s="60">
        <f>IFERROR(O26/S26-1,"n/a")</f>
        <v>0.75398724082934598</v>
      </c>
      <c r="X26" s="68">
        <v>15637</v>
      </c>
      <c r="Y26" s="68">
        <v>0</v>
      </c>
      <c r="Z26" s="68">
        <v>0</v>
      </c>
      <c r="AA26" s="137">
        <v>20248</v>
      </c>
      <c r="AB26" s="123"/>
      <c r="AC26" s="123"/>
    </row>
    <row r="27" spans="1:29" s="124" customFormat="1" ht="13.5" thickBot="1">
      <c r="A27" s="123"/>
      <c r="B27" s="128"/>
      <c r="C27" s="35" t="s">
        <v>12</v>
      </c>
      <c r="D27" s="36"/>
      <c r="E27" s="37"/>
      <c r="F27" s="75">
        <f t="shared" ref="F27:J28" si="2">F13+F16+F19+F22+F25</f>
        <v>349</v>
      </c>
      <c r="G27" s="75">
        <f t="shared" si="2"/>
        <v>310</v>
      </c>
      <c r="H27" s="75">
        <f t="shared" si="2"/>
        <v>107</v>
      </c>
      <c r="I27" s="75">
        <f t="shared" si="2"/>
        <v>4</v>
      </c>
      <c r="J27" s="75">
        <f t="shared" si="2"/>
        <v>268</v>
      </c>
      <c r="K27" s="66">
        <f>IFERROR(F27/G27-1,"n/a")</f>
        <v>0.12580645161290316</v>
      </c>
      <c r="L27" s="66">
        <f t="shared" si="0"/>
        <v>2.2616822429906542</v>
      </c>
      <c r="M27" s="66">
        <f>IFERROR(F27/I27-1,"n/a")</f>
        <v>86.25</v>
      </c>
      <c r="N27" s="62">
        <f t="shared" si="1"/>
        <v>0.30223880597014929</v>
      </c>
      <c r="O27" s="75">
        <f t="shared" ref="O27:S28" si="3">O13+O16+O19+O22+O25</f>
        <v>2730</v>
      </c>
      <c r="P27" s="75">
        <f t="shared" si="3"/>
        <v>2255</v>
      </c>
      <c r="Q27" s="75">
        <f t="shared" si="3"/>
        <v>228</v>
      </c>
      <c r="R27" s="75">
        <f t="shared" si="3"/>
        <v>775</v>
      </c>
      <c r="S27" s="75">
        <f t="shared" si="3"/>
        <v>2300</v>
      </c>
      <c r="T27" s="66">
        <f>IFERROR(O27/P27-1,"n/a")</f>
        <v>0.21064301552106435</v>
      </c>
      <c r="U27" s="66">
        <f>IFERROR(O27/Q27-1,"n/a")</f>
        <v>10.973684210526315</v>
      </c>
      <c r="V27" s="66">
        <f>IFERROR(O27/R27-1,"n/a")</f>
        <v>2.5225806451612902</v>
      </c>
      <c r="W27" s="62">
        <f>IFERROR(O27/S27-1,"n/a")</f>
        <v>0.18695652173913047</v>
      </c>
      <c r="X27" s="75">
        <f>X13+X16+X19+X22+X25</f>
        <v>3620</v>
      </c>
      <c r="Y27" s="46">
        <f t="shared" ref="Y27:AA28" si="4">Y13+Y16+Y19+Y22+Y25</f>
        <v>1054</v>
      </c>
      <c r="Z27" s="46">
        <f t="shared" si="4"/>
        <v>657</v>
      </c>
      <c r="AA27" s="80">
        <f t="shared" si="4"/>
        <v>3310</v>
      </c>
      <c r="AB27" s="123"/>
      <c r="AC27" s="123"/>
    </row>
    <row r="28" spans="1:29" s="124" customFormat="1" ht="14.25" thickTop="1" thickBot="1">
      <c r="A28" s="123"/>
      <c r="B28" s="128"/>
      <c r="C28" s="38" t="s">
        <v>13</v>
      </c>
      <c r="D28" s="39"/>
      <c r="E28" s="40"/>
      <c r="F28" s="76">
        <f t="shared" si="2"/>
        <v>1250698</v>
      </c>
      <c r="G28" s="76">
        <f t="shared" si="2"/>
        <v>889236</v>
      </c>
      <c r="H28" s="76">
        <f t="shared" si="2"/>
        <v>165520</v>
      </c>
      <c r="I28" s="76">
        <f t="shared" si="2"/>
        <v>2541</v>
      </c>
      <c r="J28" s="76">
        <f t="shared" si="2"/>
        <v>925256</v>
      </c>
      <c r="K28" s="67">
        <f>IFERROR(F28/G28-1,"n/a")</f>
        <v>0.40648601721027933</v>
      </c>
      <c r="L28" s="67">
        <f t="shared" si="0"/>
        <v>6.5561744804253266</v>
      </c>
      <c r="M28" s="67">
        <f>IFERROR(F28/I28-1,"n/a")</f>
        <v>491.20700511609601</v>
      </c>
      <c r="N28" s="63">
        <f t="shared" si="1"/>
        <v>0.35173184502451216</v>
      </c>
      <c r="O28" s="76">
        <f t="shared" si="3"/>
        <v>8101250</v>
      </c>
      <c r="P28" s="76">
        <f t="shared" si="3"/>
        <v>4373041</v>
      </c>
      <c r="Q28" s="76">
        <f t="shared" si="3"/>
        <v>328007</v>
      </c>
      <c r="R28" s="76">
        <f t="shared" si="3"/>
        <v>1692559</v>
      </c>
      <c r="S28" s="76">
        <f t="shared" si="3"/>
        <v>6709299</v>
      </c>
      <c r="T28" s="67">
        <f>IFERROR(O28/P28-1,"n/a")</f>
        <v>0.85254380189895307</v>
      </c>
      <c r="U28" s="67">
        <f>IFERROR(O28/Q28-1,"n/a")</f>
        <v>23.698405826704917</v>
      </c>
      <c r="V28" s="67">
        <f>IFERROR(O28/R28-1,"n/a")</f>
        <v>3.7863914935904743</v>
      </c>
      <c r="W28" s="63">
        <f>IFERROR(O28/S28-1,"n/a")</f>
        <v>0.20746593645625278</v>
      </c>
      <c r="X28" s="76">
        <f>X14+X17+X20+X23+X26</f>
        <v>7626669</v>
      </c>
      <c r="Y28" s="47">
        <f t="shared" si="4"/>
        <v>1552483</v>
      </c>
      <c r="Z28" s="47">
        <f t="shared" si="4"/>
        <v>1314158</v>
      </c>
      <c r="AA28" s="81">
        <f t="shared" si="4"/>
        <v>9152531</v>
      </c>
      <c r="AB28" s="123"/>
      <c r="AC28" s="123"/>
    </row>
    <row r="29" spans="1:29" s="124" customFormat="1" ht="12" thickTop="1">
      <c r="A29" s="123"/>
      <c r="B29" s="123"/>
      <c r="C29" s="123"/>
      <c r="D29" s="123"/>
      <c r="E29" s="123"/>
      <c r="F29" s="129"/>
      <c r="G29" s="129"/>
      <c r="H29" s="129"/>
      <c r="I29" s="129"/>
      <c r="J29" s="129"/>
      <c r="K29" s="129"/>
      <c r="L29" s="129"/>
      <c r="M29" s="129"/>
      <c r="N29" s="123"/>
      <c r="O29" s="123"/>
      <c r="P29" s="123"/>
      <c r="Q29" s="123"/>
      <c r="R29" s="123"/>
      <c r="S29" s="123"/>
      <c r="T29" s="123"/>
      <c r="U29" s="123"/>
      <c r="V29" s="123"/>
      <c r="W29" s="123"/>
      <c r="X29" s="123"/>
      <c r="Y29" s="123"/>
      <c r="Z29" s="123"/>
      <c r="AA29" s="123"/>
      <c r="AB29" s="123"/>
      <c r="AC29" s="123"/>
    </row>
    <row r="30" spans="1:29" s="124" customFormat="1" ht="11.25">
      <c r="A30" s="123"/>
      <c r="B30" s="123"/>
      <c r="C30" s="123"/>
      <c r="D30" s="123"/>
      <c r="E30" s="123"/>
      <c r="F30" s="129"/>
      <c r="G30" s="129"/>
      <c r="H30" s="129"/>
      <c r="I30" s="129"/>
      <c r="J30" s="129"/>
      <c r="K30" s="129"/>
      <c r="L30" s="129"/>
      <c r="M30" s="129"/>
      <c r="N30" s="123"/>
      <c r="O30" s="129"/>
      <c r="P30" s="123"/>
      <c r="Q30" s="123"/>
      <c r="R30" s="123"/>
      <c r="S30" s="123"/>
      <c r="T30" s="123"/>
      <c r="U30" s="123"/>
      <c r="V30" s="123"/>
      <c r="W30" s="123"/>
      <c r="X30" s="123"/>
      <c r="Y30" s="123"/>
      <c r="Z30" s="123"/>
      <c r="AA30" s="123"/>
      <c r="AB30" s="123"/>
      <c r="AC30" s="123"/>
    </row>
    <row r="31" spans="1:29" s="124" customFormat="1" ht="12.75">
      <c r="A31" s="123"/>
      <c r="B31" s="130"/>
      <c r="C31" s="131" t="s">
        <v>63</v>
      </c>
      <c r="D31" s="24"/>
      <c r="E31" s="24"/>
      <c r="F31" s="24"/>
      <c r="G31" s="24"/>
      <c r="H31" s="24"/>
      <c r="I31" s="24"/>
      <c r="J31" s="95"/>
      <c r="K31" s="95"/>
      <c r="L31" s="95"/>
      <c r="M31" s="95"/>
      <c r="N31" s="24"/>
      <c r="O31" s="24"/>
      <c r="P31" s="24"/>
      <c r="Q31" s="24"/>
      <c r="R31" s="24"/>
      <c r="S31" s="24"/>
      <c r="T31" s="24"/>
      <c r="U31" s="24"/>
      <c r="V31" s="24"/>
      <c r="W31" s="24"/>
      <c r="X31" s="24"/>
      <c r="Y31" s="24"/>
      <c r="Z31" s="24"/>
      <c r="AA31" s="24"/>
      <c r="AB31" s="24"/>
      <c r="AC31" s="123"/>
    </row>
    <row r="32" spans="1:29" s="124" customFormat="1" ht="12.75">
      <c r="A32" s="123"/>
      <c r="B32" s="130"/>
      <c r="C32" s="24"/>
      <c r="D32" s="24"/>
      <c r="E32" s="24"/>
      <c r="F32" s="24"/>
      <c r="G32" s="24"/>
      <c r="H32" s="24"/>
      <c r="I32" s="24"/>
      <c r="J32" s="95"/>
      <c r="K32" s="95"/>
      <c r="L32" s="95"/>
      <c r="M32" s="95"/>
      <c r="N32" s="24"/>
      <c r="O32" s="24"/>
      <c r="P32" s="24"/>
      <c r="Q32" s="24"/>
      <c r="R32" s="24"/>
      <c r="S32" s="24"/>
      <c r="T32" s="24"/>
      <c r="U32" s="24"/>
      <c r="V32" s="24"/>
      <c r="W32" s="24"/>
      <c r="X32" s="24"/>
      <c r="Y32" s="24"/>
      <c r="Z32" s="24"/>
      <c r="AA32" s="24"/>
      <c r="AB32" s="24"/>
      <c r="AC32" s="123"/>
    </row>
    <row r="33" spans="1:29" s="124" customFormat="1" ht="11.25">
      <c r="A33" s="123"/>
      <c r="B33" s="123"/>
      <c r="C33" s="27" t="s">
        <v>7</v>
      </c>
      <c r="D33" s="28"/>
      <c r="E33" s="28"/>
      <c r="F33" s="158" t="str">
        <f>F9</f>
        <v>August</v>
      </c>
      <c r="G33" s="158"/>
      <c r="H33" s="158"/>
      <c r="I33" s="158"/>
      <c r="J33" s="158"/>
      <c r="K33" s="158"/>
      <c r="L33" s="158"/>
      <c r="M33" s="158"/>
      <c r="N33" s="159"/>
      <c r="O33" s="161" t="str">
        <f>"April to "&amp;D4&amp;" (YTD)"</f>
        <v>April to August (YTD)</v>
      </c>
      <c r="P33" s="162"/>
      <c r="Q33" s="162"/>
      <c r="R33" s="162"/>
      <c r="S33" s="162"/>
      <c r="T33" s="162"/>
      <c r="U33" s="162"/>
      <c r="V33" s="162"/>
      <c r="W33" s="163"/>
      <c r="X33" s="157" t="s">
        <v>58</v>
      </c>
      <c r="Y33" s="158"/>
      <c r="Z33" s="158"/>
      <c r="AA33" s="160"/>
    </row>
    <row r="34" spans="1:29" s="124" customFormat="1" ht="11.25">
      <c r="A34" s="123"/>
      <c r="B34" s="123"/>
      <c r="C34" s="29"/>
      <c r="D34" s="30"/>
      <c r="E34" s="30"/>
      <c r="F34" s="152"/>
      <c r="G34" s="153"/>
      <c r="H34" s="153"/>
      <c r="I34" s="153"/>
      <c r="J34" s="153"/>
      <c r="K34" s="153"/>
      <c r="L34" s="153"/>
      <c r="M34" s="153"/>
      <c r="N34" s="154"/>
      <c r="O34" s="152"/>
      <c r="P34" s="153"/>
      <c r="Q34" s="153"/>
      <c r="R34" s="153"/>
      <c r="S34" s="153"/>
      <c r="T34" s="153"/>
      <c r="U34" s="153"/>
      <c r="V34" s="153"/>
      <c r="W34" s="154"/>
      <c r="X34" s="152"/>
      <c r="Y34" s="153"/>
      <c r="Z34" s="153"/>
      <c r="AA34" s="154"/>
    </row>
    <row r="35" spans="1:29" s="124" customFormat="1" ht="22.5">
      <c r="A35" s="123"/>
      <c r="B35" s="123"/>
      <c r="C35" s="59" t="s">
        <v>29</v>
      </c>
      <c r="D35" s="50"/>
      <c r="E35" s="51"/>
      <c r="F35" s="55">
        <v>2023</v>
      </c>
      <c r="G35" s="52">
        <v>2022</v>
      </c>
      <c r="H35" s="52">
        <v>2021</v>
      </c>
      <c r="I35" s="52">
        <v>2020</v>
      </c>
      <c r="J35" s="52">
        <v>2019</v>
      </c>
      <c r="K35" s="53" t="s">
        <v>66</v>
      </c>
      <c r="L35" s="53" t="s">
        <v>67</v>
      </c>
      <c r="M35" s="53" t="s">
        <v>68</v>
      </c>
      <c r="N35" s="57" t="s">
        <v>101</v>
      </c>
      <c r="O35" s="53" t="s">
        <v>115</v>
      </c>
      <c r="P35" s="53" t="s">
        <v>53</v>
      </c>
      <c r="Q35" s="52" t="s">
        <v>54</v>
      </c>
      <c r="R35" s="52" t="s">
        <v>59</v>
      </c>
      <c r="S35" s="52" t="s">
        <v>64</v>
      </c>
      <c r="T35" s="53" t="s">
        <v>116</v>
      </c>
      <c r="U35" s="53" t="s">
        <v>117</v>
      </c>
      <c r="V35" s="53" t="s">
        <v>118</v>
      </c>
      <c r="W35" s="57" t="s">
        <v>119</v>
      </c>
      <c r="X35" s="53" t="s">
        <v>53</v>
      </c>
      <c r="Y35" s="53" t="s">
        <v>54</v>
      </c>
      <c r="Z35" s="53" t="s">
        <v>65</v>
      </c>
      <c r="AA35" s="57" t="s">
        <v>73</v>
      </c>
      <c r="AC35" s="123"/>
    </row>
    <row r="36" spans="1:29" s="124" customFormat="1" ht="11.25">
      <c r="A36" s="123"/>
      <c r="B36" s="123"/>
      <c r="C36" s="31" t="s">
        <v>108</v>
      </c>
      <c r="D36" s="26"/>
      <c r="E36" s="32"/>
      <c r="F36" s="26"/>
      <c r="G36" s="26"/>
      <c r="H36" s="26"/>
      <c r="I36" s="26"/>
      <c r="J36" s="26"/>
      <c r="K36" s="26"/>
      <c r="L36" s="26"/>
      <c r="M36" s="26"/>
      <c r="N36" s="32"/>
      <c r="O36" s="26"/>
      <c r="P36" s="26"/>
      <c r="Q36" s="26"/>
      <c r="R36" s="26"/>
      <c r="S36" s="123"/>
      <c r="T36" s="26"/>
      <c r="U36" s="123"/>
      <c r="V36" s="26"/>
      <c r="W36" s="32"/>
      <c r="X36" s="33"/>
      <c r="Y36" s="26"/>
      <c r="Z36" s="88"/>
      <c r="AA36" s="85"/>
      <c r="AC36" s="123"/>
    </row>
    <row r="37" spans="1:29" s="124" customFormat="1" ht="11.25">
      <c r="A37" s="123"/>
      <c r="B37" s="123"/>
      <c r="C37" s="33"/>
      <c r="D37" s="26" t="s">
        <v>5</v>
      </c>
      <c r="E37" s="32"/>
      <c r="F37" s="74">
        <f t="shared" ref="F37:J38" si="5">F13</f>
        <v>99</v>
      </c>
      <c r="G37" s="74">
        <f t="shared" si="5"/>
        <v>81</v>
      </c>
      <c r="H37" s="74">
        <f t="shared" si="5"/>
        <v>51</v>
      </c>
      <c r="I37" s="74">
        <f t="shared" si="5"/>
        <v>0</v>
      </c>
      <c r="J37" s="74">
        <f t="shared" si="5"/>
        <v>97</v>
      </c>
      <c r="K37" s="64">
        <f>IFERROR(F37/G37-1,"n/a")</f>
        <v>0.22222222222222232</v>
      </c>
      <c r="L37" s="64">
        <f>IFERROR(F37/H37-1,"n/a")</f>
        <v>0.94117647058823528</v>
      </c>
      <c r="M37" s="64" t="str">
        <f>IFERROR(F37/I37-1,"n/a")</f>
        <v>n/a</v>
      </c>
      <c r="N37" s="60">
        <f>IFERROR(F37/J37-1,"n/a")</f>
        <v>2.0618556701030855E-2</v>
      </c>
      <c r="O37" s="74">
        <f>'July-23'!O37+'Aug-23'!F37</f>
        <v>527</v>
      </c>
      <c r="P37" s="74">
        <f>'July-23'!P37+'Aug-23'!G37</f>
        <v>461</v>
      </c>
      <c r="Q37" s="74">
        <f>'July-23'!Q37+'Aug-23'!H37</f>
        <v>79</v>
      </c>
      <c r="R37" s="74">
        <f>'July-23'!R37+'Aug-23'!I37</f>
        <v>42</v>
      </c>
      <c r="S37" s="74">
        <f>'July-23'!S37+'Aug-23'!J37</f>
        <v>507</v>
      </c>
      <c r="T37" s="120">
        <f>IFERROR(O37/P37-1,"n/a")</f>
        <v>0.14316702819956606</v>
      </c>
      <c r="U37" s="120">
        <f>IFERROR(O37/Q37-1,"n/a")</f>
        <v>5.6708860759493671</v>
      </c>
      <c r="V37" s="120">
        <f>IFERROR(O37/R37-1,"n/a")</f>
        <v>11.547619047619047</v>
      </c>
      <c r="W37" s="121">
        <f>IFERROR(O37/S37-1,"n/a")</f>
        <v>3.9447731755424043E-2</v>
      </c>
      <c r="X37" s="89">
        <v>1486</v>
      </c>
      <c r="Y37" s="89">
        <v>1052</v>
      </c>
      <c r="Z37" s="70">
        <v>551</v>
      </c>
      <c r="AA37" s="78">
        <v>1584</v>
      </c>
      <c r="AC37" s="123"/>
    </row>
    <row r="38" spans="1:29" s="124" customFormat="1" ht="11.25">
      <c r="A38" s="123"/>
      <c r="B38" s="123"/>
      <c r="C38" s="33"/>
      <c r="D38" s="26" t="s">
        <v>11</v>
      </c>
      <c r="E38" s="32"/>
      <c r="F38" s="74">
        <f t="shared" si="5"/>
        <v>375428</v>
      </c>
      <c r="G38" s="74">
        <f t="shared" si="5"/>
        <v>278520</v>
      </c>
      <c r="H38" s="74">
        <f t="shared" si="5"/>
        <v>66591</v>
      </c>
      <c r="I38" s="74">
        <f t="shared" si="5"/>
        <v>0</v>
      </c>
      <c r="J38" s="74">
        <f t="shared" si="5"/>
        <v>325246</v>
      </c>
      <c r="K38" s="64">
        <f>IFERROR(F38/G38-1,"n/a")</f>
        <v>0.34793910670687911</v>
      </c>
      <c r="L38" s="64">
        <f>IFERROR(F38/H38-1,"n/a")</f>
        <v>4.6378189244792836</v>
      </c>
      <c r="M38" s="64" t="str">
        <f>IFERROR(F38/I38-1,"n/a")</f>
        <v>n/a</v>
      </c>
      <c r="N38" s="60">
        <f>IFERROR(F38/J38-1,"n/a")</f>
        <v>0.15428936866248932</v>
      </c>
      <c r="O38" s="74">
        <f>'July-23'!O38+'Aug-23'!F38</f>
        <v>1934710</v>
      </c>
      <c r="P38" s="74">
        <f>'July-23'!P38+'Aug-23'!G38</f>
        <v>1355073</v>
      </c>
      <c r="Q38" s="74">
        <f>'July-23'!Q38+'Aug-23'!H38</f>
        <v>97505</v>
      </c>
      <c r="R38" s="74">
        <f>'July-23'!R38+'Aug-23'!I38</f>
        <v>0</v>
      </c>
      <c r="S38" s="74">
        <f>'July-23'!S38+'Aug-23'!J38</f>
        <v>1657861</v>
      </c>
      <c r="T38" s="120">
        <f>IFERROR(O38/P38-1,"n/a")</f>
        <v>0.42775333875001564</v>
      </c>
      <c r="U38" s="120">
        <f>IFERROR(O38/Q38-1,"n/a")</f>
        <v>18.842161940413312</v>
      </c>
      <c r="V38" s="120" t="str">
        <f>IFERROR(O38/R38-1,"n/a")</f>
        <v>n/a</v>
      </c>
      <c r="W38" s="121">
        <f>IFERROR(O38/S38-1,"n/a")</f>
        <v>0.16699168386251917</v>
      </c>
      <c r="X38" s="89">
        <v>4370939</v>
      </c>
      <c r="Y38" s="89">
        <v>1527970</v>
      </c>
      <c r="Z38" s="84">
        <v>1092884</v>
      </c>
      <c r="AA38" s="78">
        <v>4234259</v>
      </c>
      <c r="AC38" s="123"/>
    </row>
    <row r="39" spans="1:29" s="124" customFormat="1" ht="11.25">
      <c r="A39" s="123"/>
      <c r="B39" s="123"/>
      <c r="C39" s="31" t="s">
        <v>109</v>
      </c>
      <c r="D39" s="26"/>
      <c r="E39" s="32"/>
      <c r="F39" s="26"/>
      <c r="G39" s="26"/>
      <c r="H39" s="26"/>
      <c r="I39" s="26"/>
      <c r="J39" s="26"/>
      <c r="K39" s="64"/>
      <c r="L39" s="64"/>
      <c r="M39" s="64"/>
      <c r="N39" s="61"/>
      <c r="O39" s="26"/>
      <c r="P39" s="26"/>
      <c r="Q39" s="26"/>
      <c r="R39" s="26"/>
      <c r="S39" s="26"/>
      <c r="T39" s="65"/>
      <c r="U39" s="65"/>
      <c r="V39" s="65"/>
      <c r="W39" s="61"/>
      <c r="X39" s="90"/>
      <c r="Y39" s="90"/>
      <c r="Z39" s="44"/>
      <c r="AA39" s="79"/>
      <c r="AC39" s="123"/>
    </row>
    <row r="40" spans="1:29" s="124" customFormat="1" ht="11.25">
      <c r="A40" s="123"/>
      <c r="B40" s="123"/>
      <c r="C40" s="33"/>
      <c r="D40" s="26" t="s">
        <v>5</v>
      </c>
      <c r="E40" s="32"/>
      <c r="F40" s="74">
        <f t="shared" ref="F40:J41" si="6">F16</f>
        <v>71</v>
      </c>
      <c r="G40" s="74">
        <f t="shared" si="6"/>
        <v>63</v>
      </c>
      <c r="H40" s="74">
        <f t="shared" si="6"/>
        <v>29</v>
      </c>
      <c r="I40" s="74">
        <f t="shared" si="6"/>
        <v>2</v>
      </c>
      <c r="J40" s="74">
        <f t="shared" si="6"/>
        <v>58</v>
      </c>
      <c r="K40" s="64">
        <f>IFERROR(F40/G40-1,"n/a")</f>
        <v>0.12698412698412698</v>
      </c>
      <c r="L40" s="64">
        <f>IFERROR(F40/H40-1,"n/a")</f>
        <v>1.4482758620689653</v>
      </c>
      <c r="M40" s="64">
        <f>IFERROR(F40/I40-1,"n/a")</f>
        <v>34.5</v>
      </c>
      <c r="N40" s="60">
        <f>IFERROR(F40/J40-1,"n/a")</f>
        <v>0.22413793103448265</v>
      </c>
      <c r="O40" s="74">
        <f>'July-23'!O40+'Aug-23'!F40</f>
        <v>330</v>
      </c>
      <c r="P40" s="74">
        <f>'July-23'!P40+'Aug-23'!G40</f>
        <v>340</v>
      </c>
      <c r="Q40" s="74">
        <f>'July-23'!Q40+'Aug-23'!H40</f>
        <v>90</v>
      </c>
      <c r="R40" s="74">
        <f>'July-23'!R40+'Aug-23'!I40</f>
        <v>2</v>
      </c>
      <c r="S40" s="74">
        <f>'July-23'!S40+'Aug-23'!J40</f>
        <v>310</v>
      </c>
      <c r="T40" s="120">
        <f>IFERROR(O40/P40-1,"n/a")</f>
        <v>-2.9411764705882359E-2</v>
      </c>
      <c r="U40" s="120">
        <f>IFERROR(O40/Q40-1,"n/a")</f>
        <v>2.6666666666666665</v>
      </c>
      <c r="V40" s="120">
        <f>IFERROR(O40/R40-1,"n/a")</f>
        <v>164</v>
      </c>
      <c r="W40" s="121">
        <f>IFERROR(O40/S40-1,"n/a")</f>
        <v>6.4516129032258007E-2</v>
      </c>
      <c r="X40" s="89">
        <v>563</v>
      </c>
      <c r="Y40" s="89">
        <v>226</v>
      </c>
      <c r="Z40" s="70">
        <v>66</v>
      </c>
      <c r="AA40" s="78">
        <v>573</v>
      </c>
      <c r="AC40" s="123"/>
    </row>
    <row r="41" spans="1:29" s="124" customFormat="1" ht="11.25">
      <c r="A41" s="123"/>
      <c r="B41" s="123"/>
      <c r="C41" s="33"/>
      <c r="D41" s="26" t="s">
        <v>11</v>
      </c>
      <c r="E41" s="32"/>
      <c r="F41" s="74">
        <f t="shared" si="6"/>
        <v>262517</v>
      </c>
      <c r="G41" s="74">
        <f t="shared" si="6"/>
        <v>183659</v>
      </c>
      <c r="H41" s="74">
        <f t="shared" si="6"/>
        <v>48391</v>
      </c>
      <c r="I41" s="74">
        <f t="shared" si="6"/>
        <v>2541</v>
      </c>
      <c r="J41" s="74">
        <f t="shared" si="6"/>
        <v>180130</v>
      </c>
      <c r="K41" s="64">
        <f>IFERROR(F41/G41-1,"n/a")</f>
        <v>0.42937182495821058</v>
      </c>
      <c r="L41" s="64">
        <f>IFERROR(F41/H41-1,"n/a")</f>
        <v>4.4249137236262941</v>
      </c>
      <c r="M41" s="64">
        <f>IFERROR(F41/I41-1,"n/a")</f>
        <v>102.3124754033845</v>
      </c>
      <c r="N41" s="60">
        <f>IFERROR(F41/J41-1,"n/a")</f>
        <v>0.45737522900127692</v>
      </c>
      <c r="O41" s="74">
        <f>'July-23'!O41+'Aug-23'!F41</f>
        <v>1025469</v>
      </c>
      <c r="P41" s="74">
        <f>'July-23'!P41+'Aug-23'!G41</f>
        <v>581406</v>
      </c>
      <c r="Q41" s="74">
        <f>'July-23'!Q41+'Aug-23'!H41</f>
        <v>140917</v>
      </c>
      <c r="R41" s="74">
        <f>'July-23'!R41+'Aug-23'!I41</f>
        <v>2541</v>
      </c>
      <c r="S41" s="74">
        <f>'July-23'!S41+'Aug-23'!J41</f>
        <v>832380</v>
      </c>
      <c r="T41" s="120">
        <f>IFERROR(O41/P41-1,"n/a")</f>
        <v>0.76377436765358464</v>
      </c>
      <c r="U41" s="120">
        <f>IFERROR(O41/Q41-1,"n/a")</f>
        <v>6.2771134781467106</v>
      </c>
      <c r="V41" s="120">
        <f>IFERROR(O41/R41-1,"n/a")</f>
        <v>402.56906729634005</v>
      </c>
      <c r="W41" s="121">
        <f>IFERROR(O41/S41-1,"n/a")</f>
        <v>0.23197217616953791</v>
      </c>
      <c r="X41" s="89">
        <v>1012510</v>
      </c>
      <c r="Y41" s="89">
        <v>327926</v>
      </c>
      <c r="Z41" s="84">
        <v>80778</v>
      </c>
      <c r="AA41" s="78">
        <v>1361671</v>
      </c>
      <c r="AC41" s="123"/>
    </row>
    <row r="42" spans="1:29" s="124" customFormat="1" ht="11.25">
      <c r="A42" s="123"/>
      <c r="B42" s="123"/>
      <c r="C42" s="31" t="s">
        <v>110</v>
      </c>
      <c r="D42" s="26"/>
      <c r="E42" s="32"/>
      <c r="F42" s="87"/>
      <c r="G42" s="87"/>
      <c r="H42" s="87"/>
      <c r="I42" s="87"/>
      <c r="J42" s="72"/>
      <c r="K42" s="64"/>
      <c r="L42" s="64"/>
      <c r="M42" s="64"/>
      <c r="N42" s="60"/>
      <c r="O42" s="87"/>
      <c r="P42" s="87"/>
      <c r="Q42" s="87"/>
      <c r="R42" s="87"/>
      <c r="S42" s="72"/>
      <c r="T42" s="64"/>
      <c r="U42" s="64"/>
      <c r="V42" s="64"/>
      <c r="W42" s="60"/>
      <c r="X42" s="90"/>
      <c r="Y42" s="90"/>
      <c r="Z42" s="44"/>
      <c r="AA42" s="79"/>
      <c r="AC42" s="123"/>
    </row>
    <row r="43" spans="1:29" s="124" customFormat="1" ht="11.25">
      <c r="A43" s="123"/>
      <c r="B43" s="123"/>
      <c r="C43" s="33"/>
      <c r="D43" s="26" t="s">
        <v>5</v>
      </c>
      <c r="E43" s="32"/>
      <c r="F43" s="74">
        <f t="shared" ref="F43:J44" si="7">F19</f>
        <v>95</v>
      </c>
      <c r="G43" s="74">
        <f t="shared" si="7"/>
        <v>104</v>
      </c>
      <c r="H43" s="74">
        <f t="shared" si="7"/>
        <v>3</v>
      </c>
      <c r="I43" s="74">
        <f t="shared" si="7"/>
        <v>2</v>
      </c>
      <c r="J43" s="74">
        <f t="shared" si="7"/>
        <v>43</v>
      </c>
      <c r="K43" s="64">
        <f>IFERROR(F43/G43-1,"n/a")</f>
        <v>-8.6538461538461564E-2</v>
      </c>
      <c r="L43" s="64">
        <f>IFERROR(F43/H43-1,"n/a")</f>
        <v>30.666666666666668</v>
      </c>
      <c r="M43" s="64">
        <f>IFERROR(F43/I43-1,"n/a")</f>
        <v>46.5</v>
      </c>
      <c r="N43" s="60">
        <f>IFERROR(F43/J43-1,"n/a")</f>
        <v>1.2093023255813953</v>
      </c>
      <c r="O43" s="74">
        <f>'July-23'!O43+'Aug-23'!F43</f>
        <v>421</v>
      </c>
      <c r="P43" s="74">
        <f>'July-23'!P43+'Aug-23'!G43</f>
        <v>409</v>
      </c>
      <c r="Q43" s="74">
        <f>'July-23'!Q43+'Aug-23'!H43</f>
        <v>9</v>
      </c>
      <c r="R43" s="74">
        <f>'July-23'!R43+'Aug-23'!I43</f>
        <v>4</v>
      </c>
      <c r="S43" s="74">
        <f>'July-23'!S43+'Aug-23'!J43</f>
        <v>193</v>
      </c>
      <c r="T43" s="120">
        <f>IFERROR(O43/P43-1,"n/a")</f>
        <v>2.9339853300733409E-2</v>
      </c>
      <c r="U43" s="120">
        <f>IFERROR(O43/Q43-1,"n/a")</f>
        <v>45.777777777777779</v>
      </c>
      <c r="V43" s="120">
        <f>IFERROR(O43/R43-1,"n/a")</f>
        <v>104.25</v>
      </c>
      <c r="W43" s="121">
        <f>IFERROR(O43/S43-1,"n/a")</f>
        <v>1.1813471502590676</v>
      </c>
      <c r="X43" s="89">
        <v>669</v>
      </c>
      <c r="Y43" s="89">
        <v>59</v>
      </c>
      <c r="Z43" s="70">
        <v>9</v>
      </c>
      <c r="AA43" s="78">
        <v>287</v>
      </c>
      <c r="AC43" s="123"/>
    </row>
    <row r="44" spans="1:29" s="124" customFormat="1" ht="11.25">
      <c r="A44" s="123"/>
      <c r="B44" s="123"/>
      <c r="C44" s="33"/>
      <c r="D44" s="26" t="s">
        <v>11</v>
      </c>
      <c r="E44" s="32"/>
      <c r="F44" s="74">
        <f t="shared" si="7"/>
        <v>234330</v>
      </c>
      <c r="G44" s="74">
        <f t="shared" si="7"/>
        <v>185619</v>
      </c>
      <c r="H44" s="74">
        <f t="shared" si="7"/>
        <v>850</v>
      </c>
      <c r="I44" s="74">
        <f t="shared" si="7"/>
        <v>0</v>
      </c>
      <c r="J44" s="74">
        <f t="shared" si="7"/>
        <v>126823</v>
      </c>
      <c r="K44" s="64">
        <f>IFERROR(F44/G44-1,"n/a")</f>
        <v>0.26242464402889798</v>
      </c>
      <c r="L44" s="64">
        <f>IFERROR(F44/H44-1,"n/a")</f>
        <v>274.68235294117648</v>
      </c>
      <c r="M44" s="64" t="str">
        <f>IFERROR(F44/I44-1,"n/a")</f>
        <v>n/a</v>
      </c>
      <c r="N44" s="60">
        <f>IFERROR(F44/J44-1,"n/a")</f>
        <v>0.847693241762141</v>
      </c>
      <c r="O44" s="74">
        <f>'July-23'!O44+'Aug-23'!F44</f>
        <v>811145</v>
      </c>
      <c r="P44" s="74">
        <f>'July-23'!P44+'Aug-23'!G44</f>
        <v>563558</v>
      </c>
      <c r="Q44" s="74">
        <f>'July-23'!Q44+'Aug-23'!H44</f>
        <v>1318</v>
      </c>
      <c r="R44" s="74">
        <f>'July-23'!R44+'Aug-23'!I44</f>
        <v>8294</v>
      </c>
      <c r="S44" s="74">
        <f>'July-23'!S44+'Aug-23'!J44</f>
        <v>404725</v>
      </c>
      <c r="T44" s="120">
        <f>IFERROR(O44/P44-1,"n/a")</f>
        <v>0.43932833887550182</v>
      </c>
      <c r="U44" s="120">
        <f>IFERROR(O44/Q44-1,"n/a")</f>
        <v>614.43626707132023</v>
      </c>
      <c r="V44" s="120">
        <f>IFERROR(O44/R44-1,"n/a")</f>
        <v>96.799011333494093</v>
      </c>
      <c r="W44" s="121">
        <f>IFERROR(O44/S44-1,"n/a")</f>
        <v>1.0041880289085183</v>
      </c>
      <c r="X44" s="82">
        <v>905256</v>
      </c>
      <c r="Y44" s="82">
        <v>20626</v>
      </c>
      <c r="Z44" s="84">
        <v>10047</v>
      </c>
      <c r="AA44" s="78">
        <v>581199</v>
      </c>
      <c r="AC44" s="123"/>
    </row>
    <row r="45" spans="1:29" s="124" customFormat="1" ht="11.25">
      <c r="A45" s="123"/>
      <c r="B45" s="123"/>
      <c r="C45" s="31" t="s">
        <v>111</v>
      </c>
      <c r="D45" s="26"/>
      <c r="E45" s="34"/>
      <c r="F45" s="72"/>
      <c r="G45" s="72"/>
      <c r="H45" s="72"/>
      <c r="I45" s="72"/>
      <c r="J45" s="72"/>
      <c r="K45" s="64"/>
      <c r="L45" s="64"/>
      <c r="M45" s="64"/>
      <c r="N45" s="60"/>
      <c r="O45" s="72"/>
      <c r="P45" s="72"/>
      <c r="Q45" s="72"/>
      <c r="R45" s="72"/>
      <c r="S45" s="72"/>
      <c r="T45" s="64"/>
      <c r="U45" s="64"/>
      <c r="V45" s="64"/>
      <c r="W45" s="60"/>
      <c r="X45" s="90"/>
      <c r="Y45" s="90"/>
      <c r="Z45" s="44"/>
      <c r="AA45" s="79"/>
      <c r="AC45" s="123"/>
    </row>
    <row r="46" spans="1:29" s="124" customFormat="1" ht="11.25">
      <c r="A46" s="123"/>
      <c r="B46" s="123"/>
      <c r="C46" s="33"/>
      <c r="D46" s="26" t="s">
        <v>5</v>
      </c>
      <c r="E46" s="34"/>
      <c r="F46" s="74">
        <f t="shared" ref="F46:J47" si="8">F22</f>
        <v>80</v>
      </c>
      <c r="G46" s="74">
        <f t="shared" si="8"/>
        <v>60</v>
      </c>
      <c r="H46" s="74">
        <f t="shared" si="8"/>
        <v>24</v>
      </c>
      <c r="I46" s="74">
        <f t="shared" si="8"/>
        <v>0</v>
      </c>
      <c r="J46" s="74">
        <f t="shared" si="8"/>
        <v>69</v>
      </c>
      <c r="K46" s="64">
        <f>IFERROR(F46/G46-1,"n/a")</f>
        <v>0.33333333333333326</v>
      </c>
      <c r="L46" s="64">
        <f>IFERROR(F46/H46-1,"n/a")</f>
        <v>2.3333333333333335</v>
      </c>
      <c r="M46" s="64" t="str">
        <f>IFERROR(F46/I46-1,"n/a")</f>
        <v>n/a</v>
      </c>
      <c r="N46" s="60">
        <f>IFERROR(F46/J46-1,"n/a")</f>
        <v>0.15942028985507251</v>
      </c>
      <c r="O46" s="74">
        <f>'July-23'!O46+'Aug-23'!F46</f>
        <v>570</v>
      </c>
      <c r="P46" s="74">
        <f>'July-23'!P46+'Aug-23'!G46</f>
        <v>407</v>
      </c>
      <c r="Q46" s="74">
        <f>'July-23'!Q46+'Aug-23'!H46</f>
        <v>38</v>
      </c>
      <c r="R46" s="74">
        <f>'July-23'!R46+'Aug-23'!I46</f>
        <v>0</v>
      </c>
      <c r="S46" s="74">
        <f>'July-23'!S46+'Aug-23'!J46</f>
        <v>410</v>
      </c>
      <c r="T46" s="120">
        <f>IFERROR(O46/P46-1,"n/a")</f>
        <v>0.40049140049140042</v>
      </c>
      <c r="U46" s="120">
        <f>IFERROR(O46/Q46-1,"n/a")</f>
        <v>14</v>
      </c>
      <c r="V46" s="120" t="str">
        <f>IFERROR(O46/R46-1,"n/a")</f>
        <v>n/a</v>
      </c>
      <c r="W46" s="121">
        <f>IFERROR(O46/S46-1,"n/a")</f>
        <v>0.39024390243902429</v>
      </c>
      <c r="X46" s="89">
        <v>1129</v>
      </c>
      <c r="Y46" s="89">
        <v>336</v>
      </c>
      <c r="Z46" s="84">
        <v>43</v>
      </c>
      <c r="AA46" s="78">
        <v>781</v>
      </c>
      <c r="AC46" s="123"/>
    </row>
    <row r="47" spans="1:29" s="124" customFormat="1" ht="11.25">
      <c r="A47" s="123"/>
      <c r="B47" s="123"/>
      <c r="C47" s="33"/>
      <c r="D47" s="26" t="s">
        <v>11</v>
      </c>
      <c r="E47" s="32"/>
      <c r="F47" s="74">
        <f t="shared" si="8"/>
        <v>371804</v>
      </c>
      <c r="G47" s="74">
        <f t="shared" si="8"/>
        <v>239102</v>
      </c>
      <c r="H47" s="74">
        <f t="shared" si="8"/>
        <v>49688</v>
      </c>
      <c r="I47" s="74">
        <f t="shared" si="8"/>
        <v>0</v>
      </c>
      <c r="J47" s="74">
        <f t="shared" si="8"/>
        <v>291759</v>
      </c>
      <c r="K47" s="64">
        <f>IFERROR(F47/G47-1,"n/a")</f>
        <v>0.5550016311030439</v>
      </c>
      <c r="L47" s="64">
        <f>IFERROR(F47/H47-1,"n/a")</f>
        <v>6.4827725004025121</v>
      </c>
      <c r="M47" s="64" t="str">
        <f>IFERROR(F47/I47-1,"n/a")</f>
        <v>n/a</v>
      </c>
      <c r="N47" s="60">
        <f>IFERROR(F47/J47-1,"n/a")</f>
        <v>0.27435314763212104</v>
      </c>
      <c r="O47" s="74">
        <f>'July-23'!O47+'Aug-23'!F47</f>
        <v>1825173</v>
      </c>
      <c r="P47" s="74">
        <f>'July-23'!P47+'Aug-23'!G47</f>
        <v>994286</v>
      </c>
      <c r="Q47" s="74">
        <f>'July-23'!Q47+'Aug-23'!H47</f>
        <v>78164</v>
      </c>
      <c r="R47" s="74">
        <f>'July-23'!R47+'Aug-23'!I47</f>
        <v>0</v>
      </c>
      <c r="S47" s="74">
        <f>'July-23'!S47+'Aug-23'!J47</f>
        <v>1341508</v>
      </c>
      <c r="T47" s="120">
        <f>IFERROR(O47/P47-1,"n/a")</f>
        <v>0.83566197251092733</v>
      </c>
      <c r="U47" s="120">
        <f>IFERROR(O47/Q47-1,"n/a")</f>
        <v>22.35055780154547</v>
      </c>
      <c r="V47" s="120" t="str">
        <f>IFERROR(O47/R47-1,"n/a")</f>
        <v>n/a</v>
      </c>
      <c r="W47" s="121">
        <f>IFERROR(O47/S47-1,"n/a")</f>
        <v>0.36053828974557001</v>
      </c>
      <c r="X47" s="82">
        <v>2932981</v>
      </c>
      <c r="Y47" s="82">
        <v>533563</v>
      </c>
      <c r="Z47" s="84">
        <v>140552</v>
      </c>
      <c r="AA47" s="78">
        <v>2441594</v>
      </c>
      <c r="AC47" s="123"/>
    </row>
    <row r="48" spans="1:29" s="124" customFormat="1" ht="11.25">
      <c r="C48" s="31" t="s">
        <v>112</v>
      </c>
      <c r="D48" s="26"/>
      <c r="E48" s="32"/>
      <c r="F48" s="72"/>
      <c r="G48" s="72"/>
      <c r="H48" s="72"/>
      <c r="I48" s="72"/>
      <c r="J48" s="72"/>
      <c r="K48" s="64"/>
      <c r="L48" s="64"/>
      <c r="M48" s="64"/>
      <c r="N48" s="60"/>
      <c r="O48" s="72"/>
      <c r="P48" s="72"/>
      <c r="Q48" s="72"/>
      <c r="R48" s="72"/>
      <c r="S48" s="72"/>
      <c r="T48" s="64"/>
      <c r="U48" s="64"/>
      <c r="V48" s="64"/>
      <c r="W48" s="60"/>
      <c r="X48" s="90"/>
      <c r="Y48" s="90"/>
      <c r="Z48" s="44"/>
      <c r="AA48" s="79"/>
      <c r="AC48" s="123"/>
    </row>
    <row r="49" spans="3:29" s="124" customFormat="1" ht="11.25">
      <c r="C49" s="33"/>
      <c r="D49" s="26" t="s">
        <v>5</v>
      </c>
      <c r="E49" s="32"/>
      <c r="F49" s="74">
        <f t="shared" ref="F49:J50" si="9">F25</f>
        <v>4</v>
      </c>
      <c r="G49" s="74">
        <f t="shared" si="9"/>
        <v>2</v>
      </c>
      <c r="H49" s="74">
        <f t="shared" si="9"/>
        <v>0</v>
      </c>
      <c r="I49" s="74">
        <f t="shared" si="9"/>
        <v>0</v>
      </c>
      <c r="J49" s="74">
        <f t="shared" si="9"/>
        <v>1</v>
      </c>
      <c r="K49" s="64">
        <f>IFERROR(F49/G49-1,"n/a")</f>
        <v>1</v>
      </c>
      <c r="L49" s="64" t="str">
        <f>IFERROR(F49/H49-1,"n/a")</f>
        <v>n/a</v>
      </c>
      <c r="M49" s="64" t="str">
        <f>IFERROR(F49/I49-1,"n/a")</f>
        <v>n/a</v>
      </c>
      <c r="N49" s="60">
        <f>IFERROR(F49/J49-1,"n/a")</f>
        <v>3</v>
      </c>
      <c r="O49" s="74">
        <f>'July-23'!O49+'Aug-23'!F49</f>
        <v>15</v>
      </c>
      <c r="P49" s="74">
        <f>'July-23'!P49+'Aug-23'!G49</f>
        <v>7</v>
      </c>
      <c r="Q49" s="74">
        <f>'July-23'!Q49+'Aug-23'!H49</f>
        <v>0</v>
      </c>
      <c r="R49" s="74">
        <f>'July-23'!R49+'Aug-23'!I49</f>
        <v>0</v>
      </c>
      <c r="S49" s="74">
        <f>'July-23'!S49+'Aug-23'!J49</f>
        <v>12</v>
      </c>
      <c r="T49" s="120">
        <f>IFERROR(O49/P49-1,"n/a")</f>
        <v>1.1428571428571428</v>
      </c>
      <c r="U49" s="120" t="str">
        <f>IFERROR(O49/Q49-1,"n/a")</f>
        <v>n/a</v>
      </c>
      <c r="V49" s="120" t="str">
        <f>IFERROR(O49/R49-1,"n/a")</f>
        <v>n/a</v>
      </c>
      <c r="W49" s="121">
        <f>IFERROR(O49/S49-1,"n/a")</f>
        <v>0.25</v>
      </c>
      <c r="X49" s="89">
        <v>9</v>
      </c>
      <c r="Y49" s="68">
        <v>0</v>
      </c>
      <c r="Z49" s="68">
        <v>0</v>
      </c>
      <c r="AA49" s="78">
        <v>16</v>
      </c>
      <c r="AC49" s="123"/>
    </row>
    <row r="50" spans="3:29" s="124" customFormat="1" ht="11.25">
      <c r="C50" s="33"/>
      <c r="D50" s="26" t="s">
        <v>11</v>
      </c>
      <c r="E50" s="32"/>
      <c r="F50" s="74">
        <f t="shared" si="9"/>
        <v>6619</v>
      </c>
      <c r="G50" s="74">
        <f t="shared" si="9"/>
        <v>2336</v>
      </c>
      <c r="H50" s="74">
        <f t="shared" si="9"/>
        <v>0</v>
      </c>
      <c r="I50" s="74">
        <f t="shared" si="9"/>
        <v>0</v>
      </c>
      <c r="J50" s="74">
        <f t="shared" si="9"/>
        <v>1298</v>
      </c>
      <c r="K50" s="64">
        <f>IFERROR(F50/G50-1,"n/a")</f>
        <v>1.8334760273972601</v>
      </c>
      <c r="L50" s="64" t="str">
        <f>IFERROR(F50/H50-1,"n/a")</f>
        <v>n/a</v>
      </c>
      <c r="M50" s="64" t="str">
        <f>IFERROR(F50/I50-1,"n/a")</f>
        <v>n/a</v>
      </c>
      <c r="N50" s="60">
        <f>IFERROR(F50/J50-1,"n/a")</f>
        <v>4.0993836671802777</v>
      </c>
      <c r="O50" s="74">
        <f>'July-23'!O50+'Aug-23'!F50</f>
        <v>26394</v>
      </c>
      <c r="P50" s="74">
        <f>'July-23'!P50+'Aug-23'!G50</f>
        <v>11013</v>
      </c>
      <c r="Q50" s="74">
        <f>'July-23'!Q50+'Aug-23'!H50</f>
        <v>0</v>
      </c>
      <c r="R50" s="74">
        <f>'July-23'!R50+'Aug-23'!I50</f>
        <v>0</v>
      </c>
      <c r="S50" s="74">
        <f>'July-23'!S50+'Aug-23'!J50</f>
        <v>15048</v>
      </c>
      <c r="T50" s="120">
        <f>IFERROR(O50/P50-1,"n/a")</f>
        <v>1.3966221737946065</v>
      </c>
      <c r="U50" s="120" t="str">
        <f>IFERROR(O50/Q50-1,"n/a")</f>
        <v>n/a</v>
      </c>
      <c r="V50" s="120" t="str">
        <f>IFERROR(O50/R50-1,"n/a")</f>
        <v>n/a</v>
      </c>
      <c r="W50" s="121">
        <f>IFERROR(O50/S50-1,"n/a")</f>
        <v>0.75398724082934598</v>
      </c>
      <c r="X50" s="82">
        <v>15637</v>
      </c>
      <c r="Y50" s="68">
        <v>0</v>
      </c>
      <c r="Z50" s="68">
        <v>0</v>
      </c>
      <c r="AA50" s="78">
        <v>20248</v>
      </c>
      <c r="AC50" s="123"/>
    </row>
    <row r="51" spans="3:29" s="124" customFormat="1" ht="12" thickBot="1">
      <c r="C51" s="35" t="s">
        <v>12</v>
      </c>
      <c r="D51" s="36"/>
      <c r="E51" s="37"/>
      <c r="F51" s="75">
        <f>F37+F40+F43+F46+F49</f>
        <v>349</v>
      </c>
      <c r="G51" s="75">
        <f t="shared" ref="G51:J52" si="10">G37+G40+G43+G46+G49</f>
        <v>310</v>
      </c>
      <c r="H51" s="75">
        <f t="shared" si="10"/>
        <v>107</v>
      </c>
      <c r="I51" s="75">
        <f t="shared" si="10"/>
        <v>4</v>
      </c>
      <c r="J51" s="75">
        <f t="shared" si="10"/>
        <v>268</v>
      </c>
      <c r="K51" s="66">
        <f>IFERROR(F51/G51-1,"n/a")</f>
        <v>0.12580645161290316</v>
      </c>
      <c r="L51" s="66">
        <f>IFERROR(F51/H51-1,"n/a")</f>
        <v>2.2616822429906542</v>
      </c>
      <c r="M51" s="66">
        <f>IFERROR(F51/I51-1,"n/a")</f>
        <v>86.25</v>
      </c>
      <c r="N51" s="62">
        <f>IFERROR(F51/J51-1,"n/a")</f>
        <v>0.30223880597014929</v>
      </c>
      <c r="O51" s="75">
        <f t="shared" ref="O51:S52" si="11">O37+O40+O43+O46+O49</f>
        <v>1863</v>
      </c>
      <c r="P51" s="75">
        <f t="shared" si="11"/>
        <v>1624</v>
      </c>
      <c r="Q51" s="75">
        <f t="shared" si="11"/>
        <v>216</v>
      </c>
      <c r="R51" s="75">
        <f t="shared" si="11"/>
        <v>48</v>
      </c>
      <c r="S51" s="75">
        <f t="shared" si="11"/>
        <v>1432</v>
      </c>
      <c r="T51" s="66">
        <f>IFERROR(O51/P51-1,"n/a")</f>
        <v>0.14716748768472909</v>
      </c>
      <c r="U51" s="66">
        <f>IFERROR(O51/Q51-1,"n/a")</f>
        <v>7.625</v>
      </c>
      <c r="V51" s="66">
        <f>IFERROR(O51/R51-1,"n/a")</f>
        <v>37.8125</v>
      </c>
      <c r="W51" s="62">
        <f>IFERROR(O51/S51-1,"n/a")</f>
        <v>0.30097765363128492</v>
      </c>
      <c r="X51" s="46">
        <f t="shared" ref="X51:Z52" si="12">X37+X40+X43+X46+X49</f>
        <v>3856</v>
      </c>
      <c r="Y51" s="46">
        <f t="shared" si="12"/>
        <v>1673</v>
      </c>
      <c r="Z51" s="46">
        <f t="shared" si="12"/>
        <v>669</v>
      </c>
      <c r="AA51" s="80">
        <f>AA37+AA40+AA43+AA46+AA49</f>
        <v>3241</v>
      </c>
      <c r="AC51" s="123"/>
    </row>
    <row r="52" spans="3:29" s="124" customFormat="1" ht="12.75" thickTop="1" thickBot="1">
      <c r="C52" s="38" t="s">
        <v>13</v>
      </c>
      <c r="D52" s="39"/>
      <c r="E52" s="40"/>
      <c r="F52" s="76">
        <f>F38+F41+F44+F47+F50</f>
        <v>1250698</v>
      </c>
      <c r="G52" s="76">
        <f t="shared" si="10"/>
        <v>889236</v>
      </c>
      <c r="H52" s="76">
        <f t="shared" si="10"/>
        <v>165520</v>
      </c>
      <c r="I52" s="76">
        <f t="shared" si="10"/>
        <v>2541</v>
      </c>
      <c r="J52" s="76">
        <f t="shared" si="10"/>
        <v>925256</v>
      </c>
      <c r="K52" s="67">
        <f>IFERROR(F52/G52-1,"n/a")</f>
        <v>0.40648601721027933</v>
      </c>
      <c r="L52" s="67">
        <f>IFERROR(F52/H52-1,"n/a")</f>
        <v>6.5561744804253266</v>
      </c>
      <c r="M52" s="67">
        <f>IFERROR(F52/I52-1,"n/a")</f>
        <v>491.20700511609601</v>
      </c>
      <c r="N52" s="63">
        <f>IFERROR(F52/J52-1,"n/a")</f>
        <v>0.35173184502451216</v>
      </c>
      <c r="O52" s="76">
        <f t="shared" si="11"/>
        <v>5622891</v>
      </c>
      <c r="P52" s="76">
        <f t="shared" si="11"/>
        <v>3505336</v>
      </c>
      <c r="Q52" s="76">
        <f t="shared" si="11"/>
        <v>317904</v>
      </c>
      <c r="R52" s="76">
        <f t="shared" si="11"/>
        <v>10835</v>
      </c>
      <c r="S52" s="76">
        <f t="shared" si="11"/>
        <v>4251522</v>
      </c>
      <c r="T52" s="67">
        <f>IFERROR(O52/P52-1,"n/a")</f>
        <v>0.60409472872215386</v>
      </c>
      <c r="U52" s="118">
        <f>IFERROR(O52/Q52-1,"n/a")</f>
        <v>16.687386758266648</v>
      </c>
      <c r="V52" s="118">
        <f>IFERROR(O52/R52-1,"n/a")</f>
        <v>517.9562528841717</v>
      </c>
      <c r="W52" s="119">
        <f>IFERROR(O52/S52-1,"n/a")</f>
        <v>0.32255954455839575</v>
      </c>
      <c r="X52" s="47">
        <f t="shared" si="12"/>
        <v>9237323</v>
      </c>
      <c r="Y52" s="47">
        <f t="shared" si="12"/>
        <v>2410085</v>
      </c>
      <c r="Z52" s="47">
        <f t="shared" si="12"/>
        <v>1324261</v>
      </c>
      <c r="AA52" s="81">
        <f>AA38+AA41+AA44+AA47+AA50</f>
        <v>8638971</v>
      </c>
      <c r="AC52" s="123"/>
    </row>
    <row r="53" spans="3:29" s="124" customFormat="1" ht="12" thickTop="1">
      <c r="AC53" s="123"/>
    </row>
    <row r="54" spans="3:29" s="124" customFormat="1" ht="11.25">
      <c r="P54" s="132"/>
      <c r="Q54" s="132"/>
      <c r="R54" s="132"/>
      <c r="S54" s="132"/>
      <c r="AC54" s="123"/>
    </row>
    <row r="55" spans="3:29">
      <c r="P55" s="111"/>
      <c r="Q55" s="111"/>
      <c r="R55" s="111"/>
      <c r="S55" s="111"/>
      <c r="AC55" s="9"/>
    </row>
    <row r="56" spans="3:29">
      <c r="P56" s="111"/>
      <c r="Q56" s="111"/>
      <c r="R56" s="111"/>
      <c r="S56" s="111"/>
      <c r="AC56" s="9"/>
    </row>
    <row r="57" spans="3:29">
      <c r="P57" s="111"/>
      <c r="Q57" s="111"/>
      <c r="R57" s="111"/>
      <c r="S57" s="111"/>
      <c r="AC57" s="9"/>
    </row>
    <row r="58" spans="3:29">
      <c r="AC58" s="9"/>
    </row>
    <row r="59" spans="3:29">
      <c r="AC59" s="9"/>
    </row>
    <row r="60" spans="3:29">
      <c r="AC60" s="9"/>
    </row>
    <row r="61" spans="3:29" ht="15" customHeight="1"/>
    <row r="62" spans="3:29" ht="15" customHeight="1"/>
    <row r="63" spans="3:29" ht="15" customHeight="1"/>
    <row r="64" spans="3:29" ht="15" customHeight="1"/>
    <row r="65" ht="15" customHeight="1"/>
    <row r="66" ht="15" customHeight="1"/>
  </sheetData>
  <mergeCells count="9">
    <mergeCell ref="F34:N34"/>
    <mergeCell ref="O34:W34"/>
    <mergeCell ref="X34:AA34"/>
    <mergeCell ref="F9:N9"/>
    <mergeCell ref="O9:W9"/>
    <mergeCell ref="X9:AA9"/>
    <mergeCell ref="F33:N33"/>
    <mergeCell ref="O33:W33"/>
    <mergeCell ref="X33:AA33"/>
  </mergeCells>
  <pageMargins left="0.7" right="0.7" top="0.75" bottom="0.75" header="0.3" footer="0.3"/>
  <pageSetup paperSize="9" orientation="portrait" horizontalDpi="0" verticalDpi="0"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6"/>
  <sheetViews>
    <sheetView showGridLines="0" topLeftCell="A9" zoomScaleNormal="100" workbookViewId="0">
      <selection activeCell="G29" sqref="G29"/>
    </sheetView>
  </sheetViews>
  <sheetFormatPr defaultColWidth="0" defaultRowHeight="15" customHeight="1" zeroHeight="1"/>
  <cols>
    <col min="1" max="2" width="4.140625" customWidth="1"/>
    <col min="3" max="3" width="3.85546875" customWidth="1"/>
    <col min="4" max="4" width="8.85546875" customWidth="1"/>
    <col min="5" max="5" width="13" customWidth="1"/>
    <col min="6" max="6" width="11.140625" bestFit="1" customWidth="1"/>
    <col min="7" max="7" width="10.140625" bestFit="1" customWidth="1"/>
    <col min="8" max="9" width="8.85546875" customWidth="1"/>
    <col min="10" max="10" width="10.140625" bestFit="1" customWidth="1"/>
    <col min="11" max="11" width="8" customWidth="1"/>
    <col min="12" max="12" width="8.85546875" bestFit="1" customWidth="1"/>
    <col min="13" max="14" width="8" customWidth="1"/>
    <col min="15" max="15" width="12" bestFit="1" customWidth="1"/>
    <col min="16" max="16" width="11.5703125" bestFit="1" customWidth="1"/>
    <col min="17" max="17" width="10.42578125" bestFit="1" customWidth="1"/>
    <col min="18" max="18" width="11.5703125" bestFit="1" customWidth="1"/>
    <col min="19" max="19" width="11.85546875" bestFit="1" customWidth="1"/>
    <col min="20" max="20" width="9.140625" bestFit="1" customWidth="1"/>
    <col min="21" max="21" width="8.85546875" bestFit="1" customWidth="1"/>
    <col min="22" max="22" width="9" bestFit="1" customWidth="1"/>
    <col min="23" max="23" width="7.85546875" customWidth="1"/>
    <col min="24" max="24" width="13.42578125" bestFit="1" customWidth="1"/>
    <col min="25" max="25" width="13.140625" bestFit="1" customWidth="1"/>
    <col min="26" max="26" width="12.85546875" bestFit="1" customWidth="1"/>
    <col min="27" max="27" width="15.42578125" bestFit="1" customWidth="1"/>
    <col min="28" max="28" width="11.140625" customWidth="1"/>
    <col min="29" max="29" width="3.42578125" customWidth="1"/>
    <col min="30" max="16384" width="8.85546875" hidden="1"/>
  </cols>
  <sheetData>
    <row r="1" spans="1:29">
      <c r="A1" s="9"/>
      <c r="B1" s="9"/>
      <c r="C1" s="9"/>
      <c r="D1" s="9"/>
      <c r="E1" s="9"/>
      <c r="F1" s="9"/>
      <c r="G1" s="9"/>
      <c r="H1" s="9"/>
      <c r="I1" s="9"/>
      <c r="J1" s="9"/>
      <c r="K1" s="9"/>
      <c r="L1" s="9"/>
      <c r="M1" s="9"/>
      <c r="N1" s="9"/>
      <c r="O1" s="9"/>
      <c r="P1" s="9"/>
      <c r="Q1" s="9"/>
      <c r="R1" s="9"/>
      <c r="S1" s="9"/>
      <c r="T1" s="9"/>
      <c r="U1" s="9"/>
      <c r="V1" s="9"/>
      <c r="W1" s="9"/>
      <c r="X1" s="9"/>
      <c r="Y1" s="9"/>
      <c r="Z1" s="9"/>
      <c r="AA1" s="9"/>
      <c r="AB1" s="9"/>
      <c r="AC1" s="9"/>
    </row>
    <row r="2" spans="1:29" ht="31.35" customHeight="1" thickBot="1">
      <c r="A2" s="9"/>
      <c r="B2" s="8" t="s">
        <v>6</v>
      </c>
      <c r="C2" s="23"/>
      <c r="D2" s="23"/>
      <c r="E2" s="23"/>
      <c r="F2" s="23"/>
      <c r="G2" s="23"/>
      <c r="H2" s="23"/>
      <c r="I2" s="23"/>
      <c r="J2" s="23"/>
      <c r="K2" s="23"/>
      <c r="L2" s="23"/>
      <c r="M2" s="23"/>
      <c r="N2" s="23"/>
      <c r="O2" s="23"/>
      <c r="P2" s="23"/>
      <c r="Q2" s="23"/>
      <c r="R2" s="23"/>
      <c r="S2" s="23"/>
      <c r="T2" s="23"/>
      <c r="U2" s="23"/>
      <c r="V2" s="23"/>
      <c r="W2" s="23"/>
      <c r="X2" s="23"/>
      <c r="Y2" s="23"/>
      <c r="Z2" s="23"/>
      <c r="AA2" s="23"/>
      <c r="AB2" s="24"/>
      <c r="AC2" s="9"/>
    </row>
    <row r="3" spans="1:29">
      <c r="A3" s="9"/>
      <c r="B3" s="10"/>
      <c r="C3" s="24"/>
      <c r="D3" s="24"/>
      <c r="E3" s="24"/>
      <c r="F3" s="24"/>
      <c r="G3" s="24"/>
      <c r="H3" s="24"/>
      <c r="I3" s="24"/>
      <c r="J3" s="24"/>
      <c r="K3" s="24"/>
      <c r="L3" s="24"/>
      <c r="M3" s="24"/>
      <c r="N3" s="24"/>
      <c r="O3" s="24"/>
      <c r="P3" s="24"/>
      <c r="Q3" s="24"/>
      <c r="R3" s="24"/>
      <c r="S3" s="24"/>
      <c r="T3" s="24"/>
      <c r="U3" s="24"/>
      <c r="V3" s="24"/>
      <c r="W3" s="24"/>
      <c r="X3" s="24"/>
      <c r="Y3" s="24"/>
      <c r="Z3" s="24"/>
      <c r="AA3" s="25">
        <v>45153</v>
      </c>
      <c r="AB3" s="25"/>
      <c r="AC3" s="9"/>
    </row>
    <row r="4" spans="1:29" ht="15.75">
      <c r="A4" s="9"/>
      <c r="B4" s="11" t="s">
        <v>7</v>
      </c>
      <c r="C4" s="26"/>
      <c r="D4" s="24"/>
      <c r="E4" s="58" t="s">
        <v>125</v>
      </c>
      <c r="F4" s="24"/>
      <c r="G4" s="24"/>
      <c r="H4" s="24"/>
      <c r="I4" s="24"/>
      <c r="J4" s="24"/>
      <c r="K4" s="24"/>
      <c r="L4" s="24"/>
      <c r="M4" s="24"/>
      <c r="N4" s="24"/>
      <c r="O4" s="24"/>
      <c r="P4" s="24"/>
      <c r="Q4" s="24"/>
      <c r="R4" s="24"/>
      <c r="S4" s="24"/>
      <c r="T4" s="24"/>
      <c r="U4" s="24"/>
      <c r="V4" s="24"/>
      <c r="W4" s="24"/>
      <c r="X4" s="24"/>
      <c r="Y4" s="24"/>
      <c r="Z4" s="24"/>
      <c r="AA4" s="24"/>
      <c r="AB4" s="24"/>
      <c r="AC4" s="9"/>
    </row>
    <row r="5" spans="1:29">
      <c r="A5" s="9"/>
      <c r="B5" s="10"/>
      <c r="C5" s="24"/>
      <c r="D5" s="24"/>
      <c r="E5" s="24"/>
      <c r="F5" s="24"/>
      <c r="G5" s="24"/>
      <c r="H5" s="24"/>
      <c r="I5" s="24"/>
      <c r="J5" s="24"/>
      <c r="K5" s="24"/>
      <c r="L5" s="24"/>
      <c r="M5" s="24"/>
      <c r="N5" s="24"/>
      <c r="O5" s="24"/>
      <c r="P5" s="24"/>
      <c r="Q5" s="24"/>
      <c r="R5" s="24"/>
      <c r="S5" s="24"/>
      <c r="T5" s="24"/>
      <c r="U5" s="24"/>
      <c r="V5" s="24"/>
      <c r="W5" s="24"/>
      <c r="X5" s="24"/>
      <c r="Y5" s="24"/>
      <c r="Z5" s="24"/>
      <c r="AA5" s="24"/>
      <c r="AB5" s="24"/>
      <c r="AC5" s="9"/>
    </row>
    <row r="6" spans="1:29">
      <c r="A6" s="9"/>
      <c r="B6" s="10"/>
      <c r="C6" s="24"/>
      <c r="D6" s="24"/>
      <c r="E6" s="24"/>
      <c r="F6" s="24"/>
      <c r="G6" s="24"/>
      <c r="H6" s="24"/>
      <c r="I6" s="24"/>
      <c r="J6" s="24"/>
      <c r="K6" s="24"/>
      <c r="L6" s="24"/>
      <c r="M6" s="24"/>
      <c r="N6" s="24"/>
      <c r="O6" s="24"/>
      <c r="P6" s="24"/>
      <c r="Q6" s="24"/>
      <c r="R6" s="24"/>
      <c r="S6" s="24"/>
      <c r="T6" s="24"/>
      <c r="U6" s="24"/>
      <c r="V6" s="24"/>
      <c r="W6" s="24"/>
      <c r="X6" s="24"/>
      <c r="Y6" s="24"/>
      <c r="Z6" s="24"/>
      <c r="AA6" s="24"/>
      <c r="AB6" s="24"/>
      <c r="AC6" s="9"/>
    </row>
    <row r="7" spans="1:29">
      <c r="A7" s="9"/>
      <c r="B7" s="10"/>
      <c r="C7" s="86" t="s">
        <v>62</v>
      </c>
      <c r="D7" s="24"/>
      <c r="E7" s="24"/>
      <c r="F7" s="24"/>
      <c r="G7" s="24"/>
      <c r="H7" s="24"/>
      <c r="I7" s="24"/>
      <c r="J7" s="24"/>
      <c r="K7" s="24"/>
      <c r="L7" s="24"/>
      <c r="M7" s="24"/>
      <c r="N7" s="24"/>
      <c r="O7" s="24"/>
      <c r="P7" s="24"/>
      <c r="Q7" s="24"/>
      <c r="R7" s="24"/>
      <c r="S7" s="24"/>
      <c r="T7" s="24"/>
      <c r="U7" s="24"/>
      <c r="V7" s="24"/>
      <c r="W7" s="24"/>
      <c r="X7" s="24"/>
      <c r="Y7" s="24"/>
      <c r="Z7" s="24"/>
      <c r="AA7" s="24"/>
      <c r="AB7" s="24"/>
      <c r="AC7" s="9"/>
    </row>
    <row r="8" spans="1:29">
      <c r="A8" s="9"/>
      <c r="B8" s="10"/>
      <c r="C8" s="24"/>
      <c r="D8" s="24"/>
      <c r="E8" s="24"/>
      <c r="F8" s="24"/>
      <c r="G8" s="24"/>
      <c r="H8" s="24"/>
      <c r="I8" s="24"/>
      <c r="J8" s="24"/>
      <c r="K8" s="24"/>
      <c r="L8" s="24"/>
      <c r="M8" s="24"/>
      <c r="N8" s="24"/>
      <c r="O8" s="24"/>
      <c r="P8" s="24"/>
      <c r="Q8" s="24"/>
      <c r="R8" s="24"/>
      <c r="S8" s="24"/>
      <c r="T8" s="24"/>
      <c r="U8" s="24"/>
      <c r="V8" s="24"/>
      <c r="W8" s="24"/>
      <c r="X8" s="24"/>
      <c r="Y8" s="24"/>
      <c r="Z8" s="24"/>
      <c r="AA8" s="24"/>
      <c r="AB8" s="24"/>
      <c r="AC8" s="9"/>
    </row>
    <row r="9" spans="1:29" s="124" customFormat="1" ht="11.25">
      <c r="A9" s="123"/>
      <c r="C9" s="27" t="s">
        <v>7</v>
      </c>
      <c r="D9" s="28"/>
      <c r="E9" s="28"/>
      <c r="F9" s="158" t="s">
        <v>55</v>
      </c>
      <c r="G9" s="158"/>
      <c r="H9" s="158"/>
      <c r="I9" s="158"/>
      <c r="J9" s="158"/>
      <c r="K9" s="158"/>
      <c r="L9" s="158"/>
      <c r="M9" s="158"/>
      <c r="N9" s="159"/>
      <c r="O9" s="157" t="s">
        <v>126</v>
      </c>
      <c r="P9" s="158"/>
      <c r="Q9" s="158"/>
      <c r="R9" s="158"/>
      <c r="S9" s="158"/>
      <c r="T9" s="158"/>
      <c r="U9" s="158"/>
      <c r="V9" s="158"/>
      <c r="W9" s="159"/>
      <c r="X9" s="157" t="s">
        <v>57</v>
      </c>
      <c r="Y9" s="158"/>
      <c r="Z9" s="158"/>
      <c r="AA9" s="160"/>
      <c r="AB9" s="123"/>
      <c r="AC9" s="123"/>
    </row>
    <row r="10" spans="1:29" s="124" customFormat="1" ht="13.5">
      <c r="A10" s="123"/>
      <c r="B10" s="125"/>
      <c r="C10" s="29"/>
      <c r="D10" s="30"/>
      <c r="E10" s="30"/>
      <c r="F10" s="29"/>
      <c r="G10" s="30"/>
      <c r="H10" s="30"/>
      <c r="I10" s="30"/>
      <c r="J10" s="30"/>
      <c r="K10" s="30"/>
      <c r="L10" s="30"/>
      <c r="M10" s="30"/>
      <c r="N10" s="56"/>
      <c r="O10" s="30"/>
      <c r="P10" s="30"/>
      <c r="Q10" s="30"/>
      <c r="R10" s="30"/>
      <c r="S10" s="30"/>
      <c r="T10" s="30"/>
      <c r="U10" s="30"/>
      <c r="V10" s="30"/>
      <c r="W10" s="56"/>
      <c r="X10" s="30"/>
      <c r="Y10" s="30"/>
      <c r="Z10" s="30"/>
      <c r="AA10" s="56"/>
      <c r="AB10" s="123"/>
      <c r="AC10" s="123"/>
    </row>
    <row r="11" spans="1:29" s="124" customFormat="1" ht="26.1" customHeight="1">
      <c r="A11" s="126"/>
      <c r="B11" s="127"/>
      <c r="C11" s="59" t="s">
        <v>29</v>
      </c>
      <c r="D11" s="50"/>
      <c r="E11" s="51"/>
      <c r="F11" s="55">
        <v>2023</v>
      </c>
      <c r="G11" s="52">
        <v>2022</v>
      </c>
      <c r="H11" s="52">
        <v>2021</v>
      </c>
      <c r="I11" s="52">
        <v>2020</v>
      </c>
      <c r="J11" s="52">
        <v>2019</v>
      </c>
      <c r="K11" s="53" t="s">
        <v>66</v>
      </c>
      <c r="L11" s="53" t="s">
        <v>67</v>
      </c>
      <c r="M11" s="53" t="s">
        <v>68</v>
      </c>
      <c r="N11" s="57" t="s">
        <v>101</v>
      </c>
      <c r="O11" s="53">
        <v>2023</v>
      </c>
      <c r="P11" s="53">
        <v>2022</v>
      </c>
      <c r="Q11" s="52">
        <v>2021</v>
      </c>
      <c r="R11" s="52">
        <v>2020</v>
      </c>
      <c r="S11" s="52">
        <v>2019</v>
      </c>
      <c r="T11" s="53" t="s">
        <v>66</v>
      </c>
      <c r="U11" s="53" t="s">
        <v>67</v>
      </c>
      <c r="V11" s="53" t="s">
        <v>68</v>
      </c>
      <c r="W11" s="57" t="s">
        <v>101</v>
      </c>
      <c r="X11" s="53">
        <v>2022</v>
      </c>
      <c r="Y11" s="53">
        <v>2021</v>
      </c>
      <c r="Z11" s="52">
        <v>2020</v>
      </c>
      <c r="AA11" s="77">
        <v>2019</v>
      </c>
      <c r="AB11" s="126"/>
      <c r="AC11" s="126"/>
    </row>
    <row r="12" spans="1:29" s="124" customFormat="1" ht="12.75">
      <c r="A12" s="123"/>
      <c r="B12" s="128"/>
      <c r="C12" s="31" t="s">
        <v>108</v>
      </c>
      <c r="D12" s="26"/>
      <c r="E12" s="32"/>
      <c r="F12" s="26"/>
      <c r="G12" s="26"/>
      <c r="H12" s="26"/>
      <c r="I12" s="26"/>
      <c r="J12" s="26"/>
      <c r="K12" s="26"/>
      <c r="L12" s="26"/>
      <c r="M12" s="26"/>
      <c r="N12" s="32"/>
      <c r="O12" s="26"/>
      <c r="P12" s="26"/>
      <c r="Q12" s="26"/>
      <c r="R12" s="26"/>
      <c r="S12" s="26"/>
      <c r="T12" s="26"/>
      <c r="U12" s="26"/>
      <c r="V12" s="26"/>
      <c r="W12" s="32"/>
      <c r="X12" s="26"/>
      <c r="Y12" s="26"/>
      <c r="Z12" s="26"/>
      <c r="AA12" s="32"/>
      <c r="AB12" s="123"/>
      <c r="AC12" s="123"/>
    </row>
    <row r="13" spans="1:29" s="124" customFormat="1" ht="12.75">
      <c r="A13" s="123"/>
      <c r="B13" s="128"/>
      <c r="C13" s="33"/>
      <c r="D13" s="26" t="s">
        <v>5</v>
      </c>
      <c r="E13" s="32"/>
      <c r="F13" s="73">
        <v>105</v>
      </c>
      <c r="G13" s="71">
        <v>84</v>
      </c>
      <c r="H13" s="71">
        <v>28</v>
      </c>
      <c r="I13" s="71">
        <v>0</v>
      </c>
      <c r="J13" s="71">
        <v>101</v>
      </c>
      <c r="K13" s="64">
        <f>IFERROR(F13/G13-1,"n/a")</f>
        <v>0.25</v>
      </c>
      <c r="L13" s="64">
        <f t="shared" ref="L13:L28" si="0">IFERROR(F13/H13-1,"n/a")</f>
        <v>2.75</v>
      </c>
      <c r="M13" s="64" t="str">
        <f>IFERROR(F13/I13-1,"n/a")</f>
        <v>n/a</v>
      </c>
      <c r="N13" s="60">
        <f>IFERROR(F13/J13-1,"n/a")</f>
        <v>3.9603960396039639E-2</v>
      </c>
      <c r="O13" s="68">
        <f>'June-23'!O13+'July-23'!F13</f>
        <v>958</v>
      </c>
      <c r="P13" s="68">
        <f>'June-23'!$P$13+G13</f>
        <v>910</v>
      </c>
      <c r="Q13" s="68">
        <f>'June-23'!Q13+'July-23'!H13</f>
        <v>28</v>
      </c>
      <c r="R13" s="68">
        <f>'June-23'!R13+'July-23'!I13</f>
        <v>551</v>
      </c>
      <c r="S13" s="68">
        <f>'June-23'!S13+'July-23'!J13</f>
        <v>926</v>
      </c>
      <c r="T13" s="64">
        <f>IFERROR(O13/P13-1,"n/a")</f>
        <v>5.2747252747252782E-2</v>
      </c>
      <c r="U13" s="64">
        <f>IFERROR(O13/Q13-1,"n/a")</f>
        <v>33.214285714285715</v>
      </c>
      <c r="V13" s="64">
        <f>IFERROR(O13/R13-1,"n/a")</f>
        <v>0.73865698729582574</v>
      </c>
      <c r="W13" s="60">
        <f>IFERROR(O13/S13-1,"n/a")</f>
        <v>3.4557235421166288E-2</v>
      </c>
      <c r="X13" s="68">
        <v>1486</v>
      </c>
      <c r="Y13" s="68">
        <v>522</v>
      </c>
      <c r="Z13" s="70">
        <v>551</v>
      </c>
      <c r="AA13" s="78">
        <v>1591</v>
      </c>
      <c r="AB13" s="123"/>
      <c r="AC13" s="123"/>
    </row>
    <row r="14" spans="1:29" s="124" customFormat="1" ht="12.75">
      <c r="A14" s="123"/>
      <c r="B14" s="128"/>
      <c r="C14" s="33"/>
      <c r="D14" s="26" t="s">
        <v>11</v>
      </c>
      <c r="E14" s="32"/>
      <c r="F14" s="73">
        <v>396404</v>
      </c>
      <c r="G14" s="71">
        <v>292122</v>
      </c>
      <c r="H14" s="71">
        <v>30914</v>
      </c>
      <c r="I14" s="71">
        <v>0</v>
      </c>
      <c r="J14" s="71">
        <v>332464</v>
      </c>
      <c r="K14" s="64">
        <f>IFERROR(F14/G14-1,"n/a")</f>
        <v>0.35698098739567707</v>
      </c>
      <c r="L14" s="64">
        <f t="shared" si="0"/>
        <v>11.822798731966099</v>
      </c>
      <c r="M14" s="64" t="str">
        <f>IFERROR(F14/I14-1,"n/a")</f>
        <v>n/a</v>
      </c>
      <c r="N14" s="60">
        <f>IFERROR(F14/J14-1,"n/a")</f>
        <v>0.19232157466673083</v>
      </c>
      <c r="O14" s="68">
        <f>'June-23'!$O$14+F14</f>
        <v>3097466</v>
      </c>
      <c r="P14" s="68">
        <f>'June-23'!P14+'July-23'!G14</f>
        <v>1836211</v>
      </c>
      <c r="Q14" s="68">
        <f>'June-23'!Q14+'July-23'!H14</f>
        <v>30914</v>
      </c>
      <c r="R14" s="68">
        <f>'June-23'!R14+'July-23'!I14</f>
        <v>1092884</v>
      </c>
      <c r="S14" s="68">
        <f>'June-23'!S14+'July-23'!J14</f>
        <v>2783719</v>
      </c>
      <c r="T14" s="64">
        <f>IFERROR(O14/P14-1,"n/a")</f>
        <v>0.68687912227952008</v>
      </c>
      <c r="U14" s="64">
        <f>IFERROR(O14/Q14-1,"n/a")</f>
        <v>99.196221776541378</v>
      </c>
      <c r="V14" s="64">
        <f>IFERROR(O14/R14-1,"n/a")</f>
        <v>1.8342129631324093</v>
      </c>
      <c r="W14" s="60">
        <f>IFERROR(O14/S14-1,"n/a")</f>
        <v>0.11270785592942389</v>
      </c>
      <c r="X14" s="68">
        <v>3592413</v>
      </c>
      <c r="Y14" s="68">
        <v>768312</v>
      </c>
      <c r="Z14" s="70">
        <v>1092884</v>
      </c>
      <c r="AA14" s="78">
        <v>4592479</v>
      </c>
      <c r="AB14" s="123"/>
      <c r="AC14" s="123"/>
    </row>
    <row r="15" spans="1:29" s="124" customFormat="1" ht="12.75">
      <c r="A15" s="123"/>
      <c r="B15" s="128"/>
      <c r="C15" s="31" t="s">
        <v>109</v>
      </c>
      <c r="D15" s="26"/>
      <c r="E15" s="32"/>
      <c r="F15" s="97"/>
      <c r="G15" s="26"/>
      <c r="H15" s="26"/>
      <c r="I15" s="26"/>
      <c r="J15" s="26"/>
      <c r="K15" s="64"/>
      <c r="L15" s="64"/>
      <c r="M15" s="64"/>
      <c r="N15" s="61"/>
      <c r="O15" s="87"/>
      <c r="P15" s="87"/>
      <c r="Q15" s="87"/>
      <c r="R15" s="87"/>
      <c r="S15" s="87"/>
      <c r="T15" s="64"/>
      <c r="U15" s="64"/>
      <c r="V15" s="65"/>
      <c r="W15" s="61"/>
      <c r="X15" s="43"/>
      <c r="Y15" s="43"/>
      <c r="Z15" s="44"/>
      <c r="AA15" s="79"/>
      <c r="AB15" s="123"/>
      <c r="AC15" s="123"/>
    </row>
    <row r="16" spans="1:29" s="124" customFormat="1" ht="12.75">
      <c r="A16" s="123"/>
      <c r="B16" s="128"/>
      <c r="C16" s="33"/>
      <c r="D16" s="26" t="s">
        <v>5</v>
      </c>
      <c r="E16" s="32"/>
      <c r="F16" s="74">
        <v>70</v>
      </c>
      <c r="G16" s="71">
        <v>61</v>
      </c>
      <c r="H16" s="71">
        <v>22</v>
      </c>
      <c r="I16" s="71">
        <v>0</v>
      </c>
      <c r="J16" s="71">
        <v>59</v>
      </c>
      <c r="K16" s="64">
        <f>IFERROR(F16/G16-1,"n/a")</f>
        <v>0.14754098360655732</v>
      </c>
      <c r="L16" s="64">
        <f t="shared" si="0"/>
        <v>2.1818181818181817</v>
      </c>
      <c r="M16" s="64" t="str">
        <f>IFERROR(F16/I16-1,"n/a")</f>
        <v>n/a</v>
      </c>
      <c r="N16" s="60">
        <f>IFERROR(F16/J16-1,"n/a")</f>
        <v>0.18644067796610164</v>
      </c>
      <c r="O16" s="68">
        <f>'June-23'!$O$16+F16</f>
        <v>286</v>
      </c>
      <c r="P16" s="68">
        <f>'June-23'!P16+'July-23'!G16</f>
        <v>313</v>
      </c>
      <c r="Q16" s="68">
        <f>'June-23'!Q16+'July-23'!H16</f>
        <v>73</v>
      </c>
      <c r="R16" s="68">
        <f>'June-23'!R16+'July-23'!I16</f>
        <v>10</v>
      </c>
      <c r="S16" s="68">
        <f>'June-23'!S16+'July-23'!J16</f>
        <v>275</v>
      </c>
      <c r="T16" s="64">
        <f>IFERROR(O16/P16-1,"n/a")</f>
        <v>-8.6261980830670937E-2</v>
      </c>
      <c r="U16" s="64">
        <f>IFERROR(O16/Q16-1,"n/a")</f>
        <v>2.9178082191780823</v>
      </c>
      <c r="V16" s="64">
        <f>IFERROR(O16/R16-1,"n/a")</f>
        <v>27.6</v>
      </c>
      <c r="W16" s="60">
        <f>IFERROR(O16/S16-1,"n/a")</f>
        <v>4.0000000000000036E-2</v>
      </c>
      <c r="X16" s="68">
        <v>572</v>
      </c>
      <c r="Y16" s="68">
        <v>202</v>
      </c>
      <c r="Z16" s="70">
        <v>54</v>
      </c>
      <c r="AA16" s="78">
        <v>586</v>
      </c>
      <c r="AB16" s="123"/>
      <c r="AC16" s="123"/>
    </row>
    <row r="17" spans="1:29" s="124" customFormat="1" ht="12.75">
      <c r="A17" s="123"/>
      <c r="B17" s="128"/>
      <c r="C17" s="33"/>
      <c r="D17" s="26" t="s">
        <v>11</v>
      </c>
      <c r="E17" s="32"/>
      <c r="F17" s="74">
        <v>269629</v>
      </c>
      <c r="G17" s="71">
        <v>133693</v>
      </c>
      <c r="H17" s="71">
        <v>37562</v>
      </c>
      <c r="I17" s="71">
        <v>0</v>
      </c>
      <c r="J17" s="71">
        <v>174121</v>
      </c>
      <c r="K17" s="64">
        <f>IFERROR(F17/G17-1,"n/a")</f>
        <v>1.0167772433859663</v>
      </c>
      <c r="L17" s="64">
        <f t="shared" si="0"/>
        <v>6.1782386454395404</v>
      </c>
      <c r="M17" s="64" t="str">
        <f>IFERROR(F17/I17-1,"n/a")</f>
        <v>n/a</v>
      </c>
      <c r="N17" s="60">
        <f>IFERROR(F17/J17-1,"n/a")</f>
        <v>0.54851511305356615</v>
      </c>
      <c r="O17" s="68">
        <f>'June-23'!O17+'July-23'!F17</f>
        <v>846007</v>
      </c>
      <c r="P17" s="68">
        <f>'June-23'!P17+'July-23'!G17</f>
        <v>434255</v>
      </c>
      <c r="Q17" s="68">
        <f>'June-23'!Q17+'July-23'!H17</f>
        <v>102629</v>
      </c>
      <c r="R17" s="68">
        <f>'June-23'!R17+'July-23'!I17</f>
        <v>41113</v>
      </c>
      <c r="S17" s="68">
        <f>'June-23'!S17+'July-23'!J17</f>
        <v>732624</v>
      </c>
      <c r="T17" s="64">
        <f>IFERROR(O17/P17-1,"n/a")</f>
        <v>0.94818021669295693</v>
      </c>
      <c r="U17" s="64">
        <f>IFERROR(O17/Q17-1,"n/a")</f>
        <v>7.2433522688518845</v>
      </c>
      <c r="V17" s="64">
        <f>IFERROR(O17/R17-1,"n/a")</f>
        <v>19.57760319120473</v>
      </c>
      <c r="W17" s="60">
        <f>IFERROR(O17/S17-1,"n/a")</f>
        <v>0.15476287973093972</v>
      </c>
      <c r="X17" s="68">
        <v>965963</v>
      </c>
      <c r="Y17" s="68">
        <v>301521</v>
      </c>
      <c r="Z17" s="70">
        <v>70675</v>
      </c>
      <c r="AA17" s="78">
        <v>1400932</v>
      </c>
      <c r="AB17" s="123"/>
      <c r="AC17" s="123"/>
    </row>
    <row r="18" spans="1:29" s="124" customFormat="1" ht="12.75">
      <c r="A18" s="123"/>
      <c r="B18" s="128"/>
      <c r="C18" s="31" t="s">
        <v>110</v>
      </c>
      <c r="D18" s="26"/>
      <c r="E18" s="32"/>
      <c r="F18" s="72"/>
      <c r="G18" s="72"/>
      <c r="H18" s="72"/>
      <c r="I18" s="72"/>
      <c r="J18" s="72"/>
      <c r="K18" s="64"/>
      <c r="L18" s="64"/>
      <c r="M18" s="64"/>
      <c r="N18" s="60"/>
      <c r="O18" s="87"/>
      <c r="P18" s="87"/>
      <c r="Q18" s="87"/>
      <c r="R18" s="87"/>
      <c r="S18" s="87"/>
      <c r="T18" s="64"/>
      <c r="U18" s="64"/>
      <c r="V18" s="64"/>
      <c r="W18" s="60"/>
      <c r="X18" s="43"/>
      <c r="Y18" s="43"/>
      <c r="Z18" s="44"/>
      <c r="AA18" s="79"/>
      <c r="AB18" s="123"/>
      <c r="AC18" s="123"/>
    </row>
    <row r="19" spans="1:29" s="124" customFormat="1" ht="12.75">
      <c r="A19" s="123"/>
      <c r="B19" s="128"/>
      <c r="C19" s="33"/>
      <c r="D19" s="26" t="s">
        <v>5</v>
      </c>
      <c r="E19" s="32"/>
      <c r="F19" s="73">
        <v>93</v>
      </c>
      <c r="G19" s="71">
        <v>88</v>
      </c>
      <c r="H19" s="71">
        <v>3</v>
      </c>
      <c r="I19" s="71">
        <v>2</v>
      </c>
      <c r="J19" s="71">
        <v>50</v>
      </c>
      <c r="K19" s="64">
        <f>IFERROR(F19/G19-1,"n/a")</f>
        <v>5.6818181818181879E-2</v>
      </c>
      <c r="L19" s="64">
        <f t="shared" si="0"/>
        <v>30</v>
      </c>
      <c r="M19" s="64">
        <f>IFERROR(F19/I19-1,"n/a")</f>
        <v>45.5</v>
      </c>
      <c r="N19" s="60">
        <f>IFERROR(F19/J19-1,"n/a")</f>
        <v>0.8600000000000001</v>
      </c>
      <c r="O19" s="68">
        <f>'June-23'!O19+'July-23'!F19</f>
        <v>349</v>
      </c>
      <c r="P19" s="68">
        <f>'June-23'!P19+'July-23'!G19</f>
        <v>317</v>
      </c>
      <c r="Q19" s="68">
        <f>'June-23'!Q19+'July-23'!H19</f>
        <v>6</v>
      </c>
      <c r="R19" s="68">
        <f>'June-23'!R19+'July-23'!I19</f>
        <v>5</v>
      </c>
      <c r="S19" s="68">
        <f>'June-23'!S19+'July-23'!J19</f>
        <v>156</v>
      </c>
      <c r="T19" s="64">
        <f>IFERROR(O19/P19-1,"n/a")</f>
        <v>0.10094637223974767</v>
      </c>
      <c r="U19" s="64">
        <f>IFERROR(O19/Q19-1,"n/a")</f>
        <v>57.166666666666664</v>
      </c>
      <c r="V19" s="64">
        <f>IFERROR(O19/R19-1,"n/a")</f>
        <v>68.8</v>
      </c>
      <c r="W19" s="60">
        <f>IFERROR(O19/S19-1,"n/a")</f>
        <v>1.2371794871794872</v>
      </c>
      <c r="X19" s="68">
        <v>658</v>
      </c>
      <c r="Y19" s="68">
        <v>47</v>
      </c>
      <c r="Z19" s="70">
        <v>9</v>
      </c>
      <c r="AA19" s="78">
        <v>290</v>
      </c>
      <c r="AB19" s="123"/>
      <c r="AC19" s="123"/>
    </row>
    <row r="20" spans="1:29" s="124" customFormat="1" ht="12.75">
      <c r="A20" s="123"/>
      <c r="B20" s="128"/>
      <c r="C20" s="33"/>
      <c r="D20" s="26" t="s">
        <v>11</v>
      </c>
      <c r="E20" s="32"/>
      <c r="F20" s="73">
        <v>203881</v>
      </c>
      <c r="G20" s="71">
        <v>138433</v>
      </c>
      <c r="H20" s="71">
        <v>468</v>
      </c>
      <c r="I20" s="71">
        <v>6081</v>
      </c>
      <c r="J20" s="71">
        <v>97604</v>
      </c>
      <c r="K20" s="64">
        <f>IFERROR(F20/G20-1,"n/a")</f>
        <v>0.47277744468443217</v>
      </c>
      <c r="L20" s="64">
        <f t="shared" si="0"/>
        <v>434.64316239316241</v>
      </c>
      <c r="M20" s="64">
        <f>IFERROR(F20/I20-1,"n/a")</f>
        <v>32.527544811708601</v>
      </c>
      <c r="N20" s="60">
        <f t="shared" ref="N20:N28" si="1">IFERROR(F20/J20-1,"n/a")</f>
        <v>1.0888590631531496</v>
      </c>
      <c r="O20" s="68">
        <f>'June-23'!O20+'July-23'!F20</f>
        <v>597661</v>
      </c>
      <c r="P20" s="68">
        <f>'June-23'!P20+'July-23'!G20</f>
        <v>381024</v>
      </c>
      <c r="Q20" s="68">
        <f>'June-23'!Q20+'July-23'!H20</f>
        <v>468</v>
      </c>
      <c r="R20" s="68">
        <f>'June-23'!R20+'July-23'!I20</f>
        <v>10047</v>
      </c>
      <c r="S20" s="68">
        <f>'June-23'!S20+'July-23'!J20</f>
        <v>284386</v>
      </c>
      <c r="T20" s="64">
        <f>IFERROR(O20/P20-1,"n/a")</f>
        <v>0.56856523473586962</v>
      </c>
      <c r="U20" s="64">
        <f>IFERROR(O20/Q20-1,"n/a")</f>
        <v>1276.0534188034187</v>
      </c>
      <c r="V20" s="64">
        <f>IFERROR(O20/R20-1,"n/a")</f>
        <v>58.48651338708072</v>
      </c>
      <c r="W20" s="60">
        <f>IFERROR(O20/S20-1,"n/a")</f>
        <v>1.1015837629137861</v>
      </c>
      <c r="X20" s="68">
        <v>887495</v>
      </c>
      <c r="Y20" s="68">
        <v>17541</v>
      </c>
      <c r="Z20" s="70">
        <v>10047</v>
      </c>
      <c r="AA20" s="78">
        <v>585930</v>
      </c>
      <c r="AB20" s="123"/>
      <c r="AC20" s="123"/>
    </row>
    <row r="21" spans="1:29" s="124" customFormat="1" ht="12.75">
      <c r="A21" s="123"/>
      <c r="B21" s="128"/>
      <c r="C21" s="31" t="s">
        <v>111</v>
      </c>
      <c r="D21" s="26"/>
      <c r="E21" s="34"/>
      <c r="F21" s="72"/>
      <c r="G21" s="72"/>
      <c r="H21" s="72"/>
      <c r="I21" s="72"/>
      <c r="J21" s="72"/>
      <c r="K21" s="64"/>
      <c r="L21" s="64"/>
      <c r="M21" s="64"/>
      <c r="N21" s="60"/>
      <c r="O21" s="87"/>
      <c r="P21" s="87"/>
      <c r="Q21" s="87"/>
      <c r="R21" s="87"/>
      <c r="S21" s="87"/>
      <c r="T21" s="64"/>
      <c r="U21" s="64"/>
      <c r="V21" s="64"/>
      <c r="W21" s="60"/>
      <c r="X21" s="43"/>
      <c r="Y21" s="43"/>
      <c r="Z21" s="44"/>
      <c r="AA21" s="79"/>
      <c r="AB21" s="123"/>
      <c r="AC21" s="123"/>
    </row>
    <row r="22" spans="1:29" s="124" customFormat="1" ht="12.75">
      <c r="A22" s="123"/>
      <c r="B22" s="128"/>
      <c r="C22" s="33"/>
      <c r="D22" s="26" t="s">
        <v>5</v>
      </c>
      <c r="E22" s="34"/>
      <c r="F22" s="74">
        <v>82</v>
      </c>
      <c r="G22" s="71">
        <v>75</v>
      </c>
      <c r="H22" s="71">
        <v>10</v>
      </c>
      <c r="I22" s="71">
        <v>0</v>
      </c>
      <c r="J22" s="71">
        <v>68</v>
      </c>
      <c r="K22" s="64">
        <f>IFERROR(F22/G22-1,"n/a")</f>
        <v>9.3333333333333268E-2</v>
      </c>
      <c r="L22" s="64">
        <f t="shared" si="0"/>
        <v>7.1999999999999993</v>
      </c>
      <c r="M22" s="64" t="str">
        <f>IFERROR(F22/I22-1,"n/a")</f>
        <v>n/a</v>
      </c>
      <c r="N22" s="60">
        <f t="shared" si="1"/>
        <v>0.20588235294117641</v>
      </c>
      <c r="O22" s="68">
        <f>'June-23'!O22+'July-23'!F22</f>
        <v>777</v>
      </c>
      <c r="P22" s="68">
        <f>'June-23'!P22+'July-23'!G22</f>
        <v>400</v>
      </c>
      <c r="Q22" s="68">
        <f>'June-23'!Q22+'July-23'!H22</f>
        <v>14</v>
      </c>
      <c r="R22" s="68">
        <f>'June-23'!R22+'July-23'!I22</f>
        <v>205</v>
      </c>
      <c r="S22" s="68">
        <f>'June-23'!S22+'July-23'!J22</f>
        <v>664</v>
      </c>
      <c r="T22" s="64">
        <f>IFERROR(O22/P22-1,"n/a")</f>
        <v>0.94249999999999989</v>
      </c>
      <c r="U22" s="64">
        <f>IFERROR(O22/Q22-1,"n/a")</f>
        <v>54.5</v>
      </c>
      <c r="V22" s="64">
        <f>IFERROR(O22/R22-1,"n/a")</f>
        <v>2.7902439024390242</v>
      </c>
      <c r="W22" s="60">
        <f>IFERROR(O22/S22-1,"n/a")</f>
        <v>0.17018072289156616</v>
      </c>
      <c r="X22" s="68">
        <v>895</v>
      </c>
      <c r="Y22" s="68">
        <v>283</v>
      </c>
      <c r="Z22" s="70">
        <v>43</v>
      </c>
      <c r="AA22" s="78">
        <v>827</v>
      </c>
      <c r="AB22" s="123"/>
      <c r="AC22" s="123"/>
    </row>
    <row r="23" spans="1:29" s="124" customFormat="1" ht="12.75">
      <c r="A23" s="123"/>
      <c r="B23" s="128"/>
      <c r="C23" s="33"/>
      <c r="D23" s="26" t="s">
        <v>11</v>
      </c>
      <c r="E23" s="32"/>
      <c r="F23" s="73">
        <v>395689</v>
      </c>
      <c r="G23" s="71">
        <v>287462</v>
      </c>
      <c r="H23" s="71">
        <v>23553</v>
      </c>
      <c r="I23" s="71">
        <v>0</v>
      </c>
      <c r="J23" s="71">
        <v>261197</v>
      </c>
      <c r="K23" s="64">
        <f>IFERROR(F23/G23-1,"n/a")</f>
        <v>0.37649150148541377</v>
      </c>
      <c r="L23" s="64">
        <f t="shared" si="0"/>
        <v>15.799940559589011</v>
      </c>
      <c r="M23" s="64" t="str">
        <f>IFERROR(F23/I23-1,"n/a")</f>
        <v>n/a</v>
      </c>
      <c r="N23" s="60">
        <f t="shared" si="1"/>
        <v>0.51490637335038314</v>
      </c>
      <c r="O23" s="68">
        <f>'June-23'!O23+'July-23'!F23</f>
        <v>2289643</v>
      </c>
      <c r="P23" s="68">
        <f>'June-23'!P23+'July-23'!G23</f>
        <v>823638</v>
      </c>
      <c r="Q23" s="68">
        <f>'June-23'!Q23+'July-23'!H23</f>
        <v>28476</v>
      </c>
      <c r="R23" s="68">
        <f>'June-23'!R23+'July-23'!I23</f>
        <v>545974</v>
      </c>
      <c r="S23" s="68">
        <f>'June-23'!S23+'July-23'!J23</f>
        <v>1969564</v>
      </c>
      <c r="T23" s="64">
        <f>IFERROR(O23/P23-1,"n/a")</f>
        <v>1.7799142341659806</v>
      </c>
      <c r="U23" s="64">
        <f>IFERROR(O23/Q23-1,"n/a")</f>
        <v>79.406061244556824</v>
      </c>
      <c r="V23" s="64">
        <f>IFERROR(O23/R23-1,"n/a")</f>
        <v>3.1936850472733136</v>
      </c>
      <c r="W23" s="60">
        <f>IFERROR(O23/S23-1,"n/a")</f>
        <v>0.16251261700559105</v>
      </c>
      <c r="X23" s="68">
        <v>2165161</v>
      </c>
      <c r="Y23" s="68">
        <v>465109</v>
      </c>
      <c r="Z23" s="70">
        <v>140552</v>
      </c>
      <c r="AA23" s="78">
        <v>2552942</v>
      </c>
      <c r="AB23" s="123"/>
      <c r="AC23" s="123"/>
    </row>
    <row r="24" spans="1:29" s="124" customFormat="1" ht="12.75">
      <c r="A24" s="123"/>
      <c r="B24" s="128"/>
      <c r="C24" s="31" t="s">
        <v>112</v>
      </c>
      <c r="D24" s="26"/>
      <c r="E24" s="32"/>
      <c r="F24" s="72"/>
      <c r="G24" s="72"/>
      <c r="H24" s="72"/>
      <c r="I24" s="72"/>
      <c r="J24" s="72"/>
      <c r="K24" s="64"/>
      <c r="L24" s="64"/>
      <c r="M24" s="64"/>
      <c r="N24" s="60"/>
      <c r="O24" s="87"/>
      <c r="P24" s="87"/>
      <c r="Q24" s="87"/>
      <c r="R24" s="87"/>
      <c r="S24" s="87"/>
      <c r="T24" s="64"/>
      <c r="U24" s="64"/>
      <c r="V24" s="64"/>
      <c r="W24" s="60"/>
      <c r="X24" s="43"/>
      <c r="Y24" s="43"/>
      <c r="Z24" s="44"/>
      <c r="AA24" s="79"/>
      <c r="AB24" s="123"/>
      <c r="AC24" s="123"/>
    </row>
    <row r="25" spans="1:29" s="124" customFormat="1" ht="12.75">
      <c r="B25" s="128"/>
      <c r="C25" s="33"/>
      <c r="D25" s="26" t="s">
        <v>5</v>
      </c>
      <c r="E25" s="32"/>
      <c r="F25" s="71">
        <v>3</v>
      </c>
      <c r="G25" s="71">
        <v>3</v>
      </c>
      <c r="H25" s="71">
        <v>0</v>
      </c>
      <c r="I25" s="71">
        <v>0</v>
      </c>
      <c r="J25" s="71">
        <v>3</v>
      </c>
      <c r="K25" s="64">
        <f>IFERROR(F25/G25-1,"n/a")</f>
        <v>0</v>
      </c>
      <c r="L25" s="64" t="str">
        <f t="shared" si="0"/>
        <v>n/a</v>
      </c>
      <c r="M25" s="64" t="str">
        <f>IFERROR(F25/I25-1,"n/a")</f>
        <v>n/a</v>
      </c>
      <c r="N25" s="60">
        <f t="shared" si="1"/>
        <v>0</v>
      </c>
      <c r="O25" s="68">
        <f>'June-23'!O25+'July-23'!F25</f>
        <v>11</v>
      </c>
      <c r="P25" s="68">
        <f>'June-23'!P25+'July-23'!G25</f>
        <v>5</v>
      </c>
      <c r="Q25" s="68">
        <f>'June-23'!Q25+'July-23'!H25</f>
        <v>0</v>
      </c>
      <c r="R25" s="68">
        <f>'June-23'!R25+'July-23'!I25</f>
        <v>0</v>
      </c>
      <c r="S25" s="68">
        <f>'June-23'!S25+'July-23'!J25</f>
        <v>11</v>
      </c>
      <c r="T25" s="64">
        <f>IFERROR(O25/P25-1,"n/a")</f>
        <v>1.2000000000000002</v>
      </c>
      <c r="U25" s="64" t="str">
        <f>IFERROR(O25/Q25-1,"n/a")</f>
        <v>n/a</v>
      </c>
      <c r="V25" s="64" t="str">
        <f>IFERROR(O25/R25-1,"n/a")</f>
        <v>n/a</v>
      </c>
      <c r="W25" s="60">
        <f>IFERROR(O25/S25-1,"n/a")</f>
        <v>0</v>
      </c>
      <c r="X25" s="68">
        <v>9</v>
      </c>
      <c r="Y25" s="68">
        <v>0</v>
      </c>
      <c r="Z25" s="68">
        <v>0</v>
      </c>
      <c r="AA25" s="78">
        <v>16</v>
      </c>
      <c r="AB25" s="123"/>
      <c r="AC25" s="123"/>
    </row>
    <row r="26" spans="1:29" s="124" customFormat="1" ht="12.75">
      <c r="A26" s="123"/>
      <c r="B26" s="128"/>
      <c r="C26" s="33"/>
      <c r="D26" s="26" t="s">
        <v>11</v>
      </c>
      <c r="E26" s="32"/>
      <c r="F26" s="71">
        <v>6188</v>
      </c>
      <c r="G26" s="71">
        <v>5526</v>
      </c>
      <c r="H26" s="71">
        <v>0</v>
      </c>
      <c r="I26" s="71">
        <v>0</v>
      </c>
      <c r="J26" s="71">
        <v>3523</v>
      </c>
      <c r="K26" s="64">
        <f>IFERROR(F26/G26-1,"n/a")</f>
        <v>0.1197973217517192</v>
      </c>
      <c r="L26" s="64" t="str">
        <f t="shared" si="0"/>
        <v>n/a</v>
      </c>
      <c r="M26" s="64" t="str">
        <f>IFERROR(F26/I26-1,"n/a")</f>
        <v>n/a</v>
      </c>
      <c r="N26" s="60">
        <f t="shared" si="1"/>
        <v>0.75645756457564572</v>
      </c>
      <c r="O26" s="68">
        <f>'June-23'!O26+'July-23'!F26</f>
        <v>19775</v>
      </c>
      <c r="P26" s="68">
        <f>'June-23'!P26+'July-23'!G26</f>
        <v>8677</v>
      </c>
      <c r="Q26" s="68">
        <f>'June-23'!Q26+'July-23'!H26</f>
        <v>0</v>
      </c>
      <c r="R26" s="68">
        <f>'June-23'!R26+'July-23'!I26</f>
        <v>0</v>
      </c>
      <c r="S26" s="68">
        <f>'June-23'!S26+'July-23'!J26</f>
        <v>13750</v>
      </c>
      <c r="T26" s="64">
        <f>IFERROR(O26/P26-1,"n/a")</f>
        <v>1.2790134839230149</v>
      </c>
      <c r="U26" s="64" t="str">
        <f>IFERROR(O26/Q26-1,"n/a")</f>
        <v>n/a</v>
      </c>
      <c r="V26" s="64" t="str">
        <f>IFERROR(O26/R26-1,"n/a")</f>
        <v>n/a</v>
      </c>
      <c r="W26" s="60">
        <f>IFERROR(O26/S26-1,"n/a")</f>
        <v>0.43818181818181823</v>
      </c>
      <c r="X26" s="68">
        <v>15637</v>
      </c>
      <c r="Y26" s="68">
        <v>0</v>
      </c>
      <c r="Z26" s="68">
        <v>0</v>
      </c>
      <c r="AA26" s="78">
        <v>20248</v>
      </c>
      <c r="AB26" s="123"/>
      <c r="AC26" s="123"/>
    </row>
    <row r="27" spans="1:29" s="124" customFormat="1" ht="13.5" thickBot="1">
      <c r="A27" s="123"/>
      <c r="B27" s="128"/>
      <c r="C27" s="35" t="s">
        <v>12</v>
      </c>
      <c r="D27" s="36"/>
      <c r="E27" s="37"/>
      <c r="F27" s="75">
        <f t="shared" ref="F27:J28" si="2">F13+F16+F19+F22+F25</f>
        <v>353</v>
      </c>
      <c r="G27" s="75">
        <f t="shared" si="2"/>
        <v>311</v>
      </c>
      <c r="H27" s="75">
        <f t="shared" si="2"/>
        <v>63</v>
      </c>
      <c r="I27" s="75">
        <f t="shared" si="2"/>
        <v>2</v>
      </c>
      <c r="J27" s="75">
        <f t="shared" si="2"/>
        <v>281</v>
      </c>
      <c r="K27" s="66">
        <f>IFERROR(F27/G27-1,"n/a")</f>
        <v>0.135048231511254</v>
      </c>
      <c r="L27" s="66">
        <f t="shared" si="0"/>
        <v>4.6031746031746028</v>
      </c>
      <c r="M27" s="66">
        <f>IFERROR(F27/I27-1,"n/a")</f>
        <v>175.5</v>
      </c>
      <c r="N27" s="62">
        <f t="shared" si="1"/>
        <v>0.2562277580071175</v>
      </c>
      <c r="O27" s="75">
        <f t="shared" ref="O27:S28" si="3">O13+O16+O19+O22+O25</f>
        <v>2381</v>
      </c>
      <c r="P27" s="75">
        <f t="shared" si="3"/>
        <v>1945</v>
      </c>
      <c r="Q27" s="75">
        <f t="shared" si="3"/>
        <v>121</v>
      </c>
      <c r="R27" s="75">
        <f t="shared" si="3"/>
        <v>771</v>
      </c>
      <c r="S27" s="75">
        <f t="shared" si="3"/>
        <v>2032</v>
      </c>
      <c r="T27" s="66">
        <f>IFERROR(O27/P27-1,"n/a")</f>
        <v>0.22416452442159374</v>
      </c>
      <c r="U27" s="66">
        <f>IFERROR(O27/Q27-1,"n/a")</f>
        <v>18.677685950413224</v>
      </c>
      <c r="V27" s="66">
        <f>IFERROR(O27/R27-1,"n/a")</f>
        <v>2.0881971465629054</v>
      </c>
      <c r="W27" s="62">
        <f>IFERROR(O27/S27-1,"n/a")</f>
        <v>0.17175196850393704</v>
      </c>
      <c r="X27" s="75">
        <f>X13+X16+X19+X22+X25</f>
        <v>3620</v>
      </c>
      <c r="Y27" s="46">
        <f t="shared" ref="Y27:AA28" si="4">Y13+Y16+Y19+Y22+Y25</f>
        <v>1054</v>
      </c>
      <c r="Z27" s="46">
        <f t="shared" si="4"/>
        <v>657</v>
      </c>
      <c r="AA27" s="80">
        <f t="shared" si="4"/>
        <v>3310</v>
      </c>
      <c r="AB27" s="123"/>
      <c r="AC27" s="123"/>
    </row>
    <row r="28" spans="1:29" s="124" customFormat="1" ht="14.25" thickTop="1" thickBot="1">
      <c r="A28" s="123"/>
      <c r="B28" s="128"/>
      <c r="C28" s="38" t="s">
        <v>13</v>
      </c>
      <c r="D28" s="39"/>
      <c r="E28" s="40"/>
      <c r="F28" s="76">
        <f t="shared" si="2"/>
        <v>1271791</v>
      </c>
      <c r="G28" s="76">
        <f t="shared" si="2"/>
        <v>857236</v>
      </c>
      <c r="H28" s="76">
        <f t="shared" si="2"/>
        <v>92497</v>
      </c>
      <c r="I28" s="76">
        <f t="shared" si="2"/>
        <v>6081</v>
      </c>
      <c r="J28" s="76">
        <f t="shared" si="2"/>
        <v>868909</v>
      </c>
      <c r="K28" s="67">
        <f>IFERROR(F28/G28-1,"n/a")</f>
        <v>0.4835949493488374</v>
      </c>
      <c r="L28" s="67">
        <f t="shared" si="0"/>
        <v>12.749537822848309</v>
      </c>
      <c r="M28" s="67">
        <f>IFERROR(F28/I28-1,"n/a")</f>
        <v>208.14175300115113</v>
      </c>
      <c r="N28" s="63">
        <f t="shared" si="1"/>
        <v>0.46366420419169319</v>
      </c>
      <c r="O28" s="76">
        <f t="shared" si="3"/>
        <v>6850552</v>
      </c>
      <c r="P28" s="76">
        <f t="shared" si="3"/>
        <v>3483805</v>
      </c>
      <c r="Q28" s="76">
        <f t="shared" si="3"/>
        <v>162487</v>
      </c>
      <c r="R28" s="76">
        <f t="shared" si="3"/>
        <v>1690018</v>
      </c>
      <c r="S28" s="76">
        <f t="shared" si="3"/>
        <v>5784043</v>
      </c>
      <c r="T28" s="67">
        <f>IFERROR(O28/P28-1,"n/a")</f>
        <v>0.96639938228459976</v>
      </c>
      <c r="U28" s="67">
        <f>IFERROR(O28/Q28-1,"n/a")</f>
        <v>41.160615926197174</v>
      </c>
      <c r="V28" s="67">
        <f>IFERROR(O28/R28-1,"n/a")</f>
        <v>3.0535378913124003</v>
      </c>
      <c r="W28" s="63">
        <f>IFERROR(O28/S28-1,"n/a")</f>
        <v>0.18438815202445769</v>
      </c>
      <c r="X28" s="76">
        <f>X14+X17+X20+X23+X26</f>
        <v>7626669</v>
      </c>
      <c r="Y28" s="47">
        <f t="shared" si="4"/>
        <v>1552483</v>
      </c>
      <c r="Z28" s="47">
        <f t="shared" si="4"/>
        <v>1314158</v>
      </c>
      <c r="AA28" s="81">
        <f t="shared" si="4"/>
        <v>9152531</v>
      </c>
      <c r="AB28" s="123"/>
      <c r="AC28" s="123"/>
    </row>
    <row r="29" spans="1:29" s="124" customFormat="1" ht="12" thickTop="1">
      <c r="A29" s="123"/>
      <c r="B29" s="123"/>
      <c r="C29" s="123"/>
      <c r="D29" s="123"/>
      <c r="E29" s="123"/>
      <c r="F29" s="129"/>
      <c r="G29" s="129"/>
      <c r="H29" s="129"/>
      <c r="I29" s="129"/>
      <c r="J29" s="129"/>
      <c r="K29" s="129"/>
      <c r="L29" s="129"/>
      <c r="M29" s="129"/>
      <c r="N29" s="123"/>
      <c r="O29" s="123"/>
      <c r="P29" s="123"/>
      <c r="Q29" s="123"/>
      <c r="R29" s="123"/>
      <c r="S29" s="123"/>
      <c r="T29" s="123"/>
      <c r="U29" s="123"/>
      <c r="V29" s="123"/>
      <c r="W29" s="123"/>
      <c r="X29" s="123"/>
      <c r="Y29" s="123"/>
      <c r="Z29" s="123"/>
      <c r="AA29" s="123"/>
      <c r="AB29" s="123"/>
      <c r="AC29" s="123"/>
    </row>
    <row r="30" spans="1:29" s="124" customFormat="1" ht="11.25">
      <c r="A30" s="123"/>
      <c r="B30" s="123"/>
      <c r="C30" s="123"/>
      <c r="D30" s="123"/>
      <c r="E30" s="123"/>
      <c r="F30" s="129"/>
      <c r="G30" s="129"/>
      <c r="H30" s="129"/>
      <c r="I30" s="129"/>
      <c r="J30" s="129"/>
      <c r="K30" s="129"/>
      <c r="L30" s="129"/>
      <c r="M30" s="129"/>
      <c r="N30" s="123"/>
      <c r="O30" s="129"/>
      <c r="P30" s="123"/>
      <c r="Q30" s="123"/>
      <c r="R30" s="123"/>
      <c r="S30" s="123"/>
      <c r="T30" s="123"/>
      <c r="U30" s="123"/>
      <c r="V30" s="123"/>
      <c r="W30" s="123"/>
      <c r="X30" s="123"/>
      <c r="Y30" s="123"/>
      <c r="Z30" s="123"/>
      <c r="AA30" s="123"/>
      <c r="AB30" s="123"/>
      <c r="AC30" s="123"/>
    </row>
    <row r="31" spans="1:29" s="124" customFormat="1" ht="12.75">
      <c r="A31" s="123"/>
      <c r="B31" s="130"/>
      <c r="C31" s="131" t="s">
        <v>63</v>
      </c>
      <c r="D31" s="24"/>
      <c r="E31" s="24"/>
      <c r="F31" s="24"/>
      <c r="G31" s="24"/>
      <c r="H31" s="24"/>
      <c r="I31" s="24"/>
      <c r="J31" s="95"/>
      <c r="K31" s="95"/>
      <c r="L31" s="95"/>
      <c r="M31" s="95"/>
      <c r="N31" s="24"/>
      <c r="O31" s="24"/>
      <c r="P31" s="24"/>
      <c r="Q31" s="24"/>
      <c r="R31" s="24"/>
      <c r="S31" s="24"/>
      <c r="T31" s="24"/>
      <c r="U31" s="24"/>
      <c r="V31" s="24"/>
      <c r="W31" s="24"/>
      <c r="X31" s="24"/>
      <c r="Y31" s="24"/>
      <c r="Z31" s="24"/>
      <c r="AA31" s="24"/>
      <c r="AB31" s="24"/>
      <c r="AC31" s="123"/>
    </row>
    <row r="32" spans="1:29" s="124" customFormat="1" ht="12.75">
      <c r="A32" s="123"/>
      <c r="B32" s="130"/>
      <c r="C32" s="24"/>
      <c r="D32" s="24"/>
      <c r="E32" s="24"/>
      <c r="F32" s="24"/>
      <c r="G32" s="24"/>
      <c r="H32" s="24"/>
      <c r="I32" s="24"/>
      <c r="J32" s="95"/>
      <c r="K32" s="95"/>
      <c r="L32" s="95"/>
      <c r="M32" s="95"/>
      <c r="N32" s="24"/>
      <c r="O32" s="24"/>
      <c r="P32" s="24"/>
      <c r="Q32" s="24"/>
      <c r="R32" s="24"/>
      <c r="S32" s="24"/>
      <c r="T32" s="24"/>
      <c r="U32" s="24"/>
      <c r="V32" s="24"/>
      <c r="W32" s="24"/>
      <c r="X32" s="24"/>
      <c r="Y32" s="24"/>
      <c r="Z32" s="24"/>
      <c r="AA32" s="24"/>
      <c r="AB32" s="24"/>
      <c r="AC32" s="123"/>
    </row>
    <row r="33" spans="1:29" s="124" customFormat="1" ht="11.25">
      <c r="A33" s="123"/>
      <c r="B33" s="123"/>
      <c r="C33" s="27" t="s">
        <v>7</v>
      </c>
      <c r="D33" s="28"/>
      <c r="E33" s="28"/>
      <c r="F33" s="158" t="str">
        <f>F9</f>
        <v>July</v>
      </c>
      <c r="G33" s="158"/>
      <c r="H33" s="158"/>
      <c r="I33" s="158"/>
      <c r="J33" s="158"/>
      <c r="K33" s="158"/>
      <c r="L33" s="158"/>
      <c r="M33" s="158"/>
      <c r="N33" s="159"/>
      <c r="O33" s="161" t="s">
        <v>61</v>
      </c>
      <c r="P33" s="162"/>
      <c r="Q33" s="162"/>
      <c r="R33" s="162"/>
      <c r="S33" s="162"/>
      <c r="T33" s="162"/>
      <c r="U33" s="162"/>
      <c r="V33" s="162"/>
      <c r="W33" s="163"/>
      <c r="X33" s="157" t="s">
        <v>58</v>
      </c>
      <c r="Y33" s="158"/>
      <c r="Z33" s="158"/>
      <c r="AA33" s="160"/>
    </row>
    <row r="34" spans="1:29" s="124" customFormat="1" ht="11.25">
      <c r="A34" s="123"/>
      <c r="B34" s="123"/>
      <c r="C34" s="29"/>
      <c r="D34" s="30"/>
      <c r="E34" s="30"/>
      <c r="F34" s="152"/>
      <c r="G34" s="153"/>
      <c r="H34" s="153"/>
      <c r="I34" s="153"/>
      <c r="J34" s="153"/>
      <c r="K34" s="153"/>
      <c r="L34" s="153"/>
      <c r="M34" s="153"/>
      <c r="N34" s="154"/>
      <c r="O34" s="152"/>
      <c r="P34" s="153"/>
      <c r="Q34" s="153"/>
      <c r="R34" s="153"/>
      <c r="S34" s="153"/>
      <c r="T34" s="153"/>
      <c r="U34" s="153"/>
      <c r="V34" s="153"/>
      <c r="W34" s="154"/>
      <c r="X34" s="152"/>
      <c r="Y34" s="153"/>
      <c r="Z34" s="153"/>
      <c r="AA34" s="154"/>
    </row>
    <row r="35" spans="1:29" s="124" customFormat="1" ht="22.5">
      <c r="A35" s="123"/>
      <c r="B35" s="123"/>
      <c r="C35" s="59" t="s">
        <v>29</v>
      </c>
      <c r="D35" s="50"/>
      <c r="E35" s="51"/>
      <c r="F35" s="55">
        <v>2023</v>
      </c>
      <c r="G35" s="52">
        <v>2022</v>
      </c>
      <c r="H35" s="52">
        <v>2021</v>
      </c>
      <c r="I35" s="52">
        <v>2020</v>
      </c>
      <c r="J35" s="52">
        <v>2019</v>
      </c>
      <c r="K35" s="53" t="s">
        <v>66</v>
      </c>
      <c r="L35" s="53" t="s">
        <v>67</v>
      </c>
      <c r="M35" s="53" t="s">
        <v>68</v>
      </c>
      <c r="N35" s="57" t="s">
        <v>101</v>
      </c>
      <c r="O35" s="53" t="s">
        <v>115</v>
      </c>
      <c r="P35" s="53" t="s">
        <v>53</v>
      </c>
      <c r="Q35" s="52" t="s">
        <v>54</v>
      </c>
      <c r="R35" s="52" t="s">
        <v>59</v>
      </c>
      <c r="S35" s="52" t="s">
        <v>64</v>
      </c>
      <c r="T35" s="53" t="s">
        <v>116</v>
      </c>
      <c r="U35" s="53" t="s">
        <v>117</v>
      </c>
      <c r="V35" s="53" t="s">
        <v>118</v>
      </c>
      <c r="W35" s="57" t="s">
        <v>119</v>
      </c>
      <c r="X35" s="53" t="s">
        <v>53</v>
      </c>
      <c r="Y35" s="53" t="s">
        <v>54</v>
      </c>
      <c r="Z35" s="53" t="s">
        <v>65</v>
      </c>
      <c r="AA35" s="57" t="s">
        <v>73</v>
      </c>
      <c r="AC35" s="123"/>
    </row>
    <row r="36" spans="1:29" s="124" customFormat="1" ht="11.25">
      <c r="A36" s="123"/>
      <c r="B36" s="123"/>
      <c r="C36" s="31" t="s">
        <v>108</v>
      </c>
      <c r="D36" s="26"/>
      <c r="E36" s="32"/>
      <c r="F36" s="26"/>
      <c r="G36" s="26"/>
      <c r="H36" s="26"/>
      <c r="I36" s="26"/>
      <c r="J36" s="26"/>
      <c r="K36" s="26"/>
      <c r="L36" s="26"/>
      <c r="M36" s="26"/>
      <c r="N36" s="32"/>
      <c r="O36" s="26"/>
      <c r="P36" s="26"/>
      <c r="Q36" s="26"/>
      <c r="R36" s="26"/>
      <c r="S36" s="123"/>
      <c r="T36" s="26"/>
      <c r="U36" s="123"/>
      <c r="V36" s="26"/>
      <c r="W36" s="32"/>
      <c r="X36" s="33"/>
      <c r="Y36" s="26"/>
      <c r="Z36" s="88"/>
      <c r="AA36" s="85"/>
      <c r="AC36" s="123"/>
    </row>
    <row r="37" spans="1:29" s="124" customFormat="1" ht="11.25">
      <c r="A37" s="123"/>
      <c r="B37" s="123"/>
      <c r="C37" s="33"/>
      <c r="D37" s="26" t="s">
        <v>5</v>
      </c>
      <c r="E37" s="32"/>
      <c r="F37" s="74">
        <f t="shared" ref="F37:J38" si="5">F13</f>
        <v>105</v>
      </c>
      <c r="G37" s="74">
        <f t="shared" si="5"/>
        <v>84</v>
      </c>
      <c r="H37" s="74">
        <f t="shared" si="5"/>
        <v>28</v>
      </c>
      <c r="I37" s="74">
        <f t="shared" si="5"/>
        <v>0</v>
      </c>
      <c r="J37" s="74">
        <f t="shared" si="5"/>
        <v>101</v>
      </c>
      <c r="K37" s="64">
        <f>IFERROR(F37/G37-1,"n/a")</f>
        <v>0.25</v>
      </c>
      <c r="L37" s="64">
        <f>IFERROR(F37/H37-1,"n/a")</f>
        <v>2.75</v>
      </c>
      <c r="M37" s="64" t="str">
        <f>IFERROR(F37/I37-1,"n/a")</f>
        <v>n/a</v>
      </c>
      <c r="N37" s="60">
        <f>IFERROR(F37/J37-1,"n/a")</f>
        <v>3.9603960396039639E-2</v>
      </c>
      <c r="O37" s="74">
        <f>'June-23'!O37+'July-23'!F37</f>
        <v>428</v>
      </c>
      <c r="P37" s="74">
        <f>'June-23'!P37+'July-23'!G37</f>
        <v>380</v>
      </c>
      <c r="Q37" s="74">
        <f>'June-23'!Q37+'July-23'!H37</f>
        <v>28</v>
      </c>
      <c r="R37" s="74">
        <f>'June-23'!R37+'July-23'!I37</f>
        <v>42</v>
      </c>
      <c r="S37" s="74">
        <f>'June-23'!S37+'July-23'!J37</f>
        <v>410</v>
      </c>
      <c r="T37" s="120">
        <f>IFERROR(O37/P37-1,"n/a")</f>
        <v>0.12631578947368416</v>
      </c>
      <c r="U37" s="120">
        <f>IFERROR(O37/Q37-1,"n/a")</f>
        <v>14.285714285714286</v>
      </c>
      <c r="V37" s="120">
        <f>IFERROR(O37/R37-1,"n/a")</f>
        <v>9.1904761904761898</v>
      </c>
      <c r="W37" s="121">
        <f>IFERROR(O37/S37-1,"n/a")</f>
        <v>4.3902439024390283E-2</v>
      </c>
      <c r="X37" s="89">
        <v>1486</v>
      </c>
      <c r="Y37" s="89">
        <v>1052</v>
      </c>
      <c r="Z37" s="70">
        <v>551</v>
      </c>
      <c r="AA37" s="78">
        <v>1584</v>
      </c>
      <c r="AC37" s="123"/>
    </row>
    <row r="38" spans="1:29" s="124" customFormat="1" ht="11.25">
      <c r="A38" s="123"/>
      <c r="B38" s="123"/>
      <c r="C38" s="33"/>
      <c r="D38" s="26" t="s">
        <v>11</v>
      </c>
      <c r="E38" s="32"/>
      <c r="F38" s="74">
        <f t="shared" si="5"/>
        <v>396404</v>
      </c>
      <c r="G38" s="74">
        <f t="shared" si="5"/>
        <v>292122</v>
      </c>
      <c r="H38" s="74">
        <f t="shared" si="5"/>
        <v>30914</v>
      </c>
      <c r="I38" s="74">
        <f t="shared" si="5"/>
        <v>0</v>
      </c>
      <c r="J38" s="74">
        <f t="shared" si="5"/>
        <v>332464</v>
      </c>
      <c r="K38" s="64">
        <f>IFERROR(F38/G38-1,"n/a")</f>
        <v>0.35698098739567707</v>
      </c>
      <c r="L38" s="64">
        <f>IFERROR(F38/H38-1,"n/a")</f>
        <v>11.822798731966099</v>
      </c>
      <c r="M38" s="64" t="str">
        <f>IFERROR(F38/I38-1,"n/a")</f>
        <v>n/a</v>
      </c>
      <c r="N38" s="60">
        <f>IFERROR(F38/J38-1,"n/a")</f>
        <v>0.19232157466673083</v>
      </c>
      <c r="O38" s="74">
        <f>'June-23'!O38+'July-23'!F38</f>
        <v>1559282</v>
      </c>
      <c r="P38" s="74">
        <f>'June-23'!P38+'July-23'!G38</f>
        <v>1076553</v>
      </c>
      <c r="Q38" s="74">
        <f>'June-23'!Q38+'July-23'!H38</f>
        <v>30914</v>
      </c>
      <c r="R38" s="74">
        <f>'June-23'!R38+'July-23'!I38</f>
        <v>0</v>
      </c>
      <c r="S38" s="74">
        <f>'June-23'!S38+'July-23'!J38</f>
        <v>1332615</v>
      </c>
      <c r="T38" s="120">
        <f>IFERROR(O38/P38-1,"n/a")</f>
        <v>0.44840244744104574</v>
      </c>
      <c r="U38" s="120">
        <f>IFERROR(O38/Q38-1,"n/a")</f>
        <v>49.439347868279746</v>
      </c>
      <c r="V38" s="120" t="str">
        <f>IFERROR(O38/R38-1,"n/a")</f>
        <v>n/a</v>
      </c>
      <c r="W38" s="121">
        <f>IFERROR(O38/S38-1,"n/a")</f>
        <v>0.17009188700412348</v>
      </c>
      <c r="X38" s="89">
        <v>4370939</v>
      </c>
      <c r="Y38" s="89">
        <v>1527970</v>
      </c>
      <c r="Z38" s="84">
        <v>1092884</v>
      </c>
      <c r="AA38" s="78">
        <v>4234259</v>
      </c>
      <c r="AC38" s="123"/>
    </row>
    <row r="39" spans="1:29" s="124" customFormat="1" ht="11.25">
      <c r="A39" s="123"/>
      <c r="B39" s="123"/>
      <c r="C39" s="31" t="s">
        <v>109</v>
      </c>
      <c r="D39" s="26"/>
      <c r="E39" s="32"/>
      <c r="F39" s="26"/>
      <c r="G39" s="26"/>
      <c r="H39" s="26"/>
      <c r="I39" s="26"/>
      <c r="J39" s="26"/>
      <c r="K39" s="64"/>
      <c r="L39" s="64"/>
      <c r="M39" s="64"/>
      <c r="N39" s="61"/>
      <c r="O39" s="26"/>
      <c r="P39" s="26"/>
      <c r="Q39" s="26"/>
      <c r="R39" s="26"/>
      <c r="S39" s="26"/>
      <c r="T39" s="65"/>
      <c r="U39" s="65"/>
      <c r="V39" s="65"/>
      <c r="W39" s="61"/>
      <c r="X39" s="90"/>
      <c r="Y39" s="90"/>
      <c r="Z39" s="44"/>
      <c r="AA39" s="79"/>
      <c r="AC39" s="123"/>
    </row>
    <row r="40" spans="1:29" s="124" customFormat="1" ht="11.25">
      <c r="A40" s="123"/>
      <c r="B40" s="123"/>
      <c r="C40" s="33"/>
      <c r="D40" s="26" t="s">
        <v>5</v>
      </c>
      <c r="E40" s="32"/>
      <c r="F40" s="74">
        <f t="shared" ref="F40:J41" si="6">F16</f>
        <v>70</v>
      </c>
      <c r="G40" s="74">
        <f t="shared" si="6"/>
        <v>61</v>
      </c>
      <c r="H40" s="74">
        <f t="shared" si="6"/>
        <v>22</v>
      </c>
      <c r="I40" s="74">
        <f t="shared" si="6"/>
        <v>0</v>
      </c>
      <c r="J40" s="74">
        <f t="shared" si="6"/>
        <v>59</v>
      </c>
      <c r="K40" s="64">
        <f>IFERROR(F40/G40-1,"n/a")</f>
        <v>0.14754098360655732</v>
      </c>
      <c r="L40" s="64">
        <f>IFERROR(F40/H40-1,"n/a")</f>
        <v>2.1818181818181817</v>
      </c>
      <c r="M40" s="64" t="str">
        <f>IFERROR(F40/I40-1,"n/a")</f>
        <v>n/a</v>
      </c>
      <c r="N40" s="60">
        <f>IFERROR(F40/J40-1,"n/a")</f>
        <v>0.18644067796610164</v>
      </c>
      <c r="O40" s="74">
        <f>'June-23'!O40+'July-23'!F40</f>
        <v>259</v>
      </c>
      <c r="P40" s="74">
        <f>'June-23'!P40+'July-23'!G40</f>
        <v>277</v>
      </c>
      <c r="Q40" s="74">
        <f>'June-23'!Q40+'July-23'!H40</f>
        <v>61</v>
      </c>
      <c r="R40" s="74">
        <f>'June-23'!R40+'July-23'!I40</f>
        <v>0</v>
      </c>
      <c r="S40" s="74">
        <f>'June-23'!S40+'July-23'!J40</f>
        <v>252</v>
      </c>
      <c r="T40" s="120">
        <f>IFERROR(O40/P40-1,"n/a")</f>
        <v>-6.498194945848379E-2</v>
      </c>
      <c r="U40" s="120">
        <f>IFERROR(O40/Q40-1,"n/a")</f>
        <v>3.2459016393442619</v>
      </c>
      <c r="V40" s="120" t="str">
        <f>IFERROR(O40/R40-1,"n/a")</f>
        <v>n/a</v>
      </c>
      <c r="W40" s="121">
        <f>IFERROR(O40/S40-1,"n/a")</f>
        <v>2.7777777777777679E-2</v>
      </c>
      <c r="X40" s="89">
        <v>563</v>
      </c>
      <c r="Y40" s="89">
        <v>226</v>
      </c>
      <c r="Z40" s="70">
        <v>66</v>
      </c>
      <c r="AA40" s="78">
        <v>573</v>
      </c>
      <c r="AC40" s="123"/>
    </row>
    <row r="41" spans="1:29" s="124" customFormat="1" ht="11.25">
      <c r="A41" s="123"/>
      <c r="B41" s="123"/>
      <c r="C41" s="33"/>
      <c r="D41" s="26" t="s">
        <v>11</v>
      </c>
      <c r="E41" s="32"/>
      <c r="F41" s="74">
        <f t="shared" si="6"/>
        <v>269629</v>
      </c>
      <c r="G41" s="74">
        <f t="shared" si="6"/>
        <v>133693</v>
      </c>
      <c r="H41" s="74">
        <f t="shared" si="6"/>
        <v>37562</v>
      </c>
      <c r="I41" s="74">
        <f t="shared" si="6"/>
        <v>0</v>
      </c>
      <c r="J41" s="74">
        <f t="shared" si="6"/>
        <v>174121</v>
      </c>
      <c r="K41" s="64">
        <f>IFERROR(F41/G41-1,"n/a")</f>
        <v>1.0167772433859663</v>
      </c>
      <c r="L41" s="64">
        <f>IFERROR(F41/H41-1,"n/a")</f>
        <v>6.1782386454395404</v>
      </c>
      <c r="M41" s="64" t="str">
        <f>IFERROR(F41/I41-1,"n/a")</f>
        <v>n/a</v>
      </c>
      <c r="N41" s="60">
        <f>IFERROR(F41/J41-1,"n/a")</f>
        <v>0.54851511305356615</v>
      </c>
      <c r="O41" s="74">
        <f>'June-23'!O41+'July-23'!F41</f>
        <v>762952</v>
      </c>
      <c r="P41" s="74">
        <f>'June-23'!P41+'July-23'!G41</f>
        <v>397747</v>
      </c>
      <c r="Q41" s="74">
        <f>'June-23'!Q41+'July-23'!H41</f>
        <v>92526</v>
      </c>
      <c r="R41" s="74">
        <f>'June-23'!R41+'July-23'!I41</f>
        <v>0</v>
      </c>
      <c r="S41" s="74">
        <f>'June-23'!S41+'July-23'!J41</f>
        <v>652250</v>
      </c>
      <c r="T41" s="120">
        <f>IFERROR(O41/P41-1,"n/a")</f>
        <v>0.91818417235076577</v>
      </c>
      <c r="U41" s="120">
        <f>IFERROR(O41/Q41-1,"n/a")</f>
        <v>7.2458119879817566</v>
      </c>
      <c r="V41" s="120" t="str">
        <f>IFERROR(O41/R41-1,"n/a")</f>
        <v>n/a</v>
      </c>
      <c r="W41" s="121">
        <f>IFERROR(O41/S41-1,"n/a")</f>
        <v>0.16972326561901108</v>
      </c>
      <c r="X41" s="89">
        <v>1012510</v>
      </c>
      <c r="Y41" s="89">
        <v>327926</v>
      </c>
      <c r="Z41" s="84">
        <v>80778</v>
      </c>
      <c r="AA41" s="78">
        <v>1361671</v>
      </c>
      <c r="AC41" s="123"/>
    </row>
    <row r="42" spans="1:29" s="124" customFormat="1" ht="11.25">
      <c r="A42" s="123"/>
      <c r="B42" s="123"/>
      <c r="C42" s="31" t="s">
        <v>110</v>
      </c>
      <c r="D42" s="26"/>
      <c r="E42" s="32"/>
      <c r="F42" s="87"/>
      <c r="G42" s="87"/>
      <c r="H42" s="87"/>
      <c r="I42" s="87"/>
      <c r="J42" s="72"/>
      <c r="K42" s="64"/>
      <c r="L42" s="64"/>
      <c r="M42" s="64"/>
      <c r="N42" s="60"/>
      <c r="O42" s="87"/>
      <c r="P42" s="87"/>
      <c r="Q42" s="87"/>
      <c r="R42" s="87"/>
      <c r="S42" s="72"/>
      <c r="T42" s="64"/>
      <c r="U42" s="64"/>
      <c r="V42" s="64"/>
      <c r="W42" s="60"/>
      <c r="X42" s="90"/>
      <c r="Y42" s="90"/>
      <c r="Z42" s="44"/>
      <c r="AA42" s="79"/>
      <c r="AC42" s="123"/>
    </row>
    <row r="43" spans="1:29" s="124" customFormat="1" ht="11.25">
      <c r="A43" s="123"/>
      <c r="B43" s="123"/>
      <c r="C43" s="33"/>
      <c r="D43" s="26" t="s">
        <v>5</v>
      </c>
      <c r="E43" s="32"/>
      <c r="F43" s="74">
        <f t="shared" ref="F43:J44" si="7">F19</f>
        <v>93</v>
      </c>
      <c r="G43" s="74">
        <f t="shared" si="7"/>
        <v>88</v>
      </c>
      <c r="H43" s="74">
        <f t="shared" si="7"/>
        <v>3</v>
      </c>
      <c r="I43" s="74">
        <f t="shared" si="7"/>
        <v>2</v>
      </c>
      <c r="J43" s="74">
        <f t="shared" si="7"/>
        <v>50</v>
      </c>
      <c r="K43" s="64">
        <f>IFERROR(F43/G43-1,"n/a")</f>
        <v>5.6818181818181879E-2</v>
      </c>
      <c r="L43" s="64">
        <f>IFERROR(F43/H43-1,"n/a")</f>
        <v>30</v>
      </c>
      <c r="M43" s="64">
        <f>IFERROR(F43/I43-1,"n/a")</f>
        <v>45.5</v>
      </c>
      <c r="N43" s="60">
        <f>IFERROR(F43/J43-1,"n/a")</f>
        <v>0.8600000000000001</v>
      </c>
      <c r="O43" s="74">
        <f>'June-23'!O43+'July-23'!F43</f>
        <v>326</v>
      </c>
      <c r="P43" s="74">
        <f>'June-23'!P43+'July-23'!G43</f>
        <v>305</v>
      </c>
      <c r="Q43" s="74">
        <f>'June-23'!Q43+'July-23'!H43</f>
        <v>6</v>
      </c>
      <c r="R43" s="74">
        <f>'June-23'!R43+'July-23'!I43</f>
        <v>2</v>
      </c>
      <c r="S43" s="74">
        <f>'June-23'!S43+'July-23'!J43</f>
        <v>150</v>
      </c>
      <c r="T43" s="120">
        <f>IFERROR(O43/P43-1,"n/a")</f>
        <v>6.8852459016393475E-2</v>
      </c>
      <c r="U43" s="120">
        <f>IFERROR(O43/Q43-1,"n/a")</f>
        <v>53.333333333333336</v>
      </c>
      <c r="V43" s="120">
        <f>IFERROR(O43/R43-1,"n/a")</f>
        <v>162</v>
      </c>
      <c r="W43" s="121">
        <f>IFERROR(O43/S43-1,"n/a")</f>
        <v>1.1733333333333333</v>
      </c>
      <c r="X43" s="89">
        <v>669</v>
      </c>
      <c r="Y43" s="89">
        <v>59</v>
      </c>
      <c r="Z43" s="70">
        <v>9</v>
      </c>
      <c r="AA43" s="78">
        <v>287</v>
      </c>
      <c r="AC43" s="123"/>
    </row>
    <row r="44" spans="1:29" s="124" customFormat="1" ht="11.25">
      <c r="A44" s="123"/>
      <c r="B44" s="123"/>
      <c r="C44" s="33"/>
      <c r="D44" s="26" t="s">
        <v>11</v>
      </c>
      <c r="E44" s="32"/>
      <c r="F44" s="74">
        <f t="shared" si="7"/>
        <v>203881</v>
      </c>
      <c r="G44" s="74">
        <f t="shared" si="7"/>
        <v>138433</v>
      </c>
      <c r="H44" s="74">
        <f t="shared" si="7"/>
        <v>468</v>
      </c>
      <c r="I44" s="74">
        <f t="shared" si="7"/>
        <v>6081</v>
      </c>
      <c r="J44" s="74">
        <f t="shared" si="7"/>
        <v>97604</v>
      </c>
      <c r="K44" s="64">
        <f>IFERROR(F44/G44-1,"n/a")</f>
        <v>0.47277744468443217</v>
      </c>
      <c r="L44" s="64">
        <f>IFERROR(F44/H44-1,"n/a")</f>
        <v>434.64316239316241</v>
      </c>
      <c r="M44" s="64">
        <f>IFERROR(F44/I44-1,"n/a")</f>
        <v>32.527544811708601</v>
      </c>
      <c r="N44" s="60">
        <f>IFERROR(F44/J44-1,"n/a")</f>
        <v>1.0888590631531496</v>
      </c>
      <c r="O44" s="74">
        <f>'June-23'!O44+'July-23'!F44</f>
        <v>576815</v>
      </c>
      <c r="P44" s="74">
        <f>'June-23'!P44+'July-23'!G44</f>
        <v>377939</v>
      </c>
      <c r="Q44" s="74">
        <f>'June-23'!Q44+'July-23'!H44</f>
        <v>468</v>
      </c>
      <c r="R44" s="74">
        <f>'June-23'!R44+'July-23'!I44</f>
        <v>8294</v>
      </c>
      <c r="S44" s="74">
        <f>'June-23'!S44+'July-23'!J44</f>
        <v>277902</v>
      </c>
      <c r="T44" s="120">
        <f>IFERROR(O44/P44-1,"n/a")</f>
        <v>0.52621190192068035</v>
      </c>
      <c r="U44" s="120">
        <f>IFERROR(O44/Q44-1,"n/a")</f>
        <v>1231.5106837606838</v>
      </c>
      <c r="V44" s="120">
        <f>IFERROR(O44/R44-1,"n/a")</f>
        <v>68.546057390884982</v>
      </c>
      <c r="W44" s="121">
        <f>IFERROR(O44/S44-1,"n/a")</f>
        <v>1.0756057890911186</v>
      </c>
      <c r="X44" s="82">
        <f>709768+195488</f>
        <v>905256</v>
      </c>
      <c r="Y44" s="82">
        <v>20626</v>
      </c>
      <c r="Z44" s="84">
        <v>10047</v>
      </c>
      <c r="AA44" s="78">
        <v>581199</v>
      </c>
      <c r="AC44" s="123"/>
    </row>
    <row r="45" spans="1:29" s="124" customFormat="1" ht="11.25">
      <c r="A45" s="123"/>
      <c r="B45" s="123"/>
      <c r="C45" s="31" t="s">
        <v>111</v>
      </c>
      <c r="D45" s="26"/>
      <c r="E45" s="34"/>
      <c r="F45" s="72"/>
      <c r="G45" s="72"/>
      <c r="H45" s="72"/>
      <c r="I45" s="72"/>
      <c r="J45" s="72"/>
      <c r="K45" s="64"/>
      <c r="L45" s="64"/>
      <c r="M45" s="64"/>
      <c r="N45" s="60"/>
      <c r="O45" s="72"/>
      <c r="P45" s="72"/>
      <c r="Q45" s="72"/>
      <c r="R45" s="72"/>
      <c r="S45" s="72"/>
      <c r="T45" s="64"/>
      <c r="U45" s="64"/>
      <c r="V45" s="64"/>
      <c r="W45" s="60"/>
      <c r="X45" s="90"/>
      <c r="Y45" s="90"/>
      <c r="Z45" s="44"/>
      <c r="AA45" s="79"/>
      <c r="AC45" s="123"/>
    </row>
    <row r="46" spans="1:29" s="124" customFormat="1" ht="11.25">
      <c r="A46" s="123"/>
      <c r="B46" s="123"/>
      <c r="C46" s="33"/>
      <c r="D46" s="26" t="s">
        <v>5</v>
      </c>
      <c r="E46" s="34"/>
      <c r="F46" s="74">
        <f t="shared" ref="F46:J47" si="8">F22</f>
        <v>82</v>
      </c>
      <c r="G46" s="74">
        <f t="shared" si="8"/>
        <v>75</v>
      </c>
      <c r="H46" s="74">
        <f t="shared" si="8"/>
        <v>10</v>
      </c>
      <c r="I46" s="74">
        <f t="shared" si="8"/>
        <v>0</v>
      </c>
      <c r="J46" s="74">
        <f t="shared" si="8"/>
        <v>68</v>
      </c>
      <c r="K46" s="64">
        <f>IFERROR(F46/G46-1,"n/a")</f>
        <v>9.3333333333333268E-2</v>
      </c>
      <c r="L46" s="64">
        <f>IFERROR(F46/H46-1,"n/a")</f>
        <v>7.1999999999999993</v>
      </c>
      <c r="M46" s="64" t="str">
        <f>IFERROR(F46/I46-1,"n/a")</f>
        <v>n/a</v>
      </c>
      <c r="N46" s="60">
        <f>IFERROR(F46/J46-1,"n/a")</f>
        <v>0.20588235294117641</v>
      </c>
      <c r="O46" s="74">
        <f>'June-23'!O46+'July-23'!F46</f>
        <v>490</v>
      </c>
      <c r="P46" s="74">
        <f>'June-23'!P46+'July-23'!G46</f>
        <v>347</v>
      </c>
      <c r="Q46" s="74">
        <f>'June-23'!Q46+'July-23'!H46</f>
        <v>14</v>
      </c>
      <c r="R46" s="74">
        <f>'June-23'!R46+'July-23'!I46</f>
        <v>0</v>
      </c>
      <c r="S46" s="74">
        <f>'June-23'!S46+'July-23'!J46</f>
        <v>341</v>
      </c>
      <c r="T46" s="120">
        <f>IFERROR(O46/P46-1,"n/a")</f>
        <v>0.41210374639769443</v>
      </c>
      <c r="U46" s="120">
        <f>IFERROR(O46/Q46-1,"n/a")</f>
        <v>34</v>
      </c>
      <c r="V46" s="120" t="str">
        <f>IFERROR(O46/R46-1,"n/a")</f>
        <v>n/a</v>
      </c>
      <c r="W46" s="121">
        <f>IFERROR(O46/S46-1,"n/a")</f>
        <v>0.43695014662756604</v>
      </c>
      <c r="X46" s="89">
        <v>1129</v>
      </c>
      <c r="Y46" s="89">
        <v>336</v>
      </c>
      <c r="Z46" s="84">
        <v>43</v>
      </c>
      <c r="AA46" s="78">
        <v>781</v>
      </c>
      <c r="AC46" s="123"/>
    </row>
    <row r="47" spans="1:29" s="124" customFormat="1" ht="11.25">
      <c r="A47" s="123"/>
      <c r="B47" s="123"/>
      <c r="C47" s="33"/>
      <c r="D47" s="26" t="s">
        <v>11</v>
      </c>
      <c r="E47" s="32"/>
      <c r="F47" s="74">
        <f t="shared" si="8"/>
        <v>395689</v>
      </c>
      <c r="G47" s="74">
        <f t="shared" si="8"/>
        <v>287462</v>
      </c>
      <c r="H47" s="74">
        <f t="shared" si="8"/>
        <v>23553</v>
      </c>
      <c r="I47" s="74">
        <f t="shared" si="8"/>
        <v>0</v>
      </c>
      <c r="J47" s="74">
        <f t="shared" si="8"/>
        <v>261197</v>
      </c>
      <c r="K47" s="64">
        <f>IFERROR(F47/G47-1,"n/a")</f>
        <v>0.37649150148541377</v>
      </c>
      <c r="L47" s="64">
        <f>IFERROR(F47/H47-1,"n/a")</f>
        <v>15.799940559589011</v>
      </c>
      <c r="M47" s="64" t="str">
        <f>IFERROR(F47/I47-1,"n/a")</f>
        <v>n/a</v>
      </c>
      <c r="N47" s="60">
        <f>IFERROR(F47/J47-1,"n/a")</f>
        <v>0.51490637335038314</v>
      </c>
      <c r="O47" s="74">
        <f>'June-23'!O47+'July-23'!F47</f>
        <v>1453369</v>
      </c>
      <c r="P47" s="74">
        <f>'June-23'!P47+'July-23'!G47</f>
        <v>755184</v>
      </c>
      <c r="Q47" s="74">
        <f>'June-23'!Q47+'July-23'!H47</f>
        <v>28476</v>
      </c>
      <c r="R47" s="74">
        <f>'June-23'!R47+'July-23'!I47</f>
        <v>0</v>
      </c>
      <c r="S47" s="74">
        <f>'June-23'!S47+'July-23'!J47</f>
        <v>1049749</v>
      </c>
      <c r="T47" s="120">
        <f>IFERROR(O47/P47-1,"n/a")</f>
        <v>0.92452303014894377</v>
      </c>
      <c r="U47" s="120">
        <f>IFERROR(O47/Q47-1,"n/a")</f>
        <v>50.038383199887626</v>
      </c>
      <c r="V47" s="120" t="str">
        <f>IFERROR(O47/R47-1,"n/a")</f>
        <v>n/a</v>
      </c>
      <c r="W47" s="121">
        <f>IFERROR(O47/S47-1,"n/a")</f>
        <v>0.38449191187607701</v>
      </c>
      <c r="X47" s="82">
        <v>2932981</v>
      </c>
      <c r="Y47" s="82">
        <v>533563</v>
      </c>
      <c r="Z47" s="84">
        <v>140552</v>
      </c>
      <c r="AA47" s="78">
        <v>2441594</v>
      </c>
      <c r="AC47" s="123"/>
    </row>
    <row r="48" spans="1:29" s="124" customFormat="1" ht="11.25">
      <c r="C48" s="31" t="s">
        <v>112</v>
      </c>
      <c r="D48" s="26"/>
      <c r="E48" s="32"/>
      <c r="F48" s="72"/>
      <c r="G48" s="72"/>
      <c r="H48" s="72"/>
      <c r="I48" s="72"/>
      <c r="J48" s="72"/>
      <c r="K48" s="64"/>
      <c r="L48" s="64"/>
      <c r="M48" s="64"/>
      <c r="N48" s="60"/>
      <c r="O48" s="72"/>
      <c r="P48" s="72"/>
      <c r="Q48" s="72"/>
      <c r="R48" s="72"/>
      <c r="S48" s="72"/>
      <c r="T48" s="64"/>
      <c r="U48" s="64"/>
      <c r="V48" s="64"/>
      <c r="W48" s="60"/>
      <c r="X48" s="90"/>
      <c r="Y48" s="90"/>
      <c r="Z48" s="44"/>
      <c r="AA48" s="79"/>
      <c r="AC48" s="123"/>
    </row>
    <row r="49" spans="3:29" s="124" customFormat="1" ht="11.25">
      <c r="C49" s="33"/>
      <c r="D49" s="26" t="s">
        <v>5</v>
      </c>
      <c r="E49" s="32"/>
      <c r="F49" s="74">
        <f t="shared" ref="F49:J50" si="9">F25</f>
        <v>3</v>
      </c>
      <c r="G49" s="74">
        <f t="shared" si="9"/>
        <v>3</v>
      </c>
      <c r="H49" s="74">
        <f t="shared" si="9"/>
        <v>0</v>
      </c>
      <c r="I49" s="74">
        <f t="shared" si="9"/>
        <v>0</v>
      </c>
      <c r="J49" s="74">
        <f t="shared" si="9"/>
        <v>3</v>
      </c>
      <c r="K49" s="64">
        <f>IFERROR(F49/G49-1,"n/a")</f>
        <v>0</v>
      </c>
      <c r="L49" s="64" t="str">
        <f>IFERROR(F49/H49-1,"n/a")</f>
        <v>n/a</v>
      </c>
      <c r="M49" s="64" t="str">
        <f>IFERROR(F49/I49-1,"n/a")</f>
        <v>n/a</v>
      </c>
      <c r="N49" s="60">
        <f>IFERROR(F49/J49-1,"n/a")</f>
        <v>0</v>
      </c>
      <c r="O49" s="74">
        <f>'June-23'!O49+'July-23'!F49</f>
        <v>11</v>
      </c>
      <c r="P49" s="74">
        <f>'June-23'!P49+'July-23'!G49</f>
        <v>5</v>
      </c>
      <c r="Q49" s="74">
        <f>'June-23'!Q49+'July-23'!H49</f>
        <v>0</v>
      </c>
      <c r="R49" s="74">
        <f>'June-23'!R49+'July-23'!I49</f>
        <v>0</v>
      </c>
      <c r="S49" s="74">
        <f>'June-23'!S49+'July-23'!J49</f>
        <v>11</v>
      </c>
      <c r="T49" s="120">
        <f>IFERROR(O49/P49-1,"n/a")</f>
        <v>1.2000000000000002</v>
      </c>
      <c r="U49" s="120" t="str">
        <f>IFERROR(O49/Q49-1,"n/a")</f>
        <v>n/a</v>
      </c>
      <c r="V49" s="120" t="str">
        <f>IFERROR(O49/R49-1,"n/a")</f>
        <v>n/a</v>
      </c>
      <c r="W49" s="121">
        <f>IFERROR(O49/S49-1,"n/a")</f>
        <v>0</v>
      </c>
      <c r="X49" s="89">
        <v>9</v>
      </c>
      <c r="Y49" s="68">
        <v>0</v>
      </c>
      <c r="Z49" s="68">
        <v>0</v>
      </c>
      <c r="AA49" s="78">
        <v>16</v>
      </c>
      <c r="AC49" s="123"/>
    </row>
    <row r="50" spans="3:29" s="124" customFormat="1" ht="11.25">
      <c r="C50" s="33"/>
      <c r="D50" s="26" t="s">
        <v>11</v>
      </c>
      <c r="E50" s="32"/>
      <c r="F50" s="74">
        <f t="shared" si="9"/>
        <v>6188</v>
      </c>
      <c r="G50" s="74">
        <f t="shared" si="9"/>
        <v>5526</v>
      </c>
      <c r="H50" s="74">
        <f t="shared" si="9"/>
        <v>0</v>
      </c>
      <c r="I50" s="74">
        <f t="shared" si="9"/>
        <v>0</v>
      </c>
      <c r="J50" s="74">
        <f t="shared" si="9"/>
        <v>3523</v>
      </c>
      <c r="K50" s="64">
        <f>IFERROR(F50/G50-1,"n/a")</f>
        <v>0.1197973217517192</v>
      </c>
      <c r="L50" s="64" t="str">
        <f>IFERROR(F50/H50-1,"n/a")</f>
        <v>n/a</v>
      </c>
      <c r="M50" s="64" t="str">
        <f>IFERROR(F50/I50-1,"n/a")</f>
        <v>n/a</v>
      </c>
      <c r="N50" s="60">
        <f>IFERROR(F50/J50-1,"n/a")</f>
        <v>0.75645756457564572</v>
      </c>
      <c r="O50" s="74">
        <f>'June-23'!O50+'July-23'!F50</f>
        <v>19775</v>
      </c>
      <c r="P50" s="74">
        <f>'June-23'!P50+'July-23'!G50</f>
        <v>8677</v>
      </c>
      <c r="Q50" s="74">
        <f>'June-23'!Q50+'July-23'!H50</f>
        <v>0</v>
      </c>
      <c r="R50" s="74">
        <f>'June-23'!R50+'July-23'!I50</f>
        <v>0</v>
      </c>
      <c r="S50" s="74">
        <f>'June-23'!S50+'July-23'!J50</f>
        <v>13750</v>
      </c>
      <c r="T50" s="120">
        <f>IFERROR(O50/P50-1,"n/a")</f>
        <v>1.2790134839230149</v>
      </c>
      <c r="U50" s="120" t="str">
        <f>IFERROR(O50/Q50-1,"n/a")</f>
        <v>n/a</v>
      </c>
      <c r="V50" s="120" t="str">
        <f>IFERROR(O50/R50-1,"n/a")</f>
        <v>n/a</v>
      </c>
      <c r="W50" s="121">
        <f>IFERROR(O50/S50-1,"n/a")</f>
        <v>0.43818181818181823</v>
      </c>
      <c r="X50" s="82">
        <v>15637</v>
      </c>
      <c r="Y50" s="68">
        <v>0</v>
      </c>
      <c r="Z50" s="68">
        <v>0</v>
      </c>
      <c r="AA50" s="78">
        <v>20248</v>
      </c>
      <c r="AC50" s="123"/>
    </row>
    <row r="51" spans="3:29" s="124" customFormat="1" ht="12" thickBot="1">
      <c r="C51" s="35" t="s">
        <v>12</v>
      </c>
      <c r="D51" s="36"/>
      <c r="E51" s="37"/>
      <c r="F51" s="75">
        <f>F37+F40+F43+F46+F49</f>
        <v>353</v>
      </c>
      <c r="G51" s="75">
        <f t="shared" ref="G51:J52" si="10">G37+G40+G43+G46+G49</f>
        <v>311</v>
      </c>
      <c r="H51" s="75">
        <f t="shared" si="10"/>
        <v>63</v>
      </c>
      <c r="I51" s="75">
        <f t="shared" si="10"/>
        <v>2</v>
      </c>
      <c r="J51" s="75">
        <f t="shared" si="10"/>
        <v>281</v>
      </c>
      <c r="K51" s="66">
        <f>IFERROR(F51/G51-1,"n/a")</f>
        <v>0.135048231511254</v>
      </c>
      <c r="L51" s="66">
        <f>IFERROR(F51/H51-1,"n/a")</f>
        <v>4.6031746031746028</v>
      </c>
      <c r="M51" s="66">
        <f>IFERROR(F51/I51-1,"n/a")</f>
        <v>175.5</v>
      </c>
      <c r="N51" s="62">
        <f>IFERROR(F51/J51-1,"n/a")</f>
        <v>0.2562277580071175</v>
      </c>
      <c r="O51" s="75">
        <f t="shared" ref="O51:S52" si="11">O37+O40+O43+O46+O49</f>
        <v>1514</v>
      </c>
      <c r="P51" s="75">
        <f t="shared" si="11"/>
        <v>1314</v>
      </c>
      <c r="Q51" s="75">
        <f t="shared" si="11"/>
        <v>109</v>
      </c>
      <c r="R51" s="75">
        <f t="shared" si="11"/>
        <v>44</v>
      </c>
      <c r="S51" s="75">
        <f t="shared" si="11"/>
        <v>1164</v>
      </c>
      <c r="T51" s="66">
        <f>IFERROR(O51/P51-1,"n/a")</f>
        <v>0.15220700152207001</v>
      </c>
      <c r="U51" s="66">
        <f>IFERROR(O51/Q51-1,"n/a")</f>
        <v>12.889908256880734</v>
      </c>
      <c r="V51" s="66">
        <f>IFERROR(O51/R51-1,"n/a")</f>
        <v>33.409090909090907</v>
      </c>
      <c r="W51" s="62">
        <f>IFERROR(O51/S51-1,"n/a")</f>
        <v>0.30068728522336774</v>
      </c>
      <c r="X51" s="46">
        <f t="shared" ref="X51:Z52" si="12">X37+X40+X43+X46+X49</f>
        <v>3856</v>
      </c>
      <c r="Y51" s="46">
        <f t="shared" si="12"/>
        <v>1673</v>
      </c>
      <c r="Z51" s="46">
        <f t="shared" si="12"/>
        <v>669</v>
      </c>
      <c r="AA51" s="80">
        <f>AA37+AA40+AA43+AA46+AA49</f>
        <v>3241</v>
      </c>
      <c r="AC51" s="123"/>
    </row>
    <row r="52" spans="3:29" s="124" customFormat="1" ht="12.75" thickTop="1" thickBot="1">
      <c r="C52" s="38" t="s">
        <v>13</v>
      </c>
      <c r="D52" s="39"/>
      <c r="E52" s="40"/>
      <c r="F52" s="76">
        <f>F38+F41+F44+F47+F50</f>
        <v>1271791</v>
      </c>
      <c r="G52" s="76">
        <f t="shared" si="10"/>
        <v>857236</v>
      </c>
      <c r="H52" s="76">
        <f t="shared" si="10"/>
        <v>92497</v>
      </c>
      <c r="I52" s="76">
        <f t="shared" si="10"/>
        <v>6081</v>
      </c>
      <c r="J52" s="76">
        <f t="shared" si="10"/>
        <v>868909</v>
      </c>
      <c r="K52" s="67">
        <f>IFERROR(F52/G52-1,"n/a")</f>
        <v>0.4835949493488374</v>
      </c>
      <c r="L52" s="67">
        <f>IFERROR(F52/H52-1,"n/a")</f>
        <v>12.749537822848309</v>
      </c>
      <c r="M52" s="67">
        <f>IFERROR(F52/I52-1,"n/a")</f>
        <v>208.14175300115113</v>
      </c>
      <c r="N52" s="63">
        <f>IFERROR(F52/J52-1,"n/a")</f>
        <v>0.46366420419169319</v>
      </c>
      <c r="O52" s="76">
        <f t="shared" si="11"/>
        <v>4372193</v>
      </c>
      <c r="P52" s="76">
        <f t="shared" si="11"/>
        <v>2616100</v>
      </c>
      <c r="Q52" s="76">
        <f t="shared" si="11"/>
        <v>152384</v>
      </c>
      <c r="R52" s="76">
        <f t="shared" si="11"/>
        <v>8294</v>
      </c>
      <c r="S52" s="76">
        <f t="shared" si="11"/>
        <v>3326266</v>
      </c>
      <c r="T52" s="67">
        <f>IFERROR(O52/P52-1,"n/a")</f>
        <v>0.6712637131608119</v>
      </c>
      <c r="U52" s="118">
        <f>IFERROR(O52/Q52-1,"n/a")</f>
        <v>27.691942723645528</v>
      </c>
      <c r="V52" s="118">
        <f>IFERROR(O52/R52-1,"n/a")</f>
        <v>526.1513142030384</v>
      </c>
      <c r="W52" s="119">
        <f>IFERROR(O52/S52-1,"n/a")</f>
        <v>0.3144447858349273</v>
      </c>
      <c r="X52" s="47">
        <f t="shared" si="12"/>
        <v>9237323</v>
      </c>
      <c r="Y52" s="47">
        <f t="shared" si="12"/>
        <v>2410085</v>
      </c>
      <c r="Z52" s="47">
        <f t="shared" si="12"/>
        <v>1324261</v>
      </c>
      <c r="AA52" s="81">
        <f>AA38+AA41+AA44+AA47+AA50</f>
        <v>8638971</v>
      </c>
      <c r="AC52" s="123"/>
    </row>
    <row r="53" spans="3:29" s="124" customFormat="1" ht="12" thickTop="1">
      <c r="AC53" s="123"/>
    </row>
    <row r="54" spans="3:29" s="124" customFormat="1" ht="11.25">
      <c r="P54" s="132"/>
      <c r="Q54" s="132"/>
      <c r="R54" s="132"/>
      <c r="S54" s="132"/>
      <c r="AC54" s="123"/>
    </row>
    <row r="55" spans="3:29">
      <c r="P55" s="111"/>
      <c r="Q55" s="111"/>
      <c r="R55" s="111"/>
      <c r="S55" s="111"/>
      <c r="AC55" s="9"/>
    </row>
    <row r="56" spans="3:29">
      <c r="P56" s="111"/>
      <c r="Q56" s="111"/>
      <c r="R56" s="111"/>
      <c r="S56" s="111"/>
      <c r="AC56" s="9"/>
    </row>
    <row r="57" spans="3:29">
      <c r="P57" s="111"/>
      <c r="Q57" s="111"/>
      <c r="R57" s="111"/>
      <c r="S57" s="111"/>
      <c r="AC57" s="9"/>
    </row>
    <row r="58" spans="3:29">
      <c r="AC58" s="9"/>
    </row>
    <row r="59" spans="3:29">
      <c r="AC59" s="9"/>
    </row>
    <row r="60" spans="3:29">
      <c r="AC60" s="9"/>
    </row>
    <row r="61" spans="3:29" ht="15" customHeight="1"/>
    <row r="62" spans="3:29" ht="15" customHeight="1"/>
    <row r="63" spans="3:29" ht="15" customHeight="1"/>
    <row r="64" spans="3:29" ht="15" customHeight="1"/>
    <row r="65" ht="15" customHeight="1"/>
    <row r="66" ht="15" customHeight="1"/>
  </sheetData>
  <mergeCells count="9">
    <mergeCell ref="F34:N34"/>
    <mergeCell ref="O34:W34"/>
    <mergeCell ref="X34:AA34"/>
    <mergeCell ref="F9:N9"/>
    <mergeCell ref="O9:W9"/>
    <mergeCell ref="X9:AA9"/>
    <mergeCell ref="F33:N33"/>
    <mergeCell ref="O33:W33"/>
    <mergeCell ref="X33:AA33"/>
  </mergeCells>
  <pageMargins left="0.7" right="0.7" top="0.75" bottom="0.75" header="0.3" footer="0.3"/>
  <pageSetup paperSize="9" orientation="portrait" horizontalDpi="0" verticalDpi="0"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6"/>
  <sheetViews>
    <sheetView showGridLines="0" topLeftCell="A7" zoomScaleNormal="100" workbookViewId="0">
      <selection activeCell="F13" sqref="F13:J26"/>
    </sheetView>
  </sheetViews>
  <sheetFormatPr defaultColWidth="0" defaultRowHeight="15" customHeight="1" zeroHeight="1"/>
  <cols>
    <col min="1" max="2" width="4.140625" customWidth="1"/>
    <col min="3" max="3" width="3.85546875" customWidth="1"/>
    <col min="4" max="4" width="8.85546875" customWidth="1"/>
    <col min="5" max="5" width="13" customWidth="1"/>
    <col min="6" max="6" width="11.140625" bestFit="1" customWidth="1"/>
    <col min="7" max="7" width="10.140625" bestFit="1" customWidth="1"/>
    <col min="8" max="9" width="8.85546875" customWidth="1"/>
    <col min="10" max="10" width="10.140625" bestFit="1" customWidth="1"/>
    <col min="11" max="11" width="8" customWidth="1"/>
    <col min="12" max="12" width="8.85546875" bestFit="1" customWidth="1"/>
    <col min="13" max="14" width="8" customWidth="1"/>
    <col min="15" max="15" width="12" bestFit="1" customWidth="1"/>
    <col min="16" max="16" width="11.5703125" bestFit="1" customWidth="1"/>
    <col min="17" max="17" width="10.42578125" bestFit="1" customWidth="1"/>
    <col min="18" max="18" width="11.5703125" bestFit="1" customWidth="1"/>
    <col min="19" max="19" width="11.85546875" bestFit="1" customWidth="1"/>
    <col min="20" max="20" width="9.140625" bestFit="1" customWidth="1"/>
    <col min="21" max="21" width="8.85546875" bestFit="1" customWidth="1"/>
    <col min="22" max="22" width="9" bestFit="1" customWidth="1"/>
    <col min="23" max="23" width="7.85546875" customWidth="1"/>
    <col min="24" max="24" width="13.42578125" bestFit="1" customWidth="1"/>
    <col min="25" max="25" width="13.140625" bestFit="1" customWidth="1"/>
    <col min="26" max="26" width="12.85546875" bestFit="1" customWidth="1"/>
    <col min="27" max="27" width="15.42578125" bestFit="1" customWidth="1"/>
    <col min="28" max="28" width="11.140625" customWidth="1"/>
    <col min="29" max="29" width="3.42578125" customWidth="1"/>
    <col min="30" max="16384" width="8.85546875" hidden="1"/>
  </cols>
  <sheetData>
    <row r="1" spans="1:29">
      <c r="A1" s="9"/>
      <c r="B1" s="9"/>
      <c r="C1" s="9"/>
      <c r="D1" s="9"/>
      <c r="E1" s="9"/>
      <c r="F1" s="9"/>
      <c r="G1" s="9"/>
      <c r="H1" s="9"/>
      <c r="I1" s="9"/>
      <c r="J1" s="9"/>
      <c r="K1" s="9"/>
      <c r="L1" s="9"/>
      <c r="M1" s="9"/>
      <c r="N1" s="9"/>
      <c r="O1" s="9"/>
      <c r="P1" s="9"/>
      <c r="Q1" s="9"/>
      <c r="R1" s="9"/>
      <c r="S1" s="9"/>
      <c r="T1" s="9"/>
      <c r="U1" s="9"/>
      <c r="V1" s="9"/>
      <c r="W1" s="9"/>
      <c r="X1" s="9"/>
      <c r="Y1" s="9"/>
      <c r="Z1" s="9"/>
      <c r="AA1" s="9"/>
      <c r="AB1" s="9"/>
      <c r="AC1" s="9"/>
    </row>
    <row r="2" spans="1:29" ht="31.35" customHeight="1" thickBot="1">
      <c r="A2" s="9"/>
      <c r="B2" s="8" t="s">
        <v>6</v>
      </c>
      <c r="C2" s="23"/>
      <c r="D2" s="23"/>
      <c r="E2" s="23"/>
      <c r="F2" s="23"/>
      <c r="G2" s="23"/>
      <c r="H2" s="23"/>
      <c r="I2" s="23"/>
      <c r="J2" s="23"/>
      <c r="K2" s="23"/>
      <c r="L2" s="23"/>
      <c r="M2" s="23"/>
      <c r="N2" s="23"/>
      <c r="O2" s="23"/>
      <c r="P2" s="23"/>
      <c r="Q2" s="23"/>
      <c r="R2" s="23"/>
      <c r="S2" s="23"/>
      <c r="T2" s="23"/>
      <c r="U2" s="23"/>
      <c r="V2" s="23"/>
      <c r="W2" s="23"/>
      <c r="X2" s="23"/>
      <c r="Y2" s="23"/>
      <c r="Z2" s="23"/>
      <c r="AA2" s="23"/>
      <c r="AB2" s="24"/>
      <c r="AC2" s="9"/>
    </row>
    <row r="3" spans="1:29">
      <c r="A3" s="9"/>
      <c r="B3" s="10"/>
      <c r="C3" s="24"/>
      <c r="D3" s="24"/>
      <c r="E3" s="24"/>
      <c r="F3" s="24"/>
      <c r="G3" s="24"/>
      <c r="H3" s="24"/>
      <c r="I3" s="24"/>
      <c r="J3" s="24"/>
      <c r="K3" s="24"/>
      <c r="L3" s="24"/>
      <c r="M3" s="24"/>
      <c r="N3" s="24"/>
      <c r="O3" s="24"/>
      <c r="P3" s="24"/>
      <c r="Q3" s="24"/>
      <c r="R3" s="24"/>
      <c r="S3" s="24"/>
      <c r="T3" s="24"/>
      <c r="U3" s="24"/>
      <c r="V3" s="24"/>
      <c r="W3" s="24"/>
      <c r="X3" s="24"/>
      <c r="Y3" s="24"/>
      <c r="Z3" s="24"/>
      <c r="AA3" s="25">
        <v>45122</v>
      </c>
      <c r="AB3" s="25"/>
      <c r="AC3" s="9"/>
    </row>
    <row r="4" spans="1:29" ht="15.75">
      <c r="A4" s="9"/>
      <c r="B4" s="11" t="s">
        <v>7</v>
      </c>
      <c r="C4" s="26"/>
      <c r="D4" s="24"/>
      <c r="E4" s="58" t="s">
        <v>123</v>
      </c>
      <c r="F4" s="24"/>
      <c r="G4" s="24"/>
      <c r="H4" s="24"/>
      <c r="I4" s="24"/>
      <c r="J4" s="24"/>
      <c r="K4" s="24"/>
      <c r="L4" s="24"/>
      <c r="M4" s="24"/>
      <c r="N4" s="24"/>
      <c r="O4" s="24"/>
      <c r="P4" s="24"/>
      <c r="Q4" s="24"/>
      <c r="R4" s="24"/>
      <c r="S4" s="24"/>
      <c r="T4" s="24"/>
      <c r="U4" s="24"/>
      <c r="V4" s="24"/>
      <c r="W4" s="24"/>
      <c r="X4" s="24"/>
      <c r="Y4" s="24"/>
      <c r="Z4" s="24"/>
      <c r="AA4" s="24"/>
      <c r="AB4" s="24"/>
      <c r="AC4" s="9"/>
    </row>
    <row r="5" spans="1:29">
      <c r="A5" s="9"/>
      <c r="B5" s="10"/>
      <c r="C5" s="24"/>
      <c r="D5" s="24"/>
      <c r="E5" s="24"/>
      <c r="F5" s="24"/>
      <c r="G5" s="24"/>
      <c r="H5" s="24"/>
      <c r="I5" s="24"/>
      <c r="J5" s="24"/>
      <c r="K5" s="24"/>
      <c r="L5" s="24"/>
      <c r="M5" s="24"/>
      <c r="N5" s="24"/>
      <c r="O5" s="24"/>
      <c r="P5" s="24"/>
      <c r="Q5" s="24"/>
      <c r="R5" s="24"/>
      <c r="S5" s="24"/>
      <c r="T5" s="24"/>
      <c r="U5" s="24"/>
      <c r="V5" s="24"/>
      <c r="W5" s="24"/>
      <c r="X5" s="24"/>
      <c r="Y5" s="24"/>
      <c r="Z5" s="24"/>
      <c r="AA5" s="24"/>
      <c r="AB5" s="24"/>
      <c r="AC5" s="9"/>
    </row>
    <row r="6" spans="1:29">
      <c r="A6" s="9"/>
      <c r="B6" s="10"/>
      <c r="C6" s="24"/>
      <c r="D6" s="24"/>
      <c r="E6" s="24"/>
      <c r="F6" s="24"/>
      <c r="G6" s="24"/>
      <c r="H6" s="24"/>
      <c r="I6" s="24"/>
      <c r="J6" s="24"/>
      <c r="K6" s="24"/>
      <c r="L6" s="24"/>
      <c r="M6" s="24"/>
      <c r="N6" s="24"/>
      <c r="O6" s="24"/>
      <c r="P6" s="24"/>
      <c r="Q6" s="24"/>
      <c r="R6" s="24"/>
      <c r="S6" s="24"/>
      <c r="T6" s="24"/>
      <c r="U6" s="24"/>
      <c r="V6" s="24"/>
      <c r="W6" s="24"/>
      <c r="X6" s="24"/>
      <c r="Y6" s="24"/>
      <c r="Z6" s="24"/>
      <c r="AA6" s="24"/>
      <c r="AB6" s="24"/>
      <c r="AC6" s="9"/>
    </row>
    <row r="7" spans="1:29">
      <c r="A7" s="9"/>
      <c r="B7" s="10"/>
      <c r="C7" s="86" t="s">
        <v>62</v>
      </c>
      <c r="D7" s="24"/>
      <c r="E7" s="24"/>
      <c r="F7" s="24"/>
      <c r="G7" s="24"/>
      <c r="H7" s="24"/>
      <c r="I7" s="24"/>
      <c r="J7" s="24"/>
      <c r="K7" s="24"/>
      <c r="L7" s="24"/>
      <c r="M7" s="24"/>
      <c r="N7" s="24"/>
      <c r="O7" s="24"/>
      <c r="P7" s="24"/>
      <c r="Q7" s="24"/>
      <c r="R7" s="24"/>
      <c r="S7" s="24"/>
      <c r="T7" s="24"/>
      <c r="U7" s="24"/>
      <c r="V7" s="24"/>
      <c r="W7" s="24"/>
      <c r="X7" s="24"/>
      <c r="Y7" s="24"/>
      <c r="Z7" s="24"/>
      <c r="AA7" s="24"/>
      <c r="AB7" s="24"/>
      <c r="AC7" s="9"/>
    </row>
    <row r="8" spans="1:29">
      <c r="A8" s="9"/>
      <c r="B8" s="10"/>
      <c r="C8" s="24"/>
      <c r="D8" s="24"/>
      <c r="E8" s="24"/>
      <c r="F8" s="24"/>
      <c r="G8" s="24"/>
      <c r="H8" s="24"/>
      <c r="I8" s="24"/>
      <c r="J8" s="24"/>
      <c r="K8" s="24"/>
      <c r="L8" s="24"/>
      <c r="M8" s="24"/>
      <c r="N8" s="24"/>
      <c r="O8" s="24"/>
      <c r="P8" s="24"/>
      <c r="Q8" s="24"/>
      <c r="R8" s="24"/>
      <c r="S8" s="24"/>
      <c r="T8" s="24"/>
      <c r="U8" s="24"/>
      <c r="V8" s="24"/>
      <c r="W8" s="24"/>
      <c r="X8" s="24"/>
      <c r="Y8" s="24"/>
      <c r="Z8" s="24"/>
      <c r="AA8" s="24"/>
      <c r="AB8" s="24"/>
      <c r="AC8" s="9"/>
    </row>
    <row r="9" spans="1:29" s="124" customFormat="1" ht="11.25">
      <c r="A9" s="123"/>
      <c r="C9" s="27" t="s">
        <v>7</v>
      </c>
      <c r="D9" s="28"/>
      <c r="E9" s="28"/>
      <c r="F9" s="158" t="s">
        <v>51</v>
      </c>
      <c r="G9" s="158"/>
      <c r="H9" s="158"/>
      <c r="I9" s="158"/>
      <c r="J9" s="158"/>
      <c r="K9" s="158"/>
      <c r="L9" s="158"/>
      <c r="M9" s="158"/>
      <c r="N9" s="159"/>
      <c r="O9" s="157" t="s">
        <v>52</v>
      </c>
      <c r="P9" s="158"/>
      <c r="Q9" s="158"/>
      <c r="R9" s="158"/>
      <c r="S9" s="158"/>
      <c r="T9" s="158"/>
      <c r="U9" s="158"/>
      <c r="V9" s="158"/>
      <c r="W9" s="159"/>
      <c r="X9" s="157" t="s">
        <v>57</v>
      </c>
      <c r="Y9" s="158"/>
      <c r="Z9" s="158"/>
      <c r="AA9" s="160"/>
      <c r="AB9" s="123"/>
      <c r="AC9" s="123"/>
    </row>
    <row r="10" spans="1:29" s="124" customFormat="1" ht="13.5">
      <c r="A10" s="123"/>
      <c r="B10" s="125"/>
      <c r="C10" s="29"/>
      <c r="D10" s="30"/>
      <c r="E10" s="30"/>
      <c r="F10" s="29"/>
      <c r="G10" s="30"/>
      <c r="H10" s="30"/>
      <c r="I10" s="30"/>
      <c r="J10" s="30"/>
      <c r="K10" s="30"/>
      <c r="L10" s="30"/>
      <c r="M10" s="30"/>
      <c r="N10" s="56"/>
      <c r="O10" s="30"/>
      <c r="P10" s="30"/>
      <c r="Q10" s="30"/>
      <c r="R10" s="30"/>
      <c r="S10" s="30"/>
      <c r="T10" s="30"/>
      <c r="U10" s="30"/>
      <c r="V10" s="30"/>
      <c r="W10" s="56"/>
      <c r="X10" s="30"/>
      <c r="Y10" s="30"/>
      <c r="Z10" s="30"/>
      <c r="AA10" s="56"/>
      <c r="AB10" s="123"/>
      <c r="AC10" s="123"/>
    </row>
    <row r="11" spans="1:29" s="124" customFormat="1" ht="26.1" customHeight="1">
      <c r="A11" s="126"/>
      <c r="B11" s="127"/>
      <c r="C11" s="59" t="s">
        <v>29</v>
      </c>
      <c r="D11" s="50"/>
      <c r="E11" s="51"/>
      <c r="F11" s="55">
        <v>2023</v>
      </c>
      <c r="G11" s="52">
        <v>2022</v>
      </c>
      <c r="H11" s="52">
        <v>2021</v>
      </c>
      <c r="I11" s="52">
        <v>2020</v>
      </c>
      <c r="J11" s="52">
        <v>2019</v>
      </c>
      <c r="K11" s="53" t="s">
        <v>66</v>
      </c>
      <c r="L11" s="53" t="s">
        <v>67</v>
      </c>
      <c r="M11" s="53" t="s">
        <v>68</v>
      </c>
      <c r="N11" s="57" t="s">
        <v>101</v>
      </c>
      <c r="O11" s="53">
        <v>2023</v>
      </c>
      <c r="P11" s="53">
        <v>2022</v>
      </c>
      <c r="Q11" s="52">
        <v>2021</v>
      </c>
      <c r="R11" s="52">
        <v>2020</v>
      </c>
      <c r="S11" s="52">
        <v>2019</v>
      </c>
      <c r="T11" s="53" t="s">
        <v>66</v>
      </c>
      <c r="U11" s="53" t="s">
        <v>67</v>
      </c>
      <c r="V11" s="53" t="s">
        <v>68</v>
      </c>
      <c r="W11" s="57" t="s">
        <v>101</v>
      </c>
      <c r="X11" s="53">
        <v>2022</v>
      </c>
      <c r="Y11" s="53">
        <v>2021</v>
      </c>
      <c r="Z11" s="52">
        <v>2020</v>
      </c>
      <c r="AA11" s="77">
        <v>2019</v>
      </c>
      <c r="AB11" s="126"/>
      <c r="AC11" s="126"/>
    </row>
    <row r="12" spans="1:29" s="124" customFormat="1" ht="12.75">
      <c r="A12" s="123"/>
      <c r="B12" s="128"/>
      <c r="C12" s="31" t="s">
        <v>108</v>
      </c>
      <c r="D12" s="26"/>
      <c r="E12" s="32"/>
      <c r="F12" s="26"/>
      <c r="G12" s="26"/>
      <c r="H12" s="26"/>
      <c r="I12" s="26"/>
      <c r="J12" s="26"/>
      <c r="K12" s="26"/>
      <c r="L12" s="26"/>
      <c r="M12" s="26"/>
      <c r="N12" s="32"/>
      <c r="O12" s="26"/>
      <c r="P12" s="26"/>
      <c r="Q12" s="26"/>
      <c r="R12" s="26"/>
      <c r="S12" s="26"/>
      <c r="T12" s="26"/>
      <c r="U12" s="26"/>
      <c r="V12" s="26"/>
      <c r="W12" s="32"/>
      <c r="X12" s="26"/>
      <c r="Y12" s="26"/>
      <c r="Z12" s="26"/>
      <c r="AA12" s="32"/>
      <c r="AB12" s="123"/>
      <c r="AC12" s="123"/>
    </row>
    <row r="13" spans="1:29" s="124" customFormat="1" ht="12.75">
      <c r="A13" s="123"/>
      <c r="B13" s="128"/>
      <c r="C13" s="33"/>
      <c r="D13" s="26" t="s">
        <v>5</v>
      </c>
      <c r="E13" s="32"/>
      <c r="F13" s="73">
        <v>95</v>
      </c>
      <c r="G13" s="71">
        <v>77</v>
      </c>
      <c r="H13" s="71">
        <v>0</v>
      </c>
      <c r="I13" s="71">
        <v>0</v>
      </c>
      <c r="J13" s="71">
        <v>90</v>
      </c>
      <c r="K13" s="64">
        <f>IFERROR(F13/G13-1,"n/a")</f>
        <v>0.23376623376623384</v>
      </c>
      <c r="L13" s="64" t="str">
        <f t="shared" ref="L13:L28" si="0">IFERROR(F13/H13-1,"n/a")</f>
        <v>n/a</v>
      </c>
      <c r="M13" s="64" t="str">
        <f>IFERROR(F13/I13-1,"n/a")</f>
        <v>n/a</v>
      </c>
      <c r="N13" s="60">
        <f>IFERROR(F13/J13-1,"n/a")</f>
        <v>5.555555555555558E-2</v>
      </c>
      <c r="O13" s="68">
        <f>'May-23'!O13+'June-23'!F13</f>
        <v>853</v>
      </c>
      <c r="P13" s="68">
        <f>'May-23'!$P$13+G13</f>
        <v>826</v>
      </c>
      <c r="Q13" s="68">
        <f>'May-23'!Q13+'June-23'!H13</f>
        <v>0</v>
      </c>
      <c r="R13" s="68">
        <f>'May-23'!R13+'June-23'!I13</f>
        <v>551</v>
      </c>
      <c r="S13" s="68">
        <f>'May-23'!S13+'June-23'!J13</f>
        <v>825</v>
      </c>
      <c r="T13" s="64">
        <f>IFERROR(O13/P13-1,"n/a")</f>
        <v>3.2687651331719136E-2</v>
      </c>
      <c r="U13" s="64" t="str">
        <f>IFERROR(O13/Q13-1,"n/a")</f>
        <v>n/a</v>
      </c>
      <c r="V13" s="64">
        <f>IFERROR(O13/R13-1,"n/a")</f>
        <v>0.5480943738656987</v>
      </c>
      <c r="W13" s="60">
        <f>IFERROR(O13/S13-1,"n/a")</f>
        <v>3.3939393939393936E-2</v>
      </c>
      <c r="X13" s="68">
        <v>1486</v>
      </c>
      <c r="Y13" s="68">
        <v>522</v>
      </c>
      <c r="Z13" s="70">
        <v>551</v>
      </c>
      <c r="AA13" s="78">
        <v>1591</v>
      </c>
      <c r="AB13" s="123"/>
      <c r="AC13" s="123"/>
    </row>
    <row r="14" spans="1:29" s="124" customFormat="1" ht="12.75">
      <c r="A14" s="123"/>
      <c r="B14" s="128"/>
      <c r="C14" s="33"/>
      <c r="D14" s="26" t="s">
        <v>11</v>
      </c>
      <c r="E14" s="32"/>
      <c r="F14" s="73">
        <v>359885</v>
      </c>
      <c r="G14" s="71">
        <v>251675</v>
      </c>
      <c r="H14" s="71">
        <v>0</v>
      </c>
      <c r="I14" s="71">
        <v>0</v>
      </c>
      <c r="J14" s="71">
        <v>303053</v>
      </c>
      <c r="K14" s="64">
        <f>IFERROR(F14/G14-1,"n/a")</f>
        <v>0.42995927287175917</v>
      </c>
      <c r="L14" s="64" t="str">
        <f t="shared" si="0"/>
        <v>n/a</v>
      </c>
      <c r="M14" s="64" t="str">
        <f>IFERROR(F14/I14-1,"n/a")</f>
        <v>n/a</v>
      </c>
      <c r="N14" s="60">
        <f>IFERROR(F14/J14-1,"n/a")</f>
        <v>0.1875315538866138</v>
      </c>
      <c r="O14" s="68">
        <f>'May-23'!$O$14+F14</f>
        <v>2701062</v>
      </c>
      <c r="P14" s="68">
        <f>'May-23'!P14+'June-23'!G14</f>
        <v>1544089</v>
      </c>
      <c r="Q14" s="68">
        <f>'May-23'!Q14+'June-23'!H14</f>
        <v>0</v>
      </c>
      <c r="R14" s="68">
        <f>'May-23'!R14+'June-23'!I14</f>
        <v>1092884</v>
      </c>
      <c r="S14" s="68">
        <f>'May-23'!S14+'June-23'!J14</f>
        <v>2451255</v>
      </c>
      <c r="T14" s="64">
        <f>IFERROR(O14/P14-1,"n/a")</f>
        <v>0.74929165352515303</v>
      </c>
      <c r="U14" s="64" t="str">
        <f>IFERROR(O14/Q14-1,"n/a")</f>
        <v>n/a</v>
      </c>
      <c r="V14" s="64">
        <f>IFERROR(O14/R14-1,"n/a")</f>
        <v>1.4714992625017844</v>
      </c>
      <c r="W14" s="60">
        <f>IFERROR(O14/S14-1,"n/a")</f>
        <v>0.10190983802174802</v>
      </c>
      <c r="X14" s="68">
        <v>3592413</v>
      </c>
      <c r="Y14" s="68">
        <v>768312</v>
      </c>
      <c r="Z14" s="70">
        <v>1092884</v>
      </c>
      <c r="AA14" s="78">
        <v>4592479</v>
      </c>
      <c r="AB14" s="123"/>
      <c r="AC14" s="123"/>
    </row>
    <row r="15" spans="1:29" s="124" customFormat="1" ht="12.75">
      <c r="A15" s="123"/>
      <c r="B15" s="128"/>
      <c r="C15" s="31" t="s">
        <v>109</v>
      </c>
      <c r="D15" s="26"/>
      <c r="E15" s="32"/>
      <c r="F15" s="97"/>
      <c r="G15" s="26"/>
      <c r="H15" s="26"/>
      <c r="I15" s="26"/>
      <c r="J15" s="26"/>
      <c r="K15" s="64"/>
      <c r="L15" s="64"/>
      <c r="M15" s="64"/>
      <c r="N15" s="61"/>
      <c r="O15" s="87"/>
      <c r="P15" s="87"/>
      <c r="Q15" s="87"/>
      <c r="R15" s="87"/>
      <c r="S15" s="87"/>
      <c r="T15" s="64"/>
      <c r="U15" s="64"/>
      <c r="V15" s="65"/>
      <c r="W15" s="61"/>
      <c r="X15" s="43"/>
      <c r="Y15" s="43"/>
      <c r="Z15" s="44"/>
      <c r="AA15" s="79"/>
      <c r="AB15" s="123"/>
      <c r="AC15" s="123"/>
    </row>
    <row r="16" spans="1:29" s="124" customFormat="1" ht="12.75">
      <c r="A16" s="123"/>
      <c r="B16" s="128"/>
      <c r="C16" s="33"/>
      <c r="D16" s="26" t="s">
        <v>5</v>
      </c>
      <c r="E16" s="32"/>
      <c r="F16" s="74">
        <v>73</v>
      </c>
      <c r="G16" s="71">
        <v>89</v>
      </c>
      <c r="H16" s="71">
        <v>17</v>
      </c>
      <c r="I16" s="71">
        <v>0</v>
      </c>
      <c r="J16" s="71">
        <v>71</v>
      </c>
      <c r="K16" s="64">
        <f>IFERROR(F16/G16-1,"n/a")</f>
        <v>-0.1797752808988764</v>
      </c>
      <c r="L16" s="64">
        <f t="shared" si="0"/>
        <v>3.2941176470588234</v>
      </c>
      <c r="M16" s="64" t="str">
        <f>IFERROR(F16/I16-1,"n/a")</f>
        <v>n/a</v>
      </c>
      <c r="N16" s="60">
        <f>IFERROR(F16/J16-1,"n/a")</f>
        <v>2.8169014084507005E-2</v>
      </c>
      <c r="O16" s="68">
        <f>'May-23'!$O$16+F16</f>
        <v>216</v>
      </c>
      <c r="P16" s="68">
        <f>'May-23'!P16+'June-23'!G16</f>
        <v>252</v>
      </c>
      <c r="Q16" s="68">
        <f>'May-23'!Q16+'June-23'!H16</f>
        <v>51</v>
      </c>
      <c r="R16" s="68">
        <f>'May-23'!R16+'June-23'!I16</f>
        <v>10</v>
      </c>
      <c r="S16" s="68">
        <f>'May-23'!S16+'June-23'!J16</f>
        <v>216</v>
      </c>
      <c r="T16" s="64">
        <f>IFERROR(O16/P16-1,"n/a")</f>
        <v>-0.1428571428571429</v>
      </c>
      <c r="U16" s="64">
        <f>IFERROR(O16/Q16-1,"n/a")</f>
        <v>3.2352941176470589</v>
      </c>
      <c r="V16" s="64">
        <f>IFERROR(O16/R16-1,"n/a")</f>
        <v>20.6</v>
      </c>
      <c r="W16" s="60">
        <f>IFERROR(O16/S16-1,"n/a")</f>
        <v>0</v>
      </c>
      <c r="X16" s="68">
        <v>572</v>
      </c>
      <c r="Y16" s="68">
        <v>202</v>
      </c>
      <c r="Z16" s="70">
        <v>54</v>
      </c>
      <c r="AA16" s="78">
        <v>586</v>
      </c>
      <c r="AB16" s="123"/>
      <c r="AC16" s="123"/>
    </row>
    <row r="17" spans="1:29" s="124" customFormat="1" ht="12.75">
      <c r="A17" s="123"/>
      <c r="B17" s="128"/>
      <c r="C17" s="33"/>
      <c r="D17" s="26" t="s">
        <v>11</v>
      </c>
      <c r="E17" s="32"/>
      <c r="F17" s="74">
        <v>224892</v>
      </c>
      <c r="G17" s="71">
        <v>121649</v>
      </c>
      <c r="H17" s="71">
        <v>24481</v>
      </c>
      <c r="I17" s="71">
        <v>0</v>
      </c>
      <c r="J17" s="71">
        <v>165399</v>
      </c>
      <c r="K17" s="64">
        <f>IFERROR(F17/G17-1,"n/a")</f>
        <v>0.84869583802579562</v>
      </c>
      <c r="L17" s="64">
        <f t="shared" si="0"/>
        <v>8.1863894448756174</v>
      </c>
      <c r="M17" s="64" t="str">
        <f>IFERROR(F17/I17-1,"n/a")</f>
        <v>n/a</v>
      </c>
      <c r="N17" s="60">
        <f>IFERROR(F17/J17-1,"n/a")</f>
        <v>0.35969383128072119</v>
      </c>
      <c r="O17" s="68">
        <f>'May-23'!O17+'June-23'!F17</f>
        <v>576378</v>
      </c>
      <c r="P17" s="68">
        <f>'May-23'!P17+'June-23'!G17</f>
        <v>300562</v>
      </c>
      <c r="Q17" s="68">
        <f>'May-23'!Q17+'June-23'!H17</f>
        <v>65067</v>
      </c>
      <c r="R17" s="68">
        <f>'May-23'!R17+'June-23'!I17</f>
        <v>41113</v>
      </c>
      <c r="S17" s="68">
        <f>'May-23'!S17+'June-23'!J17</f>
        <v>558503</v>
      </c>
      <c r="T17" s="64">
        <f>IFERROR(O17/P17-1,"n/a")</f>
        <v>0.9176675694199532</v>
      </c>
      <c r="U17" s="64">
        <f>IFERROR(O17/Q17-1,"n/a")</f>
        <v>7.8582230623818532</v>
      </c>
      <c r="V17" s="64">
        <f>IFERROR(O17/R17-1,"n/a")</f>
        <v>13.019361272590178</v>
      </c>
      <c r="W17" s="60">
        <f>IFERROR(O17/S17-1,"n/a")</f>
        <v>3.2005199613968083E-2</v>
      </c>
      <c r="X17" s="68">
        <v>965963</v>
      </c>
      <c r="Y17" s="68">
        <v>301521</v>
      </c>
      <c r="Z17" s="70">
        <v>70675</v>
      </c>
      <c r="AA17" s="78">
        <v>1400932</v>
      </c>
      <c r="AB17" s="123"/>
      <c r="AC17" s="123"/>
    </row>
    <row r="18" spans="1:29" s="124" customFormat="1" ht="12.75">
      <c r="A18" s="123"/>
      <c r="B18" s="128"/>
      <c r="C18" s="31" t="s">
        <v>110</v>
      </c>
      <c r="D18" s="26"/>
      <c r="E18" s="32"/>
      <c r="F18" s="72"/>
      <c r="G18" s="72"/>
      <c r="H18" s="72"/>
      <c r="I18" s="72"/>
      <c r="J18" s="72"/>
      <c r="K18" s="64"/>
      <c r="L18" s="64"/>
      <c r="M18" s="64"/>
      <c r="N18" s="60"/>
      <c r="O18" s="87"/>
      <c r="P18" s="87"/>
      <c r="Q18" s="87"/>
      <c r="R18" s="87"/>
      <c r="S18" s="87"/>
      <c r="T18" s="64"/>
      <c r="U18" s="64"/>
      <c r="V18" s="64"/>
      <c r="W18" s="60"/>
      <c r="X18" s="43"/>
      <c r="Y18" s="43"/>
      <c r="Z18" s="44"/>
      <c r="AA18" s="79"/>
      <c r="AB18" s="123"/>
      <c r="AC18" s="123"/>
    </row>
    <row r="19" spans="1:29" s="124" customFormat="1" ht="12.75">
      <c r="A19" s="123"/>
      <c r="B19" s="128"/>
      <c r="C19" s="33"/>
      <c r="D19" s="26" t="s">
        <v>5</v>
      </c>
      <c r="E19" s="32"/>
      <c r="F19" s="73">
        <v>87</v>
      </c>
      <c r="G19" s="71">
        <v>91</v>
      </c>
      <c r="H19" s="71">
        <v>0</v>
      </c>
      <c r="I19" s="71">
        <v>0</v>
      </c>
      <c r="J19" s="71">
        <v>42</v>
      </c>
      <c r="K19" s="64">
        <f>IFERROR(F19/G19-1,"n/a")</f>
        <v>-4.3956043956043911E-2</v>
      </c>
      <c r="L19" s="64" t="str">
        <f t="shared" si="0"/>
        <v>n/a</v>
      </c>
      <c r="M19" s="64" t="str">
        <f>IFERROR(F19/I19-1,"n/a")</f>
        <v>n/a</v>
      </c>
      <c r="N19" s="60">
        <f>IFERROR(F19/J19-1,"n/a")</f>
        <v>1.0714285714285716</v>
      </c>
      <c r="O19" s="68">
        <f>'May-23'!O19+'June-23'!F19</f>
        <v>256</v>
      </c>
      <c r="P19" s="68">
        <f>'May-23'!P19+'June-23'!G19</f>
        <v>229</v>
      </c>
      <c r="Q19" s="68">
        <f>'May-23'!Q19+'June-23'!H19</f>
        <v>3</v>
      </c>
      <c r="R19" s="68">
        <f>'May-23'!R19+'June-23'!I19</f>
        <v>3</v>
      </c>
      <c r="S19" s="68">
        <f>'May-23'!S19+'June-23'!J19</f>
        <v>106</v>
      </c>
      <c r="T19" s="64">
        <f>IFERROR(O19/P19-1,"n/a")</f>
        <v>0.11790393013100431</v>
      </c>
      <c r="U19" s="64">
        <f>IFERROR(O19/Q19-1,"n/a")</f>
        <v>84.333333333333329</v>
      </c>
      <c r="V19" s="64">
        <f>IFERROR(O19/R19-1,"n/a")</f>
        <v>84.333333333333329</v>
      </c>
      <c r="W19" s="60">
        <f>IFERROR(O19/S19-1,"n/a")</f>
        <v>1.4150943396226414</v>
      </c>
      <c r="X19" s="68">
        <v>658</v>
      </c>
      <c r="Y19" s="68">
        <v>47</v>
      </c>
      <c r="Z19" s="70">
        <v>9</v>
      </c>
      <c r="AA19" s="78">
        <v>290</v>
      </c>
      <c r="AB19" s="123"/>
      <c r="AC19" s="123"/>
    </row>
    <row r="20" spans="1:29" s="124" customFormat="1" ht="12.75">
      <c r="A20" s="123"/>
      <c r="B20" s="128"/>
      <c r="C20" s="33"/>
      <c r="D20" s="26" t="s">
        <v>11</v>
      </c>
      <c r="E20" s="32"/>
      <c r="F20" s="73">
        <f>132170+37144</f>
        <v>169314</v>
      </c>
      <c r="G20" s="71">
        <v>118355</v>
      </c>
      <c r="H20" s="71">
        <v>0</v>
      </c>
      <c r="I20" s="71">
        <v>2213</v>
      </c>
      <c r="J20" s="71">
        <f>46798+31061</f>
        <v>77859</v>
      </c>
      <c r="K20" s="64">
        <f>IFERROR(F20/G20-1,"n/a")</f>
        <v>0.43056060157999232</v>
      </c>
      <c r="L20" s="64" t="str">
        <f t="shared" si="0"/>
        <v>n/a</v>
      </c>
      <c r="M20" s="64">
        <f>IFERROR(F20/I20-1,"n/a")</f>
        <v>75.508811568007232</v>
      </c>
      <c r="N20" s="60">
        <f t="shared" ref="N20:N28" si="1">IFERROR(F20/J20-1,"n/a")</f>
        <v>1.1746233576079836</v>
      </c>
      <c r="O20" s="68">
        <f>'May-23'!O20+'June-23'!F20</f>
        <v>393780</v>
      </c>
      <c r="P20" s="68">
        <f>'May-23'!P20+'June-23'!G20</f>
        <v>242591</v>
      </c>
      <c r="Q20" s="68">
        <f>'May-23'!Q20+'June-23'!H20</f>
        <v>0</v>
      </c>
      <c r="R20" s="68">
        <f>'May-23'!R20+'June-23'!I20</f>
        <v>3966</v>
      </c>
      <c r="S20" s="68">
        <f>'May-23'!S20+'June-23'!J20</f>
        <v>186782</v>
      </c>
      <c r="T20" s="64">
        <f>IFERROR(O20/P20-1,"n/a")</f>
        <v>0.62322592346789452</v>
      </c>
      <c r="U20" s="64" t="str">
        <f>IFERROR(O20/Q20-1,"n/a")</f>
        <v>n/a</v>
      </c>
      <c r="V20" s="64">
        <f>IFERROR(O20/R20-1,"n/a")</f>
        <v>98.288956127080183</v>
      </c>
      <c r="W20" s="60">
        <f>IFERROR(O20/S20-1,"n/a")</f>
        <v>1.1082331273891488</v>
      </c>
      <c r="X20" s="68">
        <v>887495</v>
      </c>
      <c r="Y20" s="68">
        <v>17541</v>
      </c>
      <c r="Z20" s="70">
        <v>10047</v>
      </c>
      <c r="AA20" s="78">
        <v>585930</v>
      </c>
      <c r="AB20" s="123"/>
      <c r="AC20" s="123"/>
    </row>
    <row r="21" spans="1:29" s="124" customFormat="1" ht="12.75">
      <c r="A21" s="123"/>
      <c r="B21" s="128"/>
      <c r="C21" s="31" t="s">
        <v>111</v>
      </c>
      <c r="D21" s="26"/>
      <c r="E21" s="34"/>
      <c r="F21" s="72"/>
      <c r="G21" s="72"/>
      <c r="H21" s="72"/>
      <c r="I21" s="72"/>
      <c r="J21" s="72"/>
      <c r="K21" s="64"/>
      <c r="L21" s="64"/>
      <c r="M21" s="64"/>
      <c r="N21" s="60"/>
      <c r="O21" s="87"/>
      <c r="P21" s="87"/>
      <c r="Q21" s="87"/>
      <c r="R21" s="87"/>
      <c r="S21" s="87"/>
      <c r="T21" s="64"/>
      <c r="U21" s="64"/>
      <c r="V21" s="64"/>
      <c r="W21" s="60"/>
      <c r="X21" s="43"/>
      <c r="Y21" s="43"/>
      <c r="Z21" s="44"/>
      <c r="AA21" s="79"/>
      <c r="AB21" s="123"/>
      <c r="AC21" s="123"/>
    </row>
    <row r="22" spans="1:29" s="124" customFormat="1" ht="12.75">
      <c r="A22" s="123"/>
      <c r="B22" s="128"/>
      <c r="C22" s="33"/>
      <c r="D22" s="26" t="s">
        <v>5</v>
      </c>
      <c r="E22" s="34"/>
      <c r="F22" s="74">
        <v>88</v>
      </c>
      <c r="G22" s="71">
        <v>69</v>
      </c>
      <c r="H22" s="71">
        <v>4</v>
      </c>
      <c r="I22" s="71">
        <v>0</v>
      </c>
      <c r="J22" s="71">
        <v>70</v>
      </c>
      <c r="K22" s="64">
        <f>IFERROR(F22/G22-1,"n/a")</f>
        <v>0.2753623188405796</v>
      </c>
      <c r="L22" s="64">
        <f t="shared" si="0"/>
        <v>21</v>
      </c>
      <c r="M22" s="64" t="str">
        <f>IFERROR(F22/I22-1,"n/a")</f>
        <v>n/a</v>
      </c>
      <c r="N22" s="60">
        <f t="shared" si="1"/>
        <v>0.25714285714285712</v>
      </c>
      <c r="O22" s="68">
        <f>'May-23'!O22+'June-23'!F22</f>
        <v>695</v>
      </c>
      <c r="P22" s="68">
        <f>'May-23'!P22+'June-23'!G22</f>
        <v>325</v>
      </c>
      <c r="Q22" s="68">
        <f>'May-23'!Q22+'June-23'!H22</f>
        <v>4</v>
      </c>
      <c r="R22" s="68">
        <f>'May-23'!R22+'June-23'!I22</f>
        <v>205</v>
      </c>
      <c r="S22" s="68">
        <f>'May-23'!S22+'June-23'!J22</f>
        <v>596</v>
      </c>
      <c r="T22" s="64">
        <f>IFERROR(O22/P22-1,"n/a")</f>
        <v>1.1384615384615384</v>
      </c>
      <c r="U22" s="64">
        <f>IFERROR(O22/Q22-1,"n/a")</f>
        <v>172.75</v>
      </c>
      <c r="V22" s="64">
        <f>IFERROR(O22/R22-1,"n/a")</f>
        <v>2.3902439024390243</v>
      </c>
      <c r="W22" s="60">
        <f>IFERROR(O22/S22-1,"n/a")</f>
        <v>0.16610738255033564</v>
      </c>
      <c r="X22" s="68">
        <v>895</v>
      </c>
      <c r="Y22" s="68">
        <v>283</v>
      </c>
      <c r="Z22" s="70">
        <v>43</v>
      </c>
      <c r="AA22" s="78">
        <v>827</v>
      </c>
      <c r="AB22" s="123"/>
      <c r="AC22" s="123"/>
    </row>
    <row r="23" spans="1:29" s="124" customFormat="1" ht="12.75">
      <c r="A23" s="123"/>
      <c r="B23" s="128"/>
      <c r="C23" s="33"/>
      <c r="D23" s="26" t="s">
        <v>11</v>
      </c>
      <c r="E23" s="32"/>
      <c r="F23" s="73">
        <v>334459</v>
      </c>
      <c r="G23" s="71">
        <v>183895</v>
      </c>
      <c r="H23" s="71">
        <v>4923</v>
      </c>
      <c r="I23" s="71">
        <v>0</v>
      </c>
      <c r="J23" s="71">
        <v>275367</v>
      </c>
      <c r="K23" s="64">
        <f>IFERROR(F23/G23-1,"n/a")</f>
        <v>0.81874983006607027</v>
      </c>
      <c r="L23" s="64">
        <f t="shared" si="0"/>
        <v>66.93804590696729</v>
      </c>
      <c r="M23" s="64" t="str">
        <f>IFERROR(F23/I23-1,"n/a")</f>
        <v>n/a</v>
      </c>
      <c r="N23" s="60">
        <f t="shared" si="1"/>
        <v>0.2145936150664387</v>
      </c>
      <c r="O23" s="68">
        <f>'May-23'!O23+'June-23'!F23</f>
        <v>1893954</v>
      </c>
      <c r="P23" s="68">
        <f>'May-23'!P23+'June-23'!G23</f>
        <v>536176</v>
      </c>
      <c r="Q23" s="68">
        <f>'May-23'!Q23+'June-23'!H23</f>
        <v>4923</v>
      </c>
      <c r="R23" s="68">
        <f>'May-23'!R23+'June-23'!I23</f>
        <v>545974</v>
      </c>
      <c r="S23" s="68">
        <f>'May-23'!S23+'June-23'!J23</f>
        <v>1708367</v>
      </c>
      <c r="T23" s="64">
        <f>IFERROR(O23/P23-1,"n/a")</f>
        <v>2.5323363970039687</v>
      </c>
      <c r="U23" s="64">
        <f>IFERROR(O23/Q23-1,"n/a")</f>
        <v>383.7154174283973</v>
      </c>
      <c r="V23" s="64">
        <f>IFERROR(O23/R23-1,"n/a")</f>
        <v>2.4689454076567747</v>
      </c>
      <c r="W23" s="60">
        <f>IFERROR(O23/S23-1,"n/a")</f>
        <v>0.10863415179525249</v>
      </c>
      <c r="X23" s="68">
        <v>2165161</v>
      </c>
      <c r="Y23" s="68">
        <v>465109</v>
      </c>
      <c r="Z23" s="70">
        <v>140552</v>
      </c>
      <c r="AA23" s="78">
        <v>2552942</v>
      </c>
      <c r="AB23" s="123"/>
      <c r="AC23" s="123"/>
    </row>
    <row r="24" spans="1:29" s="124" customFormat="1" ht="12.75">
      <c r="A24" s="123"/>
      <c r="B24" s="128"/>
      <c r="C24" s="31" t="s">
        <v>112</v>
      </c>
      <c r="D24" s="26"/>
      <c r="E24" s="32"/>
      <c r="F24" s="72"/>
      <c r="G24" s="72"/>
      <c r="H24" s="72"/>
      <c r="I24" s="72"/>
      <c r="J24" s="72"/>
      <c r="K24" s="64"/>
      <c r="L24" s="64"/>
      <c r="M24" s="64"/>
      <c r="N24" s="60"/>
      <c r="O24" s="87"/>
      <c r="P24" s="87"/>
      <c r="Q24" s="87"/>
      <c r="R24" s="87"/>
      <c r="S24" s="87"/>
      <c r="T24" s="64"/>
      <c r="U24" s="64"/>
      <c r="V24" s="64"/>
      <c r="W24" s="60"/>
      <c r="X24" s="43"/>
      <c r="Y24" s="43"/>
      <c r="Z24" s="44"/>
      <c r="AA24" s="79"/>
      <c r="AB24" s="123"/>
      <c r="AC24" s="123"/>
    </row>
    <row r="25" spans="1:29" s="124" customFormat="1" ht="12.75">
      <c r="B25" s="128"/>
      <c r="C25" s="33"/>
      <c r="D25" s="26" t="s">
        <v>5</v>
      </c>
      <c r="E25" s="32"/>
      <c r="F25" s="71">
        <v>4</v>
      </c>
      <c r="G25" s="71">
        <v>1</v>
      </c>
      <c r="H25" s="71">
        <v>0</v>
      </c>
      <c r="I25" s="71">
        <v>0</v>
      </c>
      <c r="J25" s="71">
        <v>5</v>
      </c>
      <c r="K25" s="64">
        <f>IFERROR(F25/G25-1,"n/a")</f>
        <v>3</v>
      </c>
      <c r="L25" s="64" t="str">
        <f t="shared" si="0"/>
        <v>n/a</v>
      </c>
      <c r="M25" s="64" t="str">
        <f>IFERROR(F25/I25-1,"n/a")</f>
        <v>n/a</v>
      </c>
      <c r="N25" s="60">
        <f t="shared" si="1"/>
        <v>-0.19999999999999996</v>
      </c>
      <c r="O25" s="68">
        <f>'May-23'!O25+'June-23'!F25</f>
        <v>8</v>
      </c>
      <c r="P25" s="68">
        <f>'May-23'!P25+'June-23'!G25</f>
        <v>2</v>
      </c>
      <c r="Q25" s="68">
        <f>'May-23'!Q25+'June-23'!H25</f>
        <v>0</v>
      </c>
      <c r="R25" s="68">
        <f>'May-23'!R25+'June-23'!I25</f>
        <v>0</v>
      </c>
      <c r="S25" s="68">
        <f>'May-23'!S25+'June-23'!J25</f>
        <v>8</v>
      </c>
      <c r="T25" s="64">
        <f>IFERROR(O25/P25-1,"n/a")</f>
        <v>3</v>
      </c>
      <c r="U25" s="64" t="str">
        <f>IFERROR(O25/Q25-1,"n/a")</f>
        <v>n/a</v>
      </c>
      <c r="V25" s="64" t="str">
        <f>IFERROR(O25/R25-1,"n/a")</f>
        <v>n/a</v>
      </c>
      <c r="W25" s="60">
        <f>IFERROR(O25/S25-1,"n/a")</f>
        <v>0</v>
      </c>
      <c r="X25" s="68">
        <v>9</v>
      </c>
      <c r="Y25" s="68">
        <v>0</v>
      </c>
      <c r="Z25" s="68">
        <v>0</v>
      </c>
      <c r="AA25" s="78">
        <v>16</v>
      </c>
      <c r="AB25" s="123"/>
      <c r="AC25" s="123"/>
    </row>
    <row r="26" spans="1:29" s="124" customFormat="1" ht="12.75">
      <c r="A26" s="123"/>
      <c r="B26" s="128"/>
      <c r="C26" s="33"/>
      <c r="D26" s="26" t="s">
        <v>11</v>
      </c>
      <c r="E26" s="32"/>
      <c r="F26" s="71">
        <v>9205</v>
      </c>
      <c r="G26" s="71">
        <v>2226</v>
      </c>
      <c r="H26" s="71">
        <v>0</v>
      </c>
      <c r="I26" s="71">
        <v>0</v>
      </c>
      <c r="J26" s="71">
        <v>6817</v>
      </c>
      <c r="K26" s="64">
        <f>IFERROR(F26/G26-1,"n/a")</f>
        <v>3.1352201257861632</v>
      </c>
      <c r="L26" s="64" t="str">
        <f t="shared" si="0"/>
        <v>n/a</v>
      </c>
      <c r="M26" s="64" t="str">
        <f>IFERROR(F26/I26-1,"n/a")</f>
        <v>n/a</v>
      </c>
      <c r="N26" s="60">
        <f t="shared" si="1"/>
        <v>0.35030071879125724</v>
      </c>
      <c r="O26" s="68">
        <f>'May-23'!O26+'June-23'!F26</f>
        <v>13587</v>
      </c>
      <c r="P26" s="68">
        <f>'May-23'!P26+'June-23'!G26</f>
        <v>3151</v>
      </c>
      <c r="Q26" s="68">
        <f>'May-23'!Q26+'June-23'!H26</f>
        <v>0</v>
      </c>
      <c r="R26" s="68">
        <f>'May-23'!R26+'June-23'!I26</f>
        <v>0</v>
      </c>
      <c r="S26" s="68">
        <f>'May-23'!S26+'June-23'!J26</f>
        <v>10227</v>
      </c>
      <c r="T26" s="64">
        <f>IFERROR(O26/P26-1,"n/a")</f>
        <v>3.3119644557283401</v>
      </c>
      <c r="U26" s="64" t="str">
        <f>IFERROR(O26/Q26-1,"n/a")</f>
        <v>n/a</v>
      </c>
      <c r="V26" s="64" t="str">
        <f>IFERROR(O26/R26-1,"n/a")</f>
        <v>n/a</v>
      </c>
      <c r="W26" s="60">
        <f>IFERROR(O26/S26-1,"n/a")</f>
        <v>0.32854209445585214</v>
      </c>
      <c r="X26" s="68">
        <v>15637</v>
      </c>
      <c r="Y26" s="68">
        <v>0</v>
      </c>
      <c r="Z26" s="68">
        <v>0</v>
      </c>
      <c r="AA26" s="78">
        <v>20248</v>
      </c>
      <c r="AB26" s="123"/>
      <c r="AC26" s="123"/>
    </row>
    <row r="27" spans="1:29" s="124" customFormat="1" ht="13.5" thickBot="1">
      <c r="A27" s="123"/>
      <c r="B27" s="128"/>
      <c r="C27" s="35" t="s">
        <v>12</v>
      </c>
      <c r="D27" s="36"/>
      <c r="E27" s="37"/>
      <c r="F27" s="75">
        <f t="shared" ref="F27:J28" si="2">F13+F16+F19+F22+F25</f>
        <v>347</v>
      </c>
      <c r="G27" s="75">
        <f t="shared" si="2"/>
        <v>327</v>
      </c>
      <c r="H27" s="75">
        <f t="shared" si="2"/>
        <v>21</v>
      </c>
      <c r="I27" s="75">
        <f t="shared" si="2"/>
        <v>0</v>
      </c>
      <c r="J27" s="75">
        <f t="shared" si="2"/>
        <v>278</v>
      </c>
      <c r="K27" s="66">
        <f>IFERROR(F27/G27-1,"n/a")</f>
        <v>6.1162079510703293E-2</v>
      </c>
      <c r="L27" s="66">
        <f t="shared" si="0"/>
        <v>15.523809523809526</v>
      </c>
      <c r="M27" s="66" t="str">
        <f>IFERROR(F27/I27-1,"n/a")</f>
        <v>n/a</v>
      </c>
      <c r="N27" s="62">
        <f t="shared" si="1"/>
        <v>0.24820143884892087</v>
      </c>
      <c r="O27" s="75">
        <f t="shared" ref="O27:S28" si="3">O13+O16+O19+O22+O25</f>
        <v>2028</v>
      </c>
      <c r="P27" s="75">
        <f t="shared" si="3"/>
        <v>1634</v>
      </c>
      <c r="Q27" s="75">
        <f t="shared" si="3"/>
        <v>58</v>
      </c>
      <c r="R27" s="75">
        <f t="shared" si="3"/>
        <v>769</v>
      </c>
      <c r="S27" s="75">
        <f t="shared" si="3"/>
        <v>1751</v>
      </c>
      <c r="T27" s="66">
        <f>IFERROR(O27/P27-1,"n/a")</f>
        <v>0.24112607099143202</v>
      </c>
      <c r="U27" s="66">
        <f>IFERROR(O27/Q27-1,"n/a")</f>
        <v>33.96551724137931</v>
      </c>
      <c r="V27" s="66">
        <f>IFERROR(O27/R27-1,"n/a")</f>
        <v>1.6371911573472042</v>
      </c>
      <c r="W27" s="62">
        <f>IFERROR(O27/S27-1,"n/a")</f>
        <v>0.15819531696173605</v>
      </c>
      <c r="X27" s="75">
        <f>X13+X16+X19+X22+X25</f>
        <v>3620</v>
      </c>
      <c r="Y27" s="46">
        <f t="shared" ref="Y27:AA28" si="4">Y13+Y16+Y19+Y22+Y25</f>
        <v>1054</v>
      </c>
      <c r="Z27" s="46">
        <f t="shared" si="4"/>
        <v>657</v>
      </c>
      <c r="AA27" s="80">
        <f t="shared" si="4"/>
        <v>3310</v>
      </c>
      <c r="AB27" s="123"/>
      <c r="AC27" s="123"/>
    </row>
    <row r="28" spans="1:29" s="124" customFormat="1" ht="14.25" thickTop="1" thickBot="1">
      <c r="A28" s="123"/>
      <c r="B28" s="128"/>
      <c r="C28" s="38" t="s">
        <v>13</v>
      </c>
      <c r="D28" s="39"/>
      <c r="E28" s="40"/>
      <c r="F28" s="76">
        <f t="shared" si="2"/>
        <v>1097755</v>
      </c>
      <c r="G28" s="76">
        <f t="shared" si="2"/>
        <v>677800</v>
      </c>
      <c r="H28" s="76">
        <f t="shared" si="2"/>
        <v>29404</v>
      </c>
      <c r="I28" s="76">
        <f t="shared" si="2"/>
        <v>2213</v>
      </c>
      <c r="J28" s="76">
        <f t="shared" si="2"/>
        <v>828495</v>
      </c>
      <c r="K28" s="67">
        <f>IFERROR(F28/G28-1,"n/a")</f>
        <v>0.61958542342874012</v>
      </c>
      <c r="L28" s="67">
        <f t="shared" si="0"/>
        <v>36.333526050877431</v>
      </c>
      <c r="M28" s="67">
        <f>IFERROR(F28/I28-1,"n/a")</f>
        <v>495.04835065521917</v>
      </c>
      <c r="N28" s="63">
        <f t="shared" si="1"/>
        <v>0.32499894386809824</v>
      </c>
      <c r="O28" s="76">
        <f t="shared" si="3"/>
        <v>5578761</v>
      </c>
      <c r="P28" s="76">
        <f t="shared" si="3"/>
        <v>2626569</v>
      </c>
      <c r="Q28" s="76">
        <f t="shared" si="3"/>
        <v>69990</v>
      </c>
      <c r="R28" s="76">
        <f t="shared" si="3"/>
        <v>1683937</v>
      </c>
      <c r="S28" s="76">
        <f t="shared" si="3"/>
        <v>4915134</v>
      </c>
      <c r="T28" s="67">
        <f>IFERROR(O28/P28-1,"n/a")</f>
        <v>1.1239727568550455</v>
      </c>
      <c r="U28" s="67">
        <f>IFERROR(O28/Q28-1,"n/a")</f>
        <v>78.707972567509643</v>
      </c>
      <c r="V28" s="67">
        <f>IFERROR(O28/R28-1,"n/a")</f>
        <v>2.3129273838629354</v>
      </c>
      <c r="W28" s="63">
        <f>IFERROR(O28/S28-1,"n/a")</f>
        <v>0.13501707176243816</v>
      </c>
      <c r="X28" s="76">
        <f>X14+X17+X20+X23+X26</f>
        <v>7626669</v>
      </c>
      <c r="Y28" s="47">
        <f t="shared" si="4"/>
        <v>1552483</v>
      </c>
      <c r="Z28" s="47">
        <f t="shared" si="4"/>
        <v>1314158</v>
      </c>
      <c r="AA28" s="81">
        <f t="shared" si="4"/>
        <v>9152531</v>
      </c>
      <c r="AB28" s="123"/>
      <c r="AC28" s="123"/>
    </row>
    <row r="29" spans="1:29" s="124" customFormat="1" ht="12" thickTop="1">
      <c r="A29" s="123"/>
      <c r="B29" s="123"/>
      <c r="C29" s="123"/>
      <c r="D29" s="123"/>
      <c r="E29" s="123"/>
      <c r="F29" s="129"/>
      <c r="G29" s="129"/>
      <c r="H29" s="129"/>
      <c r="I29" s="129"/>
      <c r="J29" s="129"/>
      <c r="K29" s="129"/>
      <c r="L29" s="129"/>
      <c r="M29" s="129"/>
      <c r="N29" s="123"/>
      <c r="O29" s="123"/>
      <c r="P29" s="123"/>
      <c r="Q29" s="123"/>
      <c r="R29" s="123"/>
      <c r="S29" s="123"/>
      <c r="T29" s="123"/>
      <c r="U29" s="123"/>
      <c r="V29" s="123"/>
      <c r="W29" s="123"/>
      <c r="X29" s="123"/>
      <c r="Y29" s="123"/>
      <c r="Z29" s="123"/>
      <c r="AA29" s="123"/>
      <c r="AB29" s="123"/>
      <c r="AC29" s="123"/>
    </row>
    <row r="30" spans="1:29" s="124" customFormat="1" ht="11.25">
      <c r="A30" s="123"/>
      <c r="B30" s="123"/>
      <c r="C30" s="123"/>
      <c r="D30" s="123"/>
      <c r="E30" s="123"/>
      <c r="F30" s="129"/>
      <c r="G30" s="129"/>
      <c r="H30" s="129"/>
      <c r="I30" s="129"/>
      <c r="J30" s="129"/>
      <c r="K30" s="129"/>
      <c r="L30" s="129"/>
      <c r="M30" s="129"/>
      <c r="N30" s="123"/>
      <c r="O30" s="129"/>
      <c r="P30" s="123"/>
      <c r="Q30" s="123"/>
      <c r="R30" s="123"/>
      <c r="S30" s="123"/>
      <c r="T30" s="123"/>
      <c r="U30" s="123"/>
      <c r="V30" s="123"/>
      <c r="W30" s="123"/>
      <c r="X30" s="123"/>
      <c r="Y30" s="123"/>
      <c r="Z30" s="123"/>
      <c r="AA30" s="123"/>
      <c r="AB30" s="123"/>
      <c r="AC30" s="123"/>
    </row>
    <row r="31" spans="1:29" s="124" customFormat="1" ht="12.75">
      <c r="A31" s="123"/>
      <c r="B31" s="130"/>
      <c r="C31" s="131" t="s">
        <v>63</v>
      </c>
      <c r="D31" s="24"/>
      <c r="E31" s="24"/>
      <c r="F31" s="24"/>
      <c r="G31" s="24"/>
      <c r="H31" s="24"/>
      <c r="I31" s="24"/>
      <c r="J31" s="95"/>
      <c r="K31" s="95"/>
      <c r="L31" s="95"/>
      <c r="M31" s="95"/>
      <c r="N31" s="24"/>
      <c r="O31" s="24"/>
      <c r="P31" s="24"/>
      <c r="Q31" s="24"/>
      <c r="R31" s="24"/>
      <c r="S31" s="24"/>
      <c r="T31" s="24"/>
      <c r="U31" s="24"/>
      <c r="V31" s="24"/>
      <c r="W31" s="24"/>
      <c r="X31" s="24"/>
      <c r="Y31" s="24"/>
      <c r="Z31" s="24"/>
      <c r="AA31" s="24"/>
      <c r="AB31" s="24"/>
      <c r="AC31" s="123"/>
    </row>
    <row r="32" spans="1:29" s="124" customFormat="1" ht="12.75">
      <c r="A32" s="123"/>
      <c r="B32" s="130"/>
      <c r="C32" s="24"/>
      <c r="D32" s="24"/>
      <c r="E32" s="24"/>
      <c r="F32" s="24"/>
      <c r="G32" s="24"/>
      <c r="H32" s="24"/>
      <c r="I32" s="24"/>
      <c r="J32" s="95"/>
      <c r="K32" s="95"/>
      <c r="L32" s="95"/>
      <c r="M32" s="95"/>
      <c r="N32" s="24"/>
      <c r="O32" s="24"/>
      <c r="P32" s="24"/>
      <c r="Q32" s="24"/>
      <c r="R32" s="24"/>
      <c r="S32" s="24"/>
      <c r="T32" s="24"/>
      <c r="U32" s="24"/>
      <c r="V32" s="24"/>
      <c r="W32" s="24"/>
      <c r="X32" s="24"/>
      <c r="Y32" s="24"/>
      <c r="Z32" s="24"/>
      <c r="AA32" s="24"/>
      <c r="AB32" s="24"/>
      <c r="AC32" s="123"/>
    </row>
    <row r="33" spans="1:29" s="124" customFormat="1" ht="11.25">
      <c r="A33" s="123"/>
      <c r="B33" s="123"/>
      <c r="C33" s="27" t="s">
        <v>7</v>
      </c>
      <c r="D33" s="28"/>
      <c r="E33" s="28"/>
      <c r="F33" s="158" t="str">
        <f>F9</f>
        <v>June</v>
      </c>
      <c r="G33" s="158"/>
      <c r="H33" s="158"/>
      <c r="I33" s="158"/>
      <c r="J33" s="158"/>
      <c r="K33" s="158"/>
      <c r="L33" s="158"/>
      <c r="M33" s="158"/>
      <c r="N33" s="159"/>
      <c r="O33" s="161" t="s">
        <v>124</v>
      </c>
      <c r="P33" s="162"/>
      <c r="Q33" s="162"/>
      <c r="R33" s="162"/>
      <c r="S33" s="162"/>
      <c r="T33" s="162"/>
      <c r="U33" s="162"/>
      <c r="V33" s="162"/>
      <c r="W33" s="163"/>
      <c r="X33" s="157" t="s">
        <v>58</v>
      </c>
      <c r="Y33" s="158"/>
      <c r="Z33" s="158"/>
      <c r="AA33" s="160"/>
    </row>
    <row r="34" spans="1:29" s="124" customFormat="1" ht="11.25">
      <c r="A34" s="123"/>
      <c r="B34" s="123"/>
      <c r="C34" s="29"/>
      <c r="D34" s="30"/>
      <c r="E34" s="30"/>
      <c r="F34" s="152"/>
      <c r="G34" s="153"/>
      <c r="H34" s="153"/>
      <c r="I34" s="153"/>
      <c r="J34" s="153"/>
      <c r="K34" s="153"/>
      <c r="L34" s="153"/>
      <c r="M34" s="153"/>
      <c r="N34" s="154"/>
      <c r="O34" s="152"/>
      <c r="P34" s="153"/>
      <c r="Q34" s="153"/>
      <c r="R34" s="153"/>
      <c r="S34" s="153"/>
      <c r="T34" s="153"/>
      <c r="U34" s="153"/>
      <c r="V34" s="153"/>
      <c r="W34" s="154"/>
      <c r="X34" s="152"/>
      <c r="Y34" s="153"/>
      <c r="Z34" s="153"/>
      <c r="AA34" s="154"/>
    </row>
    <row r="35" spans="1:29" s="124" customFormat="1" ht="22.5">
      <c r="A35" s="123"/>
      <c r="B35" s="123"/>
      <c r="C35" s="59" t="s">
        <v>29</v>
      </c>
      <c r="D35" s="50"/>
      <c r="E35" s="51"/>
      <c r="F35" s="55">
        <v>2023</v>
      </c>
      <c r="G35" s="52">
        <v>2022</v>
      </c>
      <c r="H35" s="52">
        <v>2021</v>
      </c>
      <c r="I35" s="52">
        <v>2020</v>
      </c>
      <c r="J35" s="52">
        <v>2019</v>
      </c>
      <c r="K35" s="53" t="s">
        <v>66</v>
      </c>
      <c r="L35" s="53" t="s">
        <v>67</v>
      </c>
      <c r="M35" s="53" t="s">
        <v>68</v>
      </c>
      <c r="N35" s="57" t="s">
        <v>101</v>
      </c>
      <c r="O35" s="53" t="s">
        <v>115</v>
      </c>
      <c r="P35" s="53" t="s">
        <v>53</v>
      </c>
      <c r="Q35" s="52" t="s">
        <v>54</v>
      </c>
      <c r="R35" s="52" t="s">
        <v>59</v>
      </c>
      <c r="S35" s="52" t="s">
        <v>64</v>
      </c>
      <c r="T35" s="53" t="s">
        <v>116</v>
      </c>
      <c r="U35" s="53" t="s">
        <v>117</v>
      </c>
      <c r="V35" s="53" t="s">
        <v>118</v>
      </c>
      <c r="W35" s="57" t="s">
        <v>119</v>
      </c>
      <c r="X35" s="53" t="s">
        <v>53</v>
      </c>
      <c r="Y35" s="53" t="s">
        <v>54</v>
      </c>
      <c r="Z35" s="53" t="s">
        <v>65</v>
      </c>
      <c r="AA35" s="57" t="s">
        <v>73</v>
      </c>
      <c r="AC35" s="123"/>
    </row>
    <row r="36" spans="1:29" s="124" customFormat="1" ht="11.25">
      <c r="A36" s="123"/>
      <c r="B36" s="123"/>
      <c r="C36" s="31" t="s">
        <v>108</v>
      </c>
      <c r="D36" s="26"/>
      <c r="E36" s="32"/>
      <c r="F36" s="26"/>
      <c r="G36" s="26"/>
      <c r="H36" s="26"/>
      <c r="I36" s="26"/>
      <c r="J36" s="26"/>
      <c r="K36" s="26"/>
      <c r="L36" s="26"/>
      <c r="M36" s="26"/>
      <c r="N36" s="32"/>
      <c r="O36" s="26"/>
      <c r="P36" s="26"/>
      <c r="Q36" s="26"/>
      <c r="R36" s="26"/>
      <c r="S36" s="123"/>
      <c r="T36" s="26"/>
      <c r="U36" s="123"/>
      <c r="V36" s="26"/>
      <c r="W36" s="32"/>
      <c r="X36" s="33"/>
      <c r="Y36" s="26"/>
      <c r="Z36" s="88"/>
      <c r="AA36" s="85"/>
      <c r="AC36" s="123"/>
    </row>
    <row r="37" spans="1:29" s="124" customFormat="1" ht="11.25">
      <c r="A37" s="123"/>
      <c r="B37" s="123"/>
      <c r="C37" s="33"/>
      <c r="D37" s="26" t="s">
        <v>5</v>
      </c>
      <c r="E37" s="32"/>
      <c r="F37" s="74">
        <f t="shared" ref="F37:J38" si="5">F13</f>
        <v>95</v>
      </c>
      <c r="G37" s="74">
        <f t="shared" si="5"/>
        <v>77</v>
      </c>
      <c r="H37" s="74">
        <f t="shared" si="5"/>
        <v>0</v>
      </c>
      <c r="I37" s="74">
        <f t="shared" si="5"/>
        <v>0</v>
      </c>
      <c r="J37" s="74">
        <f t="shared" si="5"/>
        <v>90</v>
      </c>
      <c r="K37" s="64">
        <f>IFERROR(F37/G37-1,"n/a")</f>
        <v>0.23376623376623384</v>
      </c>
      <c r="L37" s="64" t="str">
        <f>IFERROR(F37/H37-1,"n/a")</f>
        <v>n/a</v>
      </c>
      <c r="M37" s="64" t="str">
        <f>IFERROR(F37/I37-1,"n/a")</f>
        <v>n/a</v>
      </c>
      <c r="N37" s="60">
        <f>IFERROR(F37/J37-1,"n/a")</f>
        <v>5.555555555555558E-2</v>
      </c>
      <c r="O37" s="74">
        <f>'May-23'!O37+'June-23'!F37</f>
        <v>323</v>
      </c>
      <c r="P37" s="74">
        <f>'May-23'!P37+'June-23'!G37</f>
        <v>296</v>
      </c>
      <c r="Q37" s="74">
        <f>'May-23'!Q37+'June-23'!H37</f>
        <v>0</v>
      </c>
      <c r="R37" s="74">
        <f>'May-23'!R37+'June-23'!I37</f>
        <v>42</v>
      </c>
      <c r="S37" s="74">
        <f>'May-23'!S37+'June-23'!J37</f>
        <v>309</v>
      </c>
      <c r="T37" s="120">
        <f>IFERROR(O37/P37-1,"n/a")</f>
        <v>9.1216216216216228E-2</v>
      </c>
      <c r="U37" s="120" t="str">
        <f>IFERROR(O37/Q37-1,"n/a")</f>
        <v>n/a</v>
      </c>
      <c r="V37" s="120">
        <f>IFERROR(O37/R37-1,"n/a")</f>
        <v>6.6904761904761907</v>
      </c>
      <c r="W37" s="121">
        <f>IFERROR(O37/S37-1,"n/a")</f>
        <v>4.5307443365695699E-2</v>
      </c>
      <c r="X37" s="89">
        <v>1486</v>
      </c>
      <c r="Y37" s="89">
        <v>1052</v>
      </c>
      <c r="Z37" s="70">
        <v>551</v>
      </c>
      <c r="AA37" s="78">
        <v>1584</v>
      </c>
      <c r="AC37" s="123"/>
    </row>
    <row r="38" spans="1:29" s="124" customFormat="1" ht="11.25">
      <c r="A38" s="123"/>
      <c r="B38" s="123"/>
      <c r="C38" s="33"/>
      <c r="D38" s="26" t="s">
        <v>11</v>
      </c>
      <c r="E38" s="32"/>
      <c r="F38" s="74">
        <f t="shared" si="5"/>
        <v>359885</v>
      </c>
      <c r="G38" s="74">
        <f t="shared" si="5"/>
        <v>251675</v>
      </c>
      <c r="H38" s="74">
        <f t="shared" si="5"/>
        <v>0</v>
      </c>
      <c r="I38" s="74">
        <f t="shared" si="5"/>
        <v>0</v>
      </c>
      <c r="J38" s="74">
        <f t="shared" si="5"/>
        <v>303053</v>
      </c>
      <c r="K38" s="64">
        <f>IFERROR(F38/G38-1,"n/a")</f>
        <v>0.42995927287175917</v>
      </c>
      <c r="L38" s="64" t="str">
        <f>IFERROR(F38/H38-1,"n/a")</f>
        <v>n/a</v>
      </c>
      <c r="M38" s="64" t="str">
        <f>IFERROR(F38/I38-1,"n/a")</f>
        <v>n/a</v>
      </c>
      <c r="N38" s="60">
        <f>IFERROR(F38/J38-1,"n/a")</f>
        <v>0.1875315538866138</v>
      </c>
      <c r="O38" s="74">
        <f>'May-23'!O38+'June-23'!F38</f>
        <v>1162878</v>
      </c>
      <c r="P38" s="74">
        <f>'May-23'!P38+'June-23'!G38</f>
        <v>784431</v>
      </c>
      <c r="Q38" s="74">
        <f>'May-23'!Q38+'June-23'!H38</f>
        <v>0</v>
      </c>
      <c r="R38" s="74">
        <f>'May-23'!R38+'June-23'!I38</f>
        <v>0</v>
      </c>
      <c r="S38" s="74">
        <f>'May-23'!S38+'June-23'!J38</f>
        <v>1000151</v>
      </c>
      <c r="T38" s="120">
        <f>IFERROR(O38/P38-1,"n/a")</f>
        <v>0.48244778699464952</v>
      </c>
      <c r="U38" s="120" t="str">
        <f>IFERROR(O38/Q38-1,"n/a")</f>
        <v>n/a</v>
      </c>
      <c r="V38" s="120" t="str">
        <f>IFERROR(O38/R38-1,"n/a")</f>
        <v>n/a</v>
      </c>
      <c r="W38" s="121">
        <f>IFERROR(O38/S38-1,"n/a")</f>
        <v>0.16270243193277811</v>
      </c>
      <c r="X38" s="89">
        <v>4370939</v>
      </c>
      <c r="Y38" s="89">
        <v>1527970</v>
      </c>
      <c r="Z38" s="84">
        <v>1092884</v>
      </c>
      <c r="AA38" s="78">
        <v>4234259</v>
      </c>
      <c r="AC38" s="123"/>
    </row>
    <row r="39" spans="1:29" s="124" customFormat="1" ht="11.25">
      <c r="A39" s="123"/>
      <c r="B39" s="123"/>
      <c r="C39" s="31" t="s">
        <v>109</v>
      </c>
      <c r="D39" s="26"/>
      <c r="E39" s="32"/>
      <c r="F39" s="26"/>
      <c r="G39" s="26"/>
      <c r="H39" s="26"/>
      <c r="I39" s="26"/>
      <c r="J39" s="26"/>
      <c r="K39" s="64"/>
      <c r="L39" s="64"/>
      <c r="M39" s="64"/>
      <c r="N39" s="61"/>
      <c r="O39" s="26"/>
      <c r="P39" s="26"/>
      <c r="Q39" s="26"/>
      <c r="R39" s="26"/>
      <c r="S39" s="26"/>
      <c r="T39" s="65"/>
      <c r="U39" s="65"/>
      <c r="V39" s="65"/>
      <c r="W39" s="61"/>
      <c r="X39" s="90"/>
      <c r="Y39" s="90"/>
      <c r="Z39" s="44"/>
      <c r="AA39" s="79"/>
      <c r="AC39" s="123"/>
    </row>
    <row r="40" spans="1:29" s="124" customFormat="1" ht="11.25">
      <c r="A40" s="123"/>
      <c r="B40" s="123"/>
      <c r="C40" s="33"/>
      <c r="D40" s="26" t="s">
        <v>5</v>
      </c>
      <c r="E40" s="32"/>
      <c r="F40" s="74">
        <f t="shared" ref="F40:J41" si="6">F16</f>
        <v>73</v>
      </c>
      <c r="G40" s="74">
        <f t="shared" si="6"/>
        <v>89</v>
      </c>
      <c r="H40" s="74">
        <f t="shared" si="6"/>
        <v>17</v>
      </c>
      <c r="I40" s="74">
        <f t="shared" si="6"/>
        <v>0</v>
      </c>
      <c r="J40" s="74">
        <f t="shared" si="6"/>
        <v>71</v>
      </c>
      <c r="K40" s="64">
        <f>IFERROR(F40/G40-1,"n/a")</f>
        <v>-0.1797752808988764</v>
      </c>
      <c r="L40" s="64">
        <f>IFERROR(F40/H40-1,"n/a")</f>
        <v>3.2941176470588234</v>
      </c>
      <c r="M40" s="64" t="str">
        <f>IFERROR(F40/I40-1,"n/a")</f>
        <v>n/a</v>
      </c>
      <c r="N40" s="60">
        <f>IFERROR(F40/J40-1,"n/a")</f>
        <v>2.8169014084507005E-2</v>
      </c>
      <c r="O40" s="74">
        <f>'May-23'!O40+'June-23'!F40</f>
        <v>189</v>
      </c>
      <c r="P40" s="74">
        <f>'May-23'!P40+'June-23'!G40</f>
        <v>216</v>
      </c>
      <c r="Q40" s="74">
        <f>'May-23'!Q40+'June-23'!H40</f>
        <v>39</v>
      </c>
      <c r="R40" s="74">
        <f>'May-23'!R40+'June-23'!I40</f>
        <v>0</v>
      </c>
      <c r="S40" s="74">
        <f>'May-23'!S40+'June-23'!J40</f>
        <v>193</v>
      </c>
      <c r="T40" s="120">
        <f>IFERROR(O40/P40-1,"n/a")</f>
        <v>-0.125</v>
      </c>
      <c r="U40" s="120">
        <f>IFERROR(O40/Q40-1,"n/a")</f>
        <v>3.8461538461538458</v>
      </c>
      <c r="V40" s="120" t="str">
        <f>IFERROR(O40/R40-1,"n/a")</f>
        <v>n/a</v>
      </c>
      <c r="W40" s="121">
        <f>IFERROR(O40/S40-1,"n/a")</f>
        <v>-2.0725388601036232E-2</v>
      </c>
      <c r="X40" s="89">
        <v>563</v>
      </c>
      <c r="Y40" s="89">
        <v>226</v>
      </c>
      <c r="Z40" s="70">
        <v>66</v>
      </c>
      <c r="AA40" s="78">
        <v>573</v>
      </c>
      <c r="AC40" s="123"/>
    </row>
    <row r="41" spans="1:29" s="124" customFormat="1" ht="11.25">
      <c r="A41" s="123"/>
      <c r="B41" s="123"/>
      <c r="C41" s="33"/>
      <c r="D41" s="26" t="s">
        <v>11</v>
      </c>
      <c r="E41" s="32"/>
      <c r="F41" s="74">
        <f t="shared" si="6"/>
        <v>224892</v>
      </c>
      <c r="G41" s="74">
        <f t="shared" si="6"/>
        <v>121649</v>
      </c>
      <c r="H41" s="74">
        <f t="shared" si="6"/>
        <v>24481</v>
      </c>
      <c r="I41" s="74">
        <f t="shared" si="6"/>
        <v>0</v>
      </c>
      <c r="J41" s="74">
        <f t="shared" si="6"/>
        <v>165399</v>
      </c>
      <c r="K41" s="64">
        <f>IFERROR(F41/G41-1,"n/a")</f>
        <v>0.84869583802579562</v>
      </c>
      <c r="L41" s="64">
        <f>IFERROR(F41/H41-1,"n/a")</f>
        <v>8.1863894448756174</v>
      </c>
      <c r="M41" s="64" t="str">
        <f>IFERROR(F41/I41-1,"n/a")</f>
        <v>n/a</v>
      </c>
      <c r="N41" s="60">
        <f>IFERROR(F41/J41-1,"n/a")</f>
        <v>0.35969383128072119</v>
      </c>
      <c r="O41" s="74">
        <f>'May-23'!O41+'June-23'!F41</f>
        <v>493323</v>
      </c>
      <c r="P41" s="74">
        <f>'May-23'!P41+'June-23'!G41</f>
        <v>264054</v>
      </c>
      <c r="Q41" s="74">
        <f>'May-23'!Q41+'June-23'!H41</f>
        <v>54964</v>
      </c>
      <c r="R41" s="74">
        <f>'May-23'!R41+'June-23'!I41</f>
        <v>0</v>
      </c>
      <c r="S41" s="74">
        <f>'May-23'!S41+'June-23'!J41</f>
        <v>478129</v>
      </c>
      <c r="T41" s="120">
        <f>IFERROR(O41/P41-1,"n/a")</f>
        <v>0.86826558204003734</v>
      </c>
      <c r="U41" s="120">
        <f>IFERROR(O41/Q41-1,"n/a")</f>
        <v>7.9753838876355427</v>
      </c>
      <c r="V41" s="120" t="str">
        <f>IFERROR(O41/R41-1,"n/a")</f>
        <v>n/a</v>
      </c>
      <c r="W41" s="121">
        <f>IFERROR(O41/S41-1,"n/a")</f>
        <v>3.1778034798140231E-2</v>
      </c>
      <c r="X41" s="89">
        <v>1012510</v>
      </c>
      <c r="Y41" s="89">
        <v>327926</v>
      </c>
      <c r="Z41" s="84">
        <v>80778</v>
      </c>
      <c r="AA41" s="78">
        <v>1361671</v>
      </c>
      <c r="AC41" s="123"/>
    </row>
    <row r="42" spans="1:29" s="124" customFormat="1" ht="11.25">
      <c r="A42" s="123"/>
      <c r="B42" s="123"/>
      <c r="C42" s="31" t="s">
        <v>110</v>
      </c>
      <c r="D42" s="26"/>
      <c r="E42" s="32"/>
      <c r="F42" s="87"/>
      <c r="G42" s="87"/>
      <c r="H42" s="87"/>
      <c r="I42" s="87"/>
      <c r="J42" s="72"/>
      <c r="K42" s="64"/>
      <c r="L42" s="64"/>
      <c r="M42" s="64"/>
      <c r="N42" s="60"/>
      <c r="O42" s="87"/>
      <c r="P42" s="87"/>
      <c r="Q42" s="87"/>
      <c r="R42" s="87"/>
      <c r="S42" s="72"/>
      <c r="T42" s="64"/>
      <c r="U42" s="64"/>
      <c r="V42" s="64"/>
      <c r="W42" s="60"/>
      <c r="X42" s="90"/>
      <c r="Y42" s="90"/>
      <c r="Z42" s="44"/>
      <c r="AA42" s="79"/>
      <c r="AC42" s="123"/>
    </row>
    <row r="43" spans="1:29" s="124" customFormat="1" ht="11.25">
      <c r="A43" s="123"/>
      <c r="B43" s="123"/>
      <c r="C43" s="33"/>
      <c r="D43" s="26" t="s">
        <v>5</v>
      </c>
      <c r="E43" s="32"/>
      <c r="F43" s="74">
        <f t="shared" ref="F43:J44" si="7">F19</f>
        <v>87</v>
      </c>
      <c r="G43" s="74">
        <f t="shared" si="7"/>
        <v>91</v>
      </c>
      <c r="H43" s="74">
        <f t="shared" si="7"/>
        <v>0</v>
      </c>
      <c r="I43" s="74">
        <f t="shared" si="7"/>
        <v>0</v>
      </c>
      <c r="J43" s="74">
        <f t="shared" si="7"/>
        <v>42</v>
      </c>
      <c r="K43" s="64">
        <f>IFERROR(F43/G43-1,"n/a")</f>
        <v>-4.3956043956043911E-2</v>
      </c>
      <c r="L43" s="64" t="str">
        <f>IFERROR(F43/H43-1,"n/a")</f>
        <v>n/a</v>
      </c>
      <c r="M43" s="64" t="str">
        <f>IFERROR(F43/I43-1,"n/a")</f>
        <v>n/a</v>
      </c>
      <c r="N43" s="60">
        <f>IFERROR(F43/J43-1,"n/a")</f>
        <v>1.0714285714285716</v>
      </c>
      <c r="O43" s="74">
        <f>'May-23'!O43+'June-23'!F43</f>
        <v>233</v>
      </c>
      <c r="P43" s="74">
        <f>'May-23'!P43+'June-23'!G43</f>
        <v>217</v>
      </c>
      <c r="Q43" s="74">
        <f>'May-23'!Q43+'June-23'!H43</f>
        <v>3</v>
      </c>
      <c r="R43" s="74">
        <f>'May-23'!R43+'June-23'!I43</f>
        <v>0</v>
      </c>
      <c r="S43" s="74">
        <f>'May-23'!S43+'June-23'!J43</f>
        <v>100</v>
      </c>
      <c r="T43" s="120">
        <f>IFERROR(O43/P43-1,"n/a")</f>
        <v>7.3732718894009119E-2</v>
      </c>
      <c r="U43" s="120">
        <f>IFERROR(O43/Q43-1,"n/a")</f>
        <v>76.666666666666671</v>
      </c>
      <c r="V43" s="120" t="str">
        <f>IFERROR(O43/R43-1,"n/a")</f>
        <v>n/a</v>
      </c>
      <c r="W43" s="121">
        <f>IFERROR(O43/S43-1,"n/a")</f>
        <v>1.33</v>
      </c>
      <c r="X43" s="89">
        <v>669</v>
      </c>
      <c r="Y43" s="89">
        <v>59</v>
      </c>
      <c r="Z43" s="70">
        <v>9</v>
      </c>
      <c r="AA43" s="78">
        <v>287</v>
      </c>
      <c r="AC43" s="123"/>
    </row>
    <row r="44" spans="1:29" s="124" customFormat="1" ht="11.25">
      <c r="A44" s="123"/>
      <c r="B44" s="123"/>
      <c r="C44" s="33"/>
      <c r="D44" s="26" t="s">
        <v>11</v>
      </c>
      <c r="E44" s="32"/>
      <c r="F44" s="74">
        <f t="shared" si="7"/>
        <v>169314</v>
      </c>
      <c r="G44" s="74">
        <f t="shared" si="7"/>
        <v>118355</v>
      </c>
      <c r="H44" s="74">
        <f t="shared" si="7"/>
        <v>0</v>
      </c>
      <c r="I44" s="74">
        <f t="shared" si="7"/>
        <v>2213</v>
      </c>
      <c r="J44" s="74">
        <f t="shared" si="7"/>
        <v>77859</v>
      </c>
      <c r="K44" s="64">
        <f>IFERROR(F44/G44-1,"n/a")</f>
        <v>0.43056060157999232</v>
      </c>
      <c r="L44" s="64" t="str">
        <f>IFERROR(F44/H44-1,"n/a")</f>
        <v>n/a</v>
      </c>
      <c r="M44" s="64">
        <f>IFERROR(F44/I44-1,"n/a")</f>
        <v>75.508811568007232</v>
      </c>
      <c r="N44" s="60">
        <f>IFERROR(F44/J44-1,"n/a")</f>
        <v>1.1746233576079836</v>
      </c>
      <c r="O44" s="74">
        <f>'May-23'!O44+'June-23'!F44</f>
        <v>372934</v>
      </c>
      <c r="P44" s="74">
        <f>'May-23'!P44+'June-23'!G44</f>
        <v>239506</v>
      </c>
      <c r="Q44" s="74">
        <f>'May-23'!Q44+'June-23'!H44</f>
        <v>0</v>
      </c>
      <c r="R44" s="74">
        <f>'May-23'!R44+'June-23'!I44</f>
        <v>2213</v>
      </c>
      <c r="S44" s="74">
        <f>'May-23'!S44+'June-23'!J44</f>
        <v>180298</v>
      </c>
      <c r="T44" s="120">
        <f>IFERROR(O44/P44-1,"n/a")</f>
        <v>0.55709669068833345</v>
      </c>
      <c r="U44" s="120" t="str">
        <f>IFERROR(O44/Q44-1,"n/a")</f>
        <v>n/a</v>
      </c>
      <c r="V44" s="120">
        <f>IFERROR(O44/R44-1,"n/a")</f>
        <v>167.51965657478536</v>
      </c>
      <c r="W44" s="121">
        <f>IFERROR(O44/S44-1,"n/a")</f>
        <v>1.068431152869139</v>
      </c>
      <c r="X44" s="82">
        <f>709768+195488</f>
        <v>905256</v>
      </c>
      <c r="Y44" s="82">
        <v>20626</v>
      </c>
      <c r="Z44" s="84">
        <v>10047</v>
      </c>
      <c r="AA44" s="78">
        <v>581199</v>
      </c>
      <c r="AC44" s="123"/>
    </row>
    <row r="45" spans="1:29" s="124" customFormat="1" ht="11.25">
      <c r="A45" s="123"/>
      <c r="B45" s="123"/>
      <c r="C45" s="31" t="s">
        <v>111</v>
      </c>
      <c r="D45" s="26"/>
      <c r="E45" s="34"/>
      <c r="F45" s="72"/>
      <c r="G45" s="72"/>
      <c r="H45" s="72"/>
      <c r="I45" s="72"/>
      <c r="J45" s="72"/>
      <c r="K45" s="64"/>
      <c r="L45" s="64"/>
      <c r="M45" s="64"/>
      <c r="N45" s="60"/>
      <c r="O45" s="72"/>
      <c r="P45" s="72"/>
      <c r="Q45" s="72"/>
      <c r="R45" s="72"/>
      <c r="S45" s="72"/>
      <c r="T45" s="64"/>
      <c r="U45" s="64"/>
      <c r="V45" s="64"/>
      <c r="W45" s="60"/>
      <c r="X45" s="90"/>
      <c r="Y45" s="90"/>
      <c r="Z45" s="44"/>
      <c r="AA45" s="79"/>
      <c r="AC45" s="123"/>
    </row>
    <row r="46" spans="1:29" s="124" customFormat="1" ht="11.25">
      <c r="A46" s="123"/>
      <c r="B46" s="123"/>
      <c r="C46" s="33"/>
      <c r="D46" s="26" t="s">
        <v>5</v>
      </c>
      <c r="E46" s="34"/>
      <c r="F46" s="74">
        <f t="shared" ref="F46:J47" si="8">F22</f>
        <v>88</v>
      </c>
      <c r="G46" s="74">
        <f t="shared" si="8"/>
        <v>69</v>
      </c>
      <c r="H46" s="74">
        <f t="shared" si="8"/>
        <v>4</v>
      </c>
      <c r="I46" s="74">
        <f t="shared" si="8"/>
        <v>0</v>
      </c>
      <c r="J46" s="74">
        <f t="shared" si="8"/>
        <v>70</v>
      </c>
      <c r="K46" s="64">
        <f>IFERROR(F46/G46-1,"n/a")</f>
        <v>0.2753623188405796</v>
      </c>
      <c r="L46" s="64">
        <f>IFERROR(F46/H46-1,"n/a")</f>
        <v>21</v>
      </c>
      <c r="M46" s="64" t="str">
        <f>IFERROR(F46/I46-1,"n/a")</f>
        <v>n/a</v>
      </c>
      <c r="N46" s="60">
        <f>IFERROR(F46/J46-1,"n/a")</f>
        <v>0.25714285714285712</v>
      </c>
      <c r="O46" s="74">
        <f>'May-23'!O46+'June-23'!F46</f>
        <v>408</v>
      </c>
      <c r="P46" s="74">
        <f>'May-23'!P46+'June-23'!G46</f>
        <v>272</v>
      </c>
      <c r="Q46" s="74">
        <f>'May-23'!Q46+'June-23'!H46</f>
        <v>4</v>
      </c>
      <c r="R46" s="74">
        <f>'May-23'!R46+'June-23'!I46</f>
        <v>0</v>
      </c>
      <c r="S46" s="74">
        <f>'May-23'!S46+'June-23'!J46</f>
        <v>273</v>
      </c>
      <c r="T46" s="120">
        <f>IFERROR(O46/P46-1,"n/a")</f>
        <v>0.5</v>
      </c>
      <c r="U46" s="120">
        <f>IFERROR(O46/Q46-1,"n/a")</f>
        <v>101</v>
      </c>
      <c r="V46" s="120" t="str">
        <f>IFERROR(O46/R46-1,"n/a")</f>
        <v>n/a</v>
      </c>
      <c r="W46" s="121">
        <f>IFERROR(O46/S46-1,"n/a")</f>
        <v>0.49450549450549453</v>
      </c>
      <c r="X46" s="89">
        <v>1129</v>
      </c>
      <c r="Y46" s="89">
        <v>336</v>
      </c>
      <c r="Z46" s="84">
        <v>43</v>
      </c>
      <c r="AA46" s="78">
        <v>781</v>
      </c>
      <c r="AC46" s="123"/>
    </row>
    <row r="47" spans="1:29" s="124" customFormat="1" ht="11.25">
      <c r="A47" s="123"/>
      <c r="B47" s="123"/>
      <c r="C47" s="33"/>
      <c r="D47" s="26" t="s">
        <v>11</v>
      </c>
      <c r="E47" s="32"/>
      <c r="F47" s="74">
        <f t="shared" si="8"/>
        <v>334459</v>
      </c>
      <c r="G47" s="74">
        <f t="shared" si="8"/>
        <v>183895</v>
      </c>
      <c r="H47" s="74">
        <f t="shared" si="8"/>
        <v>4923</v>
      </c>
      <c r="I47" s="74">
        <f t="shared" si="8"/>
        <v>0</v>
      </c>
      <c r="J47" s="74">
        <f t="shared" si="8"/>
        <v>275367</v>
      </c>
      <c r="K47" s="64">
        <f>IFERROR(F47/G47-1,"n/a")</f>
        <v>0.81874983006607027</v>
      </c>
      <c r="L47" s="64">
        <f>IFERROR(F47/H47-1,"n/a")</f>
        <v>66.93804590696729</v>
      </c>
      <c r="M47" s="64" t="str">
        <f>IFERROR(F47/I47-1,"n/a")</f>
        <v>n/a</v>
      </c>
      <c r="N47" s="60">
        <f>IFERROR(F47/J47-1,"n/a")</f>
        <v>0.2145936150664387</v>
      </c>
      <c r="O47" s="74">
        <f>'May-23'!O47+'June-23'!F47</f>
        <v>1057680</v>
      </c>
      <c r="P47" s="74">
        <f>'May-23'!P47+'June-23'!G47</f>
        <v>467722</v>
      </c>
      <c r="Q47" s="74">
        <f>'May-23'!Q47+'June-23'!H47</f>
        <v>4923</v>
      </c>
      <c r="R47" s="74">
        <f>'May-23'!R47+'June-23'!I47</f>
        <v>0</v>
      </c>
      <c r="S47" s="74">
        <f>'May-23'!S47+'June-23'!J47</f>
        <v>788552</v>
      </c>
      <c r="T47" s="120">
        <f>IFERROR(O47/P47-1,"n/a")</f>
        <v>1.2613432765617181</v>
      </c>
      <c r="U47" s="120">
        <f>IFERROR(O47/Q47-1,"n/a")</f>
        <v>213.84460694698356</v>
      </c>
      <c r="V47" s="120" t="str">
        <f>IFERROR(O47/R47-1,"n/a")</f>
        <v>n/a</v>
      </c>
      <c r="W47" s="121">
        <f>IFERROR(O47/S47-1,"n/a")</f>
        <v>0.34129391593705938</v>
      </c>
      <c r="X47" s="82">
        <v>2932981</v>
      </c>
      <c r="Y47" s="82">
        <v>533563</v>
      </c>
      <c r="Z47" s="84">
        <v>140552</v>
      </c>
      <c r="AA47" s="78">
        <v>2441594</v>
      </c>
      <c r="AC47" s="123"/>
    </row>
    <row r="48" spans="1:29" s="124" customFormat="1" ht="11.25">
      <c r="C48" s="31" t="s">
        <v>112</v>
      </c>
      <c r="D48" s="26"/>
      <c r="E48" s="32"/>
      <c r="F48" s="72"/>
      <c r="G48" s="72"/>
      <c r="H48" s="72"/>
      <c r="I48" s="72"/>
      <c r="J48" s="72"/>
      <c r="K48" s="64"/>
      <c r="L48" s="64"/>
      <c r="M48" s="64"/>
      <c r="N48" s="60"/>
      <c r="O48" s="72"/>
      <c r="P48" s="72"/>
      <c r="Q48" s="72"/>
      <c r="R48" s="72"/>
      <c r="S48" s="72"/>
      <c r="T48" s="64"/>
      <c r="U48" s="64"/>
      <c r="V48" s="64"/>
      <c r="W48" s="60"/>
      <c r="X48" s="90"/>
      <c r="Y48" s="90"/>
      <c r="Z48" s="44"/>
      <c r="AA48" s="79"/>
      <c r="AC48" s="123"/>
    </row>
    <row r="49" spans="3:29" s="124" customFormat="1" ht="11.25">
      <c r="C49" s="33"/>
      <c r="D49" s="26" t="s">
        <v>5</v>
      </c>
      <c r="E49" s="32"/>
      <c r="F49" s="74">
        <f t="shared" ref="F49:J50" si="9">F25</f>
        <v>4</v>
      </c>
      <c r="G49" s="74">
        <f t="shared" si="9"/>
        <v>1</v>
      </c>
      <c r="H49" s="74">
        <f t="shared" si="9"/>
        <v>0</v>
      </c>
      <c r="I49" s="74">
        <f t="shared" si="9"/>
        <v>0</v>
      </c>
      <c r="J49" s="74">
        <f t="shared" si="9"/>
        <v>5</v>
      </c>
      <c r="K49" s="64">
        <f>IFERROR(F49/G49-1,"n/a")</f>
        <v>3</v>
      </c>
      <c r="L49" s="64" t="str">
        <f>IFERROR(F49/H49-1,"n/a")</f>
        <v>n/a</v>
      </c>
      <c r="M49" s="64" t="str">
        <f>IFERROR(F49/I49-1,"n/a")</f>
        <v>n/a</v>
      </c>
      <c r="N49" s="60">
        <f>IFERROR(F49/J49-1,"n/a")</f>
        <v>-0.19999999999999996</v>
      </c>
      <c r="O49" s="74">
        <f>'May-23'!O49+'June-23'!F49</f>
        <v>8</v>
      </c>
      <c r="P49" s="74">
        <f>'May-23'!P49+'June-23'!G49</f>
        <v>2</v>
      </c>
      <c r="Q49" s="74">
        <f>'May-23'!Q49+'June-23'!H49</f>
        <v>0</v>
      </c>
      <c r="R49" s="74">
        <f>'May-23'!R49+'June-23'!I49</f>
        <v>0</v>
      </c>
      <c r="S49" s="74">
        <f>'May-23'!S49+'June-23'!J49</f>
        <v>8</v>
      </c>
      <c r="T49" s="120">
        <f>IFERROR(O49/P49-1,"n/a")</f>
        <v>3</v>
      </c>
      <c r="U49" s="120" t="str">
        <f>IFERROR(O49/Q49-1,"n/a")</f>
        <v>n/a</v>
      </c>
      <c r="V49" s="120" t="str">
        <f>IFERROR(O49/R49-1,"n/a")</f>
        <v>n/a</v>
      </c>
      <c r="W49" s="121">
        <f>IFERROR(O49/S49-1,"n/a")</f>
        <v>0</v>
      </c>
      <c r="X49" s="89">
        <v>9</v>
      </c>
      <c r="Y49" s="68">
        <v>0</v>
      </c>
      <c r="Z49" s="68">
        <v>0</v>
      </c>
      <c r="AA49" s="78">
        <v>16</v>
      </c>
      <c r="AC49" s="123"/>
    </row>
    <row r="50" spans="3:29" s="124" customFormat="1" ht="11.25">
      <c r="C50" s="33"/>
      <c r="D50" s="26" t="s">
        <v>11</v>
      </c>
      <c r="E50" s="32"/>
      <c r="F50" s="74">
        <f t="shared" si="9"/>
        <v>9205</v>
      </c>
      <c r="G50" s="74">
        <f t="shared" si="9"/>
        <v>2226</v>
      </c>
      <c r="H50" s="74">
        <f t="shared" si="9"/>
        <v>0</v>
      </c>
      <c r="I50" s="74">
        <f t="shared" si="9"/>
        <v>0</v>
      </c>
      <c r="J50" s="74">
        <f t="shared" si="9"/>
        <v>6817</v>
      </c>
      <c r="K50" s="64">
        <f>IFERROR(F50/G50-1,"n/a")</f>
        <v>3.1352201257861632</v>
      </c>
      <c r="L50" s="64" t="str">
        <f>IFERROR(F50/H50-1,"n/a")</f>
        <v>n/a</v>
      </c>
      <c r="M50" s="64" t="str">
        <f>IFERROR(F50/I50-1,"n/a")</f>
        <v>n/a</v>
      </c>
      <c r="N50" s="60">
        <f>IFERROR(F50/J50-1,"n/a")</f>
        <v>0.35030071879125724</v>
      </c>
      <c r="O50" s="74">
        <f>'May-23'!O50+'June-23'!F50</f>
        <v>13587</v>
      </c>
      <c r="P50" s="74">
        <f>'May-23'!P50+'June-23'!G50</f>
        <v>3151</v>
      </c>
      <c r="Q50" s="74">
        <f>'May-23'!Q50+'June-23'!H50</f>
        <v>0</v>
      </c>
      <c r="R50" s="74">
        <f>'May-23'!R50+'June-23'!I50</f>
        <v>0</v>
      </c>
      <c r="S50" s="74">
        <f>'May-23'!S50+'June-23'!J50</f>
        <v>10227</v>
      </c>
      <c r="T50" s="120">
        <f>IFERROR(O50/P50-1,"n/a")</f>
        <v>3.3119644557283401</v>
      </c>
      <c r="U50" s="120" t="str">
        <f>IFERROR(O50/Q50-1,"n/a")</f>
        <v>n/a</v>
      </c>
      <c r="V50" s="120" t="str">
        <f>IFERROR(O50/R50-1,"n/a")</f>
        <v>n/a</v>
      </c>
      <c r="W50" s="121">
        <f>IFERROR(O50/S50-1,"n/a")</f>
        <v>0.32854209445585214</v>
      </c>
      <c r="X50" s="82">
        <v>15637</v>
      </c>
      <c r="Y50" s="68">
        <v>0</v>
      </c>
      <c r="Z50" s="68">
        <v>0</v>
      </c>
      <c r="AA50" s="78">
        <v>20248</v>
      </c>
      <c r="AC50" s="123"/>
    </row>
    <row r="51" spans="3:29" s="124" customFormat="1" ht="12" thickBot="1">
      <c r="C51" s="35" t="s">
        <v>12</v>
      </c>
      <c r="D51" s="36"/>
      <c r="E51" s="37"/>
      <c r="F51" s="75">
        <f>F37+F40+F43+F46+F49</f>
        <v>347</v>
      </c>
      <c r="G51" s="75">
        <f t="shared" ref="G51:J52" si="10">G37+G40+G43+G46+G49</f>
        <v>327</v>
      </c>
      <c r="H51" s="75">
        <f t="shared" si="10"/>
        <v>21</v>
      </c>
      <c r="I51" s="75">
        <f t="shared" si="10"/>
        <v>0</v>
      </c>
      <c r="J51" s="75">
        <f t="shared" si="10"/>
        <v>278</v>
      </c>
      <c r="K51" s="66">
        <f>IFERROR(F51/G51-1,"n/a")</f>
        <v>6.1162079510703293E-2</v>
      </c>
      <c r="L51" s="66">
        <f>IFERROR(F51/H51-1,"n/a")</f>
        <v>15.523809523809526</v>
      </c>
      <c r="M51" s="66" t="str">
        <f>IFERROR(F51/I51-1,"n/a")</f>
        <v>n/a</v>
      </c>
      <c r="N51" s="62">
        <f>IFERROR(F51/J51-1,"n/a")</f>
        <v>0.24820143884892087</v>
      </c>
      <c r="O51" s="75">
        <f t="shared" ref="O51:S52" si="11">O37+O40+O43+O46+O49</f>
        <v>1161</v>
      </c>
      <c r="P51" s="75">
        <f t="shared" si="11"/>
        <v>1003</v>
      </c>
      <c r="Q51" s="75">
        <f t="shared" si="11"/>
        <v>46</v>
      </c>
      <c r="R51" s="75">
        <f t="shared" si="11"/>
        <v>42</v>
      </c>
      <c r="S51" s="75">
        <f t="shared" si="11"/>
        <v>883</v>
      </c>
      <c r="T51" s="66">
        <f>IFERROR(O51/P51-1,"n/a")</f>
        <v>0.15752741774675982</v>
      </c>
      <c r="U51" s="66">
        <f>IFERROR(O51/Q51-1,"n/a")</f>
        <v>24.239130434782609</v>
      </c>
      <c r="V51" s="66">
        <f>IFERROR(O51/R51-1,"n/a")</f>
        <v>26.642857142857142</v>
      </c>
      <c r="W51" s="62">
        <f>IFERROR(O51/S51-1,"n/a")</f>
        <v>0.3148357870894678</v>
      </c>
      <c r="X51" s="46">
        <f t="shared" ref="X51:Z52" si="12">X37+X40+X43+X46+X49</f>
        <v>3856</v>
      </c>
      <c r="Y51" s="46">
        <f t="shared" si="12"/>
        <v>1673</v>
      </c>
      <c r="Z51" s="46">
        <f t="shared" si="12"/>
        <v>669</v>
      </c>
      <c r="AA51" s="80">
        <f>AA37+AA40+AA43+AA46+AA49</f>
        <v>3241</v>
      </c>
      <c r="AC51" s="123"/>
    </row>
    <row r="52" spans="3:29" s="124" customFormat="1" ht="12.75" thickTop="1" thickBot="1">
      <c r="C52" s="38" t="s">
        <v>13</v>
      </c>
      <c r="D52" s="39"/>
      <c r="E52" s="40"/>
      <c r="F52" s="76">
        <f>F38+F41+F44+F47+F50</f>
        <v>1097755</v>
      </c>
      <c r="G52" s="76">
        <f t="shared" si="10"/>
        <v>677800</v>
      </c>
      <c r="H52" s="76">
        <f t="shared" si="10"/>
        <v>29404</v>
      </c>
      <c r="I52" s="76">
        <f t="shared" si="10"/>
        <v>2213</v>
      </c>
      <c r="J52" s="76">
        <f t="shared" si="10"/>
        <v>828495</v>
      </c>
      <c r="K52" s="67">
        <f>IFERROR(F52/G52-1,"n/a")</f>
        <v>0.61958542342874012</v>
      </c>
      <c r="L52" s="67">
        <f>IFERROR(F52/H52-1,"n/a")</f>
        <v>36.333526050877431</v>
      </c>
      <c r="M52" s="67">
        <f>IFERROR(F52/I52-1,"n/a")</f>
        <v>495.04835065521917</v>
      </c>
      <c r="N52" s="63">
        <f>IFERROR(F52/J52-1,"n/a")</f>
        <v>0.32499894386809824</v>
      </c>
      <c r="O52" s="76">
        <f t="shared" si="11"/>
        <v>3100402</v>
      </c>
      <c r="P52" s="76">
        <f t="shared" si="11"/>
        <v>1758864</v>
      </c>
      <c r="Q52" s="76">
        <f t="shared" si="11"/>
        <v>59887</v>
      </c>
      <c r="R52" s="76">
        <f t="shared" si="11"/>
        <v>2213</v>
      </c>
      <c r="S52" s="76">
        <f t="shared" si="11"/>
        <v>2457357</v>
      </c>
      <c r="T52" s="67">
        <f>IFERROR(O52/P52-1,"n/a")</f>
        <v>0.7627298074211537</v>
      </c>
      <c r="U52" s="118">
        <f>IFERROR(O52/Q52-1,"n/a")</f>
        <v>50.770868468949857</v>
      </c>
      <c r="V52" s="118">
        <f>IFERROR(O52/R52-1,"n/a")</f>
        <v>1399.9950293718935</v>
      </c>
      <c r="W52" s="119">
        <f>IFERROR(O52/S52-1,"n/a")</f>
        <v>0.26168155461335085</v>
      </c>
      <c r="X52" s="47">
        <f t="shared" si="12"/>
        <v>9237323</v>
      </c>
      <c r="Y52" s="47">
        <f t="shared" si="12"/>
        <v>2410085</v>
      </c>
      <c r="Z52" s="47">
        <f t="shared" si="12"/>
        <v>1324261</v>
      </c>
      <c r="AA52" s="81">
        <f>AA38+AA41+AA44+AA47+AA50</f>
        <v>8638971</v>
      </c>
      <c r="AC52" s="123"/>
    </row>
    <row r="53" spans="3:29" s="124" customFormat="1" ht="12" thickTop="1">
      <c r="AC53" s="123"/>
    </row>
    <row r="54" spans="3:29" s="124" customFormat="1" ht="11.25">
      <c r="P54" s="132"/>
      <c r="Q54" s="132"/>
      <c r="R54" s="132"/>
      <c r="S54" s="132"/>
      <c r="AC54" s="123"/>
    </row>
    <row r="55" spans="3:29">
      <c r="P55" s="111"/>
      <c r="Q55" s="111"/>
      <c r="R55" s="111"/>
      <c r="S55" s="111"/>
      <c r="AC55" s="9"/>
    </row>
    <row r="56" spans="3:29">
      <c r="P56" s="111"/>
      <c r="Q56" s="111"/>
      <c r="R56" s="111"/>
      <c r="S56" s="111"/>
      <c r="AC56" s="9"/>
    </row>
    <row r="57" spans="3:29">
      <c r="P57" s="111"/>
      <c r="Q57" s="111"/>
      <c r="R57" s="111"/>
      <c r="S57" s="111"/>
      <c r="AC57" s="9"/>
    </row>
    <row r="58" spans="3:29">
      <c r="AC58" s="9"/>
    </row>
    <row r="59" spans="3:29">
      <c r="AC59" s="9"/>
    </row>
    <row r="60" spans="3:29">
      <c r="AC60" s="9"/>
    </row>
    <row r="61" spans="3:29" ht="15" customHeight="1"/>
    <row r="62" spans="3:29" ht="15" customHeight="1"/>
    <row r="63" spans="3:29" ht="15" customHeight="1"/>
    <row r="64" spans="3:29" ht="15" customHeight="1"/>
    <row r="65" ht="15" customHeight="1"/>
    <row r="66" ht="15" customHeight="1"/>
  </sheetData>
  <mergeCells count="9">
    <mergeCell ref="F34:N34"/>
    <mergeCell ref="O34:W34"/>
    <mergeCell ref="X34:AA34"/>
    <mergeCell ref="F9:N9"/>
    <mergeCell ref="O9:W9"/>
    <mergeCell ref="X9:AA9"/>
    <mergeCell ref="F33:N33"/>
    <mergeCell ref="O33:W33"/>
    <mergeCell ref="X33:AA33"/>
  </mergeCells>
  <pageMargins left="0.7" right="0.7" top="0.75" bottom="0.75" header="0.3" footer="0.3"/>
  <pageSetup paperSize="9" orientation="portrait" horizontalDpi="0" verticalDpi="0"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6"/>
  <sheetViews>
    <sheetView showGridLines="0" zoomScaleNormal="100" workbookViewId="0"/>
  </sheetViews>
  <sheetFormatPr defaultColWidth="0" defaultRowHeight="15" customHeight="1" zeroHeight="1"/>
  <cols>
    <col min="1" max="2" width="4.140625" customWidth="1"/>
    <col min="3" max="3" width="3.85546875" customWidth="1"/>
    <col min="4" max="4" width="8.85546875" customWidth="1"/>
    <col min="5" max="5" width="10.85546875" bestFit="1" customWidth="1"/>
    <col min="6" max="6" width="10.140625" bestFit="1" customWidth="1"/>
    <col min="7" max="7" width="9.42578125" bestFit="1" customWidth="1"/>
    <col min="8" max="9" width="8.85546875" customWidth="1"/>
    <col min="10" max="10" width="9.42578125" bestFit="1" customWidth="1"/>
    <col min="11" max="11" width="8" customWidth="1"/>
    <col min="12" max="12" width="8.85546875" bestFit="1" customWidth="1"/>
    <col min="13" max="14" width="8" customWidth="1"/>
    <col min="15" max="18" width="10.42578125" bestFit="1" customWidth="1"/>
    <col min="19" max="19" width="11" bestFit="1" customWidth="1"/>
    <col min="20" max="20" width="9.140625" bestFit="1" customWidth="1"/>
    <col min="21" max="21" width="8.85546875" bestFit="1" customWidth="1"/>
    <col min="22" max="22" width="9" bestFit="1" customWidth="1"/>
    <col min="23" max="23" width="7.85546875" customWidth="1"/>
    <col min="24" max="24" width="12.42578125" bestFit="1" customWidth="1"/>
    <col min="25" max="26" width="12" bestFit="1" customWidth="1"/>
    <col min="27" max="27" width="12.42578125" bestFit="1" customWidth="1"/>
    <col min="28" max="28" width="11.140625" customWidth="1"/>
    <col min="29" max="29" width="3.42578125" customWidth="1"/>
    <col min="30" max="16384" width="8.85546875" hidden="1"/>
  </cols>
  <sheetData>
    <row r="1" spans="1:29">
      <c r="A1" s="9"/>
      <c r="B1" s="9"/>
      <c r="C1" s="9"/>
      <c r="D1" s="9"/>
      <c r="E1" s="9"/>
      <c r="F1" s="9"/>
      <c r="G1" s="9"/>
      <c r="H1" s="9"/>
      <c r="I1" s="9"/>
      <c r="J1" s="9"/>
      <c r="K1" s="9"/>
      <c r="L1" s="9"/>
      <c r="M1" s="9"/>
      <c r="N1" s="9"/>
      <c r="O1" s="9"/>
      <c r="P1" s="9"/>
      <c r="Q1" s="9"/>
      <c r="R1" s="9"/>
      <c r="S1" s="9"/>
      <c r="T1" s="9"/>
      <c r="U1" s="9"/>
      <c r="V1" s="9"/>
      <c r="W1" s="9"/>
      <c r="X1" s="9"/>
      <c r="Y1" s="9"/>
      <c r="Z1" s="9"/>
      <c r="AA1" s="9"/>
      <c r="AB1" s="9"/>
      <c r="AC1" s="9"/>
    </row>
    <row r="2" spans="1:29" ht="31.35" customHeight="1" thickBot="1">
      <c r="A2" s="9"/>
      <c r="B2" s="8" t="s">
        <v>6</v>
      </c>
      <c r="C2" s="23"/>
      <c r="D2" s="23"/>
      <c r="E2" s="23"/>
      <c r="F2" s="23"/>
      <c r="G2" s="23"/>
      <c r="H2" s="23"/>
      <c r="I2" s="23"/>
      <c r="J2" s="23"/>
      <c r="K2" s="23"/>
      <c r="L2" s="23"/>
      <c r="M2" s="23"/>
      <c r="N2" s="23"/>
      <c r="O2" s="23"/>
      <c r="P2" s="23"/>
      <c r="Q2" s="23"/>
      <c r="R2" s="23"/>
      <c r="S2" s="23"/>
      <c r="T2" s="23"/>
      <c r="U2" s="23"/>
      <c r="V2" s="23"/>
      <c r="W2" s="23"/>
      <c r="X2" s="23"/>
      <c r="Y2" s="23"/>
      <c r="Z2" s="23"/>
      <c r="AA2" s="23"/>
      <c r="AB2" s="24"/>
      <c r="AC2" s="9"/>
    </row>
    <row r="3" spans="1:29">
      <c r="A3" s="9"/>
      <c r="B3" s="10"/>
      <c r="C3" s="24"/>
      <c r="D3" s="24"/>
      <c r="E3" s="24"/>
      <c r="F3" s="24"/>
      <c r="G3" s="24"/>
      <c r="H3" s="24"/>
      <c r="I3" s="24"/>
      <c r="J3" s="24"/>
      <c r="K3" s="24"/>
      <c r="L3" s="24"/>
      <c r="M3" s="24"/>
      <c r="N3" s="24"/>
      <c r="O3" s="24"/>
      <c r="P3" s="24"/>
      <c r="Q3" s="24"/>
      <c r="R3" s="24"/>
      <c r="S3" s="24"/>
      <c r="T3" s="24"/>
      <c r="U3" s="24"/>
      <c r="V3" s="24"/>
      <c r="W3" s="24"/>
      <c r="X3" s="24"/>
      <c r="Y3" s="24"/>
      <c r="Z3" s="24"/>
      <c r="AA3" s="25">
        <v>45092</v>
      </c>
      <c r="AB3" s="25"/>
      <c r="AC3" s="9"/>
    </row>
    <row r="4" spans="1:29" ht="15.75">
      <c r="A4" s="9"/>
      <c r="B4" s="11" t="s">
        <v>7</v>
      </c>
      <c r="C4" s="26"/>
      <c r="D4" s="24"/>
      <c r="E4" s="58" t="s">
        <v>122</v>
      </c>
      <c r="F4" s="24"/>
      <c r="G4" s="24"/>
      <c r="H4" s="24"/>
      <c r="I4" s="24"/>
      <c r="J4" s="24"/>
      <c r="K4" s="24"/>
      <c r="L4" s="24"/>
      <c r="M4" s="24"/>
      <c r="N4" s="24"/>
      <c r="O4" s="24"/>
      <c r="P4" s="24"/>
      <c r="Q4" s="24"/>
      <c r="R4" s="24"/>
      <c r="S4" s="24"/>
      <c r="T4" s="24"/>
      <c r="U4" s="24"/>
      <c r="V4" s="24"/>
      <c r="W4" s="24"/>
      <c r="X4" s="24"/>
      <c r="Y4" s="24"/>
      <c r="Z4" s="24"/>
      <c r="AA4" s="24"/>
      <c r="AB4" s="24"/>
      <c r="AC4" s="9"/>
    </row>
    <row r="5" spans="1:29">
      <c r="A5" s="9"/>
      <c r="B5" s="10"/>
      <c r="C5" s="24"/>
      <c r="D5" s="24"/>
      <c r="E5" s="24"/>
      <c r="F5" s="24"/>
      <c r="G5" s="24"/>
      <c r="H5" s="24"/>
      <c r="I5" s="24"/>
      <c r="J5" s="24"/>
      <c r="K5" s="24"/>
      <c r="L5" s="24"/>
      <c r="M5" s="24"/>
      <c r="N5" s="24"/>
      <c r="O5" s="24"/>
      <c r="P5" s="24"/>
      <c r="Q5" s="24"/>
      <c r="R5" s="24"/>
      <c r="S5" s="24"/>
      <c r="T5" s="24"/>
      <c r="U5" s="24"/>
      <c r="V5" s="24"/>
      <c r="W5" s="24"/>
      <c r="X5" s="24"/>
      <c r="Y5" s="24"/>
      <c r="Z5" s="24"/>
      <c r="AA5" s="24"/>
      <c r="AB5" s="24"/>
      <c r="AC5" s="9"/>
    </row>
    <row r="6" spans="1:29">
      <c r="A6" s="9"/>
      <c r="B6" s="10"/>
      <c r="C6" s="24"/>
      <c r="D6" s="24"/>
      <c r="E6" s="24"/>
      <c r="F6" s="24"/>
      <c r="G6" s="24"/>
      <c r="H6" s="24"/>
      <c r="I6" s="24"/>
      <c r="J6" s="24"/>
      <c r="K6" s="24"/>
      <c r="L6" s="24"/>
      <c r="M6" s="24"/>
      <c r="N6" s="24"/>
      <c r="O6" s="24"/>
      <c r="P6" s="24"/>
      <c r="Q6" s="24"/>
      <c r="R6" s="24"/>
      <c r="S6" s="24"/>
      <c r="T6" s="24"/>
      <c r="U6" s="24"/>
      <c r="V6" s="24"/>
      <c r="W6" s="24"/>
      <c r="X6" s="24"/>
      <c r="Y6" s="24"/>
      <c r="Z6" s="24"/>
      <c r="AA6" s="24"/>
      <c r="AB6" s="24"/>
      <c r="AC6" s="9"/>
    </row>
    <row r="7" spans="1:29">
      <c r="A7" s="9"/>
      <c r="B7" s="10"/>
      <c r="C7" s="86" t="s">
        <v>62</v>
      </c>
      <c r="D7" s="24"/>
      <c r="E7" s="24"/>
      <c r="F7" s="24"/>
      <c r="G7" s="24"/>
      <c r="H7" s="24"/>
      <c r="I7" s="24"/>
      <c r="J7" s="24"/>
      <c r="K7" s="24"/>
      <c r="L7" s="24"/>
      <c r="M7" s="24"/>
      <c r="N7" s="24"/>
      <c r="O7" s="24"/>
      <c r="P7" s="24"/>
      <c r="Q7" s="24"/>
      <c r="R7" s="24"/>
      <c r="S7" s="24"/>
      <c r="T7" s="24"/>
      <c r="U7" s="24"/>
      <c r="V7" s="24"/>
      <c r="W7" s="24"/>
      <c r="X7" s="24"/>
      <c r="Y7" s="24"/>
      <c r="Z7" s="24"/>
      <c r="AA7" s="24"/>
      <c r="AB7" s="24"/>
      <c r="AC7" s="9"/>
    </row>
    <row r="8" spans="1:29">
      <c r="A8" s="9"/>
      <c r="B8" s="10"/>
      <c r="C8" s="24"/>
      <c r="D8" s="24"/>
      <c r="E8" s="24"/>
      <c r="F8" s="24"/>
      <c r="G8" s="24"/>
      <c r="H8" s="24"/>
      <c r="I8" s="24"/>
      <c r="J8" s="24"/>
      <c r="K8" s="24"/>
      <c r="L8" s="24"/>
      <c r="M8" s="24"/>
      <c r="N8" s="24"/>
      <c r="O8" s="24"/>
      <c r="P8" s="24"/>
      <c r="Q8" s="24"/>
      <c r="R8" s="24"/>
      <c r="S8" s="24"/>
      <c r="T8" s="24"/>
      <c r="U8" s="24"/>
      <c r="V8" s="24"/>
      <c r="W8" s="24"/>
      <c r="X8" s="24"/>
      <c r="Y8" s="24"/>
      <c r="Z8" s="24"/>
      <c r="AA8" s="24"/>
      <c r="AB8" s="24"/>
      <c r="AC8" s="9"/>
    </row>
    <row r="9" spans="1:29">
      <c r="A9" s="9"/>
      <c r="C9" s="27" t="s">
        <v>7</v>
      </c>
      <c r="D9" s="28"/>
      <c r="E9" s="28"/>
      <c r="F9" s="158" t="s">
        <v>47</v>
      </c>
      <c r="G9" s="158"/>
      <c r="H9" s="158"/>
      <c r="I9" s="158"/>
      <c r="J9" s="158"/>
      <c r="K9" s="158"/>
      <c r="L9" s="158"/>
      <c r="M9" s="158"/>
      <c r="N9" s="159"/>
      <c r="O9" s="157" t="s">
        <v>49</v>
      </c>
      <c r="P9" s="158"/>
      <c r="Q9" s="158"/>
      <c r="R9" s="158"/>
      <c r="S9" s="158"/>
      <c r="T9" s="158"/>
      <c r="U9" s="158"/>
      <c r="V9" s="158"/>
      <c r="W9" s="159"/>
      <c r="X9" s="157" t="s">
        <v>57</v>
      </c>
      <c r="Y9" s="158"/>
      <c r="Z9" s="158"/>
      <c r="AA9" s="160"/>
      <c r="AB9" s="9"/>
      <c r="AC9" s="9"/>
    </row>
    <row r="10" spans="1:29" ht="15.75">
      <c r="A10" s="9"/>
      <c r="B10" s="18"/>
      <c r="C10" s="29"/>
      <c r="D10" s="30"/>
      <c r="E10" s="30"/>
      <c r="F10" s="29"/>
      <c r="G10" s="30"/>
      <c r="H10" s="30"/>
      <c r="I10" s="30"/>
      <c r="J10" s="30"/>
      <c r="K10" s="30"/>
      <c r="L10" s="30"/>
      <c r="M10" s="30"/>
      <c r="N10" s="56"/>
      <c r="O10" s="30"/>
      <c r="P10" s="30"/>
      <c r="Q10" s="30"/>
      <c r="R10" s="30"/>
      <c r="S10" s="30"/>
      <c r="T10" s="30"/>
      <c r="U10" s="30"/>
      <c r="V10" s="30"/>
      <c r="W10" s="56"/>
      <c r="X10" s="30"/>
      <c r="Y10" s="30"/>
      <c r="Z10" s="30"/>
      <c r="AA10" s="56"/>
      <c r="AB10" s="9"/>
      <c r="AC10" s="9"/>
    </row>
    <row r="11" spans="1:29" ht="26.1" customHeight="1">
      <c r="A11" s="48"/>
      <c r="B11" s="49"/>
      <c r="C11" s="59" t="s">
        <v>29</v>
      </c>
      <c r="D11" s="50"/>
      <c r="E11" s="51"/>
      <c r="F11" s="55">
        <v>2023</v>
      </c>
      <c r="G11" s="52">
        <v>2022</v>
      </c>
      <c r="H11" s="52">
        <v>2021</v>
      </c>
      <c r="I11" s="52">
        <v>2020</v>
      </c>
      <c r="J11" s="52">
        <v>2019</v>
      </c>
      <c r="K11" s="53" t="s">
        <v>66</v>
      </c>
      <c r="L11" s="53" t="s">
        <v>67</v>
      </c>
      <c r="M11" s="53" t="s">
        <v>68</v>
      </c>
      <c r="N11" s="57" t="s">
        <v>101</v>
      </c>
      <c r="O11" s="53">
        <v>2023</v>
      </c>
      <c r="P11" s="53">
        <v>2022</v>
      </c>
      <c r="Q11" s="52">
        <v>2021</v>
      </c>
      <c r="R11" s="52">
        <v>2020</v>
      </c>
      <c r="S11" s="52">
        <v>2019</v>
      </c>
      <c r="T11" s="53" t="s">
        <v>66</v>
      </c>
      <c r="U11" s="53" t="s">
        <v>67</v>
      </c>
      <c r="V11" s="53" t="s">
        <v>68</v>
      </c>
      <c r="W11" s="57" t="s">
        <v>101</v>
      </c>
      <c r="X11" s="53">
        <v>2022</v>
      </c>
      <c r="Y11" s="53">
        <v>2021</v>
      </c>
      <c r="Z11" s="52">
        <v>2020</v>
      </c>
      <c r="AA11" s="77">
        <v>2019</v>
      </c>
      <c r="AB11" s="48"/>
      <c r="AC11" s="48"/>
    </row>
    <row r="12" spans="1:29">
      <c r="A12" s="9"/>
      <c r="B12" s="12"/>
      <c r="C12" s="31" t="s">
        <v>108</v>
      </c>
      <c r="D12" s="26"/>
      <c r="E12" s="32"/>
      <c r="F12" s="26"/>
      <c r="G12" s="26"/>
      <c r="H12" s="26"/>
      <c r="I12" s="26"/>
      <c r="J12" s="26"/>
      <c r="K12" s="26"/>
      <c r="L12" s="26"/>
      <c r="M12" s="26"/>
      <c r="N12" s="32"/>
      <c r="O12" s="26"/>
      <c r="P12" s="26"/>
      <c r="Q12" s="26"/>
      <c r="R12" s="26"/>
      <c r="S12" s="26"/>
      <c r="T12" s="26"/>
      <c r="U12" s="26"/>
      <c r="V12" s="26"/>
      <c r="W12" s="32"/>
      <c r="X12" s="26"/>
      <c r="Y12" s="26"/>
      <c r="Z12" s="26"/>
      <c r="AA12" s="32"/>
      <c r="AB12" s="9"/>
      <c r="AC12" s="9"/>
    </row>
    <row r="13" spans="1:29">
      <c r="A13" s="9"/>
      <c r="B13" s="12"/>
      <c r="C13" s="33"/>
      <c r="D13" s="26" t="s">
        <v>5</v>
      </c>
      <c r="E13" s="32"/>
      <c r="F13" s="73">
        <v>99</v>
      </c>
      <c r="G13" s="71">
        <v>83</v>
      </c>
      <c r="H13" s="71">
        <v>0</v>
      </c>
      <c r="I13" s="71">
        <v>0</v>
      </c>
      <c r="J13" s="71">
        <v>90</v>
      </c>
      <c r="K13" s="64">
        <f>IFERROR(F13/G13-1,"n/a")</f>
        <v>0.19277108433734935</v>
      </c>
      <c r="L13" s="64" t="str">
        <f t="shared" ref="L13:L28" si="0">IFERROR(F13/H13-1,"n/a")</f>
        <v>n/a</v>
      </c>
      <c r="M13" s="64" t="str">
        <f>IFERROR(F13/I13-1,"n/a")</f>
        <v>n/a</v>
      </c>
      <c r="N13" s="60">
        <f>IFERROR(F13/J13-1,"n/a")</f>
        <v>0.10000000000000009</v>
      </c>
      <c r="O13" s="68">
        <f>'Apr-23'!O13+'May-23'!F13</f>
        <v>758</v>
      </c>
      <c r="P13" s="68">
        <f>'Apr-23'!$P$13+G13</f>
        <v>749</v>
      </c>
      <c r="Q13" s="68">
        <f>'Apr-23'!Q13+'May-23'!H13</f>
        <v>0</v>
      </c>
      <c r="R13" s="68">
        <f>'Apr-23'!R13+'May-23'!I13</f>
        <v>551</v>
      </c>
      <c r="S13" s="68">
        <f>'Apr-23'!S13+'May-23'!J13</f>
        <v>735</v>
      </c>
      <c r="T13" s="64">
        <f>IFERROR(O13/P13-1,"n/a")</f>
        <v>1.2016021361815676E-2</v>
      </c>
      <c r="U13" s="64" t="str">
        <f>IFERROR(O13/Q13-1,"n/a")</f>
        <v>n/a</v>
      </c>
      <c r="V13" s="64">
        <f>IFERROR(O13/R13-1,"n/a")</f>
        <v>0.37568058076225053</v>
      </c>
      <c r="W13" s="60">
        <f>IFERROR(O13/S13-1,"n/a")</f>
        <v>3.12925170068028E-2</v>
      </c>
      <c r="X13" s="68">
        <v>1486</v>
      </c>
      <c r="Y13" s="68">
        <v>522</v>
      </c>
      <c r="Z13" s="70">
        <v>551</v>
      </c>
      <c r="AA13" s="78">
        <v>1591</v>
      </c>
      <c r="AB13" s="9"/>
      <c r="AC13" s="9"/>
    </row>
    <row r="14" spans="1:29">
      <c r="A14" s="9"/>
      <c r="B14" s="12"/>
      <c r="C14" s="33"/>
      <c r="D14" s="26" t="s">
        <v>11</v>
      </c>
      <c r="E14" s="32"/>
      <c r="F14" s="73">
        <v>353242</v>
      </c>
      <c r="G14" s="71">
        <v>234968</v>
      </c>
      <c r="H14" s="71">
        <v>0</v>
      </c>
      <c r="I14" s="71">
        <v>0</v>
      </c>
      <c r="J14" s="71">
        <v>303053</v>
      </c>
      <c r="K14" s="64">
        <f>IFERROR(F14/G14-1,"n/a")</f>
        <v>0.50336215995369593</v>
      </c>
      <c r="L14" s="64" t="str">
        <f t="shared" si="0"/>
        <v>n/a</v>
      </c>
      <c r="M14" s="64" t="str">
        <f>IFERROR(F14/I14-1,"n/a")</f>
        <v>n/a</v>
      </c>
      <c r="N14" s="60">
        <f>IFERROR(F14/J14-1,"n/a")</f>
        <v>0.16561129571395106</v>
      </c>
      <c r="O14" s="68">
        <f>'Apr-23'!$O$14+F14</f>
        <v>2341177</v>
      </c>
      <c r="P14" s="68">
        <f>'Apr-23'!P14+'May-23'!G14</f>
        <v>1292414</v>
      </c>
      <c r="Q14" s="68">
        <f>'Apr-23'!Q14+'May-23'!H14</f>
        <v>0</v>
      </c>
      <c r="R14" s="68">
        <f>'Apr-23'!R14+'May-23'!I14</f>
        <v>1092884</v>
      </c>
      <c r="S14" s="68">
        <f>'Apr-23'!S14+'May-23'!J14</f>
        <v>2148202</v>
      </c>
      <c r="T14" s="64">
        <f>IFERROR(O14/P14-1,"n/a")</f>
        <v>0.81147604405399498</v>
      </c>
      <c r="U14" s="64" t="str">
        <f>IFERROR(O14/Q14-1,"n/a")</f>
        <v>n/a</v>
      </c>
      <c r="V14" s="64">
        <f>IFERROR(O14/R14-1,"n/a")</f>
        <v>1.1422008191171251</v>
      </c>
      <c r="W14" s="60">
        <f>IFERROR(O14/S14-1,"n/a")</f>
        <v>8.9830937686493195E-2</v>
      </c>
      <c r="X14" s="68">
        <v>3592413</v>
      </c>
      <c r="Y14" s="68">
        <v>768312</v>
      </c>
      <c r="Z14" s="70">
        <v>1092884</v>
      </c>
      <c r="AA14" s="78">
        <v>4592479</v>
      </c>
      <c r="AB14" s="9"/>
      <c r="AC14" s="9"/>
    </row>
    <row r="15" spans="1:29">
      <c r="A15" s="9"/>
      <c r="B15" s="12"/>
      <c r="C15" s="31" t="s">
        <v>109</v>
      </c>
      <c r="D15" s="26"/>
      <c r="E15" s="32"/>
      <c r="F15" s="97"/>
      <c r="G15" s="26"/>
      <c r="H15" s="26"/>
      <c r="I15" s="26"/>
      <c r="J15" s="26"/>
      <c r="K15" s="64"/>
      <c r="L15" s="64"/>
      <c r="M15" s="64"/>
      <c r="N15" s="61"/>
      <c r="O15" s="87"/>
      <c r="P15" s="87"/>
      <c r="Q15" s="87"/>
      <c r="R15" s="87"/>
      <c r="S15" s="87"/>
      <c r="T15" s="64"/>
      <c r="U15" s="64"/>
      <c r="V15" s="65"/>
      <c r="W15" s="61"/>
      <c r="X15" s="43"/>
      <c r="Y15" s="43"/>
      <c r="Z15" s="44"/>
      <c r="AA15" s="79"/>
      <c r="AB15" s="9"/>
      <c r="AC15" s="9"/>
    </row>
    <row r="16" spans="1:29">
      <c r="A16" s="9"/>
      <c r="B16" s="12"/>
      <c r="C16" s="33"/>
      <c r="D16" s="26" t="s">
        <v>5</v>
      </c>
      <c r="E16" s="32"/>
      <c r="F16" s="74">
        <v>70</v>
      </c>
      <c r="G16" s="71">
        <v>71</v>
      </c>
      <c r="H16" s="71">
        <v>17</v>
      </c>
      <c r="I16" s="71">
        <v>0</v>
      </c>
      <c r="J16" s="71">
        <v>71</v>
      </c>
      <c r="K16" s="64">
        <f>IFERROR(F16/G16-1,"n/a")</f>
        <v>-1.4084507042253502E-2</v>
      </c>
      <c r="L16" s="64">
        <f t="shared" si="0"/>
        <v>3.117647058823529</v>
      </c>
      <c r="M16" s="64" t="str">
        <f>IFERROR(F16/I16-1,"n/a")</f>
        <v>n/a</v>
      </c>
      <c r="N16" s="60">
        <f>IFERROR(F16/J16-1,"n/a")</f>
        <v>-1.4084507042253502E-2</v>
      </c>
      <c r="O16" s="68">
        <f>'Apr-23'!$O$16+F16</f>
        <v>143</v>
      </c>
      <c r="P16" s="68">
        <f>'Apr-23'!P16+'May-23'!G16</f>
        <v>163</v>
      </c>
      <c r="Q16" s="68">
        <f>'Apr-23'!Q16+'May-23'!H16</f>
        <v>34</v>
      </c>
      <c r="R16" s="68">
        <f>'Apr-23'!R16+'May-23'!I16</f>
        <v>10</v>
      </c>
      <c r="S16" s="68">
        <f>'Apr-23'!S16+'May-23'!J16</f>
        <v>145</v>
      </c>
      <c r="T16" s="64">
        <f>IFERROR(O16/P16-1,"n/a")</f>
        <v>-0.12269938650306744</v>
      </c>
      <c r="U16" s="64">
        <f>IFERROR(O16/Q16-1,"n/a")</f>
        <v>3.2058823529411766</v>
      </c>
      <c r="V16" s="64">
        <f>IFERROR(O16/R16-1,"n/a")</f>
        <v>13.3</v>
      </c>
      <c r="W16" s="60">
        <f>IFERROR(O16/S16-1,"n/a")</f>
        <v>-1.379310344827589E-2</v>
      </c>
      <c r="X16" s="68">
        <v>572</v>
      </c>
      <c r="Y16" s="68">
        <v>202</v>
      </c>
      <c r="Z16" s="70">
        <v>54</v>
      </c>
      <c r="AA16" s="78">
        <v>586</v>
      </c>
      <c r="AB16" s="9"/>
      <c r="AC16" s="9"/>
    </row>
    <row r="17" spans="1:29">
      <c r="A17" s="9"/>
      <c r="B17" s="12"/>
      <c r="C17" s="33"/>
      <c r="D17" s="26" t="s">
        <v>11</v>
      </c>
      <c r="E17" s="32"/>
      <c r="F17" s="74">
        <v>161083</v>
      </c>
      <c r="G17" s="71">
        <v>82038</v>
      </c>
      <c r="H17" s="71">
        <v>24481</v>
      </c>
      <c r="I17" s="71">
        <v>0</v>
      </c>
      <c r="J17" s="71">
        <v>165399</v>
      </c>
      <c r="K17" s="64">
        <f>IFERROR(F17/G17-1,"n/a")</f>
        <v>0.96351690679928814</v>
      </c>
      <c r="L17" s="64">
        <f t="shared" si="0"/>
        <v>5.5799191209509411</v>
      </c>
      <c r="M17" s="64" t="str">
        <f>IFERROR(F17/I17-1,"n/a")</f>
        <v>n/a</v>
      </c>
      <c r="N17" s="60">
        <f>IFERROR(F17/J17-1,"n/a")</f>
        <v>-2.6094474573606807E-2</v>
      </c>
      <c r="O17" s="68">
        <f>'Apr-23'!O17+'May-23'!F17</f>
        <v>351486</v>
      </c>
      <c r="P17" s="68">
        <f>'Apr-23'!P17+'May-23'!G17</f>
        <v>178913</v>
      </c>
      <c r="Q17" s="68">
        <f>'Apr-23'!Q17+'May-23'!H17</f>
        <v>40586</v>
      </c>
      <c r="R17" s="68">
        <f>'Apr-23'!R17+'May-23'!I17</f>
        <v>41113</v>
      </c>
      <c r="S17" s="68">
        <f>'Apr-23'!S17+'May-23'!J17</f>
        <v>393104</v>
      </c>
      <c r="T17" s="64">
        <f>IFERROR(O17/P17-1,"n/a")</f>
        <v>0.964563782397031</v>
      </c>
      <c r="U17" s="64">
        <f>IFERROR(O17/Q17-1,"n/a")</f>
        <v>7.660276942788153</v>
      </c>
      <c r="V17" s="64">
        <f>IFERROR(O17/R17-1,"n/a")</f>
        <v>7.5492666553158365</v>
      </c>
      <c r="W17" s="60">
        <f>IFERROR(O17/S17-1,"n/a")</f>
        <v>-0.10587020228743538</v>
      </c>
      <c r="X17" s="68">
        <v>965963</v>
      </c>
      <c r="Y17" s="68">
        <v>301521</v>
      </c>
      <c r="Z17" s="70">
        <v>70675</v>
      </c>
      <c r="AA17" s="78">
        <v>1400932</v>
      </c>
      <c r="AB17" s="9"/>
      <c r="AC17" s="9"/>
    </row>
    <row r="18" spans="1:29">
      <c r="A18" s="9"/>
      <c r="B18" s="12"/>
      <c r="C18" s="31" t="s">
        <v>110</v>
      </c>
      <c r="D18" s="26"/>
      <c r="E18" s="32"/>
      <c r="F18" s="72"/>
      <c r="G18" s="72"/>
      <c r="H18" s="72"/>
      <c r="I18" s="72"/>
      <c r="J18" s="72"/>
      <c r="K18" s="64"/>
      <c r="L18" s="64"/>
      <c r="M18" s="64"/>
      <c r="N18" s="60"/>
      <c r="O18" s="87"/>
      <c r="P18" s="87"/>
      <c r="Q18" s="87"/>
      <c r="R18" s="87"/>
      <c r="S18" s="87"/>
      <c r="T18" s="64"/>
      <c r="U18" s="64"/>
      <c r="V18" s="64"/>
      <c r="W18" s="60"/>
      <c r="X18" s="43"/>
      <c r="Y18" s="43"/>
      <c r="Z18" s="44"/>
      <c r="AA18" s="79"/>
      <c r="AB18" s="9"/>
      <c r="AC18" s="9"/>
    </row>
    <row r="19" spans="1:29">
      <c r="A19" s="9"/>
      <c r="B19" s="12"/>
      <c r="C19" s="33"/>
      <c r="D19" s="26" t="s">
        <v>5</v>
      </c>
      <c r="E19" s="32"/>
      <c r="F19" s="73">
        <v>99</v>
      </c>
      <c r="G19" s="71">
        <v>91</v>
      </c>
      <c r="H19" s="71">
        <v>1</v>
      </c>
      <c r="I19" s="71">
        <v>0</v>
      </c>
      <c r="J19" s="71">
        <v>37</v>
      </c>
      <c r="K19" s="64">
        <f>IFERROR(F19/G19-1,"n/a")</f>
        <v>8.7912087912087822E-2</v>
      </c>
      <c r="L19" s="64">
        <f t="shared" si="0"/>
        <v>98</v>
      </c>
      <c r="M19" s="64" t="str">
        <f>IFERROR(F19/I19-1,"n/a")</f>
        <v>n/a</v>
      </c>
      <c r="N19" s="60">
        <f>IFERROR(F19/J19-1,"n/a")</f>
        <v>1.6756756756756759</v>
      </c>
      <c r="O19" s="68">
        <f>'Apr-23'!O19+'May-23'!F19</f>
        <v>169</v>
      </c>
      <c r="P19" s="68">
        <f>'Apr-23'!P19+'May-23'!G19</f>
        <v>138</v>
      </c>
      <c r="Q19" s="68">
        <f>'Apr-23'!Q19+'May-23'!H19</f>
        <v>3</v>
      </c>
      <c r="R19" s="68">
        <f>'Apr-23'!R19+'May-23'!I19</f>
        <v>3</v>
      </c>
      <c r="S19" s="68">
        <f>'Apr-23'!S19+'May-23'!J19</f>
        <v>64</v>
      </c>
      <c r="T19" s="64">
        <f>IFERROR(O19/P19-1,"n/a")</f>
        <v>0.2246376811594204</v>
      </c>
      <c r="U19" s="64">
        <f>IFERROR(O19/Q19-1,"n/a")</f>
        <v>55.333333333333336</v>
      </c>
      <c r="V19" s="64">
        <f>IFERROR(O19/R19-1,"n/a")</f>
        <v>55.333333333333336</v>
      </c>
      <c r="W19" s="60">
        <f>IFERROR(O19/S19-1,"n/a")</f>
        <v>1.640625</v>
      </c>
      <c r="X19" s="68">
        <v>658</v>
      </c>
      <c r="Y19" s="68">
        <v>47</v>
      </c>
      <c r="Z19" s="70">
        <v>9</v>
      </c>
      <c r="AA19" s="78">
        <v>290</v>
      </c>
      <c r="AB19" s="9"/>
      <c r="AC19" s="9"/>
    </row>
    <row r="20" spans="1:29">
      <c r="A20" s="9"/>
      <c r="B20" s="12"/>
      <c r="C20" s="33"/>
      <c r="D20" s="26" t="s">
        <v>11</v>
      </c>
      <c r="E20" s="32"/>
      <c r="F20" s="73">
        <f>118705+9737+8876</f>
        <v>137318</v>
      </c>
      <c r="G20" s="71">
        <f>72273+4865+11437</f>
        <v>88575</v>
      </c>
      <c r="H20" s="71">
        <v>0</v>
      </c>
      <c r="I20" s="71">
        <v>0</v>
      </c>
      <c r="J20" s="71">
        <f>48298+13058+5020</f>
        <v>66376</v>
      </c>
      <c r="K20" s="64">
        <f>IFERROR(F20/G20-1,"n/a")</f>
        <v>0.55030200395145368</v>
      </c>
      <c r="L20" s="64" t="str">
        <f t="shared" si="0"/>
        <v>n/a</v>
      </c>
      <c r="M20" s="64" t="str">
        <f>IFERROR(F20/I20-1,"n/a")</f>
        <v>n/a</v>
      </c>
      <c r="N20" s="60">
        <f t="shared" ref="N20:N28" si="1">IFERROR(F20/J20-1,"n/a")</f>
        <v>1.0687899240689407</v>
      </c>
      <c r="O20" s="68">
        <f>'Apr-23'!O20+'May-23'!F20</f>
        <v>224466</v>
      </c>
      <c r="P20" s="68">
        <f>'Apr-23'!P20+'May-23'!G20</f>
        <v>124236</v>
      </c>
      <c r="Q20" s="68">
        <f>'Apr-23'!Q20+'May-23'!H20</f>
        <v>0</v>
      </c>
      <c r="R20" s="68">
        <f>'Apr-23'!R20+'May-23'!I20</f>
        <v>1753</v>
      </c>
      <c r="S20" s="68">
        <f>'Apr-23'!S20+'May-23'!J20</f>
        <v>108923</v>
      </c>
      <c r="T20" s="64">
        <f>IFERROR(O20/P20-1,"n/a")</f>
        <v>0.80677098425577132</v>
      </c>
      <c r="U20" s="64" t="str">
        <f>IFERROR(O20/Q20-1,"n/a")</f>
        <v>n/a</v>
      </c>
      <c r="V20" s="64">
        <f>IFERROR(O20/R20-1,"n/a")</f>
        <v>127.04677695379348</v>
      </c>
      <c r="W20" s="60">
        <f>IFERROR(O20/S20-1,"n/a")</f>
        <v>1.0607768790797167</v>
      </c>
      <c r="X20" s="68">
        <v>887495</v>
      </c>
      <c r="Y20" s="68">
        <v>17541</v>
      </c>
      <c r="Z20" s="70">
        <v>10047</v>
      </c>
      <c r="AA20" s="78">
        <v>585930</v>
      </c>
      <c r="AB20" s="9"/>
      <c r="AC20" s="9"/>
    </row>
    <row r="21" spans="1:29">
      <c r="A21" s="9"/>
      <c r="B21" s="12"/>
      <c r="C21" s="31" t="s">
        <v>111</v>
      </c>
      <c r="D21" s="26"/>
      <c r="E21" s="34"/>
      <c r="F21" s="72"/>
      <c r="G21" s="72"/>
      <c r="H21" s="72"/>
      <c r="I21" s="72"/>
      <c r="J21" s="72"/>
      <c r="K21" s="64"/>
      <c r="L21" s="64"/>
      <c r="M21" s="64"/>
      <c r="N21" s="60"/>
      <c r="O21" s="87"/>
      <c r="P21" s="87"/>
      <c r="Q21" s="87"/>
      <c r="R21" s="87"/>
      <c r="S21" s="87"/>
      <c r="T21" s="64"/>
      <c r="U21" s="64"/>
      <c r="V21" s="64"/>
      <c r="W21" s="60"/>
      <c r="X21" s="43"/>
      <c r="Y21" s="43"/>
      <c r="Z21" s="44"/>
      <c r="AA21" s="79"/>
      <c r="AB21" s="9"/>
      <c r="AC21" s="9"/>
    </row>
    <row r="22" spans="1:29">
      <c r="A22" s="9"/>
      <c r="B22" s="12"/>
      <c r="C22" s="33"/>
      <c r="D22" s="26" t="s">
        <v>5</v>
      </c>
      <c r="E22" s="34"/>
      <c r="F22" s="74">
        <v>159</v>
      </c>
      <c r="G22" s="71">
        <v>103</v>
      </c>
      <c r="H22" s="71">
        <v>0</v>
      </c>
      <c r="I22" s="71">
        <v>0</v>
      </c>
      <c r="J22" s="71">
        <v>113</v>
      </c>
      <c r="K22" s="64">
        <f>IFERROR(F22/G22-1,"n/a")</f>
        <v>0.5436893203883495</v>
      </c>
      <c r="L22" s="64" t="str">
        <f t="shared" si="0"/>
        <v>n/a</v>
      </c>
      <c r="M22" s="64" t="str">
        <f>IFERROR(F22/I22-1,"n/a")</f>
        <v>n/a</v>
      </c>
      <c r="N22" s="60">
        <f t="shared" si="1"/>
        <v>0.40707964601769908</v>
      </c>
      <c r="O22" s="68">
        <f>'Apr-23'!O22+'May-23'!F22</f>
        <v>607</v>
      </c>
      <c r="P22" s="68">
        <f>'Apr-23'!P22+'May-23'!G22</f>
        <v>256</v>
      </c>
      <c r="Q22" s="68">
        <f>'Apr-23'!Q22+'May-23'!H22</f>
        <v>0</v>
      </c>
      <c r="R22" s="68">
        <f>'Apr-23'!R22+'May-23'!I22</f>
        <v>205</v>
      </c>
      <c r="S22" s="68">
        <f>'Apr-23'!S22+'May-23'!J22</f>
        <v>526</v>
      </c>
      <c r="T22" s="64">
        <f>IFERROR(O22/P22-1,"n/a")</f>
        <v>1.37109375</v>
      </c>
      <c r="U22" s="64" t="str">
        <f>IFERROR(O22/Q22-1,"n/a")</f>
        <v>n/a</v>
      </c>
      <c r="V22" s="64">
        <f>IFERROR(O22/R22-1,"n/a")</f>
        <v>1.9609756097560975</v>
      </c>
      <c r="W22" s="60">
        <f>IFERROR(O22/S22-1,"n/a")</f>
        <v>0.1539923954372624</v>
      </c>
      <c r="X22" s="68">
        <v>895</v>
      </c>
      <c r="Y22" s="68">
        <v>283</v>
      </c>
      <c r="Z22" s="70">
        <v>43</v>
      </c>
      <c r="AA22" s="78">
        <v>827</v>
      </c>
      <c r="AB22" s="9"/>
      <c r="AC22" s="9"/>
    </row>
    <row r="23" spans="1:29">
      <c r="A23" s="9"/>
      <c r="B23" s="12"/>
      <c r="C23" s="33"/>
      <c r="D23" s="26" t="s">
        <v>11</v>
      </c>
      <c r="E23" s="32"/>
      <c r="F23" s="73">
        <v>390316</v>
      </c>
      <c r="G23" s="71">
        <v>168018</v>
      </c>
      <c r="H23" s="71">
        <v>0</v>
      </c>
      <c r="I23" s="71">
        <v>0</v>
      </c>
      <c r="J23" s="71">
        <v>300445</v>
      </c>
      <c r="K23" s="64">
        <f>IFERROR(F23/G23-1,"n/a")</f>
        <v>1.3230606244569034</v>
      </c>
      <c r="L23" s="64" t="str">
        <f t="shared" si="0"/>
        <v>n/a</v>
      </c>
      <c r="M23" s="64" t="str">
        <f>IFERROR(F23/I23-1,"n/a")</f>
        <v>n/a</v>
      </c>
      <c r="N23" s="60">
        <f t="shared" si="1"/>
        <v>0.29912629599427509</v>
      </c>
      <c r="O23" s="68">
        <f>'Apr-23'!O23+'May-23'!F23</f>
        <v>1559495</v>
      </c>
      <c r="P23" s="68">
        <f>'Apr-23'!P23+'May-23'!G23</f>
        <v>352281</v>
      </c>
      <c r="Q23" s="68">
        <f>'Apr-23'!Q23+'May-23'!H23</f>
        <v>0</v>
      </c>
      <c r="R23" s="68">
        <f>'Apr-23'!R23+'May-23'!I23</f>
        <v>545974</v>
      </c>
      <c r="S23" s="68">
        <f>'Apr-23'!S23+'May-23'!J23</f>
        <v>1433000</v>
      </c>
      <c r="T23" s="64">
        <f>IFERROR(O23/P23-1,"n/a")</f>
        <v>3.4268495888225594</v>
      </c>
      <c r="U23" s="64" t="str">
        <f>IFERROR(O23/Q23-1,"n/a")</f>
        <v>n/a</v>
      </c>
      <c r="V23" s="64">
        <f>IFERROR(O23/R23-1,"n/a")</f>
        <v>1.8563539655734522</v>
      </c>
      <c r="W23" s="60">
        <f>IFERROR(O23/S23-1,"n/a")</f>
        <v>8.8272854152128488E-2</v>
      </c>
      <c r="X23" s="68">
        <v>2165161</v>
      </c>
      <c r="Y23" s="68">
        <v>465109</v>
      </c>
      <c r="Z23" s="70">
        <v>140552</v>
      </c>
      <c r="AA23" s="78">
        <v>2552942</v>
      </c>
      <c r="AB23" s="9"/>
      <c r="AC23" s="9"/>
    </row>
    <row r="24" spans="1:29">
      <c r="A24" s="9"/>
      <c r="B24" s="12"/>
      <c r="C24" s="31" t="s">
        <v>112</v>
      </c>
      <c r="D24" s="26"/>
      <c r="E24" s="32"/>
      <c r="F24" s="72"/>
      <c r="G24" s="72"/>
      <c r="H24" s="72"/>
      <c r="I24" s="72"/>
      <c r="J24" s="72"/>
      <c r="K24" s="64"/>
      <c r="L24" s="64"/>
      <c r="M24" s="64"/>
      <c r="N24" s="60"/>
      <c r="O24" s="87"/>
      <c r="P24" s="87"/>
      <c r="Q24" s="87"/>
      <c r="R24" s="87"/>
      <c r="S24" s="87"/>
      <c r="T24" s="64"/>
      <c r="U24" s="64"/>
      <c r="V24" s="64"/>
      <c r="W24" s="60"/>
      <c r="X24" s="43"/>
      <c r="Y24" s="43"/>
      <c r="Z24" s="44"/>
      <c r="AA24" s="79"/>
      <c r="AB24" s="9"/>
      <c r="AC24" s="9"/>
    </row>
    <row r="25" spans="1:29">
      <c r="B25" s="12"/>
      <c r="C25" s="33"/>
      <c r="D25" s="26" t="s">
        <v>5</v>
      </c>
      <c r="E25" s="32"/>
      <c r="F25" s="71">
        <v>3</v>
      </c>
      <c r="G25" s="71">
        <v>0</v>
      </c>
      <c r="H25" s="71">
        <v>0</v>
      </c>
      <c r="I25" s="71">
        <v>0</v>
      </c>
      <c r="J25" s="71">
        <v>2</v>
      </c>
      <c r="K25" s="64" t="str">
        <f>IFERROR(F25/G25-1,"n/a")</f>
        <v>n/a</v>
      </c>
      <c r="L25" s="64" t="str">
        <f t="shared" si="0"/>
        <v>n/a</v>
      </c>
      <c r="M25" s="64" t="str">
        <f>IFERROR(F25/I25-1,"n/a")</f>
        <v>n/a</v>
      </c>
      <c r="N25" s="60">
        <f t="shared" si="1"/>
        <v>0.5</v>
      </c>
      <c r="O25" s="68">
        <f>'Apr-23'!O25+'May-23'!F25</f>
        <v>4</v>
      </c>
      <c r="P25" s="68">
        <f>'Apr-23'!P25+'May-23'!G25</f>
        <v>1</v>
      </c>
      <c r="Q25" s="68">
        <f>'Apr-23'!Q25+'May-23'!H25</f>
        <v>0</v>
      </c>
      <c r="R25" s="68">
        <f>'Apr-23'!R25+'May-23'!I25</f>
        <v>0</v>
      </c>
      <c r="S25" s="68">
        <f>'Apr-23'!S25+'May-23'!J25</f>
        <v>3</v>
      </c>
      <c r="T25" s="64">
        <f>IFERROR(O25/P25-1,"n/a")</f>
        <v>3</v>
      </c>
      <c r="U25" s="64" t="str">
        <f>IFERROR(O25/Q25-1,"n/a")</f>
        <v>n/a</v>
      </c>
      <c r="V25" s="64" t="str">
        <f>IFERROR(O25/R25-1,"n/a")</f>
        <v>n/a</v>
      </c>
      <c r="W25" s="60">
        <f>IFERROR(O25/S25-1,"n/a")</f>
        <v>0.33333333333333326</v>
      </c>
      <c r="X25" s="68">
        <v>9</v>
      </c>
      <c r="Y25" s="68">
        <v>0</v>
      </c>
      <c r="Z25" s="68">
        <v>0</v>
      </c>
      <c r="AA25" s="78">
        <v>16</v>
      </c>
      <c r="AB25" s="9"/>
      <c r="AC25" s="9"/>
    </row>
    <row r="26" spans="1:29">
      <c r="A26" s="9"/>
      <c r="B26" s="12"/>
      <c r="C26" s="33"/>
      <c r="D26" s="26" t="s">
        <v>11</v>
      </c>
      <c r="E26" s="32"/>
      <c r="F26" s="71">
        <v>2124</v>
      </c>
      <c r="G26" s="71">
        <v>0</v>
      </c>
      <c r="H26" s="71">
        <v>0</v>
      </c>
      <c r="I26" s="71">
        <v>0</v>
      </c>
      <c r="J26" s="71">
        <v>2351</v>
      </c>
      <c r="K26" s="64" t="str">
        <f>IFERROR(F26/G26-1,"n/a")</f>
        <v>n/a</v>
      </c>
      <c r="L26" s="64" t="str">
        <f t="shared" si="0"/>
        <v>n/a</v>
      </c>
      <c r="M26" s="64" t="str">
        <f>IFERROR(F26/I26-1,"n/a")</f>
        <v>n/a</v>
      </c>
      <c r="N26" s="60">
        <f t="shared" si="1"/>
        <v>-9.6554657592513804E-2</v>
      </c>
      <c r="O26" s="68">
        <f>'Apr-23'!O26+'May-23'!F26</f>
        <v>4382</v>
      </c>
      <c r="P26" s="68">
        <f>'Apr-23'!P26+'May-23'!G26</f>
        <v>925</v>
      </c>
      <c r="Q26" s="68">
        <f>'Apr-23'!Q26+'May-23'!H26</f>
        <v>0</v>
      </c>
      <c r="R26" s="68">
        <f>'Apr-23'!R26+'May-23'!I26</f>
        <v>0</v>
      </c>
      <c r="S26" s="68">
        <f>'Apr-23'!S26+'May-23'!J26</f>
        <v>3410</v>
      </c>
      <c r="T26" s="64">
        <f>IFERROR(O26/P26-1,"n/a")</f>
        <v>3.7372972972972969</v>
      </c>
      <c r="U26" s="64" t="str">
        <f>IFERROR(O26/Q26-1,"n/a")</f>
        <v>n/a</v>
      </c>
      <c r="V26" s="64" t="str">
        <f>IFERROR(O26/R26-1,"n/a")</f>
        <v>n/a</v>
      </c>
      <c r="W26" s="60">
        <f>IFERROR(O26/S26-1,"n/a")</f>
        <v>0.28504398826979482</v>
      </c>
      <c r="X26" s="68">
        <v>15637</v>
      </c>
      <c r="Y26" s="68">
        <v>0</v>
      </c>
      <c r="Z26" s="68">
        <v>0</v>
      </c>
      <c r="AA26" s="78">
        <v>20248</v>
      </c>
      <c r="AB26" s="9"/>
      <c r="AC26" s="9"/>
    </row>
    <row r="27" spans="1:29" ht="15.75" thickBot="1">
      <c r="A27" s="9"/>
      <c r="B27" s="12"/>
      <c r="C27" s="35" t="s">
        <v>12</v>
      </c>
      <c r="D27" s="36"/>
      <c r="E27" s="37"/>
      <c r="F27" s="75">
        <f t="shared" ref="F27:J28" si="2">F13+F16+F19+F22+F25</f>
        <v>430</v>
      </c>
      <c r="G27" s="75">
        <f t="shared" si="2"/>
        <v>348</v>
      </c>
      <c r="H27" s="75">
        <f t="shared" si="2"/>
        <v>18</v>
      </c>
      <c r="I27" s="75">
        <f t="shared" si="2"/>
        <v>0</v>
      </c>
      <c r="J27" s="75">
        <f t="shared" si="2"/>
        <v>313</v>
      </c>
      <c r="K27" s="66">
        <f>IFERROR(F27/G27-1,"n/a")</f>
        <v>0.23563218390804597</v>
      </c>
      <c r="L27" s="66">
        <f t="shared" si="0"/>
        <v>22.888888888888889</v>
      </c>
      <c r="M27" s="66" t="str">
        <f>IFERROR(F27/I27-1,"n/a")</f>
        <v>n/a</v>
      </c>
      <c r="N27" s="62">
        <f t="shared" si="1"/>
        <v>0.37380191693290743</v>
      </c>
      <c r="O27" s="75">
        <f t="shared" ref="O27:S28" si="3">O13+O16+O19+O22+O25</f>
        <v>1681</v>
      </c>
      <c r="P27" s="75">
        <f t="shared" si="3"/>
        <v>1307</v>
      </c>
      <c r="Q27" s="75">
        <f t="shared" si="3"/>
        <v>37</v>
      </c>
      <c r="R27" s="75">
        <f t="shared" si="3"/>
        <v>769</v>
      </c>
      <c r="S27" s="75">
        <f t="shared" si="3"/>
        <v>1473</v>
      </c>
      <c r="T27" s="66">
        <f>IFERROR(O27/P27-1,"n/a")</f>
        <v>0.28615149196633505</v>
      </c>
      <c r="U27" s="66">
        <f>IFERROR(O27/Q27-1,"n/a")</f>
        <v>44.432432432432435</v>
      </c>
      <c r="V27" s="66">
        <f>IFERROR(O27/R27-1,"n/a")</f>
        <v>1.1859557867360206</v>
      </c>
      <c r="W27" s="62">
        <f>IFERROR(O27/S27-1,"n/a")</f>
        <v>0.14120841819416152</v>
      </c>
      <c r="X27" s="75">
        <f>X13+X16+X19+X22+X25</f>
        <v>3620</v>
      </c>
      <c r="Y27" s="46">
        <f t="shared" ref="Y27:AA28" si="4">Y13+Y16+Y19+Y22+Y25</f>
        <v>1054</v>
      </c>
      <c r="Z27" s="46">
        <f t="shared" si="4"/>
        <v>657</v>
      </c>
      <c r="AA27" s="80">
        <f t="shared" si="4"/>
        <v>3310</v>
      </c>
      <c r="AB27" s="9"/>
      <c r="AC27" s="9"/>
    </row>
    <row r="28" spans="1:29" ht="16.5" thickTop="1" thickBot="1">
      <c r="A28" s="9"/>
      <c r="B28" s="12"/>
      <c r="C28" s="38" t="s">
        <v>13</v>
      </c>
      <c r="D28" s="39"/>
      <c r="E28" s="40"/>
      <c r="F28" s="76">
        <f t="shared" si="2"/>
        <v>1044083</v>
      </c>
      <c r="G28" s="76">
        <f t="shared" si="2"/>
        <v>573599</v>
      </c>
      <c r="H28" s="76">
        <f t="shared" si="2"/>
        <v>24481</v>
      </c>
      <c r="I28" s="76">
        <f t="shared" si="2"/>
        <v>0</v>
      </c>
      <c r="J28" s="76">
        <f t="shared" si="2"/>
        <v>837624</v>
      </c>
      <c r="K28" s="67">
        <f>IFERROR(F28/G28-1,"n/a")</f>
        <v>0.82023155549434357</v>
      </c>
      <c r="L28" s="67">
        <f t="shared" si="0"/>
        <v>41.648707160655199</v>
      </c>
      <c r="M28" s="67" t="str">
        <f>IFERROR(F28/I28-1,"n/a")</f>
        <v>n/a</v>
      </c>
      <c r="N28" s="63">
        <f t="shared" si="1"/>
        <v>0.24648171494608562</v>
      </c>
      <c r="O28" s="76">
        <f t="shared" si="3"/>
        <v>4481006</v>
      </c>
      <c r="P28" s="76">
        <f t="shared" si="3"/>
        <v>1948769</v>
      </c>
      <c r="Q28" s="76">
        <f t="shared" si="3"/>
        <v>40586</v>
      </c>
      <c r="R28" s="76">
        <f t="shared" si="3"/>
        <v>1681724</v>
      </c>
      <c r="S28" s="76">
        <f t="shared" si="3"/>
        <v>4086639</v>
      </c>
      <c r="T28" s="67">
        <f>IFERROR(O28/P28-1,"n/a")</f>
        <v>1.2994033669460054</v>
      </c>
      <c r="U28" s="67">
        <f>IFERROR(O28/Q28-1,"n/a")</f>
        <v>109.40767752426946</v>
      </c>
      <c r="V28" s="67">
        <f>IFERROR(O28/R28-1,"n/a")</f>
        <v>1.6645311596908887</v>
      </c>
      <c r="W28" s="63">
        <f>IFERROR(O28/S28-1,"n/a")</f>
        <v>9.6501550540676551E-2</v>
      </c>
      <c r="X28" s="76">
        <f>X14+X17+X20+X23+X26</f>
        <v>7626669</v>
      </c>
      <c r="Y28" s="47">
        <f t="shared" si="4"/>
        <v>1552483</v>
      </c>
      <c r="Z28" s="47">
        <f t="shared" si="4"/>
        <v>1314158</v>
      </c>
      <c r="AA28" s="81">
        <f t="shared" si="4"/>
        <v>9152531</v>
      </c>
      <c r="AB28" s="9"/>
      <c r="AC28" s="9"/>
    </row>
    <row r="29" spans="1:29" ht="15.75" thickTop="1">
      <c r="A29" s="9"/>
      <c r="B29" s="9"/>
      <c r="C29" s="9"/>
      <c r="D29" s="9"/>
      <c r="E29" s="9"/>
      <c r="F29" s="41"/>
      <c r="G29" s="41"/>
      <c r="H29" s="41"/>
      <c r="I29" s="41"/>
      <c r="J29" s="41"/>
      <c r="K29" s="41"/>
      <c r="L29" s="41"/>
      <c r="M29" s="41"/>
      <c r="N29" s="9"/>
      <c r="O29" s="9"/>
      <c r="P29" s="9"/>
      <c r="Q29" s="9"/>
      <c r="R29" s="9"/>
      <c r="S29" s="9"/>
      <c r="T29" s="9"/>
      <c r="U29" s="9"/>
      <c r="V29" s="9"/>
      <c r="W29" s="9"/>
      <c r="X29" s="9"/>
      <c r="Y29" s="9"/>
      <c r="Z29" s="9"/>
      <c r="AA29" s="9"/>
      <c r="AB29" s="9"/>
      <c r="AC29" s="9"/>
    </row>
    <row r="30" spans="1:29">
      <c r="A30" s="9"/>
      <c r="B30" s="9"/>
      <c r="C30" s="9"/>
      <c r="D30" s="9"/>
      <c r="E30" s="9"/>
      <c r="F30" s="41"/>
      <c r="G30" s="41"/>
      <c r="H30" s="41"/>
      <c r="I30" s="41"/>
      <c r="J30" s="41"/>
      <c r="K30" s="41"/>
      <c r="L30" s="41"/>
      <c r="M30" s="41"/>
      <c r="N30" s="9"/>
      <c r="O30" s="41"/>
      <c r="P30" s="9"/>
      <c r="Q30" s="9"/>
      <c r="R30" s="9"/>
      <c r="S30" s="9"/>
      <c r="T30" s="9"/>
      <c r="U30" s="9"/>
      <c r="V30" s="9"/>
      <c r="W30" s="9"/>
      <c r="X30" s="9"/>
      <c r="Y30" s="9"/>
      <c r="Z30" s="9"/>
      <c r="AA30" s="9"/>
      <c r="AB30" s="9"/>
      <c r="AC30" s="9"/>
    </row>
    <row r="31" spans="1:29">
      <c r="A31" s="9"/>
      <c r="B31" s="10"/>
      <c r="C31" s="86" t="s">
        <v>63</v>
      </c>
      <c r="D31" s="24"/>
      <c r="E31" s="24"/>
      <c r="F31" s="24"/>
      <c r="G31" s="24"/>
      <c r="H31" s="24"/>
      <c r="I31" s="24"/>
      <c r="J31" s="95"/>
      <c r="K31" s="95"/>
      <c r="L31" s="95"/>
      <c r="M31" s="95"/>
      <c r="N31" s="24"/>
      <c r="O31" s="24"/>
      <c r="P31" s="24"/>
      <c r="Q31" s="24"/>
      <c r="R31" s="24"/>
      <c r="S31" s="24"/>
      <c r="T31" s="24"/>
      <c r="U31" s="24"/>
      <c r="V31" s="24"/>
      <c r="W31" s="24"/>
      <c r="X31" s="24"/>
      <c r="Y31" s="24"/>
      <c r="Z31" s="24"/>
      <c r="AA31" s="24"/>
      <c r="AB31" s="24"/>
      <c r="AC31" s="9"/>
    </row>
    <row r="32" spans="1:29">
      <c r="A32" s="9"/>
      <c r="B32" s="10"/>
      <c r="C32" s="24"/>
      <c r="D32" s="24"/>
      <c r="E32" s="24"/>
      <c r="F32" s="24"/>
      <c r="G32" s="24"/>
      <c r="H32" s="24"/>
      <c r="I32" s="24"/>
      <c r="J32" s="95"/>
      <c r="K32" s="95"/>
      <c r="L32" s="95"/>
      <c r="M32" s="95"/>
      <c r="N32" s="24"/>
      <c r="O32" s="24"/>
      <c r="P32" s="24"/>
      <c r="Q32" s="24"/>
      <c r="R32" s="24"/>
      <c r="S32" s="24"/>
      <c r="T32" s="24"/>
      <c r="U32" s="24"/>
      <c r="V32" s="24"/>
      <c r="W32" s="24"/>
      <c r="X32" s="24"/>
      <c r="Y32" s="24"/>
      <c r="Z32" s="24"/>
      <c r="AA32" s="24"/>
      <c r="AB32" s="24"/>
      <c r="AC32" s="9"/>
    </row>
    <row r="33" spans="1:29">
      <c r="A33" s="9"/>
      <c r="B33" s="9"/>
      <c r="C33" s="27" t="s">
        <v>7</v>
      </c>
      <c r="D33" s="28"/>
      <c r="E33" s="28"/>
      <c r="F33" s="158" t="str">
        <f>F9</f>
        <v>May</v>
      </c>
      <c r="G33" s="158"/>
      <c r="H33" s="158"/>
      <c r="I33" s="158"/>
      <c r="J33" s="158"/>
      <c r="K33" s="158"/>
      <c r="L33" s="158"/>
      <c r="M33" s="158"/>
      <c r="N33" s="159"/>
      <c r="O33" s="161" t="s">
        <v>120</v>
      </c>
      <c r="P33" s="162"/>
      <c r="Q33" s="162"/>
      <c r="R33" s="162"/>
      <c r="S33" s="162"/>
      <c r="T33" s="162"/>
      <c r="U33" s="162"/>
      <c r="V33" s="162"/>
      <c r="W33" s="163"/>
      <c r="X33" s="157" t="s">
        <v>58</v>
      </c>
      <c r="Y33" s="158"/>
      <c r="Z33" s="158"/>
      <c r="AA33" s="160"/>
    </row>
    <row r="34" spans="1:29">
      <c r="A34" s="9"/>
      <c r="B34" s="9"/>
      <c r="C34" s="29"/>
      <c r="D34" s="30"/>
      <c r="E34" s="30"/>
      <c r="F34" s="152"/>
      <c r="G34" s="153"/>
      <c r="H34" s="153"/>
      <c r="I34" s="153"/>
      <c r="J34" s="153"/>
      <c r="K34" s="153"/>
      <c r="L34" s="153"/>
      <c r="M34" s="153"/>
      <c r="N34" s="154"/>
      <c r="O34" s="152"/>
      <c r="P34" s="153"/>
      <c r="Q34" s="153"/>
      <c r="R34" s="153"/>
      <c r="S34" s="153"/>
      <c r="T34" s="153"/>
      <c r="U34" s="153"/>
      <c r="V34" s="153"/>
      <c r="W34" s="154"/>
      <c r="X34" s="152"/>
      <c r="Y34" s="153"/>
      <c r="Z34" s="153"/>
      <c r="AA34" s="154"/>
    </row>
    <row r="35" spans="1:29" ht="22.5">
      <c r="A35" s="9"/>
      <c r="B35" s="9"/>
      <c r="C35" s="59" t="s">
        <v>29</v>
      </c>
      <c r="D35" s="50"/>
      <c r="E35" s="51"/>
      <c r="F35" s="55">
        <v>2023</v>
      </c>
      <c r="G35" s="52">
        <v>2022</v>
      </c>
      <c r="H35" s="52">
        <v>2021</v>
      </c>
      <c r="I35" s="52">
        <v>2020</v>
      </c>
      <c r="J35" s="52">
        <v>2019</v>
      </c>
      <c r="K35" s="53" t="s">
        <v>66</v>
      </c>
      <c r="L35" s="53" t="s">
        <v>67</v>
      </c>
      <c r="M35" s="53" t="s">
        <v>68</v>
      </c>
      <c r="N35" s="57" t="s">
        <v>101</v>
      </c>
      <c r="O35" s="53" t="s">
        <v>115</v>
      </c>
      <c r="P35" s="53" t="s">
        <v>53</v>
      </c>
      <c r="Q35" s="52" t="s">
        <v>54</v>
      </c>
      <c r="R35" s="52" t="s">
        <v>59</v>
      </c>
      <c r="S35" s="52" t="s">
        <v>64</v>
      </c>
      <c r="T35" s="53" t="s">
        <v>116</v>
      </c>
      <c r="U35" s="53" t="s">
        <v>117</v>
      </c>
      <c r="V35" s="53" t="s">
        <v>118</v>
      </c>
      <c r="W35" s="57" t="s">
        <v>119</v>
      </c>
      <c r="X35" s="53" t="s">
        <v>53</v>
      </c>
      <c r="Y35" s="53" t="s">
        <v>54</v>
      </c>
      <c r="Z35" s="53" t="s">
        <v>65</v>
      </c>
      <c r="AA35" s="57" t="s">
        <v>73</v>
      </c>
      <c r="AC35" s="9"/>
    </row>
    <row r="36" spans="1:29">
      <c r="A36" s="9"/>
      <c r="B36" s="9"/>
      <c r="C36" s="31" t="s">
        <v>108</v>
      </c>
      <c r="D36" s="26"/>
      <c r="E36" s="32"/>
      <c r="F36" s="26"/>
      <c r="G36" s="26"/>
      <c r="H36" s="26"/>
      <c r="I36" s="26"/>
      <c r="J36" s="26"/>
      <c r="K36" s="26"/>
      <c r="L36" s="26"/>
      <c r="M36" s="26"/>
      <c r="N36" s="32"/>
      <c r="O36" s="26"/>
      <c r="P36" s="26"/>
      <c r="Q36" s="26"/>
      <c r="R36" s="26"/>
      <c r="S36" s="9"/>
      <c r="T36" s="26"/>
      <c r="U36" s="9"/>
      <c r="V36" s="26"/>
      <c r="W36" s="32"/>
      <c r="X36" s="33"/>
      <c r="Y36" s="26"/>
      <c r="Z36" s="88"/>
      <c r="AA36" s="85"/>
      <c r="AC36" s="9"/>
    </row>
    <row r="37" spans="1:29">
      <c r="A37" s="9"/>
      <c r="B37" s="9"/>
      <c r="C37" s="33"/>
      <c r="D37" s="26" t="s">
        <v>5</v>
      </c>
      <c r="E37" s="32"/>
      <c r="F37" s="74">
        <f t="shared" ref="F37:J38" si="5">F13</f>
        <v>99</v>
      </c>
      <c r="G37" s="74">
        <f t="shared" si="5"/>
        <v>83</v>
      </c>
      <c r="H37" s="74">
        <f t="shared" si="5"/>
        <v>0</v>
      </c>
      <c r="I37" s="74">
        <f t="shared" si="5"/>
        <v>0</v>
      </c>
      <c r="J37" s="74">
        <f t="shared" si="5"/>
        <v>90</v>
      </c>
      <c r="K37" s="64">
        <f>IFERROR(F37/G37-1,"n/a")</f>
        <v>0.19277108433734935</v>
      </c>
      <c r="L37" s="64" t="str">
        <f>IFERROR(F37/H37-1,"n/a")</f>
        <v>n/a</v>
      </c>
      <c r="M37" s="64" t="str">
        <f>IFERROR(F37/I37-1,"n/a")</f>
        <v>n/a</v>
      </c>
      <c r="N37" s="60">
        <f>IFERROR(F37/J37-1,"n/a")</f>
        <v>0.10000000000000009</v>
      </c>
      <c r="O37" s="74">
        <f>'Apr-23'!O37+'May-23'!F37</f>
        <v>228</v>
      </c>
      <c r="P37" s="74">
        <f>'Apr-23'!P37+'May-23'!G37</f>
        <v>219</v>
      </c>
      <c r="Q37" s="74">
        <f>'Apr-23'!Q37+'May-23'!H37</f>
        <v>0</v>
      </c>
      <c r="R37" s="74">
        <f>'Apr-23'!R37+'May-23'!I37</f>
        <v>42</v>
      </c>
      <c r="S37" s="74">
        <f>'Apr-23'!S37+'May-23'!J37</f>
        <v>219</v>
      </c>
      <c r="T37" s="120">
        <f>IFERROR(O37/P37-1,"n/a")</f>
        <v>4.1095890410958846E-2</v>
      </c>
      <c r="U37" s="120" t="str">
        <f>IFERROR(O37/Q37-1,"n/a")</f>
        <v>n/a</v>
      </c>
      <c r="V37" s="120">
        <f>IFERROR(O37/R37-1,"n/a")</f>
        <v>4.4285714285714288</v>
      </c>
      <c r="W37" s="121">
        <f>IFERROR(O37/S37-1,"n/a")</f>
        <v>4.1095890410958846E-2</v>
      </c>
      <c r="X37" s="89">
        <v>1486</v>
      </c>
      <c r="Y37" s="89">
        <v>1052</v>
      </c>
      <c r="Z37" s="70">
        <v>551</v>
      </c>
      <c r="AA37" s="78">
        <v>1584</v>
      </c>
      <c r="AC37" s="9"/>
    </row>
    <row r="38" spans="1:29">
      <c r="A38" s="9"/>
      <c r="B38" s="9"/>
      <c r="C38" s="33"/>
      <c r="D38" s="26" t="s">
        <v>11</v>
      </c>
      <c r="E38" s="32"/>
      <c r="F38" s="74">
        <f t="shared" si="5"/>
        <v>353242</v>
      </c>
      <c r="G38" s="74">
        <f t="shared" si="5"/>
        <v>234968</v>
      </c>
      <c r="H38" s="74">
        <f t="shared" si="5"/>
        <v>0</v>
      </c>
      <c r="I38" s="74">
        <f t="shared" si="5"/>
        <v>0</v>
      </c>
      <c r="J38" s="74">
        <f t="shared" si="5"/>
        <v>303053</v>
      </c>
      <c r="K38" s="64">
        <f>IFERROR(F38/G38-1,"n/a")</f>
        <v>0.50336215995369593</v>
      </c>
      <c r="L38" s="64" t="str">
        <f>IFERROR(F38/H38-1,"n/a")</f>
        <v>n/a</v>
      </c>
      <c r="M38" s="64" t="str">
        <f>IFERROR(F38/I38-1,"n/a")</f>
        <v>n/a</v>
      </c>
      <c r="N38" s="60">
        <f>IFERROR(F38/J38-1,"n/a")</f>
        <v>0.16561129571395106</v>
      </c>
      <c r="O38" s="74">
        <f>'Apr-23'!O38+'May-23'!F38</f>
        <v>802993</v>
      </c>
      <c r="P38" s="74">
        <f>'Apr-23'!P38+'May-23'!G38</f>
        <v>532756</v>
      </c>
      <c r="Q38" s="74">
        <f>'Apr-23'!Q38+'May-23'!H38</f>
        <v>0</v>
      </c>
      <c r="R38" s="74">
        <f>'Apr-23'!R38+'May-23'!I38</f>
        <v>0</v>
      </c>
      <c r="S38" s="74">
        <f>'Apr-23'!S38+'May-23'!J38</f>
        <v>697098</v>
      </c>
      <c r="T38" s="120">
        <f>IFERROR(O38/P38-1,"n/a")</f>
        <v>0.50724346605200132</v>
      </c>
      <c r="U38" s="120" t="str">
        <f>IFERROR(O38/Q38-1,"n/a")</f>
        <v>n/a</v>
      </c>
      <c r="V38" s="120" t="str">
        <f>IFERROR(O38/R38-1,"n/a")</f>
        <v>n/a</v>
      </c>
      <c r="W38" s="121">
        <f>IFERROR(O38/S38-1,"n/a")</f>
        <v>0.15190834000384457</v>
      </c>
      <c r="X38" s="89">
        <v>4370939</v>
      </c>
      <c r="Y38" s="89">
        <v>1527970</v>
      </c>
      <c r="Z38" s="84">
        <v>1092884</v>
      </c>
      <c r="AA38" s="78">
        <v>4234259</v>
      </c>
      <c r="AC38" s="9"/>
    </row>
    <row r="39" spans="1:29">
      <c r="A39" s="9"/>
      <c r="B39" s="9"/>
      <c r="C39" s="31" t="s">
        <v>109</v>
      </c>
      <c r="D39" s="26"/>
      <c r="E39" s="32"/>
      <c r="F39" s="26"/>
      <c r="G39" s="26"/>
      <c r="H39" s="26"/>
      <c r="I39" s="26"/>
      <c r="J39" s="26"/>
      <c r="K39" s="64"/>
      <c r="L39" s="64"/>
      <c r="M39" s="64"/>
      <c r="N39" s="61"/>
      <c r="O39" s="26"/>
      <c r="P39" s="26"/>
      <c r="Q39" s="26"/>
      <c r="R39" s="26"/>
      <c r="S39" s="26"/>
      <c r="T39" s="65"/>
      <c r="U39" s="65"/>
      <c r="V39" s="65"/>
      <c r="W39" s="61"/>
      <c r="X39" s="90"/>
      <c r="Y39" s="90"/>
      <c r="Z39" s="44"/>
      <c r="AA39" s="79"/>
      <c r="AC39" s="9"/>
    </row>
    <row r="40" spans="1:29">
      <c r="A40" s="9"/>
      <c r="B40" s="9"/>
      <c r="C40" s="33"/>
      <c r="D40" s="26" t="s">
        <v>5</v>
      </c>
      <c r="E40" s="32"/>
      <c r="F40" s="74">
        <f t="shared" ref="F40:J41" si="6">F16</f>
        <v>70</v>
      </c>
      <c r="G40" s="74">
        <f t="shared" si="6"/>
        <v>71</v>
      </c>
      <c r="H40" s="74">
        <f t="shared" si="6"/>
        <v>17</v>
      </c>
      <c r="I40" s="74">
        <f t="shared" si="6"/>
        <v>0</v>
      </c>
      <c r="J40" s="74">
        <f t="shared" si="6"/>
        <v>71</v>
      </c>
      <c r="K40" s="64">
        <f>IFERROR(F40/G40-1,"n/a")</f>
        <v>-1.4084507042253502E-2</v>
      </c>
      <c r="L40" s="64">
        <f>IFERROR(F40/H40-1,"n/a")</f>
        <v>3.117647058823529</v>
      </c>
      <c r="M40" s="64" t="str">
        <f>IFERROR(F40/I40-1,"n/a")</f>
        <v>n/a</v>
      </c>
      <c r="N40" s="60">
        <f>IFERROR(F40/J40-1,"n/a")</f>
        <v>-1.4084507042253502E-2</v>
      </c>
      <c r="O40" s="74">
        <f>'Apr-23'!O40+'May-23'!F40</f>
        <v>116</v>
      </c>
      <c r="P40" s="74">
        <f>'Apr-23'!P40+'May-23'!G40</f>
        <v>127</v>
      </c>
      <c r="Q40" s="74">
        <f>'Apr-23'!Q40+'May-23'!H40</f>
        <v>22</v>
      </c>
      <c r="R40" s="74">
        <f>'Apr-23'!R40+'May-23'!I40</f>
        <v>0</v>
      </c>
      <c r="S40" s="74">
        <f>'Apr-23'!S40+'May-23'!J40</f>
        <v>122</v>
      </c>
      <c r="T40" s="120">
        <f>IFERROR(O40/P40-1,"n/a")</f>
        <v>-8.6614173228346414E-2</v>
      </c>
      <c r="U40" s="120">
        <f>IFERROR(O40/Q40-1,"n/a")</f>
        <v>4.2727272727272725</v>
      </c>
      <c r="V40" s="120" t="str">
        <f>IFERROR(O40/R40-1,"n/a")</f>
        <v>n/a</v>
      </c>
      <c r="W40" s="121">
        <f>IFERROR(O40/S40-1,"n/a")</f>
        <v>-4.9180327868852514E-2</v>
      </c>
      <c r="X40" s="89">
        <v>563</v>
      </c>
      <c r="Y40" s="89">
        <v>226</v>
      </c>
      <c r="Z40" s="70">
        <v>66</v>
      </c>
      <c r="AA40" s="78">
        <v>573</v>
      </c>
      <c r="AC40" s="9"/>
    </row>
    <row r="41" spans="1:29">
      <c r="A41" s="9"/>
      <c r="B41" s="9"/>
      <c r="C41" s="33"/>
      <c r="D41" s="26" t="s">
        <v>11</v>
      </c>
      <c r="E41" s="32"/>
      <c r="F41" s="74">
        <f t="shared" si="6"/>
        <v>161083</v>
      </c>
      <c r="G41" s="74">
        <f t="shared" si="6"/>
        <v>82038</v>
      </c>
      <c r="H41" s="74">
        <f t="shared" si="6"/>
        <v>24481</v>
      </c>
      <c r="I41" s="74">
        <f t="shared" si="6"/>
        <v>0</v>
      </c>
      <c r="J41" s="74">
        <f t="shared" si="6"/>
        <v>165399</v>
      </c>
      <c r="K41" s="64">
        <f>IFERROR(F41/G41-1,"n/a")</f>
        <v>0.96351690679928814</v>
      </c>
      <c r="L41" s="64">
        <f>IFERROR(F41/H41-1,"n/a")</f>
        <v>5.5799191209509411</v>
      </c>
      <c r="M41" s="64" t="str">
        <f>IFERROR(F41/I41-1,"n/a")</f>
        <v>n/a</v>
      </c>
      <c r="N41" s="60">
        <f>IFERROR(F41/J41-1,"n/a")</f>
        <v>-2.6094474573606807E-2</v>
      </c>
      <c r="O41" s="74">
        <f>'Apr-23'!O41+'May-23'!F41</f>
        <v>268431</v>
      </c>
      <c r="P41" s="74">
        <f>'Apr-23'!P41+'May-23'!G41</f>
        <v>142405</v>
      </c>
      <c r="Q41" s="74">
        <f>'Apr-23'!Q41+'May-23'!H41</f>
        <v>30483</v>
      </c>
      <c r="R41" s="74">
        <f>'Apr-23'!R41+'May-23'!I41</f>
        <v>0</v>
      </c>
      <c r="S41" s="74">
        <f>'Apr-23'!S41+'May-23'!J41</f>
        <v>312730</v>
      </c>
      <c r="T41" s="120">
        <f>IFERROR(O41/P41-1,"n/a")</f>
        <v>0.88498297110354263</v>
      </c>
      <c r="U41" s="120">
        <f>IFERROR(O41/Q41-1,"n/a")</f>
        <v>7.8059246137191227</v>
      </c>
      <c r="V41" s="120" t="str">
        <f>IFERROR(O41/R41-1,"n/a")</f>
        <v>n/a</v>
      </c>
      <c r="W41" s="121">
        <f>IFERROR(O41/S41-1,"n/a")</f>
        <v>-0.14165254372781633</v>
      </c>
      <c r="X41" s="89">
        <v>1012510</v>
      </c>
      <c r="Y41" s="89">
        <v>327926</v>
      </c>
      <c r="Z41" s="84">
        <v>80778</v>
      </c>
      <c r="AA41" s="78">
        <v>1361671</v>
      </c>
      <c r="AC41" s="9"/>
    </row>
    <row r="42" spans="1:29">
      <c r="A42" s="9"/>
      <c r="B42" s="9"/>
      <c r="C42" s="31" t="s">
        <v>110</v>
      </c>
      <c r="D42" s="26"/>
      <c r="E42" s="32"/>
      <c r="F42" s="87"/>
      <c r="G42" s="87"/>
      <c r="H42" s="87"/>
      <c r="I42" s="87"/>
      <c r="J42" s="72"/>
      <c r="K42" s="64"/>
      <c r="L42" s="64"/>
      <c r="M42" s="64"/>
      <c r="N42" s="60"/>
      <c r="O42" s="87"/>
      <c r="P42" s="87"/>
      <c r="Q42" s="87"/>
      <c r="R42" s="87"/>
      <c r="S42" s="72"/>
      <c r="T42" s="64"/>
      <c r="U42" s="64"/>
      <c r="V42" s="64"/>
      <c r="W42" s="60"/>
      <c r="X42" s="90"/>
      <c r="Y42" s="90"/>
      <c r="Z42" s="44"/>
      <c r="AA42" s="79"/>
      <c r="AC42" s="9"/>
    </row>
    <row r="43" spans="1:29">
      <c r="A43" s="9"/>
      <c r="B43" s="9"/>
      <c r="C43" s="33"/>
      <c r="D43" s="26" t="s">
        <v>5</v>
      </c>
      <c r="E43" s="32"/>
      <c r="F43" s="74">
        <f t="shared" ref="F43:J44" si="7">F19</f>
        <v>99</v>
      </c>
      <c r="G43" s="74">
        <f t="shared" si="7"/>
        <v>91</v>
      </c>
      <c r="H43" s="74">
        <f t="shared" si="7"/>
        <v>1</v>
      </c>
      <c r="I43" s="74">
        <f t="shared" si="7"/>
        <v>0</v>
      </c>
      <c r="J43" s="74">
        <f t="shared" si="7"/>
        <v>37</v>
      </c>
      <c r="K43" s="64">
        <f>IFERROR(F43/G43-1,"n/a")</f>
        <v>8.7912087912087822E-2</v>
      </c>
      <c r="L43" s="64">
        <f>IFERROR(F43/H43-1,"n/a")</f>
        <v>98</v>
      </c>
      <c r="M43" s="64" t="str">
        <f>IFERROR(F43/I43-1,"n/a")</f>
        <v>n/a</v>
      </c>
      <c r="N43" s="60">
        <f>IFERROR(F43/J43-1,"n/a")</f>
        <v>1.6756756756756759</v>
      </c>
      <c r="O43" s="74">
        <f>'Apr-23'!O43+'May-23'!F43</f>
        <v>146</v>
      </c>
      <c r="P43" s="74">
        <f>'Apr-23'!P43+'May-23'!G43</f>
        <v>126</v>
      </c>
      <c r="Q43" s="74">
        <f>'Apr-23'!Q43+'May-23'!H43</f>
        <v>3</v>
      </c>
      <c r="R43" s="74">
        <f>'Apr-23'!R43+'May-23'!I43</f>
        <v>0</v>
      </c>
      <c r="S43" s="74">
        <f>'Apr-23'!S43+'May-23'!J43</f>
        <v>58</v>
      </c>
      <c r="T43" s="120">
        <f>IFERROR(O43/P43-1,"n/a")</f>
        <v>0.15873015873015883</v>
      </c>
      <c r="U43" s="120">
        <f>IFERROR(O43/Q43-1,"n/a")</f>
        <v>47.666666666666664</v>
      </c>
      <c r="V43" s="120" t="str">
        <f>IFERROR(O43/R43-1,"n/a")</f>
        <v>n/a</v>
      </c>
      <c r="W43" s="121">
        <f>IFERROR(O43/S43-1,"n/a")</f>
        <v>1.5172413793103448</v>
      </c>
      <c r="X43" s="89">
        <v>669</v>
      </c>
      <c r="Y43" s="89">
        <v>59</v>
      </c>
      <c r="Z43" s="70">
        <v>9</v>
      </c>
      <c r="AA43" s="78">
        <v>287</v>
      </c>
      <c r="AC43" s="9"/>
    </row>
    <row r="44" spans="1:29">
      <c r="A44" s="9"/>
      <c r="B44" s="9"/>
      <c r="C44" s="33"/>
      <c r="D44" s="26" t="s">
        <v>11</v>
      </c>
      <c r="E44" s="32"/>
      <c r="F44" s="74">
        <f t="shared" si="7"/>
        <v>137318</v>
      </c>
      <c r="G44" s="74">
        <f t="shared" si="7"/>
        <v>88575</v>
      </c>
      <c r="H44" s="74">
        <f t="shared" si="7"/>
        <v>0</v>
      </c>
      <c r="I44" s="74">
        <f t="shared" si="7"/>
        <v>0</v>
      </c>
      <c r="J44" s="74">
        <f t="shared" si="7"/>
        <v>66376</v>
      </c>
      <c r="K44" s="64">
        <f>IFERROR(F44/G44-1,"n/a")</f>
        <v>0.55030200395145368</v>
      </c>
      <c r="L44" s="64" t="str">
        <f>IFERROR(F44/H44-1,"n/a")</f>
        <v>n/a</v>
      </c>
      <c r="M44" s="64" t="str">
        <f>IFERROR(F44/I44-1,"n/a")</f>
        <v>n/a</v>
      </c>
      <c r="N44" s="60">
        <f>IFERROR(F44/J44-1,"n/a")</f>
        <v>1.0687899240689407</v>
      </c>
      <c r="O44" s="74">
        <f>'Apr-23'!O44+'May-23'!F44</f>
        <v>203620</v>
      </c>
      <c r="P44" s="74">
        <f>'Apr-23'!P44+'May-23'!G44</f>
        <v>121151</v>
      </c>
      <c r="Q44" s="74">
        <f>'Apr-23'!Q44+'May-23'!H44</f>
        <v>0</v>
      </c>
      <c r="R44" s="74">
        <f>'Apr-23'!R44+'May-23'!I44</f>
        <v>0</v>
      </c>
      <c r="S44" s="74">
        <f>'Apr-23'!S44+'May-23'!J44</f>
        <v>102439</v>
      </c>
      <c r="T44" s="120">
        <f>IFERROR(O44/P44-1,"n/a")</f>
        <v>0.6807124992777609</v>
      </c>
      <c r="U44" s="120" t="str">
        <f>IFERROR(O44/Q44-1,"n/a")</f>
        <v>n/a</v>
      </c>
      <c r="V44" s="120" t="str">
        <f>IFERROR(O44/R44-1,"n/a")</f>
        <v>n/a</v>
      </c>
      <c r="W44" s="121">
        <f>IFERROR(O44/S44-1,"n/a")</f>
        <v>0.98771952088560022</v>
      </c>
      <c r="X44" s="82">
        <f>709768+195488</f>
        <v>905256</v>
      </c>
      <c r="Y44" s="82">
        <v>20626</v>
      </c>
      <c r="Z44" s="84">
        <v>10047</v>
      </c>
      <c r="AA44" s="78">
        <v>581199</v>
      </c>
      <c r="AC44" s="9"/>
    </row>
    <row r="45" spans="1:29">
      <c r="A45" s="9"/>
      <c r="B45" s="9"/>
      <c r="C45" s="31" t="s">
        <v>111</v>
      </c>
      <c r="D45" s="26"/>
      <c r="E45" s="34"/>
      <c r="F45" s="72"/>
      <c r="G45" s="72"/>
      <c r="H45" s="72"/>
      <c r="I45" s="72"/>
      <c r="J45" s="72"/>
      <c r="K45" s="64"/>
      <c r="L45" s="64"/>
      <c r="M45" s="64"/>
      <c r="N45" s="60"/>
      <c r="O45" s="72"/>
      <c r="P45" s="72"/>
      <c r="Q45" s="72"/>
      <c r="R45" s="72"/>
      <c r="S45" s="72"/>
      <c r="T45" s="64"/>
      <c r="U45" s="64"/>
      <c r="V45" s="64"/>
      <c r="W45" s="60"/>
      <c r="X45" s="90"/>
      <c r="Y45" s="90"/>
      <c r="Z45" s="44"/>
      <c r="AA45" s="79"/>
      <c r="AC45" s="9"/>
    </row>
    <row r="46" spans="1:29">
      <c r="A46" s="9"/>
      <c r="B46" s="9"/>
      <c r="C46" s="33"/>
      <c r="D46" s="26" t="s">
        <v>5</v>
      </c>
      <c r="E46" s="34"/>
      <c r="F46" s="74">
        <f t="shared" ref="F46:J47" si="8">F22</f>
        <v>159</v>
      </c>
      <c r="G46" s="74">
        <f t="shared" si="8"/>
        <v>103</v>
      </c>
      <c r="H46" s="74">
        <f t="shared" si="8"/>
        <v>0</v>
      </c>
      <c r="I46" s="74">
        <f t="shared" si="8"/>
        <v>0</v>
      </c>
      <c r="J46" s="74">
        <f t="shared" si="8"/>
        <v>113</v>
      </c>
      <c r="K46" s="64">
        <f>IFERROR(F46/G46-1,"n/a")</f>
        <v>0.5436893203883495</v>
      </c>
      <c r="L46" s="64" t="str">
        <f>IFERROR(F46/H46-1,"n/a")</f>
        <v>n/a</v>
      </c>
      <c r="M46" s="64" t="str">
        <f>IFERROR(F46/I46-1,"n/a")</f>
        <v>n/a</v>
      </c>
      <c r="N46" s="60">
        <f>IFERROR(F46/J46-1,"n/a")</f>
        <v>0.40707964601769908</v>
      </c>
      <c r="O46" s="74">
        <f>'Apr-23'!O46+'May-23'!F46</f>
        <v>320</v>
      </c>
      <c r="P46" s="74">
        <f>'Apr-23'!P46+'May-23'!G46</f>
        <v>203</v>
      </c>
      <c r="Q46" s="74">
        <f>'Apr-23'!Q46+'May-23'!H46</f>
        <v>0</v>
      </c>
      <c r="R46" s="74">
        <f>'Apr-23'!R46+'May-23'!I46</f>
        <v>0</v>
      </c>
      <c r="S46" s="74">
        <f>'Apr-23'!S46+'May-23'!J46</f>
        <v>203</v>
      </c>
      <c r="T46" s="120">
        <f>IFERROR(O46/P46-1,"n/a")</f>
        <v>0.57635467980295574</v>
      </c>
      <c r="U46" s="120" t="str">
        <f>IFERROR(O46/Q46-1,"n/a")</f>
        <v>n/a</v>
      </c>
      <c r="V46" s="120" t="str">
        <f>IFERROR(O46/R46-1,"n/a")</f>
        <v>n/a</v>
      </c>
      <c r="W46" s="121">
        <f>IFERROR(O46/S46-1,"n/a")</f>
        <v>0.57635467980295574</v>
      </c>
      <c r="X46" s="89">
        <v>1129</v>
      </c>
      <c r="Y46" s="89">
        <v>336</v>
      </c>
      <c r="Z46" s="84">
        <v>43</v>
      </c>
      <c r="AA46" s="78">
        <v>781</v>
      </c>
      <c r="AC46" s="9"/>
    </row>
    <row r="47" spans="1:29">
      <c r="A47" s="9"/>
      <c r="B47" s="9"/>
      <c r="C47" s="33"/>
      <c r="D47" s="26" t="s">
        <v>11</v>
      </c>
      <c r="E47" s="32"/>
      <c r="F47" s="74">
        <f t="shared" si="8"/>
        <v>390316</v>
      </c>
      <c r="G47" s="74">
        <f t="shared" si="8"/>
        <v>168018</v>
      </c>
      <c r="H47" s="74">
        <f t="shared" si="8"/>
        <v>0</v>
      </c>
      <c r="I47" s="74">
        <f t="shared" si="8"/>
        <v>0</v>
      </c>
      <c r="J47" s="74">
        <f t="shared" si="8"/>
        <v>300445</v>
      </c>
      <c r="K47" s="64">
        <f>IFERROR(F47/G47-1,"n/a")</f>
        <v>1.3230606244569034</v>
      </c>
      <c r="L47" s="64" t="str">
        <f>IFERROR(F47/H47-1,"n/a")</f>
        <v>n/a</v>
      </c>
      <c r="M47" s="64" t="str">
        <f>IFERROR(F47/I47-1,"n/a")</f>
        <v>n/a</v>
      </c>
      <c r="N47" s="60">
        <f>IFERROR(F47/J47-1,"n/a")</f>
        <v>0.29912629599427509</v>
      </c>
      <c r="O47" s="74">
        <f>'Apr-23'!O47+'May-23'!F47</f>
        <v>723221</v>
      </c>
      <c r="P47" s="74">
        <f>'Apr-23'!P47+'May-23'!G47</f>
        <v>283827</v>
      </c>
      <c r="Q47" s="74">
        <f>'Apr-23'!Q47+'May-23'!H47</f>
        <v>0</v>
      </c>
      <c r="R47" s="74">
        <f>'Apr-23'!R47+'May-23'!I47</f>
        <v>0</v>
      </c>
      <c r="S47" s="74">
        <f>'Apr-23'!S47+'May-23'!J47</f>
        <v>513185</v>
      </c>
      <c r="T47" s="120">
        <f>IFERROR(O47/P47-1,"n/a")</f>
        <v>1.5481050076278859</v>
      </c>
      <c r="U47" s="120" t="str">
        <f>IFERROR(O47/Q47-1,"n/a")</f>
        <v>n/a</v>
      </c>
      <c r="V47" s="120" t="str">
        <f>IFERROR(O47/R47-1,"n/a")</f>
        <v>n/a</v>
      </c>
      <c r="W47" s="121">
        <f>IFERROR(O47/S47-1,"n/a")</f>
        <v>0.4092793047341603</v>
      </c>
      <c r="X47" s="82">
        <v>2932981</v>
      </c>
      <c r="Y47" s="82">
        <v>533563</v>
      </c>
      <c r="Z47" s="84">
        <v>140552</v>
      </c>
      <c r="AA47" s="78">
        <v>2441594</v>
      </c>
      <c r="AC47" s="9"/>
    </row>
    <row r="48" spans="1:29">
      <c r="C48" s="31" t="s">
        <v>112</v>
      </c>
      <c r="D48" s="26"/>
      <c r="E48" s="32"/>
      <c r="F48" s="72"/>
      <c r="G48" s="72"/>
      <c r="H48" s="72"/>
      <c r="I48" s="72"/>
      <c r="J48" s="72"/>
      <c r="K48" s="64"/>
      <c r="L48" s="64"/>
      <c r="M48" s="64"/>
      <c r="N48" s="60"/>
      <c r="O48" s="72"/>
      <c r="P48" s="72"/>
      <c r="Q48" s="72"/>
      <c r="R48" s="72"/>
      <c r="S48" s="72"/>
      <c r="T48" s="64"/>
      <c r="U48" s="64"/>
      <c r="V48" s="64"/>
      <c r="W48" s="60"/>
      <c r="X48" s="90"/>
      <c r="Y48" s="90"/>
      <c r="Z48" s="44"/>
      <c r="AA48" s="79"/>
      <c r="AC48" s="9"/>
    </row>
    <row r="49" spans="3:29">
      <c r="C49" s="33"/>
      <c r="D49" s="26" t="s">
        <v>5</v>
      </c>
      <c r="E49" s="32"/>
      <c r="F49" s="74">
        <f t="shared" ref="F49:J50" si="9">F25</f>
        <v>3</v>
      </c>
      <c r="G49" s="74">
        <f t="shared" si="9"/>
        <v>0</v>
      </c>
      <c r="H49" s="74">
        <f t="shared" si="9"/>
        <v>0</v>
      </c>
      <c r="I49" s="74">
        <f t="shared" si="9"/>
        <v>0</v>
      </c>
      <c r="J49" s="74">
        <f t="shared" si="9"/>
        <v>2</v>
      </c>
      <c r="K49" s="64" t="str">
        <f>IFERROR(F49/G49-1,"n/a")</f>
        <v>n/a</v>
      </c>
      <c r="L49" s="64" t="str">
        <f>IFERROR(F49/H49-1,"n/a")</f>
        <v>n/a</v>
      </c>
      <c r="M49" s="64" t="str">
        <f>IFERROR(F49/I49-1,"n/a")</f>
        <v>n/a</v>
      </c>
      <c r="N49" s="60">
        <f>IFERROR(F49/J49-1,"n/a")</f>
        <v>0.5</v>
      </c>
      <c r="O49" s="74">
        <f>'Apr-23'!O49+'May-23'!F49</f>
        <v>4</v>
      </c>
      <c r="P49" s="74">
        <f>'Apr-23'!P49+'May-23'!G49</f>
        <v>1</v>
      </c>
      <c r="Q49" s="74">
        <f>'Apr-23'!Q49+'May-23'!H49</f>
        <v>0</v>
      </c>
      <c r="R49" s="74">
        <f>'Apr-23'!R49+'May-23'!I49</f>
        <v>0</v>
      </c>
      <c r="S49" s="74">
        <f>'Apr-23'!S49+'May-23'!J49</f>
        <v>3</v>
      </c>
      <c r="T49" s="120">
        <f>IFERROR(O49/P49-1,"n/a")</f>
        <v>3</v>
      </c>
      <c r="U49" s="120" t="str">
        <f>IFERROR(O49/Q49-1,"n/a")</f>
        <v>n/a</v>
      </c>
      <c r="V49" s="120" t="str">
        <f>IFERROR(O49/R49-1,"n/a")</f>
        <v>n/a</v>
      </c>
      <c r="W49" s="121">
        <f>IFERROR(O49/S49-1,"n/a")</f>
        <v>0.33333333333333326</v>
      </c>
      <c r="X49" s="89">
        <v>9</v>
      </c>
      <c r="Y49" s="68">
        <v>0</v>
      </c>
      <c r="Z49" s="68">
        <v>0</v>
      </c>
      <c r="AA49" s="78">
        <v>16</v>
      </c>
      <c r="AC49" s="9"/>
    </row>
    <row r="50" spans="3:29">
      <c r="C50" s="33"/>
      <c r="D50" s="26" t="s">
        <v>11</v>
      </c>
      <c r="E50" s="32"/>
      <c r="F50" s="74">
        <f t="shared" si="9"/>
        <v>2124</v>
      </c>
      <c r="G50" s="74">
        <f t="shared" si="9"/>
        <v>0</v>
      </c>
      <c r="H50" s="74">
        <f t="shared" si="9"/>
        <v>0</v>
      </c>
      <c r="I50" s="74">
        <f t="shared" si="9"/>
        <v>0</v>
      </c>
      <c r="J50" s="74">
        <f t="shared" si="9"/>
        <v>2351</v>
      </c>
      <c r="K50" s="64" t="str">
        <f>IFERROR(F50/G50-1,"n/a")</f>
        <v>n/a</v>
      </c>
      <c r="L50" s="64" t="str">
        <f>IFERROR(F50/H50-1,"n/a")</f>
        <v>n/a</v>
      </c>
      <c r="M50" s="64" t="str">
        <f>IFERROR(F50/I50-1,"n/a")</f>
        <v>n/a</v>
      </c>
      <c r="N50" s="60">
        <f>IFERROR(F50/J50-1,"n/a")</f>
        <v>-9.6554657592513804E-2</v>
      </c>
      <c r="O50" s="74">
        <f>'Apr-23'!O50+'May-23'!F50</f>
        <v>4382</v>
      </c>
      <c r="P50" s="74">
        <f>'Apr-23'!P50+'May-23'!G50</f>
        <v>925</v>
      </c>
      <c r="Q50" s="74">
        <f>'Apr-23'!Q50+'May-23'!H50</f>
        <v>0</v>
      </c>
      <c r="R50" s="74">
        <f>'Apr-23'!R50+'May-23'!I50</f>
        <v>0</v>
      </c>
      <c r="S50" s="74">
        <f>'Apr-23'!S50+'May-23'!J50</f>
        <v>3410</v>
      </c>
      <c r="T50" s="120">
        <f>IFERROR(O50/P50-1,"n/a")</f>
        <v>3.7372972972972969</v>
      </c>
      <c r="U50" s="120" t="str">
        <f>IFERROR(O50/Q50-1,"n/a")</f>
        <v>n/a</v>
      </c>
      <c r="V50" s="120" t="str">
        <f>IFERROR(O50/R50-1,"n/a")</f>
        <v>n/a</v>
      </c>
      <c r="W50" s="121">
        <f>IFERROR(O50/S50-1,"n/a")</f>
        <v>0.28504398826979482</v>
      </c>
      <c r="X50" s="82">
        <v>15637</v>
      </c>
      <c r="Y50" s="68">
        <v>0</v>
      </c>
      <c r="Z50" s="68">
        <v>0</v>
      </c>
      <c r="AA50" s="78">
        <v>20248</v>
      </c>
      <c r="AC50" s="9"/>
    </row>
    <row r="51" spans="3:29" ht="15.75" thickBot="1">
      <c r="C51" s="35" t="s">
        <v>12</v>
      </c>
      <c r="D51" s="36"/>
      <c r="E51" s="37"/>
      <c r="F51" s="75">
        <f>F37+F40+F43+F46+F49</f>
        <v>430</v>
      </c>
      <c r="G51" s="75">
        <f t="shared" ref="G51:J52" si="10">G37+G40+G43+G46+G49</f>
        <v>348</v>
      </c>
      <c r="H51" s="75">
        <f t="shared" si="10"/>
        <v>18</v>
      </c>
      <c r="I51" s="75">
        <f t="shared" si="10"/>
        <v>0</v>
      </c>
      <c r="J51" s="75">
        <f t="shared" si="10"/>
        <v>313</v>
      </c>
      <c r="K51" s="66">
        <f>IFERROR(F51/G51-1,"n/a")</f>
        <v>0.23563218390804597</v>
      </c>
      <c r="L51" s="66">
        <f>IFERROR(F51/H51-1,"n/a")</f>
        <v>22.888888888888889</v>
      </c>
      <c r="M51" s="66" t="str">
        <f>IFERROR(F51/I51-1,"n/a")</f>
        <v>n/a</v>
      </c>
      <c r="N51" s="62">
        <f>IFERROR(F51/J51-1,"n/a")</f>
        <v>0.37380191693290743</v>
      </c>
      <c r="O51" s="75">
        <f t="shared" ref="O51:S52" si="11">O37+O40+O43+O46+O49</f>
        <v>814</v>
      </c>
      <c r="P51" s="75">
        <f t="shared" si="11"/>
        <v>676</v>
      </c>
      <c r="Q51" s="75">
        <f t="shared" si="11"/>
        <v>25</v>
      </c>
      <c r="R51" s="75">
        <f t="shared" si="11"/>
        <v>42</v>
      </c>
      <c r="S51" s="75">
        <f t="shared" si="11"/>
        <v>605</v>
      </c>
      <c r="T51" s="66">
        <f>IFERROR(O51/P51-1,"n/a")</f>
        <v>0.20414201183431957</v>
      </c>
      <c r="U51" s="66">
        <f>IFERROR(O51/Q51-1,"n/a")</f>
        <v>31.560000000000002</v>
      </c>
      <c r="V51" s="66">
        <f>IFERROR(O51/R51-1,"n/a")</f>
        <v>18.38095238095238</v>
      </c>
      <c r="W51" s="62">
        <f>IFERROR(O51/S51-1,"n/a")</f>
        <v>0.34545454545454546</v>
      </c>
      <c r="X51" s="46">
        <f t="shared" ref="X51:Z52" si="12">X37+X40+X43+X46+X49</f>
        <v>3856</v>
      </c>
      <c r="Y51" s="46">
        <f t="shared" si="12"/>
        <v>1673</v>
      </c>
      <c r="Z51" s="46">
        <f t="shared" si="12"/>
        <v>669</v>
      </c>
      <c r="AA51" s="80">
        <f>AA37+AA40+AA43+AA46+AA49</f>
        <v>3241</v>
      </c>
      <c r="AC51" s="9"/>
    </row>
    <row r="52" spans="3:29" ht="16.5" thickTop="1" thickBot="1">
      <c r="C52" s="38" t="s">
        <v>13</v>
      </c>
      <c r="D52" s="39"/>
      <c r="E52" s="40"/>
      <c r="F52" s="76">
        <f>F38+F41+F44+F47+F50</f>
        <v>1044083</v>
      </c>
      <c r="G52" s="76">
        <f t="shared" si="10"/>
        <v>573599</v>
      </c>
      <c r="H52" s="76">
        <f t="shared" si="10"/>
        <v>24481</v>
      </c>
      <c r="I52" s="76">
        <f t="shared" si="10"/>
        <v>0</v>
      </c>
      <c r="J52" s="76">
        <f t="shared" si="10"/>
        <v>837624</v>
      </c>
      <c r="K52" s="67">
        <f>IFERROR(F52/G52-1,"n/a")</f>
        <v>0.82023155549434357</v>
      </c>
      <c r="L52" s="67">
        <f>IFERROR(F52/H52-1,"n/a")</f>
        <v>41.648707160655199</v>
      </c>
      <c r="M52" s="67" t="str">
        <f>IFERROR(F52/I52-1,"n/a")</f>
        <v>n/a</v>
      </c>
      <c r="N52" s="63">
        <f>IFERROR(F52/J52-1,"n/a")</f>
        <v>0.24648171494608562</v>
      </c>
      <c r="O52" s="76">
        <f t="shared" si="11"/>
        <v>2002647</v>
      </c>
      <c r="P52" s="76">
        <f t="shared" si="11"/>
        <v>1081064</v>
      </c>
      <c r="Q52" s="76">
        <f t="shared" si="11"/>
        <v>30483</v>
      </c>
      <c r="R52" s="76">
        <f t="shared" si="11"/>
        <v>0</v>
      </c>
      <c r="S52" s="76">
        <f t="shared" si="11"/>
        <v>1628862</v>
      </c>
      <c r="T52" s="67">
        <f>IFERROR(O52/P52-1,"n/a")</f>
        <v>0.85247774414835753</v>
      </c>
      <c r="U52" s="118">
        <f>IFERROR(O52/Q52-1,"n/a")</f>
        <v>64.697175474854831</v>
      </c>
      <c r="V52" s="118" t="str">
        <f>IFERROR(O52/R52-1,"n/a")</f>
        <v>n/a</v>
      </c>
      <c r="W52" s="119">
        <f>IFERROR(O52/S52-1,"n/a")</f>
        <v>0.22947616188480047</v>
      </c>
      <c r="X52" s="47">
        <f t="shared" si="12"/>
        <v>9237323</v>
      </c>
      <c r="Y52" s="47">
        <f t="shared" si="12"/>
        <v>2410085</v>
      </c>
      <c r="Z52" s="47">
        <f t="shared" si="12"/>
        <v>1324261</v>
      </c>
      <c r="AA52" s="81">
        <f>AA38+AA41+AA44+AA47+AA50</f>
        <v>8638971</v>
      </c>
      <c r="AC52" s="9"/>
    </row>
    <row r="53" spans="3:29" ht="15.75" thickTop="1">
      <c r="AC53" s="9"/>
    </row>
    <row r="54" spans="3:29">
      <c r="P54" s="111"/>
      <c r="Q54" s="111"/>
      <c r="R54" s="111"/>
      <c r="S54" s="111"/>
      <c r="AC54" s="9"/>
    </row>
    <row r="55" spans="3:29">
      <c r="P55" s="111"/>
      <c r="Q55" s="111"/>
      <c r="R55" s="111"/>
      <c r="S55" s="111"/>
      <c r="AC55" s="9"/>
    </row>
    <row r="56" spans="3:29">
      <c r="P56" s="111"/>
      <c r="Q56" s="111"/>
      <c r="R56" s="111"/>
      <c r="S56" s="111"/>
      <c r="AC56" s="9"/>
    </row>
    <row r="57" spans="3:29">
      <c r="P57" s="111"/>
      <c r="Q57" s="111"/>
      <c r="R57" s="111"/>
      <c r="S57" s="111"/>
      <c r="AC57" s="9"/>
    </row>
    <row r="58" spans="3:29">
      <c r="AC58" s="9"/>
    </row>
    <row r="59" spans="3:29">
      <c r="AC59" s="9"/>
    </row>
    <row r="60" spans="3:29">
      <c r="AC60" s="9"/>
    </row>
    <row r="61" spans="3:29" ht="15" customHeight="1"/>
    <row r="62" spans="3:29" ht="15" customHeight="1"/>
    <row r="63" spans="3:29" ht="15" customHeight="1"/>
    <row r="64" spans="3:29" ht="15" customHeight="1"/>
    <row r="65" ht="15" customHeight="1"/>
    <row r="66" ht="15" customHeight="1"/>
  </sheetData>
  <mergeCells count="9">
    <mergeCell ref="F34:N34"/>
    <mergeCell ref="O34:W34"/>
    <mergeCell ref="X34:AA34"/>
    <mergeCell ref="F9:N9"/>
    <mergeCell ref="O9:W9"/>
    <mergeCell ref="X9:AA9"/>
    <mergeCell ref="F33:N33"/>
    <mergeCell ref="O33:W33"/>
    <mergeCell ref="X33:AA33"/>
  </mergeCell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6"/>
  <sheetViews>
    <sheetView showGridLines="0" zoomScaleNormal="100" workbookViewId="0"/>
  </sheetViews>
  <sheetFormatPr defaultColWidth="0" defaultRowHeight="15" customHeight="1" zeroHeight="1"/>
  <cols>
    <col min="1" max="2" width="4.140625" customWidth="1"/>
    <col min="3" max="3" width="3.85546875" customWidth="1"/>
    <col min="4" max="4" width="8.85546875" customWidth="1"/>
    <col min="5" max="5" width="10.85546875" bestFit="1" customWidth="1"/>
    <col min="6" max="6" width="9.140625" bestFit="1" customWidth="1"/>
    <col min="7" max="7" width="9.42578125" bestFit="1" customWidth="1"/>
    <col min="8" max="9" width="8.85546875" customWidth="1"/>
    <col min="10" max="10" width="9.42578125" bestFit="1" customWidth="1"/>
    <col min="11" max="11" width="8" customWidth="1"/>
    <col min="12" max="12" width="8.85546875" bestFit="1" customWidth="1"/>
    <col min="13" max="14" width="8" customWidth="1"/>
    <col min="15" max="15" width="11" bestFit="1" customWidth="1"/>
    <col min="16" max="18" width="10.42578125" bestFit="1" customWidth="1"/>
    <col min="19" max="19" width="11" bestFit="1" customWidth="1"/>
    <col min="20" max="20" width="9.140625" bestFit="1" customWidth="1"/>
    <col min="21" max="21" width="8.85546875" bestFit="1" customWidth="1"/>
    <col min="22" max="22" width="9" bestFit="1" customWidth="1"/>
    <col min="23" max="23" width="7.85546875" customWidth="1"/>
    <col min="24" max="24" width="12.42578125" bestFit="1" customWidth="1"/>
    <col min="25" max="26" width="12" bestFit="1" customWidth="1"/>
    <col min="27" max="27" width="12.42578125" bestFit="1" customWidth="1"/>
    <col min="28" max="28" width="11.140625" customWidth="1"/>
    <col min="29" max="29" width="3.42578125" customWidth="1"/>
    <col min="30" max="16384" width="8.85546875" hidden="1"/>
  </cols>
  <sheetData>
    <row r="1" spans="1:29">
      <c r="A1" s="9"/>
      <c r="B1" s="9"/>
      <c r="C1" s="9"/>
      <c r="D1" s="9"/>
      <c r="E1" s="9"/>
      <c r="F1" s="9"/>
      <c r="G1" s="9"/>
      <c r="H1" s="9"/>
      <c r="I1" s="9"/>
      <c r="J1" s="9"/>
      <c r="K1" s="9"/>
      <c r="L1" s="9"/>
      <c r="M1" s="9"/>
      <c r="N1" s="9"/>
      <c r="O1" s="9"/>
      <c r="P1" s="9"/>
      <c r="Q1" s="9"/>
      <c r="R1" s="9"/>
      <c r="S1" s="9"/>
      <c r="T1" s="9"/>
      <c r="U1" s="9"/>
      <c r="V1" s="9"/>
      <c r="W1" s="9"/>
      <c r="X1" s="9"/>
      <c r="Y1" s="9"/>
      <c r="Z1" s="9"/>
      <c r="AA1" s="9"/>
      <c r="AB1" s="9"/>
      <c r="AC1" s="9"/>
    </row>
    <row r="2" spans="1:29" ht="31.35" customHeight="1" thickBot="1">
      <c r="A2" s="9"/>
      <c r="B2" s="8" t="s">
        <v>6</v>
      </c>
      <c r="C2" s="23"/>
      <c r="D2" s="23"/>
      <c r="E2" s="23"/>
      <c r="F2" s="23"/>
      <c r="G2" s="23"/>
      <c r="H2" s="23"/>
      <c r="I2" s="23"/>
      <c r="J2" s="23"/>
      <c r="K2" s="23"/>
      <c r="L2" s="23"/>
      <c r="M2" s="23"/>
      <c r="N2" s="23"/>
      <c r="O2" s="23"/>
      <c r="P2" s="23"/>
      <c r="Q2" s="23"/>
      <c r="R2" s="23"/>
      <c r="S2" s="23"/>
      <c r="T2" s="23"/>
      <c r="U2" s="23"/>
      <c r="V2" s="23"/>
      <c r="W2" s="23"/>
      <c r="X2" s="23"/>
      <c r="Y2" s="23"/>
      <c r="Z2" s="23"/>
      <c r="AA2" s="23"/>
      <c r="AB2" s="24"/>
      <c r="AC2" s="9"/>
    </row>
    <row r="3" spans="1:29">
      <c r="A3" s="9"/>
      <c r="B3" s="10"/>
      <c r="C3" s="24"/>
      <c r="D3" s="24"/>
      <c r="E3" s="24"/>
      <c r="F3" s="24"/>
      <c r="G3" s="24"/>
      <c r="H3" s="24"/>
      <c r="I3" s="24"/>
      <c r="J3" s="24"/>
      <c r="K3" s="24"/>
      <c r="L3" s="24"/>
      <c r="M3" s="24"/>
      <c r="N3" s="24"/>
      <c r="O3" s="24"/>
      <c r="P3" s="24"/>
      <c r="Q3" s="24"/>
      <c r="R3" s="24"/>
      <c r="S3" s="24"/>
      <c r="T3" s="24"/>
      <c r="U3" s="24"/>
      <c r="V3" s="24"/>
      <c r="W3" s="24"/>
      <c r="X3" s="24"/>
      <c r="Y3" s="24"/>
      <c r="Z3" s="24"/>
      <c r="AA3" s="25">
        <v>45058</v>
      </c>
      <c r="AB3" s="25"/>
      <c r="AC3" s="9"/>
    </row>
    <row r="4" spans="1:29" ht="15.75">
      <c r="A4" s="9"/>
      <c r="B4" s="11" t="s">
        <v>7</v>
      </c>
      <c r="C4" s="26"/>
      <c r="D4" s="24"/>
      <c r="E4" s="58" t="s">
        <v>113</v>
      </c>
      <c r="F4" s="24"/>
      <c r="G4" s="24"/>
      <c r="H4" s="24"/>
      <c r="I4" s="24"/>
      <c r="J4" s="24"/>
      <c r="K4" s="24"/>
      <c r="L4" s="24"/>
      <c r="M4" s="24"/>
      <c r="N4" s="24"/>
      <c r="O4" s="24"/>
      <c r="P4" s="24"/>
      <c r="Q4" s="24"/>
      <c r="R4" s="24"/>
      <c r="S4" s="24"/>
      <c r="T4" s="24"/>
      <c r="U4" s="24"/>
      <c r="V4" s="24"/>
      <c r="W4" s="24"/>
      <c r="X4" s="24"/>
      <c r="Y4" s="24"/>
      <c r="Z4" s="24"/>
      <c r="AA4" s="24"/>
      <c r="AB4" s="24"/>
      <c r="AC4" s="9"/>
    </row>
    <row r="5" spans="1:29">
      <c r="A5" s="9"/>
      <c r="B5" s="10"/>
      <c r="C5" s="24"/>
      <c r="D5" s="24"/>
      <c r="E5" s="24"/>
      <c r="F5" s="24"/>
      <c r="G5" s="24"/>
      <c r="H5" s="24"/>
      <c r="I5" s="24"/>
      <c r="J5" s="24"/>
      <c r="K5" s="24"/>
      <c r="L5" s="24"/>
      <c r="M5" s="24"/>
      <c r="N5" s="24"/>
      <c r="O5" s="24"/>
      <c r="P5" s="24"/>
      <c r="Q5" s="24"/>
      <c r="R5" s="24"/>
      <c r="S5" s="24"/>
      <c r="T5" s="24"/>
      <c r="U5" s="24"/>
      <c r="V5" s="24"/>
      <c r="W5" s="24"/>
      <c r="X5" s="24"/>
      <c r="Y5" s="24"/>
      <c r="Z5" s="24"/>
      <c r="AA5" s="24"/>
      <c r="AB5" s="24"/>
      <c r="AC5" s="9"/>
    </row>
    <row r="6" spans="1:29">
      <c r="A6" s="9"/>
      <c r="B6" s="10"/>
      <c r="C6" s="24"/>
      <c r="D6" s="24"/>
      <c r="E6" s="24"/>
      <c r="F6" s="24"/>
      <c r="G6" s="24"/>
      <c r="H6" s="24"/>
      <c r="I6" s="24"/>
      <c r="J6" s="24"/>
      <c r="K6" s="24"/>
      <c r="L6" s="24"/>
      <c r="M6" s="24"/>
      <c r="N6" s="24"/>
      <c r="O6" s="24"/>
      <c r="P6" s="24"/>
      <c r="Q6" s="24"/>
      <c r="R6" s="24"/>
      <c r="S6" s="24"/>
      <c r="T6" s="24"/>
      <c r="U6" s="24"/>
      <c r="V6" s="24"/>
      <c r="W6" s="24"/>
      <c r="X6" s="24"/>
      <c r="Y6" s="24"/>
      <c r="Z6" s="24"/>
      <c r="AA6" s="24"/>
      <c r="AB6" s="24"/>
      <c r="AC6" s="9"/>
    </row>
    <row r="7" spans="1:29">
      <c r="A7" s="9"/>
      <c r="B7" s="10"/>
      <c r="C7" s="86" t="s">
        <v>62</v>
      </c>
      <c r="D7" s="24"/>
      <c r="E7" s="24"/>
      <c r="F7" s="24"/>
      <c r="G7" s="24"/>
      <c r="H7" s="24"/>
      <c r="I7" s="24"/>
      <c r="J7" s="24"/>
      <c r="K7" s="24"/>
      <c r="L7" s="24"/>
      <c r="M7" s="24"/>
      <c r="N7" s="24"/>
      <c r="O7" s="24"/>
      <c r="P7" s="24"/>
      <c r="Q7" s="24"/>
      <c r="R7" s="24"/>
      <c r="S7" s="24"/>
      <c r="T7" s="24"/>
      <c r="U7" s="24"/>
      <c r="V7" s="24"/>
      <c r="W7" s="24"/>
      <c r="X7" s="24"/>
      <c r="Y7" s="24"/>
      <c r="Z7" s="24"/>
      <c r="AA7" s="24"/>
      <c r="AB7" s="24"/>
      <c r="AC7" s="9"/>
    </row>
    <row r="8" spans="1:29">
      <c r="A8" s="9"/>
      <c r="B8" s="10"/>
      <c r="C8" s="24"/>
      <c r="D8" s="24"/>
      <c r="E8" s="24"/>
      <c r="F8" s="24"/>
      <c r="G8" s="24"/>
      <c r="H8" s="24"/>
      <c r="I8" s="24"/>
      <c r="J8" s="24"/>
      <c r="K8" s="24"/>
      <c r="L8" s="24"/>
      <c r="M8" s="24"/>
      <c r="N8" s="24"/>
      <c r="O8" s="24"/>
      <c r="P8" s="24"/>
      <c r="Q8" s="24"/>
      <c r="R8" s="24"/>
      <c r="S8" s="24"/>
      <c r="T8" s="24"/>
      <c r="U8" s="24"/>
      <c r="V8" s="24"/>
      <c r="W8" s="24"/>
      <c r="X8" s="24"/>
      <c r="Y8" s="24"/>
      <c r="Z8" s="24"/>
      <c r="AA8" s="24"/>
      <c r="AB8" s="24"/>
      <c r="AC8" s="9"/>
    </row>
    <row r="9" spans="1:29">
      <c r="A9" s="9"/>
      <c r="C9" s="27" t="s">
        <v>7</v>
      </c>
      <c r="D9" s="28"/>
      <c r="E9" s="28"/>
      <c r="F9" s="158" t="s">
        <v>45</v>
      </c>
      <c r="G9" s="158"/>
      <c r="H9" s="158"/>
      <c r="I9" s="158"/>
      <c r="J9" s="158"/>
      <c r="K9" s="158"/>
      <c r="L9" s="158"/>
      <c r="M9" s="158"/>
      <c r="N9" s="159"/>
      <c r="O9" s="157" t="s">
        <v>46</v>
      </c>
      <c r="P9" s="158"/>
      <c r="Q9" s="158"/>
      <c r="R9" s="158"/>
      <c r="S9" s="158"/>
      <c r="T9" s="158"/>
      <c r="U9" s="158"/>
      <c r="V9" s="158"/>
      <c r="W9" s="159"/>
      <c r="X9" s="157" t="s">
        <v>57</v>
      </c>
      <c r="Y9" s="158"/>
      <c r="Z9" s="158"/>
      <c r="AA9" s="160"/>
      <c r="AB9" s="9"/>
      <c r="AC9" s="9"/>
    </row>
    <row r="10" spans="1:29" ht="15.75">
      <c r="A10" s="9"/>
      <c r="B10" s="18"/>
      <c r="C10" s="29"/>
      <c r="D10" s="30"/>
      <c r="E10" s="30"/>
      <c r="F10" s="29"/>
      <c r="G10" s="30"/>
      <c r="H10" s="30"/>
      <c r="I10" s="30"/>
      <c r="J10" s="30"/>
      <c r="K10" s="30"/>
      <c r="L10" s="30"/>
      <c r="M10" s="30"/>
      <c r="N10" s="56"/>
      <c r="O10" s="30"/>
      <c r="P10" s="30"/>
      <c r="Q10" s="30"/>
      <c r="R10" s="30"/>
      <c r="S10" s="30"/>
      <c r="T10" s="30"/>
      <c r="U10" s="30"/>
      <c r="V10" s="30"/>
      <c r="W10" s="56"/>
      <c r="X10" s="30"/>
      <c r="Y10" s="30"/>
      <c r="Z10" s="30"/>
      <c r="AA10" s="56"/>
      <c r="AB10" s="9"/>
      <c r="AC10" s="9"/>
    </row>
    <row r="11" spans="1:29" ht="26.1" customHeight="1">
      <c r="A11" s="48"/>
      <c r="B11" s="49"/>
      <c r="C11" s="59" t="s">
        <v>29</v>
      </c>
      <c r="D11" s="50"/>
      <c r="E11" s="51"/>
      <c r="F11" s="55">
        <v>2023</v>
      </c>
      <c r="G11" s="52">
        <v>2022</v>
      </c>
      <c r="H11" s="52">
        <v>2021</v>
      </c>
      <c r="I11" s="52">
        <v>2020</v>
      </c>
      <c r="J11" s="52">
        <v>2019</v>
      </c>
      <c r="K11" s="53" t="s">
        <v>66</v>
      </c>
      <c r="L11" s="53" t="s">
        <v>67</v>
      </c>
      <c r="M11" s="53" t="s">
        <v>68</v>
      </c>
      <c r="N11" s="57" t="s">
        <v>101</v>
      </c>
      <c r="O11" s="53">
        <v>2023</v>
      </c>
      <c r="P11" s="53">
        <v>2022</v>
      </c>
      <c r="Q11" s="52">
        <v>2021</v>
      </c>
      <c r="R11" s="52">
        <v>2020</v>
      </c>
      <c r="S11" s="52">
        <v>2019</v>
      </c>
      <c r="T11" s="53" t="s">
        <v>66</v>
      </c>
      <c r="U11" s="53" t="s">
        <v>67</v>
      </c>
      <c r="V11" s="53" t="s">
        <v>68</v>
      </c>
      <c r="W11" s="57" t="s">
        <v>101</v>
      </c>
      <c r="X11" s="53">
        <v>2022</v>
      </c>
      <c r="Y11" s="53">
        <v>2021</v>
      </c>
      <c r="Z11" s="52">
        <v>2020</v>
      </c>
      <c r="AA11" s="77">
        <v>2019</v>
      </c>
      <c r="AB11" s="48"/>
      <c r="AC11" s="48"/>
    </row>
    <row r="12" spans="1:29">
      <c r="A12" s="9"/>
      <c r="B12" s="12"/>
      <c r="C12" s="31" t="s">
        <v>108</v>
      </c>
      <c r="D12" s="26"/>
      <c r="E12" s="32"/>
      <c r="F12" s="26"/>
      <c r="G12" s="26"/>
      <c r="H12" s="26"/>
      <c r="I12" s="26"/>
      <c r="J12" s="26"/>
      <c r="K12" s="26"/>
      <c r="L12" s="26"/>
      <c r="M12" s="26"/>
      <c r="N12" s="32"/>
      <c r="O12" s="26"/>
      <c r="P12" s="26"/>
      <c r="Q12" s="26"/>
      <c r="R12" s="26"/>
      <c r="S12" s="26"/>
      <c r="T12" s="26"/>
      <c r="U12" s="26"/>
      <c r="V12" s="26"/>
      <c r="W12" s="32"/>
      <c r="X12" s="26"/>
      <c r="Y12" s="26"/>
      <c r="Z12" s="26"/>
      <c r="AA12" s="32"/>
      <c r="AB12" s="9"/>
      <c r="AC12" s="9"/>
    </row>
    <row r="13" spans="1:29">
      <c r="A13" s="9"/>
      <c r="B13" s="12"/>
      <c r="C13" s="33"/>
      <c r="D13" s="26" t="s">
        <v>5</v>
      </c>
      <c r="E13" s="32"/>
      <c r="F13" s="73">
        <v>129</v>
      </c>
      <c r="G13" s="71">
        <v>136</v>
      </c>
      <c r="H13" s="71">
        <v>0</v>
      </c>
      <c r="I13" s="71">
        <v>42</v>
      </c>
      <c r="J13" s="71">
        <v>129</v>
      </c>
      <c r="K13" s="64">
        <f>IFERROR(F13/G13-1,"n/a")</f>
        <v>-5.1470588235294157E-2</v>
      </c>
      <c r="L13" s="64" t="str">
        <f t="shared" ref="L13:L28" si="0">IFERROR(F13/H13-1,"n/a")</f>
        <v>n/a</v>
      </c>
      <c r="M13" s="64">
        <f>IFERROR(F13/I13-1,"n/a")</f>
        <v>2.0714285714285716</v>
      </c>
      <c r="N13" s="60">
        <f>IFERROR(F13/J13-1,"n/a")</f>
        <v>0</v>
      </c>
      <c r="O13" s="68">
        <f>'Mar-23'!O13+'Apr-23'!F13</f>
        <v>659</v>
      </c>
      <c r="P13" s="68">
        <f>'Mar-23'!$P$13+G13</f>
        <v>666</v>
      </c>
      <c r="Q13" s="68">
        <f>'Mar-23'!Q13+'Apr-23'!H13</f>
        <v>0</v>
      </c>
      <c r="R13" s="68">
        <f>'Mar-23'!R13+'Apr-23'!I13</f>
        <v>551</v>
      </c>
      <c r="S13" s="68">
        <f>'Mar-23'!S13+'Apr-23'!J13</f>
        <v>645</v>
      </c>
      <c r="T13" s="64">
        <f>IFERROR(O13/P13-1,"n/a")</f>
        <v>-1.0510510510510551E-2</v>
      </c>
      <c r="U13" s="64" t="str">
        <f>IFERROR(O13/Q13-1,"n/a")</f>
        <v>n/a</v>
      </c>
      <c r="V13" s="64">
        <f>IFERROR(O13/R13-1,"n/a")</f>
        <v>0.19600725952813058</v>
      </c>
      <c r="W13" s="60">
        <f>IFERROR(O13/S13-1,"n/a")</f>
        <v>2.170542635658923E-2</v>
      </c>
      <c r="X13" s="68">
        <v>1486</v>
      </c>
      <c r="Y13" s="68">
        <v>522</v>
      </c>
      <c r="Z13" s="70">
        <v>551</v>
      </c>
      <c r="AA13" s="78">
        <v>1591</v>
      </c>
      <c r="AB13" s="9"/>
      <c r="AC13" s="9"/>
    </row>
    <row r="14" spans="1:29">
      <c r="A14" s="9"/>
      <c r="B14" s="12"/>
      <c r="C14" s="33"/>
      <c r="D14" s="26" t="s">
        <v>11</v>
      </c>
      <c r="E14" s="32"/>
      <c r="F14" s="73">
        <v>449751</v>
      </c>
      <c r="G14" s="71">
        <v>297788</v>
      </c>
      <c r="H14" s="71">
        <v>0</v>
      </c>
      <c r="I14" s="71">
        <v>0</v>
      </c>
      <c r="J14" s="71">
        <v>394045</v>
      </c>
      <c r="K14" s="64">
        <f>IFERROR(F14/G14-1,"n/a")</f>
        <v>0.51030598949588302</v>
      </c>
      <c r="L14" s="64" t="str">
        <f t="shared" si="0"/>
        <v>n/a</v>
      </c>
      <c r="M14" s="64" t="str">
        <f>IFERROR(F14/I14-1,"n/a")</f>
        <v>n/a</v>
      </c>
      <c r="N14" s="60">
        <f>IFERROR(F14/J14-1,"n/a")</f>
        <v>0.14136964052329049</v>
      </c>
      <c r="O14" s="68">
        <f>'Mar-23'!$O$14+F14</f>
        <v>1987935</v>
      </c>
      <c r="P14" s="68">
        <f>'Mar-23'!P14+'Apr-23'!G14</f>
        <v>1057446</v>
      </c>
      <c r="Q14" s="68">
        <f>'Mar-23'!Q14+'Apr-23'!H14</f>
        <v>0</v>
      </c>
      <c r="R14" s="68">
        <f>'Mar-23'!R14+'Apr-23'!I14</f>
        <v>1092884</v>
      </c>
      <c r="S14" s="68">
        <f>'Mar-23'!S14+'Apr-23'!J14</f>
        <v>1845149</v>
      </c>
      <c r="T14" s="64">
        <f>IFERROR(O14/P14-1,"n/a")</f>
        <v>0.87993996856577072</v>
      </c>
      <c r="U14" s="64" t="str">
        <f>IFERROR(O14/Q14-1,"n/a")</f>
        <v>n/a</v>
      </c>
      <c r="V14" s="64">
        <f>IFERROR(O14/R14-1,"n/a")</f>
        <v>0.81898078844598321</v>
      </c>
      <c r="W14" s="60">
        <f>IFERROR(O14/S14-1,"n/a")</f>
        <v>7.7384536424971673E-2</v>
      </c>
      <c r="X14" s="68">
        <v>3592413</v>
      </c>
      <c r="Y14" s="68">
        <v>768312</v>
      </c>
      <c r="Z14" s="70">
        <v>1092884</v>
      </c>
      <c r="AA14" s="78">
        <v>4592479</v>
      </c>
      <c r="AB14" s="9"/>
      <c r="AC14" s="9"/>
    </row>
    <row r="15" spans="1:29">
      <c r="A15" s="9"/>
      <c r="B15" s="12"/>
      <c r="C15" s="31" t="s">
        <v>109</v>
      </c>
      <c r="D15" s="26"/>
      <c r="E15" s="32"/>
      <c r="F15" s="97"/>
      <c r="G15" s="26"/>
      <c r="H15" s="26"/>
      <c r="I15" s="26"/>
      <c r="J15" s="26"/>
      <c r="K15" s="64"/>
      <c r="L15" s="64"/>
      <c r="M15" s="64"/>
      <c r="N15" s="61"/>
      <c r="O15" s="87"/>
      <c r="P15" s="87"/>
      <c r="Q15" s="87"/>
      <c r="R15" s="87"/>
      <c r="S15" s="87"/>
      <c r="T15" s="64"/>
      <c r="U15" s="64"/>
      <c r="V15" s="65"/>
      <c r="W15" s="61"/>
      <c r="X15" s="43"/>
      <c r="Y15" s="43"/>
      <c r="Z15" s="44"/>
      <c r="AA15" s="79"/>
      <c r="AB15" s="9"/>
      <c r="AC15" s="9"/>
    </row>
    <row r="16" spans="1:29">
      <c r="A16" s="9"/>
      <c r="B16" s="12"/>
      <c r="C16" s="33"/>
      <c r="D16" s="26" t="s">
        <v>5</v>
      </c>
      <c r="E16" s="32"/>
      <c r="F16" s="74">
        <v>46</v>
      </c>
      <c r="G16" s="71">
        <v>56</v>
      </c>
      <c r="H16" s="71">
        <v>5</v>
      </c>
      <c r="I16" s="71">
        <v>0</v>
      </c>
      <c r="J16" s="71">
        <v>51</v>
      </c>
      <c r="K16" s="64">
        <f>IFERROR(F16/G16-1,"n/a")</f>
        <v>-0.1785714285714286</v>
      </c>
      <c r="L16" s="64">
        <f t="shared" si="0"/>
        <v>8.1999999999999993</v>
      </c>
      <c r="M16" s="64" t="str">
        <f>IFERROR(F16/I16-1,"n/a")</f>
        <v>n/a</v>
      </c>
      <c r="N16" s="60">
        <f>IFERROR(F16/J16-1,"n/a")</f>
        <v>-9.8039215686274495E-2</v>
      </c>
      <c r="O16" s="68">
        <f>'Mar-23'!$O$16+F16</f>
        <v>73</v>
      </c>
      <c r="P16" s="68">
        <f>'Mar-23'!P16+'Apr-23'!G16</f>
        <v>92</v>
      </c>
      <c r="Q16" s="68">
        <f>'Mar-23'!Q16+'Apr-23'!H16</f>
        <v>17</v>
      </c>
      <c r="R16" s="68">
        <f>'Mar-23'!R16+'Apr-23'!I16</f>
        <v>10</v>
      </c>
      <c r="S16" s="68">
        <f>'Mar-23'!S16+'Apr-23'!J16</f>
        <v>74</v>
      </c>
      <c r="T16" s="64">
        <f>IFERROR(O16/P16-1,"n/a")</f>
        <v>-0.20652173913043481</v>
      </c>
      <c r="U16" s="64">
        <f>IFERROR(O16/Q16-1,"n/a")</f>
        <v>3.2941176470588234</v>
      </c>
      <c r="V16" s="64">
        <f>IFERROR(O16/R16-1,"n/a")</f>
        <v>6.3</v>
      </c>
      <c r="W16" s="60">
        <f>IFERROR(O16/S16-1,"n/a")</f>
        <v>-1.3513513513513487E-2</v>
      </c>
      <c r="X16" s="68">
        <v>572</v>
      </c>
      <c r="Y16" s="68">
        <v>202</v>
      </c>
      <c r="Z16" s="70">
        <v>54</v>
      </c>
      <c r="AA16" s="78">
        <v>586</v>
      </c>
      <c r="AB16" s="9"/>
      <c r="AC16" s="9"/>
    </row>
    <row r="17" spans="1:29">
      <c r="A17" s="9"/>
      <c r="B17" s="12"/>
      <c r="C17" s="33"/>
      <c r="D17" s="26" t="s">
        <v>11</v>
      </c>
      <c r="E17" s="32"/>
      <c r="F17" s="74">
        <v>107348</v>
      </c>
      <c r="G17" s="71">
        <v>60367</v>
      </c>
      <c r="H17" s="71">
        <v>6002</v>
      </c>
      <c r="I17" s="71">
        <v>0</v>
      </c>
      <c r="J17" s="71">
        <v>147331</v>
      </c>
      <c r="K17" s="64">
        <f>IFERROR(F17/G17-1,"n/a")</f>
        <v>0.7782563321019762</v>
      </c>
      <c r="L17" s="64">
        <f t="shared" si="0"/>
        <v>16.885371542819062</v>
      </c>
      <c r="M17" s="64" t="str">
        <f>IFERROR(F17/I17-1,"n/a")</f>
        <v>n/a</v>
      </c>
      <c r="N17" s="60">
        <f>IFERROR(F17/J17-1,"n/a")</f>
        <v>-0.27138212596127087</v>
      </c>
      <c r="O17" s="68">
        <f>'Mar-23'!O17+'Apr-23'!F17</f>
        <v>190403</v>
      </c>
      <c r="P17" s="68">
        <f>'Mar-23'!P17+'Apr-23'!G17</f>
        <v>96875</v>
      </c>
      <c r="Q17" s="68">
        <f>'Mar-23'!Q17+'Apr-23'!H17</f>
        <v>16105</v>
      </c>
      <c r="R17" s="68">
        <f>'Mar-23'!R17+'Apr-23'!I17</f>
        <v>41113</v>
      </c>
      <c r="S17" s="68">
        <f>'Mar-23'!S17+'Apr-23'!J17</f>
        <v>227705</v>
      </c>
      <c r="T17" s="64">
        <f>IFERROR(O17/P17-1,"n/a")</f>
        <v>0.96545032258064523</v>
      </c>
      <c r="U17" s="64">
        <f>IFERROR(O17/Q17-1,"n/a")</f>
        <v>10.822601676497982</v>
      </c>
      <c r="V17" s="64">
        <f>IFERROR(O17/R17-1,"n/a")</f>
        <v>3.6312115389292927</v>
      </c>
      <c r="W17" s="60">
        <f>IFERROR(O17/S17-1,"n/a")</f>
        <v>-0.16381721964822904</v>
      </c>
      <c r="X17" s="68">
        <v>965963</v>
      </c>
      <c r="Y17" s="68">
        <v>301521</v>
      </c>
      <c r="Z17" s="70">
        <v>70675</v>
      </c>
      <c r="AA17" s="78">
        <v>1400932</v>
      </c>
      <c r="AB17" s="9"/>
      <c r="AC17" s="9"/>
    </row>
    <row r="18" spans="1:29">
      <c r="A18" s="9"/>
      <c r="B18" s="12"/>
      <c r="C18" s="31" t="s">
        <v>110</v>
      </c>
      <c r="D18" s="26"/>
      <c r="E18" s="32"/>
      <c r="F18" s="72"/>
      <c r="G18" s="72"/>
      <c r="H18" s="72"/>
      <c r="I18" s="72"/>
      <c r="J18" s="72"/>
      <c r="K18" s="64"/>
      <c r="L18" s="64"/>
      <c r="M18" s="64"/>
      <c r="N18" s="60"/>
      <c r="O18" s="87"/>
      <c r="P18" s="87"/>
      <c r="Q18" s="87"/>
      <c r="R18" s="87"/>
      <c r="S18" s="87"/>
      <c r="T18" s="64"/>
      <c r="U18" s="64"/>
      <c r="V18" s="64"/>
      <c r="W18" s="60"/>
      <c r="X18" s="43"/>
      <c r="Y18" s="43"/>
      <c r="Z18" s="44"/>
      <c r="AA18" s="79"/>
      <c r="AB18" s="9"/>
      <c r="AC18" s="9"/>
    </row>
    <row r="19" spans="1:29">
      <c r="A19" s="9"/>
      <c r="B19" s="12"/>
      <c r="C19" s="33"/>
      <c r="D19" s="26" t="s">
        <v>5</v>
      </c>
      <c r="E19" s="32"/>
      <c r="F19" s="73">
        <v>47</v>
      </c>
      <c r="G19" s="71">
        <v>35</v>
      </c>
      <c r="H19" s="71">
        <v>2</v>
      </c>
      <c r="I19" s="71">
        <v>0</v>
      </c>
      <c r="J19" s="71">
        <v>21</v>
      </c>
      <c r="K19" s="64">
        <f>IFERROR(F19/G19-1,"n/a")</f>
        <v>0.34285714285714275</v>
      </c>
      <c r="L19" s="64">
        <f t="shared" si="0"/>
        <v>22.5</v>
      </c>
      <c r="M19" s="64" t="str">
        <f>IFERROR(F19/I19-1,"n/a")</f>
        <v>n/a</v>
      </c>
      <c r="N19" s="60">
        <f>IFERROR(F19/J19-1,"n/a")</f>
        <v>1.2380952380952381</v>
      </c>
      <c r="O19" s="68">
        <f>'Mar-23'!O19+'Apr-23'!F19</f>
        <v>70</v>
      </c>
      <c r="P19" s="68">
        <f>'Mar-23'!P19+'Apr-23'!G19</f>
        <v>47</v>
      </c>
      <c r="Q19" s="68">
        <f>'Mar-23'!Q19+'Apr-23'!H19</f>
        <v>2</v>
      </c>
      <c r="R19" s="68">
        <f>'Mar-23'!R19+'Apr-23'!I19</f>
        <v>3</v>
      </c>
      <c r="S19" s="68">
        <f>'Mar-23'!S19+'Apr-23'!J19</f>
        <v>27</v>
      </c>
      <c r="T19" s="64">
        <f>IFERROR(O19/P19-1,"n/a")</f>
        <v>0.4893617021276595</v>
      </c>
      <c r="U19" s="64">
        <f>IFERROR(O19/Q19-1,"n/a")</f>
        <v>34</v>
      </c>
      <c r="V19" s="64">
        <f>IFERROR(O19/R19-1,"n/a")</f>
        <v>22.333333333333332</v>
      </c>
      <c r="W19" s="60">
        <f>IFERROR(O19/S19-1,"n/a")</f>
        <v>1.5925925925925926</v>
      </c>
      <c r="X19" s="68">
        <v>658</v>
      </c>
      <c r="Y19" s="68">
        <v>47</v>
      </c>
      <c r="Z19" s="70">
        <v>9</v>
      </c>
      <c r="AA19" s="78">
        <v>290</v>
      </c>
      <c r="AB19" s="9"/>
      <c r="AC19" s="9"/>
    </row>
    <row r="20" spans="1:29">
      <c r="A20" s="9"/>
      <c r="B20" s="12"/>
      <c r="C20" s="33"/>
      <c r="D20" s="26" t="s">
        <v>11</v>
      </c>
      <c r="E20" s="32"/>
      <c r="F20" s="73">
        <f>61254+257+4791</f>
        <v>66302</v>
      </c>
      <c r="G20" s="71">
        <f>27021+5555</f>
        <v>32576</v>
      </c>
      <c r="H20" s="71">
        <v>0</v>
      </c>
      <c r="I20" s="71">
        <v>0</v>
      </c>
      <c r="J20" s="71">
        <f>29071+6992</f>
        <v>36063</v>
      </c>
      <c r="K20" s="64">
        <f>IFERROR(F20/G20-1,"n/a")</f>
        <v>1.0353020628683693</v>
      </c>
      <c r="L20" s="64" t="str">
        <f t="shared" si="0"/>
        <v>n/a</v>
      </c>
      <c r="M20" s="64" t="str">
        <f>IFERROR(F20/I20-1,"n/a")</f>
        <v>n/a</v>
      </c>
      <c r="N20" s="60">
        <f t="shared" ref="N20:N28" si="1">IFERROR(F20/J20-1,"n/a")</f>
        <v>0.83850483875440207</v>
      </c>
      <c r="O20" s="68">
        <f>'Mar-23'!O20+'Apr-23'!F20</f>
        <v>87148</v>
      </c>
      <c r="P20" s="68">
        <f>'Mar-23'!P20+'Apr-23'!G20</f>
        <v>35661</v>
      </c>
      <c r="Q20" s="68">
        <f>'Mar-23'!Q20+'Apr-23'!H20</f>
        <v>0</v>
      </c>
      <c r="R20" s="68">
        <f>'Mar-23'!R20+'Apr-23'!I20</f>
        <v>1753</v>
      </c>
      <c r="S20" s="68">
        <f>'Mar-23'!S20+'Apr-23'!J20</f>
        <v>42547</v>
      </c>
      <c r="T20" s="64">
        <f>IFERROR(O20/P20-1,"n/a")</f>
        <v>1.443790134881243</v>
      </c>
      <c r="U20" s="64" t="str">
        <f>IFERROR(O20/Q20-1,"n/a")</f>
        <v>n/a</v>
      </c>
      <c r="V20" s="64">
        <f>IFERROR(O20/R20-1,"n/a")</f>
        <v>48.71363377067884</v>
      </c>
      <c r="W20" s="60">
        <f>IFERROR(O20/S20-1,"n/a")</f>
        <v>1.0482760241615154</v>
      </c>
      <c r="X20" s="68">
        <v>887495</v>
      </c>
      <c r="Y20" s="68">
        <v>17541</v>
      </c>
      <c r="Z20" s="70">
        <v>10047</v>
      </c>
      <c r="AA20" s="78">
        <v>585930</v>
      </c>
      <c r="AB20" s="9"/>
      <c r="AC20" s="9"/>
    </row>
    <row r="21" spans="1:29">
      <c r="A21" s="9"/>
      <c r="B21" s="12"/>
      <c r="C21" s="31" t="s">
        <v>111</v>
      </c>
      <c r="D21" s="26"/>
      <c r="E21" s="34"/>
      <c r="F21" s="72"/>
      <c r="G21" s="72"/>
      <c r="H21" s="72"/>
      <c r="I21" s="72"/>
      <c r="J21" s="72"/>
      <c r="K21" s="64"/>
      <c r="L21" s="64"/>
      <c r="M21" s="64"/>
      <c r="N21" s="60"/>
      <c r="O21" s="87"/>
      <c r="P21" s="87"/>
      <c r="Q21" s="87"/>
      <c r="R21" s="87"/>
      <c r="S21" s="87"/>
      <c r="T21" s="64"/>
      <c r="U21" s="64"/>
      <c r="V21" s="64"/>
      <c r="W21" s="60"/>
      <c r="X21" s="43"/>
      <c r="Y21" s="43"/>
      <c r="Z21" s="44"/>
      <c r="AA21" s="79"/>
      <c r="AB21" s="9"/>
      <c r="AC21" s="9"/>
    </row>
    <row r="22" spans="1:29">
      <c r="A22" s="9"/>
      <c r="B22" s="12"/>
      <c r="C22" s="33"/>
      <c r="D22" s="26" t="s">
        <v>5</v>
      </c>
      <c r="E22" s="34"/>
      <c r="F22" s="74">
        <f>152+9</f>
        <v>161</v>
      </c>
      <c r="G22" s="71">
        <v>100</v>
      </c>
      <c r="H22" s="71">
        <v>0</v>
      </c>
      <c r="I22" s="71">
        <v>0</v>
      </c>
      <c r="J22" s="71">
        <v>90</v>
      </c>
      <c r="K22" s="64">
        <f>IFERROR(F22/G22-1,"n/a")</f>
        <v>0.6100000000000001</v>
      </c>
      <c r="L22" s="64" t="str">
        <f t="shared" si="0"/>
        <v>n/a</v>
      </c>
      <c r="M22" s="64" t="str">
        <f>IFERROR(F22/I22-1,"n/a")</f>
        <v>n/a</v>
      </c>
      <c r="N22" s="60">
        <f t="shared" si="1"/>
        <v>0.78888888888888897</v>
      </c>
      <c r="O22" s="68">
        <f>'Mar-23'!O22+'Apr-23'!F22</f>
        <v>448</v>
      </c>
      <c r="P22" s="68">
        <f>'Mar-23'!P22+'Apr-23'!G22</f>
        <v>153</v>
      </c>
      <c r="Q22" s="68">
        <f>'Mar-23'!Q22+'Apr-23'!H22</f>
        <v>0</v>
      </c>
      <c r="R22" s="68">
        <f>'Mar-23'!R22+'Apr-23'!I22</f>
        <v>205</v>
      </c>
      <c r="S22" s="68">
        <f>'Mar-23'!S22+'Apr-23'!J22</f>
        <v>413</v>
      </c>
      <c r="T22" s="64">
        <f>IFERROR(O22/P22-1,"n/a")</f>
        <v>1.9281045751633985</v>
      </c>
      <c r="U22" s="64" t="str">
        <f>IFERROR(O22/Q22-1,"n/a")</f>
        <v>n/a</v>
      </c>
      <c r="V22" s="64">
        <f>IFERROR(O22/R22-1,"n/a")</f>
        <v>1.1853658536585368</v>
      </c>
      <c r="W22" s="60">
        <f>IFERROR(O22/S22-1,"n/a")</f>
        <v>8.4745762711864403E-2</v>
      </c>
      <c r="X22" s="68">
        <v>895</v>
      </c>
      <c r="Y22" s="68">
        <v>283</v>
      </c>
      <c r="Z22" s="70">
        <v>43</v>
      </c>
      <c r="AA22" s="78">
        <v>827</v>
      </c>
      <c r="AB22" s="9"/>
      <c r="AC22" s="9"/>
    </row>
    <row r="23" spans="1:29">
      <c r="A23" s="9"/>
      <c r="B23" s="12"/>
      <c r="C23" s="33"/>
      <c r="D23" s="26" t="s">
        <v>11</v>
      </c>
      <c r="E23" s="32"/>
      <c r="F23" s="73">
        <v>332905</v>
      </c>
      <c r="G23" s="71">
        <v>115809</v>
      </c>
      <c r="H23" s="71">
        <v>0</v>
      </c>
      <c r="I23" s="71">
        <v>0</v>
      </c>
      <c r="J23" s="71">
        <v>212740</v>
      </c>
      <c r="K23" s="64">
        <f>IFERROR(F23/G23-1,"n/a")</f>
        <v>1.8746038736194941</v>
      </c>
      <c r="L23" s="64" t="str">
        <f t="shared" si="0"/>
        <v>n/a</v>
      </c>
      <c r="M23" s="64" t="str">
        <f>IFERROR(F23/I23-1,"n/a")</f>
        <v>n/a</v>
      </c>
      <c r="N23" s="60">
        <f t="shared" si="1"/>
        <v>0.56484441101814431</v>
      </c>
      <c r="O23" s="68">
        <f>'Mar-23'!O23+'Apr-23'!F23</f>
        <v>1169179</v>
      </c>
      <c r="P23" s="68">
        <f>'Mar-23'!P23+'Apr-23'!G23</f>
        <v>184263</v>
      </c>
      <c r="Q23" s="68">
        <f>'Mar-23'!Q23+'Apr-23'!H23</f>
        <v>0</v>
      </c>
      <c r="R23" s="68">
        <f>'Mar-23'!R23+'Apr-23'!I23</f>
        <v>545974</v>
      </c>
      <c r="S23" s="68">
        <f>'Mar-23'!S23+'Apr-23'!J23</f>
        <v>1132555</v>
      </c>
      <c r="T23" s="64">
        <f>IFERROR(O23/P23-1,"n/a")</f>
        <v>5.3451642489268059</v>
      </c>
      <c r="U23" s="64" t="str">
        <f>IFERROR(O23/Q23-1,"n/a")</f>
        <v>n/a</v>
      </c>
      <c r="V23" s="64">
        <f>IFERROR(O23/R23-1,"n/a")</f>
        <v>1.1414554539227142</v>
      </c>
      <c r="W23" s="60">
        <f>IFERROR(O23/S23-1,"n/a")</f>
        <v>3.2337502372953297E-2</v>
      </c>
      <c r="X23" s="68">
        <v>2165161</v>
      </c>
      <c r="Y23" s="68">
        <v>465109</v>
      </c>
      <c r="Z23" s="70">
        <v>140552</v>
      </c>
      <c r="AA23" s="78">
        <v>2552942</v>
      </c>
      <c r="AB23" s="9"/>
      <c r="AC23" s="9"/>
    </row>
    <row r="24" spans="1:29">
      <c r="A24" s="9"/>
      <c r="B24" s="12"/>
      <c r="C24" s="31" t="s">
        <v>112</v>
      </c>
      <c r="D24" s="26"/>
      <c r="E24" s="32"/>
      <c r="F24" s="72"/>
      <c r="G24" s="72"/>
      <c r="H24" s="72"/>
      <c r="I24" s="72"/>
      <c r="J24" s="72"/>
      <c r="K24" s="64"/>
      <c r="L24" s="64"/>
      <c r="M24" s="64"/>
      <c r="N24" s="60"/>
      <c r="O24" s="87"/>
      <c r="P24" s="87"/>
      <c r="Q24" s="87"/>
      <c r="R24" s="87"/>
      <c r="S24" s="87"/>
      <c r="T24" s="64"/>
      <c r="U24" s="64"/>
      <c r="V24" s="64"/>
      <c r="W24" s="60"/>
      <c r="X24" s="43"/>
      <c r="Y24" s="43"/>
      <c r="Z24" s="44"/>
      <c r="AA24" s="79"/>
      <c r="AB24" s="9"/>
      <c r="AC24" s="9"/>
    </row>
    <row r="25" spans="1:29">
      <c r="B25" s="12"/>
      <c r="C25" s="33"/>
      <c r="D25" s="26" t="s">
        <v>5</v>
      </c>
      <c r="E25" s="32"/>
      <c r="F25" s="71">
        <v>1</v>
      </c>
      <c r="G25" s="71">
        <v>1</v>
      </c>
      <c r="H25" s="71">
        <v>0</v>
      </c>
      <c r="I25" s="71">
        <v>0</v>
      </c>
      <c r="J25" s="71">
        <v>1</v>
      </c>
      <c r="K25" s="64">
        <f>IFERROR(F25/G25-1,"n/a")</f>
        <v>0</v>
      </c>
      <c r="L25" s="64" t="str">
        <f t="shared" si="0"/>
        <v>n/a</v>
      </c>
      <c r="M25" s="64" t="str">
        <f>IFERROR(F25/I25-1,"n/a")</f>
        <v>n/a</v>
      </c>
      <c r="N25" s="60">
        <f t="shared" si="1"/>
        <v>0</v>
      </c>
      <c r="O25" s="68">
        <f>'Mar-23'!O25+'Apr-23'!F25</f>
        <v>1</v>
      </c>
      <c r="P25" s="68">
        <f>'Mar-23'!P25+'Apr-23'!G25</f>
        <v>1</v>
      </c>
      <c r="Q25" s="68">
        <f>'Mar-23'!Q25+'Apr-23'!H25</f>
        <v>0</v>
      </c>
      <c r="R25" s="68">
        <f>'Mar-23'!R25+'Apr-23'!I25</f>
        <v>0</v>
      </c>
      <c r="S25" s="68">
        <f>'Mar-23'!S25+'Apr-23'!J25</f>
        <v>1</v>
      </c>
      <c r="T25" s="64">
        <f>IFERROR(O25/P25-1,"n/a")</f>
        <v>0</v>
      </c>
      <c r="U25" s="64" t="str">
        <f>IFERROR(O25/Q25-1,"n/a")</f>
        <v>n/a</v>
      </c>
      <c r="V25" s="64" t="str">
        <f>IFERROR(O25/R25-1,"n/a")</f>
        <v>n/a</v>
      </c>
      <c r="W25" s="60">
        <f>IFERROR(O25/S25-1,"n/a")</f>
        <v>0</v>
      </c>
      <c r="X25" s="68">
        <v>9</v>
      </c>
      <c r="Y25" s="68">
        <v>0</v>
      </c>
      <c r="Z25" s="68">
        <v>0</v>
      </c>
      <c r="AA25" s="78">
        <v>16</v>
      </c>
      <c r="AB25" s="9"/>
      <c r="AC25" s="9"/>
    </row>
    <row r="26" spans="1:29">
      <c r="A26" s="9"/>
      <c r="B26" s="12"/>
      <c r="C26" s="33"/>
      <c r="D26" s="26" t="s">
        <v>11</v>
      </c>
      <c r="E26" s="32"/>
      <c r="F26" s="71">
        <v>2258</v>
      </c>
      <c r="G26" s="71">
        <v>925</v>
      </c>
      <c r="H26" s="71">
        <v>0</v>
      </c>
      <c r="I26" s="71">
        <v>0</v>
      </c>
      <c r="J26" s="71">
        <v>1059</v>
      </c>
      <c r="K26" s="64">
        <f>IFERROR(F26/G26-1,"n/a")</f>
        <v>1.441081081081081</v>
      </c>
      <c r="L26" s="64" t="str">
        <f t="shared" si="0"/>
        <v>n/a</v>
      </c>
      <c r="M26" s="64" t="str">
        <f>IFERROR(F26/I26-1,"n/a")</f>
        <v>n/a</v>
      </c>
      <c r="N26" s="60">
        <f t="shared" si="1"/>
        <v>1.1322001888574125</v>
      </c>
      <c r="O26" s="68">
        <f>'Mar-23'!O26+'Apr-23'!F26</f>
        <v>2258</v>
      </c>
      <c r="P26" s="68">
        <f>'Mar-23'!P26+'Apr-23'!G26</f>
        <v>925</v>
      </c>
      <c r="Q26" s="68">
        <f>'Mar-23'!Q26+'Apr-23'!H26</f>
        <v>0</v>
      </c>
      <c r="R26" s="68">
        <f>'Mar-23'!R26+'Apr-23'!I26</f>
        <v>0</v>
      </c>
      <c r="S26" s="68">
        <f>'Mar-23'!S26+'Apr-23'!J26</f>
        <v>1059</v>
      </c>
      <c r="T26" s="64">
        <f>IFERROR(O26/P26-1,"n/a")</f>
        <v>1.441081081081081</v>
      </c>
      <c r="U26" s="64" t="str">
        <f>IFERROR(O26/Q26-1,"n/a")</f>
        <v>n/a</v>
      </c>
      <c r="V26" s="64" t="str">
        <f>IFERROR(O26/R26-1,"n/a")</f>
        <v>n/a</v>
      </c>
      <c r="W26" s="60">
        <f>IFERROR(O26/S26-1,"n/a")</f>
        <v>1.1322001888574125</v>
      </c>
      <c r="X26" s="68">
        <v>15637</v>
      </c>
      <c r="Y26" s="68">
        <v>0</v>
      </c>
      <c r="Z26" s="68">
        <v>0</v>
      </c>
      <c r="AA26" s="78">
        <v>20248</v>
      </c>
      <c r="AB26" s="9"/>
      <c r="AC26" s="9"/>
    </row>
    <row r="27" spans="1:29" ht="15.75" thickBot="1">
      <c r="A27" s="9"/>
      <c r="B27" s="12"/>
      <c r="C27" s="35" t="s">
        <v>12</v>
      </c>
      <c r="D27" s="36"/>
      <c r="E27" s="37"/>
      <c r="F27" s="75">
        <f t="shared" ref="F27:J28" si="2">F13+F16+F19+F22+F25</f>
        <v>384</v>
      </c>
      <c r="G27" s="75">
        <f t="shared" si="2"/>
        <v>328</v>
      </c>
      <c r="H27" s="75">
        <f t="shared" si="2"/>
        <v>7</v>
      </c>
      <c r="I27" s="75">
        <f t="shared" si="2"/>
        <v>42</v>
      </c>
      <c r="J27" s="75">
        <f t="shared" si="2"/>
        <v>292</v>
      </c>
      <c r="K27" s="66">
        <f>IFERROR(F27/G27-1,"n/a")</f>
        <v>0.1707317073170731</v>
      </c>
      <c r="L27" s="66">
        <f t="shared" si="0"/>
        <v>53.857142857142854</v>
      </c>
      <c r="M27" s="66">
        <f>IFERROR(F27/I27-1,"n/a")</f>
        <v>8.1428571428571423</v>
      </c>
      <c r="N27" s="62">
        <f t="shared" si="1"/>
        <v>0.31506849315068486</v>
      </c>
      <c r="O27" s="75">
        <f t="shared" ref="O27:S28" si="3">O13+O16+O19+O22+O25</f>
        <v>1251</v>
      </c>
      <c r="P27" s="75">
        <f t="shared" si="3"/>
        <v>959</v>
      </c>
      <c r="Q27" s="75">
        <f t="shared" si="3"/>
        <v>19</v>
      </c>
      <c r="R27" s="75">
        <f t="shared" si="3"/>
        <v>769</v>
      </c>
      <c r="S27" s="75">
        <f t="shared" si="3"/>
        <v>1160</v>
      </c>
      <c r="T27" s="66">
        <f>IFERROR(O27/P27-1,"n/a")</f>
        <v>0.30448383733055273</v>
      </c>
      <c r="U27" s="66">
        <f>IFERROR(O27/Q27-1,"n/a")</f>
        <v>64.84210526315789</v>
      </c>
      <c r="V27" s="66">
        <f>IFERROR(O27/R27-1,"n/a")</f>
        <v>0.62678803641092329</v>
      </c>
      <c r="W27" s="62">
        <f>IFERROR(O27/S27-1,"n/a")</f>
        <v>7.8448275862069039E-2</v>
      </c>
      <c r="X27" s="75">
        <f>X13+X16+X19+X22+X25</f>
        <v>3620</v>
      </c>
      <c r="Y27" s="46">
        <f t="shared" ref="Y27:AA28" si="4">Y13+Y16+Y19+Y22+Y25</f>
        <v>1054</v>
      </c>
      <c r="Z27" s="46">
        <f t="shared" si="4"/>
        <v>657</v>
      </c>
      <c r="AA27" s="80">
        <f t="shared" si="4"/>
        <v>3310</v>
      </c>
      <c r="AB27" s="9"/>
      <c r="AC27" s="9"/>
    </row>
    <row r="28" spans="1:29" ht="16.5" thickTop="1" thickBot="1">
      <c r="A28" s="9"/>
      <c r="B28" s="12"/>
      <c r="C28" s="38" t="s">
        <v>13</v>
      </c>
      <c r="D28" s="39"/>
      <c r="E28" s="40"/>
      <c r="F28" s="76">
        <f t="shared" si="2"/>
        <v>958564</v>
      </c>
      <c r="G28" s="76">
        <f t="shared" si="2"/>
        <v>507465</v>
      </c>
      <c r="H28" s="76">
        <f t="shared" si="2"/>
        <v>6002</v>
      </c>
      <c r="I28" s="76">
        <f t="shared" si="2"/>
        <v>0</v>
      </c>
      <c r="J28" s="76">
        <f t="shared" si="2"/>
        <v>791238</v>
      </c>
      <c r="K28" s="67">
        <f>IFERROR(F28/G28-1,"n/a")</f>
        <v>0.88892632989467257</v>
      </c>
      <c r="L28" s="67">
        <f t="shared" si="0"/>
        <v>158.70743085638119</v>
      </c>
      <c r="M28" s="67" t="str">
        <f>IFERROR(F28/I28-1,"n/a")</f>
        <v>n/a</v>
      </c>
      <c r="N28" s="63">
        <f t="shared" si="1"/>
        <v>0.21147366531941092</v>
      </c>
      <c r="O28" s="76">
        <f t="shared" si="3"/>
        <v>3436923</v>
      </c>
      <c r="P28" s="76">
        <f t="shared" si="3"/>
        <v>1375170</v>
      </c>
      <c r="Q28" s="76">
        <f t="shared" si="3"/>
        <v>16105</v>
      </c>
      <c r="R28" s="76">
        <f t="shared" si="3"/>
        <v>1681724</v>
      </c>
      <c r="S28" s="76">
        <f t="shared" si="3"/>
        <v>3249015</v>
      </c>
      <c r="T28" s="67">
        <f>IFERROR(O28/P28-1,"n/a")</f>
        <v>1.499271362813325</v>
      </c>
      <c r="U28" s="67">
        <f>IFERROR(O28/Q28-1,"n/a")</f>
        <v>212.40720273207077</v>
      </c>
      <c r="V28" s="67">
        <f>IFERROR(O28/R28-1,"n/a")</f>
        <v>1.0436902844937697</v>
      </c>
      <c r="W28" s="63">
        <f>IFERROR(O28/S28-1,"n/a")</f>
        <v>5.7835374721261656E-2</v>
      </c>
      <c r="X28" s="76">
        <f>X14+X17+X20+X23+X26</f>
        <v>7626669</v>
      </c>
      <c r="Y28" s="47">
        <f t="shared" si="4"/>
        <v>1552483</v>
      </c>
      <c r="Z28" s="47">
        <f t="shared" si="4"/>
        <v>1314158</v>
      </c>
      <c r="AA28" s="81">
        <f t="shared" si="4"/>
        <v>9152531</v>
      </c>
      <c r="AB28" s="9"/>
      <c r="AC28" s="9"/>
    </row>
    <row r="29" spans="1:29" ht="15.75" thickTop="1">
      <c r="A29" s="9"/>
      <c r="B29" s="9"/>
      <c r="C29" s="9"/>
      <c r="D29" s="9"/>
      <c r="E29" s="9"/>
      <c r="F29" s="41"/>
      <c r="G29" s="41"/>
      <c r="H29" s="41"/>
      <c r="I29" s="41"/>
      <c r="J29" s="41"/>
      <c r="K29" s="41"/>
      <c r="L29" s="41"/>
      <c r="M29" s="41"/>
      <c r="N29" s="9"/>
      <c r="O29" s="41"/>
      <c r="P29" s="9"/>
      <c r="Q29" s="9"/>
      <c r="R29" s="9"/>
      <c r="S29" s="9"/>
      <c r="T29" s="9"/>
      <c r="U29" s="9"/>
      <c r="V29" s="9"/>
      <c r="W29" s="9"/>
      <c r="X29" s="9"/>
      <c r="Y29" s="9"/>
      <c r="Z29" s="9"/>
      <c r="AA29" s="9"/>
      <c r="AB29" s="9"/>
      <c r="AC29" s="9"/>
    </row>
    <row r="30" spans="1:29">
      <c r="A30" s="9"/>
      <c r="B30" s="9"/>
      <c r="C30" s="9"/>
      <c r="D30" s="9"/>
      <c r="E30" s="9"/>
      <c r="F30" s="41"/>
      <c r="G30" s="41"/>
      <c r="H30" s="41"/>
      <c r="I30" s="41"/>
      <c r="J30" s="41"/>
      <c r="K30" s="41"/>
      <c r="L30" s="41"/>
      <c r="M30" s="41"/>
      <c r="N30" s="9"/>
      <c r="O30" s="9"/>
      <c r="P30" s="9"/>
      <c r="Q30" s="9"/>
      <c r="R30" s="9"/>
      <c r="S30" s="9"/>
      <c r="T30" s="9"/>
      <c r="U30" s="9"/>
      <c r="V30" s="9"/>
      <c r="W30" s="9"/>
      <c r="X30" s="9"/>
      <c r="Y30" s="9"/>
      <c r="Z30" s="9"/>
      <c r="AA30" s="9"/>
      <c r="AB30" s="9"/>
      <c r="AC30" s="9"/>
    </row>
    <row r="31" spans="1:29">
      <c r="A31" s="9"/>
      <c r="B31" s="10"/>
      <c r="C31" s="86" t="s">
        <v>63</v>
      </c>
      <c r="D31" s="24"/>
      <c r="E31" s="24"/>
      <c r="F31" s="24"/>
      <c r="G31" s="24"/>
      <c r="H31" s="24"/>
      <c r="I31" s="24"/>
      <c r="J31" s="95"/>
      <c r="K31" s="95"/>
      <c r="L31" s="95"/>
      <c r="M31" s="95"/>
      <c r="N31" s="24"/>
      <c r="O31" s="24"/>
      <c r="P31" s="24"/>
      <c r="Q31" s="24"/>
      <c r="R31" s="24"/>
      <c r="S31" s="24"/>
      <c r="T31" s="24"/>
      <c r="U31" s="24"/>
      <c r="V31" s="24"/>
      <c r="W31" s="24"/>
      <c r="X31" s="24"/>
      <c r="Y31" s="24"/>
      <c r="Z31" s="24"/>
      <c r="AA31" s="24"/>
      <c r="AB31" s="24"/>
      <c r="AC31" s="9"/>
    </row>
    <row r="32" spans="1:29">
      <c r="A32" s="9"/>
      <c r="B32" s="10"/>
      <c r="C32" s="24"/>
      <c r="D32" s="24"/>
      <c r="E32" s="24"/>
      <c r="F32" s="24"/>
      <c r="G32" s="24"/>
      <c r="H32" s="24"/>
      <c r="I32" s="24"/>
      <c r="J32" s="95"/>
      <c r="K32" s="95"/>
      <c r="L32" s="95"/>
      <c r="M32" s="95"/>
      <c r="N32" s="24"/>
      <c r="O32" s="24"/>
      <c r="P32" s="24"/>
      <c r="Q32" s="24"/>
      <c r="R32" s="24"/>
      <c r="S32" s="24"/>
      <c r="T32" s="24"/>
      <c r="U32" s="24"/>
      <c r="V32" s="24"/>
      <c r="W32" s="24"/>
      <c r="X32" s="24"/>
      <c r="Y32" s="24"/>
      <c r="Z32" s="24"/>
      <c r="AA32" s="24"/>
      <c r="AB32" s="24"/>
      <c r="AC32" s="9"/>
    </row>
    <row r="33" spans="1:29">
      <c r="A33" s="9"/>
      <c r="B33" s="9"/>
      <c r="C33" s="27" t="s">
        <v>7</v>
      </c>
      <c r="D33" s="28"/>
      <c r="E33" s="28"/>
      <c r="F33" s="158" t="str">
        <f>F9</f>
        <v>April</v>
      </c>
      <c r="G33" s="158"/>
      <c r="H33" s="158"/>
      <c r="I33" s="158"/>
      <c r="J33" s="158"/>
      <c r="K33" s="158"/>
      <c r="L33" s="158"/>
      <c r="M33" s="158"/>
      <c r="N33" s="159"/>
      <c r="O33" s="161" t="s">
        <v>114</v>
      </c>
      <c r="P33" s="162"/>
      <c r="Q33" s="162"/>
      <c r="R33" s="162"/>
      <c r="S33" s="162"/>
      <c r="T33" s="162"/>
      <c r="U33" s="162"/>
      <c r="V33" s="162"/>
      <c r="W33" s="163"/>
      <c r="X33" s="157" t="s">
        <v>58</v>
      </c>
      <c r="Y33" s="158"/>
      <c r="Z33" s="158"/>
      <c r="AA33" s="160"/>
    </row>
    <row r="34" spans="1:29">
      <c r="A34" s="9"/>
      <c r="B34" s="9"/>
      <c r="C34" s="29"/>
      <c r="D34" s="30"/>
      <c r="E34" s="30"/>
      <c r="F34" s="152"/>
      <c r="G34" s="153"/>
      <c r="H34" s="153"/>
      <c r="I34" s="153"/>
      <c r="J34" s="153"/>
      <c r="K34" s="153"/>
      <c r="L34" s="153"/>
      <c r="M34" s="153"/>
      <c r="N34" s="154"/>
      <c r="O34" s="152"/>
      <c r="P34" s="153"/>
      <c r="Q34" s="153"/>
      <c r="R34" s="153"/>
      <c r="S34" s="153"/>
      <c r="T34" s="153"/>
      <c r="U34" s="153"/>
      <c r="V34" s="153"/>
      <c r="W34" s="154"/>
      <c r="X34" s="152"/>
      <c r="Y34" s="153"/>
      <c r="Z34" s="153"/>
      <c r="AA34" s="154"/>
    </row>
    <row r="35" spans="1:29" ht="22.5">
      <c r="A35" s="9"/>
      <c r="B35" s="9"/>
      <c r="C35" s="59" t="s">
        <v>29</v>
      </c>
      <c r="D35" s="50"/>
      <c r="E35" s="51"/>
      <c r="F35" s="55">
        <v>2023</v>
      </c>
      <c r="G35" s="52">
        <v>2022</v>
      </c>
      <c r="H35" s="52">
        <v>2021</v>
      </c>
      <c r="I35" s="52">
        <v>2020</v>
      </c>
      <c r="J35" s="52">
        <v>2019</v>
      </c>
      <c r="K35" s="53" t="s">
        <v>66</v>
      </c>
      <c r="L35" s="53" t="s">
        <v>67</v>
      </c>
      <c r="M35" s="53" t="s">
        <v>68</v>
      </c>
      <c r="N35" s="57" t="s">
        <v>101</v>
      </c>
      <c r="O35" s="53" t="s">
        <v>115</v>
      </c>
      <c r="P35" s="53" t="s">
        <v>53</v>
      </c>
      <c r="Q35" s="52" t="s">
        <v>54</v>
      </c>
      <c r="R35" s="52" t="s">
        <v>59</v>
      </c>
      <c r="S35" s="52" t="s">
        <v>64</v>
      </c>
      <c r="T35" s="53" t="s">
        <v>116</v>
      </c>
      <c r="U35" s="53" t="s">
        <v>117</v>
      </c>
      <c r="V35" s="53" t="s">
        <v>118</v>
      </c>
      <c r="W35" s="57" t="s">
        <v>119</v>
      </c>
      <c r="X35" s="53" t="s">
        <v>53</v>
      </c>
      <c r="Y35" s="53" t="s">
        <v>54</v>
      </c>
      <c r="Z35" s="53" t="s">
        <v>65</v>
      </c>
      <c r="AA35" s="57" t="s">
        <v>73</v>
      </c>
      <c r="AC35" s="9"/>
    </row>
    <row r="36" spans="1:29">
      <c r="A36" s="9"/>
      <c r="B36" s="9"/>
      <c r="C36" s="31" t="s">
        <v>108</v>
      </c>
      <c r="D36" s="26"/>
      <c r="E36" s="32"/>
      <c r="F36" s="26"/>
      <c r="G36" s="26"/>
      <c r="H36" s="26"/>
      <c r="I36" s="26"/>
      <c r="J36" s="26"/>
      <c r="K36" s="26"/>
      <c r="L36" s="26"/>
      <c r="M36" s="26"/>
      <c r="N36" s="32"/>
      <c r="O36" s="26"/>
      <c r="P36" s="26"/>
      <c r="Q36" s="26"/>
      <c r="R36" s="26"/>
      <c r="S36" s="9"/>
      <c r="T36" s="26"/>
      <c r="U36" s="9"/>
      <c r="V36" s="26"/>
      <c r="W36" s="32"/>
      <c r="X36" s="33"/>
      <c r="Y36" s="26"/>
      <c r="Z36" s="88"/>
      <c r="AA36" s="85"/>
      <c r="AC36" s="9"/>
    </row>
    <row r="37" spans="1:29">
      <c r="A37" s="9"/>
      <c r="B37" s="9"/>
      <c r="C37" s="33"/>
      <c r="D37" s="26" t="s">
        <v>5</v>
      </c>
      <c r="E37" s="32"/>
      <c r="F37" s="74">
        <f t="shared" ref="F37:J38" si="5">F13</f>
        <v>129</v>
      </c>
      <c r="G37" s="74">
        <f t="shared" si="5"/>
        <v>136</v>
      </c>
      <c r="H37" s="74">
        <f t="shared" si="5"/>
        <v>0</v>
      </c>
      <c r="I37" s="74">
        <f t="shared" si="5"/>
        <v>42</v>
      </c>
      <c r="J37" s="74">
        <f t="shared" si="5"/>
        <v>129</v>
      </c>
      <c r="K37" s="64">
        <f>IFERROR(F37/G37-1,"n/a")</f>
        <v>-5.1470588235294157E-2</v>
      </c>
      <c r="L37" s="64" t="str">
        <f>IFERROR(F37/H37-1,"n/a")</f>
        <v>n/a</v>
      </c>
      <c r="M37" s="64">
        <f>IFERROR(F37/I37-1,"n/a")</f>
        <v>2.0714285714285716</v>
      </c>
      <c r="N37" s="60">
        <f>IFERROR(F37/J37-1,"n/a")</f>
        <v>0</v>
      </c>
      <c r="O37" s="74">
        <f t="shared" ref="O37:S38" si="6">F37</f>
        <v>129</v>
      </c>
      <c r="P37" s="74">
        <f t="shared" si="6"/>
        <v>136</v>
      </c>
      <c r="Q37" s="74">
        <f t="shared" si="6"/>
        <v>0</v>
      </c>
      <c r="R37" s="74">
        <f t="shared" si="6"/>
        <v>42</v>
      </c>
      <c r="S37" s="74">
        <f t="shared" si="6"/>
        <v>129</v>
      </c>
      <c r="T37" s="120">
        <f>IFERROR(O37/P37-1,"n/a")</f>
        <v>-5.1470588235294157E-2</v>
      </c>
      <c r="U37" s="120" t="str">
        <f>IFERROR(O37/Q37-1,"n/a")</f>
        <v>n/a</v>
      </c>
      <c r="V37" s="120">
        <f>IFERROR(O37/R37-1,"n/a")</f>
        <v>2.0714285714285716</v>
      </c>
      <c r="W37" s="121">
        <f>IFERROR(O37/S37-1,"n/a")</f>
        <v>0</v>
      </c>
      <c r="X37" s="89">
        <v>1486</v>
      </c>
      <c r="Y37" s="89">
        <v>1052</v>
      </c>
      <c r="Z37" s="70">
        <v>551</v>
      </c>
      <c r="AA37" s="78">
        <v>1584</v>
      </c>
      <c r="AC37" s="9"/>
    </row>
    <row r="38" spans="1:29">
      <c r="A38" s="9"/>
      <c r="B38" s="9"/>
      <c r="C38" s="33"/>
      <c r="D38" s="26" t="s">
        <v>11</v>
      </c>
      <c r="E38" s="32"/>
      <c r="F38" s="74">
        <f t="shared" si="5"/>
        <v>449751</v>
      </c>
      <c r="G38" s="74">
        <f t="shared" si="5"/>
        <v>297788</v>
      </c>
      <c r="H38" s="74">
        <f t="shared" si="5"/>
        <v>0</v>
      </c>
      <c r="I38" s="74">
        <f t="shared" si="5"/>
        <v>0</v>
      </c>
      <c r="J38" s="74">
        <f t="shared" si="5"/>
        <v>394045</v>
      </c>
      <c r="K38" s="64">
        <f>IFERROR(F38/G38-1,"n/a")</f>
        <v>0.51030598949588302</v>
      </c>
      <c r="L38" s="64" t="str">
        <f>IFERROR(F38/H38-1,"n/a")</f>
        <v>n/a</v>
      </c>
      <c r="M38" s="64" t="str">
        <f>IFERROR(F38/I38-1,"n/a")</f>
        <v>n/a</v>
      </c>
      <c r="N38" s="60">
        <f>IFERROR(F38/J38-1,"n/a")</f>
        <v>0.14136964052329049</v>
      </c>
      <c r="O38" s="74">
        <f t="shared" si="6"/>
        <v>449751</v>
      </c>
      <c r="P38" s="74">
        <f t="shared" si="6"/>
        <v>297788</v>
      </c>
      <c r="Q38" s="74">
        <f t="shared" si="6"/>
        <v>0</v>
      </c>
      <c r="R38" s="74">
        <f t="shared" si="6"/>
        <v>0</v>
      </c>
      <c r="S38" s="74">
        <f t="shared" si="6"/>
        <v>394045</v>
      </c>
      <c r="T38" s="120">
        <f>IFERROR(O38/P38-1,"n/a")</f>
        <v>0.51030598949588302</v>
      </c>
      <c r="U38" s="120" t="str">
        <f>IFERROR(O38/Q38-1,"n/a")</f>
        <v>n/a</v>
      </c>
      <c r="V38" s="120" t="str">
        <f>IFERROR(O38/R38-1,"n/a")</f>
        <v>n/a</v>
      </c>
      <c r="W38" s="121">
        <f>IFERROR(O38/S38-1,"n/a")</f>
        <v>0.14136964052329049</v>
      </c>
      <c r="X38" s="89">
        <v>4370939</v>
      </c>
      <c r="Y38" s="89">
        <v>1527970</v>
      </c>
      <c r="Z38" s="84">
        <v>1092884</v>
      </c>
      <c r="AA38" s="78">
        <v>4234259</v>
      </c>
      <c r="AC38" s="9"/>
    </row>
    <row r="39" spans="1:29">
      <c r="A39" s="9"/>
      <c r="B39" s="9"/>
      <c r="C39" s="31" t="s">
        <v>109</v>
      </c>
      <c r="D39" s="26"/>
      <c r="E39" s="32"/>
      <c r="F39" s="26"/>
      <c r="G39" s="26"/>
      <c r="H39" s="26"/>
      <c r="I39" s="26"/>
      <c r="J39" s="26"/>
      <c r="K39" s="64"/>
      <c r="L39" s="64"/>
      <c r="M39" s="64"/>
      <c r="N39" s="61"/>
      <c r="O39" s="26"/>
      <c r="P39" s="26"/>
      <c r="Q39" s="26"/>
      <c r="R39" s="26"/>
      <c r="S39" s="26"/>
      <c r="T39" s="65"/>
      <c r="U39" s="65"/>
      <c r="V39" s="65"/>
      <c r="W39" s="61"/>
      <c r="X39" s="90"/>
      <c r="Y39" s="90"/>
      <c r="Z39" s="44"/>
      <c r="AA39" s="79"/>
      <c r="AC39" s="9"/>
    </row>
    <row r="40" spans="1:29">
      <c r="A40" s="9"/>
      <c r="B40" s="9"/>
      <c r="C40" s="33"/>
      <c r="D40" s="26" t="s">
        <v>5</v>
      </c>
      <c r="E40" s="32"/>
      <c r="F40" s="74">
        <f t="shared" ref="F40:J41" si="7">F16</f>
        <v>46</v>
      </c>
      <c r="G40" s="74">
        <f t="shared" si="7"/>
        <v>56</v>
      </c>
      <c r="H40" s="74">
        <f t="shared" si="7"/>
        <v>5</v>
      </c>
      <c r="I40" s="74">
        <f t="shared" si="7"/>
        <v>0</v>
      </c>
      <c r="J40" s="74">
        <f t="shared" si="7"/>
        <v>51</v>
      </c>
      <c r="K40" s="64">
        <f>IFERROR(F40/G40-1,"n/a")</f>
        <v>-0.1785714285714286</v>
      </c>
      <c r="L40" s="64">
        <f>IFERROR(F40/H40-1,"n/a")</f>
        <v>8.1999999999999993</v>
      </c>
      <c r="M40" s="64" t="str">
        <f>IFERROR(F40/I40-1,"n/a")</f>
        <v>n/a</v>
      </c>
      <c r="N40" s="60">
        <f>IFERROR(F40/J40-1,"n/a")</f>
        <v>-9.8039215686274495E-2</v>
      </c>
      <c r="O40" s="74">
        <f t="shared" ref="O40:S41" si="8">F40</f>
        <v>46</v>
      </c>
      <c r="P40" s="74">
        <f t="shared" si="8"/>
        <v>56</v>
      </c>
      <c r="Q40" s="74">
        <f t="shared" si="8"/>
        <v>5</v>
      </c>
      <c r="R40" s="74">
        <f t="shared" si="8"/>
        <v>0</v>
      </c>
      <c r="S40" s="74">
        <f t="shared" si="8"/>
        <v>51</v>
      </c>
      <c r="T40" s="120">
        <f>IFERROR(O40/P40-1,"n/a")</f>
        <v>-0.1785714285714286</v>
      </c>
      <c r="U40" s="120">
        <f>IFERROR(O40/Q40-1,"n/a")</f>
        <v>8.1999999999999993</v>
      </c>
      <c r="V40" s="120" t="str">
        <f>IFERROR(O40/R40-1,"n/a")</f>
        <v>n/a</v>
      </c>
      <c r="W40" s="121">
        <f>IFERROR(O40/S40-1,"n/a")</f>
        <v>-9.8039215686274495E-2</v>
      </c>
      <c r="X40" s="89">
        <v>563</v>
      </c>
      <c r="Y40" s="89">
        <v>226</v>
      </c>
      <c r="Z40" s="70">
        <v>66</v>
      </c>
      <c r="AA40" s="78">
        <v>573</v>
      </c>
      <c r="AC40" s="9"/>
    </row>
    <row r="41" spans="1:29">
      <c r="A41" s="9"/>
      <c r="B41" s="9"/>
      <c r="C41" s="33"/>
      <c r="D41" s="26" t="s">
        <v>11</v>
      </c>
      <c r="E41" s="32"/>
      <c r="F41" s="74">
        <f t="shared" si="7"/>
        <v>107348</v>
      </c>
      <c r="G41" s="74">
        <f t="shared" si="7"/>
        <v>60367</v>
      </c>
      <c r="H41" s="74">
        <f t="shared" si="7"/>
        <v>6002</v>
      </c>
      <c r="I41" s="74">
        <f t="shared" si="7"/>
        <v>0</v>
      </c>
      <c r="J41" s="74">
        <f t="shared" si="7"/>
        <v>147331</v>
      </c>
      <c r="K41" s="64">
        <f>IFERROR(F41/G41-1,"n/a")</f>
        <v>0.7782563321019762</v>
      </c>
      <c r="L41" s="64">
        <f>IFERROR(F41/H41-1,"n/a")</f>
        <v>16.885371542819062</v>
      </c>
      <c r="M41" s="64" t="str">
        <f>IFERROR(F41/I41-1,"n/a")</f>
        <v>n/a</v>
      </c>
      <c r="N41" s="60">
        <f>IFERROR(F41/J41-1,"n/a")</f>
        <v>-0.27138212596127087</v>
      </c>
      <c r="O41" s="74">
        <f t="shared" si="8"/>
        <v>107348</v>
      </c>
      <c r="P41" s="74">
        <f t="shared" si="8"/>
        <v>60367</v>
      </c>
      <c r="Q41" s="74">
        <f t="shared" si="8"/>
        <v>6002</v>
      </c>
      <c r="R41" s="74">
        <f t="shared" si="8"/>
        <v>0</v>
      </c>
      <c r="S41" s="74">
        <f t="shared" si="8"/>
        <v>147331</v>
      </c>
      <c r="T41" s="120">
        <f>IFERROR(O41/P41-1,"n/a")</f>
        <v>0.7782563321019762</v>
      </c>
      <c r="U41" s="120">
        <f>IFERROR(O41/Q41-1,"n/a")</f>
        <v>16.885371542819062</v>
      </c>
      <c r="V41" s="120" t="str">
        <f>IFERROR(O41/R41-1,"n/a")</f>
        <v>n/a</v>
      </c>
      <c r="W41" s="121">
        <f>IFERROR(O41/S41-1,"n/a")</f>
        <v>-0.27138212596127087</v>
      </c>
      <c r="X41" s="89">
        <v>1012510</v>
      </c>
      <c r="Y41" s="89">
        <v>327926</v>
      </c>
      <c r="Z41" s="84">
        <v>80778</v>
      </c>
      <c r="AA41" s="78">
        <v>1361671</v>
      </c>
      <c r="AC41" s="9"/>
    </row>
    <row r="42" spans="1:29">
      <c r="A42" s="9"/>
      <c r="B42" s="9"/>
      <c r="C42" s="31" t="s">
        <v>110</v>
      </c>
      <c r="D42" s="26"/>
      <c r="E42" s="32"/>
      <c r="F42" s="87"/>
      <c r="G42" s="87"/>
      <c r="H42" s="87"/>
      <c r="I42" s="87"/>
      <c r="J42" s="72"/>
      <c r="K42" s="64"/>
      <c r="L42" s="64"/>
      <c r="M42" s="64"/>
      <c r="N42" s="60"/>
      <c r="O42" s="87"/>
      <c r="P42" s="87"/>
      <c r="Q42" s="87"/>
      <c r="R42" s="87"/>
      <c r="S42" s="72"/>
      <c r="T42" s="64"/>
      <c r="U42" s="64"/>
      <c r="V42" s="64"/>
      <c r="W42" s="60"/>
      <c r="X42" s="90"/>
      <c r="Y42" s="90"/>
      <c r="Z42" s="44"/>
      <c r="AA42" s="79"/>
      <c r="AC42" s="9"/>
    </row>
    <row r="43" spans="1:29">
      <c r="A43" s="9"/>
      <c r="B43" s="9"/>
      <c r="C43" s="33"/>
      <c r="D43" s="26" t="s">
        <v>5</v>
      </c>
      <c r="E43" s="32"/>
      <c r="F43" s="74">
        <f t="shared" ref="F43:J44" si="9">F19</f>
        <v>47</v>
      </c>
      <c r="G43" s="74">
        <f t="shared" si="9"/>
        <v>35</v>
      </c>
      <c r="H43" s="74">
        <f t="shared" si="9"/>
        <v>2</v>
      </c>
      <c r="I43" s="74">
        <f t="shared" si="9"/>
        <v>0</v>
      </c>
      <c r="J43" s="74">
        <f t="shared" si="9"/>
        <v>21</v>
      </c>
      <c r="K43" s="64">
        <f>IFERROR(F43/G43-1,"n/a")</f>
        <v>0.34285714285714275</v>
      </c>
      <c r="L43" s="64">
        <f>IFERROR(F43/H43-1,"n/a")</f>
        <v>22.5</v>
      </c>
      <c r="M43" s="64" t="str">
        <f>IFERROR(F43/I43-1,"n/a")</f>
        <v>n/a</v>
      </c>
      <c r="N43" s="60">
        <f>IFERROR(F43/J43-1,"n/a")</f>
        <v>1.2380952380952381</v>
      </c>
      <c r="O43" s="74">
        <f t="shared" ref="O43:S44" si="10">F43</f>
        <v>47</v>
      </c>
      <c r="P43" s="74">
        <f t="shared" si="10"/>
        <v>35</v>
      </c>
      <c r="Q43" s="74">
        <f t="shared" si="10"/>
        <v>2</v>
      </c>
      <c r="R43" s="74">
        <f t="shared" si="10"/>
        <v>0</v>
      </c>
      <c r="S43" s="74">
        <f t="shared" si="10"/>
        <v>21</v>
      </c>
      <c r="T43" s="120">
        <f>IFERROR(O43/P43-1,"n/a")</f>
        <v>0.34285714285714275</v>
      </c>
      <c r="U43" s="120">
        <f>IFERROR(O43/Q43-1,"n/a")</f>
        <v>22.5</v>
      </c>
      <c r="V43" s="120" t="str">
        <f>IFERROR(O43/R43-1,"n/a")</f>
        <v>n/a</v>
      </c>
      <c r="W43" s="121">
        <f>IFERROR(O43/S43-1,"n/a")</f>
        <v>1.2380952380952381</v>
      </c>
      <c r="X43" s="89">
        <v>669</v>
      </c>
      <c r="Y43" s="89">
        <v>59</v>
      </c>
      <c r="Z43" s="70">
        <v>9</v>
      </c>
      <c r="AA43" s="78">
        <v>287</v>
      </c>
      <c r="AC43" s="9"/>
    </row>
    <row r="44" spans="1:29">
      <c r="A44" s="9"/>
      <c r="B44" s="9"/>
      <c r="C44" s="33"/>
      <c r="D44" s="26" t="s">
        <v>11</v>
      </c>
      <c r="E44" s="32"/>
      <c r="F44" s="74">
        <f t="shared" si="9"/>
        <v>66302</v>
      </c>
      <c r="G44" s="74">
        <f t="shared" si="9"/>
        <v>32576</v>
      </c>
      <c r="H44" s="74">
        <f t="shared" si="9"/>
        <v>0</v>
      </c>
      <c r="I44" s="74">
        <f t="shared" si="9"/>
        <v>0</v>
      </c>
      <c r="J44" s="74">
        <f t="shared" si="9"/>
        <v>36063</v>
      </c>
      <c r="K44" s="64">
        <f>IFERROR(F44/G44-1,"n/a")</f>
        <v>1.0353020628683693</v>
      </c>
      <c r="L44" s="64" t="str">
        <f>IFERROR(F44/H44-1,"n/a")</f>
        <v>n/a</v>
      </c>
      <c r="M44" s="64" t="str">
        <f>IFERROR(F44/I44-1,"n/a")</f>
        <v>n/a</v>
      </c>
      <c r="N44" s="60">
        <f>IFERROR(F44/J44-1,"n/a")</f>
        <v>0.83850483875440207</v>
      </c>
      <c r="O44" s="74">
        <f t="shared" si="10"/>
        <v>66302</v>
      </c>
      <c r="P44" s="74">
        <f t="shared" si="10"/>
        <v>32576</v>
      </c>
      <c r="Q44" s="74">
        <f t="shared" si="10"/>
        <v>0</v>
      </c>
      <c r="R44" s="74">
        <f t="shared" si="10"/>
        <v>0</v>
      </c>
      <c r="S44" s="74">
        <f t="shared" si="10"/>
        <v>36063</v>
      </c>
      <c r="T44" s="120">
        <f>IFERROR(O44/P44-1,"n/a")</f>
        <v>1.0353020628683693</v>
      </c>
      <c r="U44" s="120" t="str">
        <f>IFERROR(O44/Q44-1,"n/a")</f>
        <v>n/a</v>
      </c>
      <c r="V44" s="120" t="str">
        <f>IFERROR(O44/R44-1,"n/a")</f>
        <v>n/a</v>
      </c>
      <c r="W44" s="121">
        <f>IFERROR(O44/S44-1,"n/a")</f>
        <v>0.83850483875440207</v>
      </c>
      <c r="X44" s="82">
        <f>709768+195488</f>
        <v>905256</v>
      </c>
      <c r="Y44" s="82">
        <v>20626</v>
      </c>
      <c r="Z44" s="84">
        <v>10047</v>
      </c>
      <c r="AA44" s="78">
        <v>581199</v>
      </c>
      <c r="AC44" s="9"/>
    </row>
    <row r="45" spans="1:29">
      <c r="A45" s="9"/>
      <c r="B45" s="9"/>
      <c r="C45" s="31" t="s">
        <v>111</v>
      </c>
      <c r="D45" s="26"/>
      <c r="E45" s="34"/>
      <c r="F45" s="72"/>
      <c r="G45" s="72"/>
      <c r="H45" s="72"/>
      <c r="I45" s="72"/>
      <c r="J45" s="72"/>
      <c r="K45" s="64"/>
      <c r="L45" s="64"/>
      <c r="M45" s="64"/>
      <c r="N45" s="60"/>
      <c r="O45" s="72"/>
      <c r="P45" s="72"/>
      <c r="Q45" s="72"/>
      <c r="R45" s="72"/>
      <c r="S45" s="72"/>
      <c r="T45" s="64"/>
      <c r="U45" s="64"/>
      <c r="V45" s="64"/>
      <c r="W45" s="60"/>
      <c r="X45" s="90"/>
      <c r="Y45" s="90"/>
      <c r="Z45" s="44"/>
      <c r="AA45" s="79"/>
      <c r="AC45" s="9"/>
    </row>
    <row r="46" spans="1:29">
      <c r="A46" s="9"/>
      <c r="B46" s="9"/>
      <c r="C46" s="33"/>
      <c r="D46" s="26" t="s">
        <v>5</v>
      </c>
      <c r="E46" s="34"/>
      <c r="F46" s="74">
        <f t="shared" ref="F46:J47" si="11">F22</f>
        <v>161</v>
      </c>
      <c r="G46" s="74">
        <f t="shared" si="11"/>
        <v>100</v>
      </c>
      <c r="H46" s="74">
        <f t="shared" si="11"/>
        <v>0</v>
      </c>
      <c r="I46" s="74">
        <f t="shared" si="11"/>
        <v>0</v>
      </c>
      <c r="J46" s="74">
        <f t="shared" si="11"/>
        <v>90</v>
      </c>
      <c r="K46" s="64">
        <f>IFERROR(F46/G46-1,"n/a")</f>
        <v>0.6100000000000001</v>
      </c>
      <c r="L46" s="64" t="str">
        <f>IFERROR(F46/H46-1,"n/a")</f>
        <v>n/a</v>
      </c>
      <c r="M46" s="64" t="str">
        <f>IFERROR(F46/I46-1,"n/a")</f>
        <v>n/a</v>
      </c>
      <c r="N46" s="60">
        <f>IFERROR(F46/J46-1,"n/a")</f>
        <v>0.78888888888888897</v>
      </c>
      <c r="O46" s="74">
        <f t="shared" ref="O46:S47" si="12">F46</f>
        <v>161</v>
      </c>
      <c r="P46" s="74">
        <f t="shared" si="12"/>
        <v>100</v>
      </c>
      <c r="Q46" s="74">
        <f t="shared" si="12"/>
        <v>0</v>
      </c>
      <c r="R46" s="74">
        <f t="shared" si="12"/>
        <v>0</v>
      </c>
      <c r="S46" s="74">
        <f t="shared" si="12"/>
        <v>90</v>
      </c>
      <c r="T46" s="120">
        <f>IFERROR(O46/P46-1,"n/a")</f>
        <v>0.6100000000000001</v>
      </c>
      <c r="U46" s="120" t="str">
        <f>IFERROR(O46/Q46-1,"n/a")</f>
        <v>n/a</v>
      </c>
      <c r="V46" s="120" t="str">
        <f>IFERROR(O46/R46-1,"n/a")</f>
        <v>n/a</v>
      </c>
      <c r="W46" s="121">
        <f>IFERROR(O46/S46-1,"n/a")</f>
        <v>0.78888888888888897</v>
      </c>
      <c r="X46" s="89">
        <v>1129</v>
      </c>
      <c r="Y46" s="89">
        <v>336</v>
      </c>
      <c r="Z46" s="84">
        <v>43</v>
      </c>
      <c r="AA46" s="78">
        <v>781</v>
      </c>
      <c r="AC46" s="9"/>
    </row>
    <row r="47" spans="1:29">
      <c r="A47" s="9"/>
      <c r="B47" s="9"/>
      <c r="C47" s="33"/>
      <c r="D47" s="26" t="s">
        <v>11</v>
      </c>
      <c r="E47" s="32"/>
      <c r="F47" s="74">
        <f t="shared" si="11"/>
        <v>332905</v>
      </c>
      <c r="G47" s="74">
        <f t="shared" si="11"/>
        <v>115809</v>
      </c>
      <c r="H47" s="74">
        <f t="shared" si="11"/>
        <v>0</v>
      </c>
      <c r="I47" s="74">
        <f t="shared" si="11"/>
        <v>0</v>
      </c>
      <c r="J47" s="74">
        <f t="shared" si="11"/>
        <v>212740</v>
      </c>
      <c r="K47" s="64">
        <f>IFERROR(F47/G47-1,"n/a")</f>
        <v>1.8746038736194941</v>
      </c>
      <c r="L47" s="64" t="str">
        <f>IFERROR(F47/H47-1,"n/a")</f>
        <v>n/a</v>
      </c>
      <c r="M47" s="64" t="str">
        <f>IFERROR(F47/I47-1,"n/a")</f>
        <v>n/a</v>
      </c>
      <c r="N47" s="60">
        <f>IFERROR(F47/J47-1,"n/a")</f>
        <v>0.56484441101814431</v>
      </c>
      <c r="O47" s="74">
        <f t="shared" si="12"/>
        <v>332905</v>
      </c>
      <c r="P47" s="74">
        <f t="shared" si="12"/>
        <v>115809</v>
      </c>
      <c r="Q47" s="74">
        <f t="shared" si="12"/>
        <v>0</v>
      </c>
      <c r="R47" s="74">
        <f t="shared" si="12"/>
        <v>0</v>
      </c>
      <c r="S47" s="74">
        <f t="shared" si="12"/>
        <v>212740</v>
      </c>
      <c r="T47" s="120">
        <f>IFERROR(O47/P47-1,"n/a")</f>
        <v>1.8746038736194941</v>
      </c>
      <c r="U47" s="120" t="str">
        <f>IFERROR(O47/Q47-1,"n/a")</f>
        <v>n/a</v>
      </c>
      <c r="V47" s="120" t="str">
        <f>IFERROR(O47/R47-1,"n/a")</f>
        <v>n/a</v>
      </c>
      <c r="W47" s="121">
        <f>IFERROR(O47/S47-1,"n/a")</f>
        <v>0.56484441101814431</v>
      </c>
      <c r="X47" s="82">
        <v>2932981</v>
      </c>
      <c r="Y47" s="82">
        <v>533563</v>
      </c>
      <c r="Z47" s="84">
        <v>140552</v>
      </c>
      <c r="AA47" s="78">
        <v>2441594</v>
      </c>
      <c r="AC47" s="9"/>
    </row>
    <row r="48" spans="1:29">
      <c r="C48" s="31" t="s">
        <v>112</v>
      </c>
      <c r="D48" s="26"/>
      <c r="E48" s="32"/>
      <c r="F48" s="72"/>
      <c r="G48" s="72"/>
      <c r="H48" s="72"/>
      <c r="I48" s="72"/>
      <c r="J48" s="72"/>
      <c r="K48" s="64"/>
      <c r="L48" s="64"/>
      <c r="M48" s="64"/>
      <c r="N48" s="60"/>
      <c r="O48" s="72"/>
      <c r="P48" s="72"/>
      <c r="Q48" s="72"/>
      <c r="R48" s="72"/>
      <c r="S48" s="72"/>
      <c r="T48" s="64"/>
      <c r="U48" s="64"/>
      <c r="V48" s="64"/>
      <c r="W48" s="60"/>
      <c r="X48" s="90"/>
      <c r="Y48" s="90"/>
      <c r="Z48" s="44"/>
      <c r="AA48" s="79"/>
      <c r="AC48" s="9"/>
    </row>
    <row r="49" spans="3:29">
      <c r="C49" s="33"/>
      <c r="D49" s="26" t="s">
        <v>5</v>
      </c>
      <c r="E49" s="32"/>
      <c r="F49" s="74">
        <f t="shared" ref="F49:J50" si="13">F25</f>
        <v>1</v>
      </c>
      <c r="G49" s="74">
        <f t="shared" si="13"/>
        <v>1</v>
      </c>
      <c r="H49" s="74">
        <f t="shared" si="13"/>
        <v>0</v>
      </c>
      <c r="I49" s="74">
        <f t="shared" si="13"/>
        <v>0</v>
      </c>
      <c r="J49" s="74">
        <f t="shared" si="13"/>
        <v>1</v>
      </c>
      <c r="K49" s="64">
        <f>IFERROR(F49/G49-1,"n/a")</f>
        <v>0</v>
      </c>
      <c r="L49" s="64" t="str">
        <f>IFERROR(F49/H49-1,"n/a")</f>
        <v>n/a</v>
      </c>
      <c r="M49" s="64" t="str">
        <f>IFERROR(F49/I49-1,"n/a")</f>
        <v>n/a</v>
      </c>
      <c r="N49" s="60">
        <f>IFERROR(F49/J49-1,"n/a")</f>
        <v>0</v>
      </c>
      <c r="O49" s="74">
        <f t="shared" ref="O49:S50" si="14">F49</f>
        <v>1</v>
      </c>
      <c r="P49" s="74">
        <f t="shared" si="14"/>
        <v>1</v>
      </c>
      <c r="Q49" s="74">
        <f t="shared" si="14"/>
        <v>0</v>
      </c>
      <c r="R49" s="74">
        <f t="shared" si="14"/>
        <v>0</v>
      </c>
      <c r="S49" s="74">
        <f t="shared" si="14"/>
        <v>1</v>
      </c>
      <c r="T49" s="120">
        <f>IFERROR(O49/P49-1,"n/a")</f>
        <v>0</v>
      </c>
      <c r="U49" s="120" t="str">
        <f>IFERROR(O49/Q49-1,"n/a")</f>
        <v>n/a</v>
      </c>
      <c r="V49" s="120" t="str">
        <f>IFERROR(O49/R49-1,"n/a")</f>
        <v>n/a</v>
      </c>
      <c r="W49" s="121">
        <f>IFERROR(O49/S49-1,"n/a")</f>
        <v>0</v>
      </c>
      <c r="X49" s="89">
        <v>9</v>
      </c>
      <c r="Y49" s="68">
        <v>0</v>
      </c>
      <c r="Z49" s="68">
        <v>0</v>
      </c>
      <c r="AA49" s="78">
        <v>16</v>
      </c>
      <c r="AC49" s="9"/>
    </row>
    <row r="50" spans="3:29">
      <c r="C50" s="33"/>
      <c r="D50" s="26" t="s">
        <v>11</v>
      </c>
      <c r="E50" s="32"/>
      <c r="F50" s="74">
        <f t="shared" si="13"/>
        <v>2258</v>
      </c>
      <c r="G50" s="74">
        <f t="shared" si="13"/>
        <v>925</v>
      </c>
      <c r="H50" s="74">
        <f t="shared" si="13"/>
        <v>0</v>
      </c>
      <c r="I50" s="74">
        <f t="shared" si="13"/>
        <v>0</v>
      </c>
      <c r="J50" s="74">
        <f t="shared" si="13"/>
        <v>1059</v>
      </c>
      <c r="K50" s="64">
        <f>IFERROR(F50/G50-1,"n/a")</f>
        <v>1.441081081081081</v>
      </c>
      <c r="L50" s="64" t="str">
        <f>IFERROR(F50/H50-1,"n/a")</f>
        <v>n/a</v>
      </c>
      <c r="M50" s="64" t="str">
        <f>IFERROR(F50/I50-1,"n/a")</f>
        <v>n/a</v>
      </c>
      <c r="N50" s="60">
        <f>IFERROR(F50/J50-1,"n/a")</f>
        <v>1.1322001888574125</v>
      </c>
      <c r="O50" s="74">
        <f t="shared" si="14"/>
        <v>2258</v>
      </c>
      <c r="P50" s="74">
        <f t="shared" si="14"/>
        <v>925</v>
      </c>
      <c r="Q50" s="74">
        <f t="shared" si="14"/>
        <v>0</v>
      </c>
      <c r="R50" s="74">
        <f t="shared" si="14"/>
        <v>0</v>
      </c>
      <c r="S50" s="74">
        <f t="shared" si="14"/>
        <v>1059</v>
      </c>
      <c r="T50" s="120">
        <f>IFERROR(O50/P50-1,"n/a")</f>
        <v>1.441081081081081</v>
      </c>
      <c r="U50" s="120" t="str">
        <f>IFERROR(O50/Q50-1,"n/a")</f>
        <v>n/a</v>
      </c>
      <c r="V50" s="120" t="str">
        <f>IFERROR(O50/R50-1,"n/a")</f>
        <v>n/a</v>
      </c>
      <c r="W50" s="121">
        <f>IFERROR(O50/S50-1,"n/a")</f>
        <v>1.1322001888574125</v>
      </c>
      <c r="X50" s="82">
        <v>15637</v>
      </c>
      <c r="Y50" s="68">
        <v>0</v>
      </c>
      <c r="Z50" s="68">
        <v>0</v>
      </c>
      <c r="AA50" s="78">
        <v>20248</v>
      </c>
      <c r="AC50" s="9"/>
    </row>
    <row r="51" spans="3:29" ht="15.75" thickBot="1">
      <c r="C51" s="35" t="s">
        <v>12</v>
      </c>
      <c r="D51" s="36"/>
      <c r="E51" s="37"/>
      <c r="F51" s="75">
        <f>F37+F40+F43+F46+F49</f>
        <v>384</v>
      </c>
      <c r="G51" s="75">
        <f t="shared" ref="G51:J52" si="15">G37+G40+G43+G46+G49</f>
        <v>328</v>
      </c>
      <c r="H51" s="75">
        <f t="shared" si="15"/>
        <v>7</v>
      </c>
      <c r="I51" s="75">
        <f t="shared" si="15"/>
        <v>42</v>
      </c>
      <c r="J51" s="75">
        <f t="shared" si="15"/>
        <v>292</v>
      </c>
      <c r="K51" s="66">
        <f>IFERROR(F51/G51-1,"n/a")</f>
        <v>0.1707317073170731</v>
      </c>
      <c r="L51" s="66">
        <f>IFERROR(F51/H51-1,"n/a")</f>
        <v>53.857142857142854</v>
      </c>
      <c r="M51" s="66">
        <f>IFERROR(F51/I51-1,"n/a")</f>
        <v>8.1428571428571423</v>
      </c>
      <c r="N51" s="62">
        <f>IFERROR(F51/J51-1,"n/a")</f>
        <v>0.31506849315068486</v>
      </c>
      <c r="O51" s="75">
        <f>O37+O40+O43+O46+O49</f>
        <v>384</v>
      </c>
      <c r="P51" s="75">
        <f t="shared" ref="P51:S52" si="16">P37+P40+P43+P46+P49</f>
        <v>328</v>
      </c>
      <c r="Q51" s="75">
        <f t="shared" si="16"/>
        <v>7</v>
      </c>
      <c r="R51" s="75">
        <f t="shared" si="16"/>
        <v>42</v>
      </c>
      <c r="S51" s="75">
        <f t="shared" si="16"/>
        <v>292</v>
      </c>
      <c r="T51" s="66">
        <f>IFERROR(O51/P51-1,"n/a")</f>
        <v>0.1707317073170731</v>
      </c>
      <c r="U51" s="66">
        <f>IFERROR(O51/Q51-1,"n/a")</f>
        <v>53.857142857142854</v>
      </c>
      <c r="V51" s="66">
        <f>IFERROR(O51/R51-1,"n/a")</f>
        <v>8.1428571428571423</v>
      </c>
      <c r="W51" s="62">
        <f>IFERROR(O51/S51-1,"n/a")</f>
        <v>0.31506849315068486</v>
      </c>
      <c r="X51" s="46">
        <f t="shared" ref="X51:AA52" si="17">X37+X40+X43+X46+X49</f>
        <v>3856</v>
      </c>
      <c r="Y51" s="46">
        <f t="shared" si="17"/>
        <v>1673</v>
      </c>
      <c r="Z51" s="46">
        <f t="shared" si="17"/>
        <v>669</v>
      </c>
      <c r="AA51" s="80">
        <f t="shared" si="17"/>
        <v>3241</v>
      </c>
      <c r="AC51" s="9"/>
    </row>
    <row r="52" spans="3:29" ht="16.5" thickTop="1" thickBot="1">
      <c r="C52" s="38" t="s">
        <v>13</v>
      </c>
      <c r="D52" s="39"/>
      <c r="E52" s="40"/>
      <c r="F52" s="76">
        <f>F38+F41+F44+F47+F50</f>
        <v>958564</v>
      </c>
      <c r="G52" s="76">
        <f t="shared" si="15"/>
        <v>507465</v>
      </c>
      <c r="H52" s="76">
        <f t="shared" si="15"/>
        <v>6002</v>
      </c>
      <c r="I52" s="76">
        <f t="shared" si="15"/>
        <v>0</v>
      </c>
      <c r="J52" s="76">
        <f t="shared" si="15"/>
        <v>791238</v>
      </c>
      <c r="K52" s="67">
        <f>IFERROR(F52/G52-1,"n/a")</f>
        <v>0.88892632989467257</v>
      </c>
      <c r="L52" s="67">
        <f>IFERROR(F52/H52-1,"n/a")</f>
        <v>158.70743085638119</v>
      </c>
      <c r="M52" s="67" t="str">
        <f>IFERROR(F52/I52-1,"n/a")</f>
        <v>n/a</v>
      </c>
      <c r="N52" s="63">
        <f>IFERROR(F52/J52-1,"n/a")</f>
        <v>0.21147366531941092</v>
      </c>
      <c r="O52" s="76">
        <f>O38+O41+O44+O47+O50</f>
        <v>958564</v>
      </c>
      <c r="P52" s="76">
        <f t="shared" si="16"/>
        <v>507465</v>
      </c>
      <c r="Q52" s="76">
        <f t="shared" si="16"/>
        <v>6002</v>
      </c>
      <c r="R52" s="76">
        <f t="shared" si="16"/>
        <v>0</v>
      </c>
      <c r="S52" s="76">
        <f t="shared" si="16"/>
        <v>791238</v>
      </c>
      <c r="T52" s="67">
        <f>IFERROR(O52/P52-1,"n/a")</f>
        <v>0.88892632989467257</v>
      </c>
      <c r="U52" s="118">
        <f>IFERROR(O52/Q52-1,"n/a")</f>
        <v>158.70743085638119</v>
      </c>
      <c r="V52" s="118" t="str">
        <f>IFERROR(O52/R52-1,"n/a")</f>
        <v>n/a</v>
      </c>
      <c r="W52" s="119">
        <f>IFERROR(O52/S52-1,"n/a")</f>
        <v>0.21147366531941092</v>
      </c>
      <c r="X52" s="47">
        <f t="shared" si="17"/>
        <v>9237323</v>
      </c>
      <c r="Y52" s="47">
        <f t="shared" si="17"/>
        <v>2410085</v>
      </c>
      <c r="Z52" s="47">
        <f t="shared" si="17"/>
        <v>1324261</v>
      </c>
      <c r="AA52" s="81">
        <f t="shared" si="17"/>
        <v>8638971</v>
      </c>
      <c r="AC52" s="9"/>
    </row>
    <row r="53" spans="3:29" ht="15.75" thickTop="1">
      <c r="AC53" s="9"/>
    </row>
    <row r="54" spans="3:29">
      <c r="P54" s="111"/>
      <c r="Q54" s="111"/>
      <c r="R54" s="111"/>
      <c r="S54" s="111"/>
      <c r="AC54" s="9"/>
    </row>
    <row r="55" spans="3:29">
      <c r="P55" s="111"/>
      <c r="Q55" s="111"/>
      <c r="R55" s="111"/>
      <c r="S55" s="111"/>
      <c r="AC55" s="9"/>
    </row>
    <row r="56" spans="3:29">
      <c r="P56" s="111"/>
      <c r="Q56" s="111"/>
      <c r="R56" s="111"/>
      <c r="S56" s="111"/>
      <c r="AC56" s="9"/>
    </row>
    <row r="57" spans="3:29">
      <c r="P57" s="111"/>
      <c r="Q57" s="111"/>
      <c r="R57" s="111"/>
      <c r="S57" s="111"/>
      <c r="AC57" s="9"/>
    </row>
    <row r="58" spans="3:29">
      <c r="AC58" s="9"/>
    </row>
    <row r="59" spans="3:29">
      <c r="AC59" s="9"/>
    </row>
    <row r="60" spans="3:29">
      <c r="AC60" s="9"/>
    </row>
    <row r="61" spans="3:29" ht="15" customHeight="1"/>
    <row r="62" spans="3:29" ht="15" customHeight="1"/>
    <row r="63" spans="3:29" ht="15" customHeight="1"/>
    <row r="64" spans="3:29" ht="15" customHeight="1"/>
    <row r="65" ht="15" customHeight="1"/>
    <row r="66" ht="15" customHeight="1"/>
  </sheetData>
  <mergeCells count="9">
    <mergeCell ref="X33:AA33"/>
    <mergeCell ref="F34:N34"/>
    <mergeCell ref="O34:W34"/>
    <mergeCell ref="F9:N9"/>
    <mergeCell ref="O9:W9"/>
    <mergeCell ref="X9:AA9"/>
    <mergeCell ref="F33:N33"/>
    <mergeCell ref="O33:W33"/>
    <mergeCell ref="X34:AA34"/>
  </mergeCells>
  <pageMargins left="0.7" right="0.7" top="0.75" bottom="0.75" header="0.3" footer="0.3"/>
  <drawing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66"/>
  <sheetViews>
    <sheetView showGridLines="0" topLeftCell="A19" zoomScaleNormal="100" workbookViewId="0">
      <selection activeCell="G22" sqref="G22"/>
    </sheetView>
  </sheetViews>
  <sheetFormatPr defaultColWidth="0" defaultRowHeight="15" customHeight="1" zeroHeight="1"/>
  <cols>
    <col min="1" max="2" width="4.140625" customWidth="1"/>
    <col min="3" max="3" width="3.85546875" customWidth="1"/>
    <col min="4" max="4" width="8.85546875" customWidth="1"/>
    <col min="5" max="5" width="10.85546875" bestFit="1" customWidth="1"/>
    <col min="6" max="10" width="8.85546875" customWidth="1"/>
    <col min="11" max="11" width="8" customWidth="1"/>
    <col min="12" max="12" width="8.85546875" bestFit="1" customWidth="1"/>
    <col min="13" max="14" width="8" customWidth="1"/>
    <col min="15" max="19" width="10.42578125" bestFit="1" customWidth="1"/>
    <col min="20" max="20" width="8.140625" bestFit="1" customWidth="1"/>
    <col min="21" max="21" width="8.85546875" bestFit="1" customWidth="1"/>
    <col min="22" max="22" width="9" bestFit="1" customWidth="1"/>
    <col min="23" max="23" width="7.85546875" customWidth="1"/>
    <col min="24" max="26" width="10.42578125" bestFit="1" customWidth="1"/>
    <col min="27" max="27" width="11.140625" bestFit="1" customWidth="1"/>
    <col min="28" max="28" width="3.42578125" customWidth="1"/>
    <col min="29" max="16384" width="8.85546875" hidden="1"/>
  </cols>
  <sheetData>
    <row r="1" spans="1:28">
      <c r="A1" s="9"/>
      <c r="B1" s="9"/>
      <c r="C1" s="9"/>
      <c r="D1" s="9"/>
      <c r="E1" s="9"/>
      <c r="F1" s="9"/>
      <c r="G1" s="9"/>
      <c r="H1" s="9"/>
      <c r="I1" s="9"/>
      <c r="J1" s="9"/>
      <c r="K1" s="9"/>
      <c r="L1" s="9"/>
      <c r="M1" s="9"/>
      <c r="N1" s="9"/>
      <c r="O1" s="9"/>
      <c r="P1" s="9"/>
      <c r="Q1" s="9"/>
      <c r="R1" s="9"/>
      <c r="S1" s="9"/>
      <c r="T1" s="9"/>
      <c r="U1" s="9"/>
      <c r="V1" s="9"/>
      <c r="W1" s="9"/>
      <c r="X1" s="9"/>
      <c r="Y1" s="9"/>
      <c r="Z1" s="9"/>
      <c r="AA1" s="9"/>
      <c r="AB1" s="9"/>
    </row>
    <row r="2" spans="1:28" ht="31.35" customHeight="1" thickBot="1">
      <c r="A2" s="9"/>
      <c r="B2" s="8" t="s">
        <v>6</v>
      </c>
      <c r="C2" s="23"/>
      <c r="D2" s="23"/>
      <c r="E2" s="23"/>
      <c r="F2" s="23"/>
      <c r="G2" s="23"/>
      <c r="H2" s="23"/>
      <c r="I2" s="23"/>
      <c r="J2" s="23"/>
      <c r="K2" s="23"/>
      <c r="L2" s="23"/>
      <c r="M2" s="23"/>
      <c r="N2" s="23"/>
      <c r="O2" s="23"/>
      <c r="P2" s="23"/>
      <c r="Q2" s="23"/>
      <c r="R2" s="23"/>
      <c r="S2" s="23"/>
      <c r="T2" s="23"/>
      <c r="U2" s="23"/>
      <c r="V2" s="23"/>
      <c r="W2" s="23"/>
      <c r="X2" s="23"/>
      <c r="Y2" s="23"/>
      <c r="Z2" s="23"/>
      <c r="AA2" s="23"/>
      <c r="AB2" s="9"/>
    </row>
    <row r="3" spans="1:28">
      <c r="A3" s="9"/>
      <c r="B3" s="10"/>
      <c r="C3" s="24"/>
      <c r="D3" s="24"/>
      <c r="E3" s="24"/>
      <c r="F3" s="24"/>
      <c r="G3" s="24"/>
      <c r="H3" s="24"/>
      <c r="I3" s="24"/>
      <c r="J3" s="24"/>
      <c r="K3" s="24"/>
      <c r="L3" s="24"/>
      <c r="M3" s="24"/>
      <c r="N3" s="24"/>
      <c r="O3" s="24"/>
      <c r="P3" s="24"/>
      <c r="Q3" s="24"/>
      <c r="R3" s="24"/>
      <c r="S3" s="24"/>
      <c r="T3" s="24"/>
      <c r="U3" s="24"/>
      <c r="V3" s="24"/>
      <c r="W3" s="24"/>
      <c r="X3" s="24"/>
      <c r="Y3" s="24"/>
      <c r="Z3" s="24"/>
      <c r="AA3" s="25">
        <v>45028</v>
      </c>
      <c r="AB3" s="9"/>
    </row>
    <row r="4" spans="1:28" ht="15.75">
      <c r="A4" s="9"/>
      <c r="B4" s="11" t="s">
        <v>7</v>
      </c>
      <c r="C4" s="26"/>
      <c r="D4" s="24"/>
      <c r="E4" s="58" t="s">
        <v>106</v>
      </c>
      <c r="F4" s="24"/>
      <c r="G4" s="24"/>
      <c r="H4" s="24"/>
      <c r="I4" s="24"/>
      <c r="J4" s="24"/>
      <c r="K4" s="24"/>
      <c r="L4" s="24"/>
      <c r="M4" s="24"/>
      <c r="N4" s="24"/>
      <c r="O4" s="24"/>
      <c r="P4" s="24"/>
      <c r="Q4" s="24"/>
      <c r="R4" s="24"/>
      <c r="S4" s="24"/>
      <c r="T4" s="24"/>
      <c r="U4" s="24"/>
      <c r="V4" s="24"/>
      <c r="W4" s="24"/>
      <c r="X4" s="24"/>
      <c r="Y4" s="24"/>
      <c r="Z4" s="24"/>
      <c r="AA4" s="24"/>
      <c r="AB4" s="9"/>
    </row>
    <row r="5" spans="1:28">
      <c r="A5" s="9"/>
      <c r="B5" s="10"/>
      <c r="C5" s="24"/>
      <c r="D5" s="24"/>
      <c r="E5" s="24"/>
      <c r="F5" s="24"/>
      <c r="G5" s="24"/>
      <c r="H5" s="24"/>
      <c r="I5" s="24"/>
      <c r="J5" s="24"/>
      <c r="K5" s="24"/>
      <c r="L5" s="24"/>
      <c r="M5" s="24"/>
      <c r="N5" s="24"/>
      <c r="O5" s="24"/>
      <c r="P5" s="24"/>
      <c r="Q5" s="24"/>
      <c r="R5" s="24"/>
      <c r="S5" s="24"/>
      <c r="T5" s="24"/>
      <c r="U5" s="24"/>
      <c r="V5" s="24"/>
      <c r="W5" s="24"/>
      <c r="X5" s="24"/>
      <c r="Y5" s="24"/>
      <c r="Z5" s="24"/>
      <c r="AA5" s="24"/>
      <c r="AB5" s="9"/>
    </row>
    <row r="6" spans="1:28">
      <c r="A6" s="9"/>
      <c r="B6" s="10"/>
      <c r="C6" s="24"/>
      <c r="D6" s="24"/>
      <c r="E6" s="24"/>
      <c r="F6" s="24"/>
      <c r="G6" s="24"/>
      <c r="H6" s="24"/>
      <c r="I6" s="24"/>
      <c r="J6" s="24"/>
      <c r="K6" s="24"/>
      <c r="L6" s="24"/>
      <c r="M6" s="24"/>
      <c r="N6" s="24"/>
      <c r="O6" s="24"/>
      <c r="P6" s="24"/>
      <c r="Q6" s="24"/>
      <c r="R6" s="24"/>
      <c r="S6" s="24"/>
      <c r="T6" s="24"/>
      <c r="U6" s="24"/>
      <c r="V6" s="24"/>
      <c r="W6" s="24"/>
      <c r="X6" s="24"/>
      <c r="Y6" s="24"/>
      <c r="Z6" s="24"/>
      <c r="AA6" s="24"/>
      <c r="AB6" s="9"/>
    </row>
    <row r="7" spans="1:28">
      <c r="A7" s="9"/>
      <c r="B7" s="10"/>
      <c r="C7" s="86" t="s">
        <v>62</v>
      </c>
      <c r="D7" s="24"/>
      <c r="E7" s="24"/>
      <c r="F7" s="24"/>
      <c r="G7" s="24"/>
      <c r="H7" s="24"/>
      <c r="I7" s="24"/>
      <c r="J7" s="24"/>
      <c r="K7" s="24"/>
      <c r="L7" s="24"/>
      <c r="M7" s="24"/>
      <c r="N7" s="24"/>
      <c r="O7" s="24"/>
      <c r="P7" s="24"/>
      <c r="Q7" s="24"/>
      <c r="R7" s="24"/>
      <c r="S7" s="24"/>
      <c r="T7" s="24"/>
      <c r="U7" s="24"/>
      <c r="V7" s="24"/>
      <c r="W7" s="24"/>
      <c r="X7" s="24"/>
      <c r="Y7" s="24"/>
      <c r="Z7" s="24"/>
      <c r="AA7" s="24"/>
      <c r="AB7" s="9"/>
    </row>
    <row r="8" spans="1:28">
      <c r="A8" s="9"/>
      <c r="B8" s="10"/>
      <c r="C8" s="24"/>
      <c r="D8" s="24"/>
      <c r="E8" s="24"/>
      <c r="F8" s="24"/>
      <c r="G8" s="24"/>
      <c r="H8" s="24"/>
      <c r="I8" s="24"/>
      <c r="J8" s="24"/>
      <c r="K8" s="24"/>
      <c r="L8" s="24"/>
      <c r="M8" s="24"/>
      <c r="N8" s="24"/>
      <c r="O8" s="24"/>
      <c r="P8" s="24"/>
      <c r="Q8" s="24"/>
      <c r="R8" s="24"/>
      <c r="S8" s="24"/>
      <c r="T8" s="24"/>
      <c r="U8" s="24"/>
      <c r="V8" s="24"/>
      <c r="W8" s="24"/>
      <c r="X8" s="24"/>
      <c r="Y8" s="24"/>
      <c r="Z8" s="24"/>
      <c r="AA8" s="24"/>
      <c r="AB8" s="9"/>
    </row>
    <row r="9" spans="1:28">
      <c r="A9" s="9"/>
      <c r="C9" s="27" t="s">
        <v>7</v>
      </c>
      <c r="D9" s="28"/>
      <c r="E9" s="28"/>
      <c r="F9" s="158" t="s">
        <v>41</v>
      </c>
      <c r="G9" s="158"/>
      <c r="H9" s="158"/>
      <c r="I9" s="158"/>
      <c r="J9" s="158"/>
      <c r="K9" s="158"/>
      <c r="L9" s="158"/>
      <c r="M9" s="158"/>
      <c r="N9" s="159"/>
      <c r="O9" s="157" t="s">
        <v>43</v>
      </c>
      <c r="P9" s="158"/>
      <c r="Q9" s="158"/>
      <c r="R9" s="158"/>
      <c r="S9" s="158"/>
      <c r="T9" s="158"/>
      <c r="U9" s="158"/>
      <c r="V9" s="158"/>
      <c r="W9" s="159"/>
      <c r="X9" s="157" t="s">
        <v>57</v>
      </c>
      <c r="Y9" s="158"/>
      <c r="Z9" s="158"/>
      <c r="AA9" s="160"/>
      <c r="AB9" s="9"/>
    </row>
    <row r="10" spans="1:28" ht="15.75">
      <c r="A10" s="9"/>
      <c r="B10" s="18"/>
      <c r="C10" s="29"/>
      <c r="D10" s="30"/>
      <c r="E10" s="30"/>
      <c r="F10" s="29"/>
      <c r="G10" s="30"/>
      <c r="H10" s="30"/>
      <c r="I10" s="30"/>
      <c r="J10" s="30"/>
      <c r="K10" s="30"/>
      <c r="L10" s="30"/>
      <c r="M10" s="30"/>
      <c r="N10" s="56"/>
      <c r="O10" s="30"/>
      <c r="P10" s="30"/>
      <c r="Q10" s="30"/>
      <c r="R10" s="30"/>
      <c r="S10" s="30"/>
      <c r="T10" s="30"/>
      <c r="U10" s="30"/>
      <c r="V10" s="30"/>
      <c r="W10" s="56"/>
      <c r="X10" s="30"/>
      <c r="Y10" s="30"/>
      <c r="Z10" s="30"/>
      <c r="AA10" s="56"/>
      <c r="AB10" s="9"/>
    </row>
    <row r="11" spans="1:28" ht="26.1" customHeight="1">
      <c r="A11" s="48"/>
      <c r="B11" s="49"/>
      <c r="C11" s="59" t="s">
        <v>29</v>
      </c>
      <c r="D11" s="50"/>
      <c r="E11" s="51"/>
      <c r="F11" s="55">
        <v>2023</v>
      </c>
      <c r="G11" s="52">
        <v>2022</v>
      </c>
      <c r="H11" s="52">
        <v>2021</v>
      </c>
      <c r="I11" s="52">
        <v>2020</v>
      </c>
      <c r="J11" s="52">
        <v>2019</v>
      </c>
      <c r="K11" s="53" t="s">
        <v>66</v>
      </c>
      <c r="L11" s="53" t="s">
        <v>67</v>
      </c>
      <c r="M11" s="53" t="s">
        <v>68</v>
      </c>
      <c r="N11" s="57" t="s">
        <v>101</v>
      </c>
      <c r="O11" s="53">
        <v>2023</v>
      </c>
      <c r="P11" s="53">
        <v>2022</v>
      </c>
      <c r="Q11" s="52">
        <v>2021</v>
      </c>
      <c r="R11" s="52">
        <v>2020</v>
      </c>
      <c r="S11" s="52">
        <v>2019</v>
      </c>
      <c r="T11" s="53" t="s">
        <v>66</v>
      </c>
      <c r="U11" s="53" t="s">
        <v>67</v>
      </c>
      <c r="V11" s="53" t="s">
        <v>68</v>
      </c>
      <c r="W11" s="57" t="s">
        <v>101</v>
      </c>
      <c r="X11" s="53">
        <v>2022</v>
      </c>
      <c r="Y11" s="53">
        <v>2021</v>
      </c>
      <c r="Z11" s="52">
        <v>2020</v>
      </c>
      <c r="AA11" s="77">
        <v>2019</v>
      </c>
      <c r="AB11" s="48"/>
    </row>
    <row r="12" spans="1:28">
      <c r="A12" s="9"/>
      <c r="B12" s="12"/>
      <c r="C12" s="31" t="s">
        <v>108</v>
      </c>
      <c r="D12" s="26"/>
      <c r="E12" s="32"/>
      <c r="F12" s="26"/>
      <c r="G12" s="26"/>
      <c r="H12" s="26"/>
      <c r="I12" s="26"/>
      <c r="J12" s="26"/>
      <c r="K12" s="26"/>
      <c r="L12" s="26"/>
      <c r="M12" s="26"/>
      <c r="N12" s="32"/>
      <c r="O12" s="26"/>
      <c r="P12" s="26"/>
      <c r="Q12" s="26"/>
      <c r="R12" s="26"/>
      <c r="S12" s="26"/>
      <c r="T12" s="26"/>
      <c r="U12" s="26"/>
      <c r="V12" s="26"/>
      <c r="W12" s="32"/>
      <c r="X12" s="26"/>
      <c r="Y12" s="26"/>
      <c r="Z12" s="26"/>
      <c r="AA12" s="32"/>
      <c r="AB12" s="9"/>
    </row>
    <row r="13" spans="1:28">
      <c r="A13" s="9"/>
      <c r="B13" s="12"/>
      <c r="C13" s="33"/>
      <c r="D13" s="26" t="s">
        <v>5</v>
      </c>
      <c r="E13" s="32"/>
      <c r="F13" s="73">
        <v>181</v>
      </c>
      <c r="G13" s="71">
        <v>204</v>
      </c>
      <c r="H13" s="71">
        <v>0</v>
      </c>
      <c r="I13" s="71">
        <v>147</v>
      </c>
      <c r="J13" s="71">
        <v>170</v>
      </c>
      <c r="K13" s="64">
        <f>IFERROR(F13/G13-1,"n/a")</f>
        <v>-0.11274509803921573</v>
      </c>
      <c r="L13" s="64" t="str">
        <f t="shared" ref="L13:L28" si="0">IFERROR(F13/H13-1,"n/a")</f>
        <v>n/a</v>
      </c>
      <c r="M13" s="64">
        <f>IFERROR(F13/I13-1,"n/a")</f>
        <v>0.23129251700680276</v>
      </c>
      <c r="N13" s="60">
        <f>IFERROR(F13/J13-1,"n/a")</f>
        <v>6.4705882352941169E-2</v>
      </c>
      <c r="O13" s="68">
        <v>530</v>
      </c>
      <c r="P13" s="68">
        <v>530</v>
      </c>
      <c r="Q13" s="68">
        <v>0</v>
      </c>
      <c r="R13" s="68">
        <v>509</v>
      </c>
      <c r="S13" s="68">
        <v>516</v>
      </c>
      <c r="T13" s="64">
        <f>IFERROR(O13/P13-1,"n/a")</f>
        <v>0</v>
      </c>
      <c r="U13" s="64" t="str">
        <f>IFERROR(O13/Q13-1,"n/a")</f>
        <v>n/a</v>
      </c>
      <c r="V13" s="64">
        <f>IFERROR(O13/R13-1,"n/a")</f>
        <v>4.1257367387033339E-2</v>
      </c>
      <c r="W13" s="60">
        <f>IFERROR(O13/S13-1,"n/a")</f>
        <v>2.7131782945736482E-2</v>
      </c>
      <c r="X13" s="68">
        <v>1486</v>
      </c>
      <c r="Y13" s="68">
        <v>522</v>
      </c>
      <c r="Z13" s="70">
        <v>551</v>
      </c>
      <c r="AA13" s="78">
        <v>1591</v>
      </c>
      <c r="AB13" s="9"/>
    </row>
    <row r="14" spans="1:28">
      <c r="A14" s="9"/>
      <c r="B14" s="12"/>
      <c r="C14" s="33"/>
      <c r="D14" s="26" t="s">
        <v>11</v>
      </c>
      <c r="E14" s="32"/>
      <c r="F14" s="73">
        <v>565574</v>
      </c>
      <c r="G14" s="71">
        <v>344501</v>
      </c>
      <c r="H14" s="71">
        <v>0</v>
      </c>
      <c r="I14" s="71">
        <v>196286</v>
      </c>
      <c r="J14" s="71">
        <v>500596</v>
      </c>
      <c r="K14" s="64">
        <f>IFERROR(F14/G14-1,"n/a")</f>
        <v>0.64171947251241646</v>
      </c>
      <c r="L14" s="64" t="str">
        <f t="shared" si="0"/>
        <v>n/a</v>
      </c>
      <c r="M14" s="64">
        <f>IFERROR(F14/I14-1,"n/a")</f>
        <v>1.8813771741234731</v>
      </c>
      <c r="N14" s="60">
        <f>IFERROR(F14/J14-1,"n/a")</f>
        <v>0.1298012768779615</v>
      </c>
      <c r="O14" s="68">
        <v>1538184</v>
      </c>
      <c r="P14" s="68">
        <v>759658</v>
      </c>
      <c r="Q14" s="68">
        <v>0</v>
      </c>
      <c r="R14" s="68">
        <v>1092884</v>
      </c>
      <c r="S14" s="68">
        <v>1451104</v>
      </c>
      <c r="T14" s="64">
        <f>IFERROR(O14/P14-1,"n/a")</f>
        <v>1.0248374926611712</v>
      </c>
      <c r="U14" s="64" t="str">
        <f>IFERROR(O14/Q14-1,"n/a")</f>
        <v>n/a</v>
      </c>
      <c r="V14" s="64">
        <f>IFERROR(O14/R14-1,"n/a")</f>
        <v>0.40745403903799482</v>
      </c>
      <c r="W14" s="60">
        <f>IFERROR(O14/S14-1,"n/a")</f>
        <v>6.0009482435442241E-2</v>
      </c>
      <c r="X14" s="68">
        <v>3592413</v>
      </c>
      <c r="Y14" s="68">
        <v>768312</v>
      </c>
      <c r="Z14" s="70">
        <v>1092884</v>
      </c>
      <c r="AA14" s="78">
        <v>4592479</v>
      </c>
      <c r="AB14" s="9"/>
    </row>
    <row r="15" spans="1:28">
      <c r="A15" s="9"/>
      <c r="B15" s="12"/>
      <c r="C15" s="31" t="s">
        <v>109</v>
      </c>
      <c r="D15" s="26"/>
      <c r="E15" s="32"/>
      <c r="F15" s="97"/>
      <c r="G15" s="26"/>
      <c r="H15" s="26"/>
      <c r="I15" s="26"/>
      <c r="J15" s="26"/>
      <c r="K15" s="64"/>
      <c r="L15" s="64"/>
      <c r="M15" s="64"/>
      <c r="N15" s="61"/>
      <c r="O15" s="87"/>
      <c r="P15" s="87"/>
      <c r="Q15" s="87"/>
      <c r="R15" s="87"/>
      <c r="S15" s="87"/>
      <c r="T15" s="64"/>
      <c r="U15" s="64"/>
      <c r="V15" s="65"/>
      <c r="W15" s="61"/>
      <c r="X15" s="43"/>
      <c r="Y15" s="43"/>
      <c r="Z15" s="44"/>
      <c r="AA15" s="79"/>
      <c r="AB15" s="9"/>
    </row>
    <row r="16" spans="1:28">
      <c r="A16" s="9"/>
      <c r="B16" s="12"/>
      <c r="C16" s="33"/>
      <c r="D16" s="26" t="s">
        <v>5</v>
      </c>
      <c r="E16" s="32"/>
      <c r="F16" s="74">
        <v>16</v>
      </c>
      <c r="G16" s="71">
        <v>26</v>
      </c>
      <c r="H16" s="71">
        <v>5</v>
      </c>
      <c r="I16" s="71">
        <v>1</v>
      </c>
      <c r="J16" s="71">
        <v>10</v>
      </c>
      <c r="K16" s="64">
        <f>IFERROR(F16/G16-1,"n/a")</f>
        <v>-0.38461538461538458</v>
      </c>
      <c r="L16" s="64">
        <f t="shared" si="0"/>
        <v>2.2000000000000002</v>
      </c>
      <c r="M16" s="64">
        <f>IFERROR(F16/I16-1,"n/a")</f>
        <v>15</v>
      </c>
      <c r="N16" s="60">
        <f>IFERROR(F16/J16-1,"n/a")</f>
        <v>0.60000000000000009</v>
      </c>
      <c r="O16" s="68">
        <v>27</v>
      </c>
      <c r="P16" s="68">
        <v>36</v>
      </c>
      <c r="Q16" s="68">
        <v>12</v>
      </c>
      <c r="R16" s="68">
        <v>10</v>
      </c>
      <c r="S16" s="68">
        <v>23</v>
      </c>
      <c r="T16" s="64">
        <f>IFERROR(O16/P16-1,"n/a")</f>
        <v>-0.25</v>
      </c>
      <c r="U16" s="64">
        <f>IFERROR(O16/Q16-1,"n/a")</f>
        <v>1.25</v>
      </c>
      <c r="V16" s="64">
        <f>IFERROR(O16/R16-1,"n/a")</f>
        <v>1.7000000000000002</v>
      </c>
      <c r="W16" s="60">
        <f>IFERROR(O16/S16-1,"n/a")</f>
        <v>0.17391304347826098</v>
      </c>
      <c r="X16" s="68">
        <v>572</v>
      </c>
      <c r="Y16" s="68">
        <v>202</v>
      </c>
      <c r="Z16" s="70">
        <v>54</v>
      </c>
      <c r="AA16" s="78">
        <v>586</v>
      </c>
      <c r="AB16" s="9"/>
    </row>
    <row r="17" spans="1:28">
      <c r="A17" s="9"/>
      <c r="B17" s="12"/>
      <c r="C17" s="33"/>
      <c r="D17" s="26" t="s">
        <v>11</v>
      </c>
      <c r="E17" s="32"/>
      <c r="F17" s="74">
        <v>43135</v>
      </c>
      <c r="G17" s="71">
        <v>28377</v>
      </c>
      <c r="H17" s="71">
        <v>4146</v>
      </c>
      <c r="I17" s="71">
        <v>565</v>
      </c>
      <c r="J17" s="71">
        <v>32801</v>
      </c>
      <c r="K17" s="64">
        <f>IFERROR(F17/G17-1,"n/a")</f>
        <v>0.52006907002149627</v>
      </c>
      <c r="L17" s="64">
        <f t="shared" si="0"/>
        <v>9.4040038591413406</v>
      </c>
      <c r="M17" s="64">
        <f>IFERROR(F17/I17-1,"n/a")</f>
        <v>75.345132743362825</v>
      </c>
      <c r="N17" s="60">
        <f>IFERROR(F17/J17-1,"n/a")</f>
        <v>0.31505137038504927</v>
      </c>
      <c r="O17" s="68">
        <v>83055</v>
      </c>
      <c r="P17" s="68">
        <v>36508</v>
      </c>
      <c r="Q17" s="68">
        <v>10103</v>
      </c>
      <c r="R17" s="68">
        <v>41113</v>
      </c>
      <c r="S17" s="68">
        <v>80374</v>
      </c>
      <c r="T17" s="64">
        <f>IFERROR(O17/P17-1,"n/a")</f>
        <v>1.2749808261203026</v>
      </c>
      <c r="U17" s="64">
        <f>IFERROR(O17/Q17-1,"n/a")</f>
        <v>7.2208254973770174</v>
      </c>
      <c r="V17" s="64">
        <f>IFERROR(O17/R17-1,"n/a")</f>
        <v>1.0201639384136403</v>
      </c>
      <c r="W17" s="60">
        <f>IFERROR(O17/S17-1,"n/a")</f>
        <v>3.335655809092497E-2</v>
      </c>
      <c r="X17" s="68">
        <v>965963</v>
      </c>
      <c r="Y17" s="68">
        <v>301521</v>
      </c>
      <c r="Z17" s="70">
        <v>70675</v>
      </c>
      <c r="AA17" s="78">
        <v>1400932</v>
      </c>
      <c r="AB17" s="9"/>
    </row>
    <row r="18" spans="1:28">
      <c r="A18" s="9"/>
      <c r="B18" s="12"/>
      <c r="C18" s="31" t="s">
        <v>110</v>
      </c>
      <c r="D18" s="26"/>
      <c r="E18" s="32"/>
      <c r="F18" s="72"/>
      <c r="G18" s="72"/>
      <c r="H18" s="72"/>
      <c r="I18" s="72"/>
      <c r="J18" s="72"/>
      <c r="K18" s="64"/>
      <c r="L18" s="64"/>
      <c r="M18" s="64"/>
      <c r="N18" s="60"/>
      <c r="O18" s="87"/>
      <c r="P18" s="87"/>
      <c r="Q18" s="87"/>
      <c r="R18" s="87"/>
      <c r="S18" s="87"/>
      <c r="T18" s="64"/>
      <c r="U18" s="64"/>
      <c r="V18" s="64"/>
      <c r="W18" s="60"/>
      <c r="X18" s="43"/>
      <c r="Y18" s="43"/>
      <c r="Z18" s="44"/>
      <c r="AA18" s="79"/>
      <c r="AB18" s="9"/>
    </row>
    <row r="19" spans="1:28">
      <c r="A19" s="9"/>
      <c r="B19" s="12"/>
      <c r="C19" s="33"/>
      <c r="D19" s="26" t="s">
        <v>5</v>
      </c>
      <c r="E19" s="32"/>
      <c r="F19" s="73">
        <v>17</v>
      </c>
      <c r="G19" s="71">
        <v>6</v>
      </c>
      <c r="H19" s="71">
        <v>0</v>
      </c>
      <c r="I19" s="71">
        <v>2</v>
      </c>
      <c r="J19" s="71">
        <v>5</v>
      </c>
      <c r="K19" s="64">
        <f>IFERROR(F19/G19-1,"n/a")</f>
        <v>1.8333333333333335</v>
      </c>
      <c r="L19" s="64" t="str">
        <f t="shared" si="0"/>
        <v>n/a</v>
      </c>
      <c r="M19" s="64">
        <f>IFERROR(F19/I19-1,"n/a")</f>
        <v>7.5</v>
      </c>
      <c r="N19" s="60">
        <f>IFERROR(F19/J19-1,"n/a")</f>
        <v>2.4</v>
      </c>
      <c r="O19" s="68">
        <v>23</v>
      </c>
      <c r="P19" s="68">
        <v>12</v>
      </c>
      <c r="Q19" s="68">
        <v>0</v>
      </c>
      <c r="R19" s="68">
        <v>3</v>
      </c>
      <c r="S19" s="68">
        <v>6</v>
      </c>
      <c r="T19" s="64">
        <f>IFERROR(O19/P19-1,"n/a")</f>
        <v>0.91666666666666674</v>
      </c>
      <c r="U19" s="64" t="str">
        <f>IFERROR(O19/Q19-1,"n/a")</f>
        <v>n/a</v>
      </c>
      <c r="V19" s="64">
        <f>IFERROR(O19/R19-1,"n/a")</f>
        <v>6.666666666666667</v>
      </c>
      <c r="W19" s="60">
        <f>IFERROR(O19/S19-1,"n/a")</f>
        <v>2.8333333333333335</v>
      </c>
      <c r="X19" s="68">
        <v>658</v>
      </c>
      <c r="Y19" s="68">
        <v>47</v>
      </c>
      <c r="Z19" s="70">
        <v>9</v>
      </c>
      <c r="AA19" s="78">
        <v>290</v>
      </c>
      <c r="AB19" s="9"/>
    </row>
    <row r="20" spans="1:28">
      <c r="A20" s="9"/>
      <c r="B20" s="12"/>
      <c r="C20" s="33"/>
      <c r="D20" s="26" t="s">
        <v>11</v>
      </c>
      <c r="E20" s="32"/>
      <c r="F20" s="73">
        <v>14734</v>
      </c>
      <c r="G20" s="71">
        <v>595</v>
      </c>
      <c r="H20" s="71">
        <v>0</v>
      </c>
      <c r="I20" s="71">
        <v>887</v>
      </c>
      <c r="J20" s="71">
        <v>4876</v>
      </c>
      <c r="K20" s="64">
        <f>IFERROR(F20/G20-1,"n/a")</f>
        <v>23.763025210084034</v>
      </c>
      <c r="L20" s="64" t="str">
        <f t="shared" si="0"/>
        <v>n/a</v>
      </c>
      <c r="M20" s="64">
        <f>IFERROR(F20/I20-1,"n/a")</f>
        <v>15.611048478015782</v>
      </c>
      <c r="N20" s="60">
        <f t="shared" ref="N20:N28" si="1">IFERROR(F20/J20-1,"n/a")</f>
        <v>2.0217391304347827</v>
      </c>
      <c r="O20" s="68">
        <v>20846</v>
      </c>
      <c r="P20" s="68">
        <v>3085</v>
      </c>
      <c r="Q20" s="68">
        <v>0</v>
      </c>
      <c r="R20" s="68">
        <v>1753</v>
      </c>
      <c r="S20" s="68">
        <v>6484</v>
      </c>
      <c r="T20" s="64">
        <f>IFERROR(O20/P20-1,"n/a")</f>
        <v>5.7572123176661263</v>
      </c>
      <c r="U20" s="64" t="str">
        <f>IFERROR(O20/Q20-1,"n/a")</f>
        <v>n/a</v>
      </c>
      <c r="V20" s="64">
        <f>IFERROR(O20/R20-1,"n/a")</f>
        <v>10.891614375356532</v>
      </c>
      <c r="W20" s="60">
        <f>IFERROR(O20/S20-1,"n/a")</f>
        <v>2.2149907464528069</v>
      </c>
      <c r="X20" s="68">
        <v>887495</v>
      </c>
      <c r="Y20" s="68">
        <v>17541</v>
      </c>
      <c r="Z20" s="70">
        <v>10047</v>
      </c>
      <c r="AA20" s="78">
        <v>585930</v>
      </c>
      <c r="AB20" s="9"/>
    </row>
    <row r="21" spans="1:28">
      <c r="A21" s="9"/>
      <c r="B21" s="12"/>
      <c r="C21" s="31" t="s">
        <v>111</v>
      </c>
      <c r="D21" s="26"/>
      <c r="E21" s="34"/>
      <c r="F21" s="72"/>
      <c r="G21" s="72"/>
      <c r="H21" s="72"/>
      <c r="I21" s="72"/>
      <c r="J21" s="72"/>
      <c r="K21" s="64"/>
      <c r="L21" s="64"/>
      <c r="M21" s="64"/>
      <c r="N21" s="60"/>
      <c r="O21" s="87"/>
      <c r="P21" s="87"/>
      <c r="Q21" s="87"/>
      <c r="R21" s="87"/>
      <c r="S21" s="87"/>
      <c r="T21" s="64"/>
      <c r="U21" s="64"/>
      <c r="V21" s="64"/>
      <c r="W21" s="60"/>
      <c r="X21" s="43"/>
      <c r="Y21" s="43"/>
      <c r="Z21" s="44"/>
      <c r="AA21" s="79"/>
      <c r="AB21" s="9"/>
    </row>
    <row r="22" spans="1:28">
      <c r="A22" s="9"/>
      <c r="B22" s="12"/>
      <c r="C22" s="33"/>
      <c r="D22" s="26" t="s">
        <v>5</v>
      </c>
      <c r="E22" s="34"/>
      <c r="F22" s="74">
        <v>108</v>
      </c>
      <c r="G22" s="71">
        <v>24</v>
      </c>
      <c r="H22" s="71">
        <v>0</v>
      </c>
      <c r="I22" s="71">
        <v>10</v>
      </c>
      <c r="J22" s="71">
        <v>44</v>
      </c>
      <c r="K22" s="64">
        <f>IFERROR(F22/G22-1,"n/a")</f>
        <v>3.5</v>
      </c>
      <c r="L22" s="64" t="str">
        <f t="shared" si="0"/>
        <v>n/a</v>
      </c>
      <c r="M22" s="64">
        <f>IFERROR(F22/I22-1,"n/a")</f>
        <v>9.8000000000000007</v>
      </c>
      <c r="N22" s="60">
        <f t="shared" si="1"/>
        <v>1.4545454545454546</v>
      </c>
      <c r="O22" s="68">
        <v>287</v>
      </c>
      <c r="P22" s="68">
        <v>53</v>
      </c>
      <c r="Q22" s="68">
        <v>0</v>
      </c>
      <c r="R22" s="68">
        <v>205</v>
      </c>
      <c r="S22" s="68">
        <v>323</v>
      </c>
      <c r="T22" s="64">
        <f>IFERROR(O22/P22-1,"n/a")</f>
        <v>4.4150943396226419</v>
      </c>
      <c r="U22" s="64" t="str">
        <f>IFERROR(O22/Q22-1,"n/a")</f>
        <v>n/a</v>
      </c>
      <c r="V22" s="64">
        <f>IFERROR(O22/R22-1,"n/a")</f>
        <v>0.39999999999999991</v>
      </c>
      <c r="W22" s="60">
        <f>IFERROR(O22/S22-1,"n/a")</f>
        <v>-0.11145510835913308</v>
      </c>
      <c r="X22" s="68">
        <v>895</v>
      </c>
      <c r="Y22" s="68">
        <v>283</v>
      </c>
      <c r="Z22" s="70">
        <v>43</v>
      </c>
      <c r="AA22" s="78">
        <v>827</v>
      </c>
      <c r="AB22" s="9"/>
    </row>
    <row r="23" spans="1:28">
      <c r="A23" s="9"/>
      <c r="B23" s="12"/>
      <c r="C23" s="33"/>
      <c r="D23" s="26" t="s">
        <v>11</v>
      </c>
      <c r="E23" s="32"/>
      <c r="F23" s="73">
        <v>297870</v>
      </c>
      <c r="G23" s="71">
        <v>32594</v>
      </c>
      <c r="H23" s="71">
        <v>0</v>
      </c>
      <c r="I23" s="71">
        <v>28535</v>
      </c>
      <c r="J23" s="71">
        <v>117674</v>
      </c>
      <c r="K23" s="64">
        <f>IFERROR(F23/G23-1,"n/a")</f>
        <v>8.1387985518807149</v>
      </c>
      <c r="L23" s="64" t="str">
        <f t="shared" si="0"/>
        <v>n/a</v>
      </c>
      <c r="M23" s="64">
        <f>IFERROR(F23/I23-1,"n/a")</f>
        <v>9.4387594182582788</v>
      </c>
      <c r="N23" s="60">
        <f t="shared" si="1"/>
        <v>1.5313153287897072</v>
      </c>
      <c r="O23" s="68">
        <v>836274</v>
      </c>
      <c r="P23" s="68">
        <v>68454</v>
      </c>
      <c r="Q23" s="68">
        <v>0</v>
      </c>
      <c r="R23" s="68">
        <v>545974</v>
      </c>
      <c r="S23" s="68">
        <v>919815</v>
      </c>
      <c r="T23" s="64">
        <f>IFERROR(O23/P23-1,"n/a")</f>
        <v>11.21658339907091</v>
      </c>
      <c r="U23" s="64" t="str">
        <f>IFERROR(O23/Q23-1,"n/a")</f>
        <v>n/a</v>
      </c>
      <c r="V23" s="64">
        <f>IFERROR(O23/R23-1,"n/a")</f>
        <v>0.53171030122313523</v>
      </c>
      <c r="W23" s="60">
        <f>IFERROR(O23/S23-1,"n/a")</f>
        <v>-9.0823698243668538E-2</v>
      </c>
      <c r="X23" s="68">
        <v>2165161</v>
      </c>
      <c r="Y23" s="68">
        <v>465109</v>
      </c>
      <c r="Z23" s="70">
        <v>140552</v>
      </c>
      <c r="AA23" s="78">
        <v>2552942</v>
      </c>
      <c r="AB23" s="9"/>
    </row>
    <row r="24" spans="1:28">
      <c r="A24" s="9"/>
      <c r="B24" s="12"/>
      <c r="C24" s="31" t="s">
        <v>112</v>
      </c>
      <c r="D24" s="26"/>
      <c r="E24" s="32"/>
      <c r="F24" s="72"/>
      <c r="G24" s="72"/>
      <c r="H24" s="72"/>
      <c r="I24" s="72"/>
      <c r="J24" s="72"/>
      <c r="K24" s="64"/>
      <c r="L24" s="64"/>
      <c r="M24" s="64"/>
      <c r="N24" s="60"/>
      <c r="O24" s="87"/>
      <c r="P24" s="87"/>
      <c r="Q24" s="87"/>
      <c r="R24" s="87"/>
      <c r="S24" s="87"/>
      <c r="T24" s="64"/>
      <c r="U24" s="64"/>
      <c r="V24" s="64"/>
      <c r="W24" s="60"/>
      <c r="X24" s="43"/>
      <c r="Y24" s="43"/>
      <c r="Z24" s="44"/>
      <c r="AA24" s="79"/>
      <c r="AB24" s="9"/>
    </row>
    <row r="25" spans="1:28">
      <c r="B25" s="12"/>
      <c r="C25" s="33"/>
      <c r="D25" s="26" t="s">
        <v>5</v>
      </c>
      <c r="E25" s="32"/>
      <c r="F25" s="71">
        <v>0</v>
      </c>
      <c r="G25" s="71">
        <v>0</v>
      </c>
      <c r="H25" s="71">
        <v>0</v>
      </c>
      <c r="I25" s="71">
        <v>0</v>
      </c>
      <c r="J25" s="71">
        <v>0</v>
      </c>
      <c r="K25" s="64" t="str">
        <f>IFERROR(F25/G25-1,"n/a")</f>
        <v>n/a</v>
      </c>
      <c r="L25" s="64" t="str">
        <f t="shared" si="0"/>
        <v>n/a</v>
      </c>
      <c r="M25" s="64" t="str">
        <f>IFERROR(F25/I25-1,"n/a")</f>
        <v>n/a</v>
      </c>
      <c r="N25" s="60" t="str">
        <f t="shared" si="1"/>
        <v>n/a</v>
      </c>
      <c r="O25" s="68">
        <v>0</v>
      </c>
      <c r="P25" s="68">
        <v>0</v>
      </c>
      <c r="Q25" s="68">
        <v>0</v>
      </c>
      <c r="R25" s="68">
        <v>0</v>
      </c>
      <c r="S25" s="68">
        <v>0</v>
      </c>
      <c r="T25" s="64" t="str">
        <f>IFERROR(O25/P25-1,"n/a")</f>
        <v>n/a</v>
      </c>
      <c r="U25" s="64" t="str">
        <f>IFERROR(O25/Q25-1,"n/a")</f>
        <v>n/a</v>
      </c>
      <c r="V25" s="64" t="str">
        <f>IFERROR(O25/R25-1,"n/a")</f>
        <v>n/a</v>
      </c>
      <c r="W25" s="60" t="str">
        <f>IFERROR(O25/S25-1,"n/a")</f>
        <v>n/a</v>
      </c>
      <c r="X25" s="68">
        <v>9</v>
      </c>
      <c r="Y25" s="68">
        <v>0</v>
      </c>
      <c r="Z25" s="68">
        <v>0</v>
      </c>
      <c r="AA25" s="78">
        <v>16</v>
      </c>
      <c r="AB25" s="9"/>
    </row>
    <row r="26" spans="1:28">
      <c r="A26" s="9"/>
      <c r="B26" s="12"/>
      <c r="C26" s="33"/>
      <c r="D26" s="26" t="s">
        <v>11</v>
      </c>
      <c r="E26" s="32"/>
      <c r="F26" s="71">
        <v>0</v>
      </c>
      <c r="G26" s="71">
        <v>0</v>
      </c>
      <c r="H26" s="71">
        <v>0</v>
      </c>
      <c r="I26" s="71">
        <v>0</v>
      </c>
      <c r="J26" s="71">
        <v>0</v>
      </c>
      <c r="K26" s="64" t="str">
        <f>IFERROR(F26/G26-1,"n/a")</f>
        <v>n/a</v>
      </c>
      <c r="L26" s="64" t="str">
        <f t="shared" si="0"/>
        <v>n/a</v>
      </c>
      <c r="M26" s="64" t="str">
        <f>IFERROR(F26/I26-1,"n/a")</f>
        <v>n/a</v>
      </c>
      <c r="N26" s="60" t="str">
        <f t="shared" si="1"/>
        <v>n/a</v>
      </c>
      <c r="O26" s="68">
        <v>0</v>
      </c>
      <c r="P26" s="68">
        <v>0</v>
      </c>
      <c r="Q26" s="68">
        <v>0</v>
      </c>
      <c r="R26" s="68">
        <v>0</v>
      </c>
      <c r="S26" s="68">
        <v>0</v>
      </c>
      <c r="T26" s="64" t="str">
        <f>IFERROR(O26/P26-1,"n/a")</f>
        <v>n/a</v>
      </c>
      <c r="U26" s="64" t="str">
        <f>IFERROR(O26/Q26-1,"n/a")</f>
        <v>n/a</v>
      </c>
      <c r="V26" s="64" t="str">
        <f>IFERROR(O26/R26-1,"n/a")</f>
        <v>n/a</v>
      </c>
      <c r="W26" s="60" t="str">
        <f>IFERROR(O26/S26-1,"n/a")</f>
        <v>n/a</v>
      </c>
      <c r="X26" s="68">
        <v>15637</v>
      </c>
      <c r="Y26" s="68">
        <v>0</v>
      </c>
      <c r="Z26" s="68">
        <v>0</v>
      </c>
      <c r="AA26" s="78">
        <v>20248</v>
      </c>
      <c r="AB26" s="9"/>
    </row>
    <row r="27" spans="1:28" ht="15.75" thickBot="1">
      <c r="A27" s="9"/>
      <c r="B27" s="12"/>
      <c r="C27" s="35" t="s">
        <v>12</v>
      </c>
      <c r="D27" s="36"/>
      <c r="E27" s="37"/>
      <c r="F27" s="75">
        <f t="shared" ref="F27:J28" si="2">F13+F16+F19+F22+F25</f>
        <v>322</v>
      </c>
      <c r="G27" s="75">
        <f t="shared" si="2"/>
        <v>260</v>
      </c>
      <c r="H27" s="75">
        <f t="shared" si="2"/>
        <v>5</v>
      </c>
      <c r="I27" s="75">
        <f t="shared" si="2"/>
        <v>160</v>
      </c>
      <c r="J27" s="75">
        <f t="shared" si="2"/>
        <v>229</v>
      </c>
      <c r="K27" s="66">
        <f>IFERROR(F27/G27-1,"n/a")</f>
        <v>0.2384615384615385</v>
      </c>
      <c r="L27" s="66">
        <f t="shared" si="0"/>
        <v>63.400000000000006</v>
      </c>
      <c r="M27" s="66">
        <f>IFERROR(F27/I27-1,"n/a")</f>
        <v>1.0125000000000002</v>
      </c>
      <c r="N27" s="62">
        <f t="shared" si="1"/>
        <v>0.40611353711790388</v>
      </c>
      <c r="O27" s="75">
        <f t="shared" ref="O27:S28" si="3">O13+O16+O19+O22+O25</f>
        <v>867</v>
      </c>
      <c r="P27" s="75">
        <f t="shared" si="3"/>
        <v>631</v>
      </c>
      <c r="Q27" s="75">
        <f t="shared" si="3"/>
        <v>12</v>
      </c>
      <c r="R27" s="75">
        <f t="shared" si="3"/>
        <v>727</v>
      </c>
      <c r="S27" s="75">
        <f t="shared" si="3"/>
        <v>868</v>
      </c>
      <c r="T27" s="66">
        <f>IFERROR(O27/P27-1,"n/a")</f>
        <v>0.37400950871632332</v>
      </c>
      <c r="U27" s="66">
        <f>IFERROR(O27/Q27-1,"n/a")</f>
        <v>71.25</v>
      </c>
      <c r="V27" s="66">
        <f>IFERROR(O27/R27-1,"n/a")</f>
        <v>0.19257221458046758</v>
      </c>
      <c r="W27" s="62">
        <f>IFERROR(O27/S27-1,"n/a")</f>
        <v>-1.1520737327188613E-3</v>
      </c>
      <c r="X27" s="75">
        <f t="shared" ref="X27:AA28" si="4">X13+X16+X19+X22+X25</f>
        <v>3620</v>
      </c>
      <c r="Y27" s="46">
        <f t="shared" si="4"/>
        <v>1054</v>
      </c>
      <c r="Z27" s="46">
        <f t="shared" si="4"/>
        <v>657</v>
      </c>
      <c r="AA27" s="80">
        <f t="shared" si="4"/>
        <v>3310</v>
      </c>
      <c r="AB27" s="9"/>
    </row>
    <row r="28" spans="1:28" ht="16.5" thickTop="1" thickBot="1">
      <c r="A28" s="9"/>
      <c r="B28" s="12"/>
      <c r="C28" s="38" t="s">
        <v>13</v>
      </c>
      <c r="D28" s="39"/>
      <c r="E28" s="40"/>
      <c r="F28" s="76">
        <f t="shared" si="2"/>
        <v>921313</v>
      </c>
      <c r="G28" s="76">
        <f t="shared" si="2"/>
        <v>406067</v>
      </c>
      <c r="H28" s="76">
        <f t="shared" si="2"/>
        <v>4146</v>
      </c>
      <c r="I28" s="76">
        <f t="shared" si="2"/>
        <v>226273</v>
      </c>
      <c r="J28" s="76">
        <f t="shared" si="2"/>
        <v>655947</v>
      </c>
      <c r="K28" s="67">
        <f>IFERROR(F28/G28-1,"n/a")</f>
        <v>1.2688694230262492</v>
      </c>
      <c r="L28" s="67">
        <f t="shared" si="0"/>
        <v>221.21731789676798</v>
      </c>
      <c r="M28" s="67">
        <f>IFERROR(F28/I28-1,"n/a")</f>
        <v>3.071687740030848</v>
      </c>
      <c r="N28" s="63">
        <f t="shared" si="1"/>
        <v>0.40455402646860184</v>
      </c>
      <c r="O28" s="76">
        <f t="shared" si="3"/>
        <v>2478359</v>
      </c>
      <c r="P28" s="76">
        <f t="shared" si="3"/>
        <v>867705</v>
      </c>
      <c r="Q28" s="76">
        <f t="shared" si="3"/>
        <v>10103</v>
      </c>
      <c r="R28" s="76">
        <f t="shared" si="3"/>
        <v>1681724</v>
      </c>
      <c r="S28" s="76">
        <f t="shared" si="3"/>
        <v>2457777</v>
      </c>
      <c r="T28" s="67">
        <f>IFERROR(O28/P28-1,"n/a")</f>
        <v>1.8562230251064591</v>
      </c>
      <c r="U28" s="67">
        <f>IFERROR(O28/Q28-1,"n/a")</f>
        <v>244.30921508462833</v>
      </c>
      <c r="V28" s="67">
        <f>IFERROR(O28/R28-1,"n/a")</f>
        <v>0.47370139214282481</v>
      </c>
      <c r="W28" s="63">
        <f>IFERROR(O28/S28-1,"n/a")</f>
        <v>8.3742341148118626E-3</v>
      </c>
      <c r="X28" s="76">
        <f t="shared" si="4"/>
        <v>7626669</v>
      </c>
      <c r="Y28" s="47">
        <f t="shared" si="4"/>
        <v>1552483</v>
      </c>
      <c r="Z28" s="47">
        <f t="shared" si="4"/>
        <v>1314158</v>
      </c>
      <c r="AA28" s="81">
        <f t="shared" si="4"/>
        <v>9152531</v>
      </c>
      <c r="AB28" s="9"/>
    </row>
    <row r="29" spans="1:28" ht="15.75" thickTop="1">
      <c r="A29" s="9"/>
      <c r="B29" s="9"/>
      <c r="C29" s="9"/>
      <c r="D29" s="9"/>
      <c r="E29" s="9"/>
      <c r="F29" s="41"/>
      <c r="G29" s="41"/>
      <c r="H29" s="41"/>
      <c r="I29" s="41"/>
      <c r="J29" s="41"/>
      <c r="K29" s="41"/>
      <c r="L29" s="41"/>
      <c r="M29" s="41"/>
      <c r="N29" s="9"/>
      <c r="O29" s="9"/>
      <c r="P29" s="9"/>
      <c r="Q29" s="9"/>
      <c r="R29" s="9"/>
      <c r="S29" s="9"/>
      <c r="T29" s="9"/>
      <c r="U29" s="9"/>
      <c r="V29" s="9"/>
      <c r="W29" s="9"/>
      <c r="X29" s="9"/>
      <c r="Y29" s="9"/>
      <c r="Z29" s="9"/>
      <c r="AA29" s="9"/>
      <c r="AB29" s="9"/>
    </row>
    <row r="30" spans="1:28">
      <c r="A30" s="9"/>
      <c r="B30" s="9"/>
      <c r="C30" s="9"/>
      <c r="D30" s="9"/>
      <c r="E30" s="9"/>
      <c r="F30" s="41"/>
      <c r="G30" s="41"/>
      <c r="H30" s="41"/>
      <c r="I30" s="41"/>
      <c r="J30" s="41"/>
      <c r="K30" s="41"/>
      <c r="L30" s="41"/>
      <c r="M30" s="41"/>
      <c r="N30" s="9"/>
      <c r="O30" s="9"/>
      <c r="P30" s="9"/>
      <c r="Q30" s="9"/>
      <c r="R30" s="9"/>
      <c r="S30" s="9"/>
      <c r="T30" s="9"/>
      <c r="U30" s="9"/>
      <c r="V30" s="9"/>
      <c r="W30" s="9"/>
      <c r="X30" s="9"/>
      <c r="Y30" s="9"/>
      <c r="Z30" s="9"/>
      <c r="AA30" s="9"/>
      <c r="AB30" s="9"/>
    </row>
    <row r="31" spans="1:28">
      <c r="A31" s="9"/>
      <c r="B31" s="10"/>
      <c r="C31" s="86" t="s">
        <v>63</v>
      </c>
      <c r="D31" s="24"/>
      <c r="E31" s="24"/>
      <c r="F31" s="24"/>
      <c r="G31" s="24"/>
      <c r="H31" s="24"/>
      <c r="I31" s="24"/>
      <c r="J31" s="95"/>
      <c r="K31" s="95"/>
      <c r="L31" s="95"/>
      <c r="M31" s="95"/>
      <c r="N31" s="24"/>
      <c r="O31" s="24"/>
      <c r="P31" s="24"/>
      <c r="Q31" s="24"/>
      <c r="R31" s="24"/>
      <c r="S31" s="24"/>
      <c r="T31" s="24"/>
      <c r="U31" s="24"/>
      <c r="V31" s="24"/>
      <c r="W31" s="24"/>
      <c r="X31" s="24"/>
      <c r="Y31" s="24"/>
      <c r="Z31" s="24"/>
      <c r="AA31" s="24"/>
      <c r="AB31" s="9"/>
    </row>
    <row r="32" spans="1:28">
      <c r="A32" s="9"/>
      <c r="B32" s="10"/>
      <c r="C32" s="24"/>
      <c r="D32" s="24"/>
      <c r="E32" s="24"/>
      <c r="F32" s="24"/>
      <c r="G32" s="24"/>
      <c r="H32" s="24"/>
      <c r="I32" s="24"/>
      <c r="J32" s="95"/>
      <c r="K32" s="95"/>
      <c r="L32" s="95"/>
      <c r="M32" s="95"/>
      <c r="N32" s="24"/>
      <c r="O32" s="24"/>
      <c r="P32" s="24"/>
      <c r="Q32" s="24"/>
      <c r="R32" s="24"/>
      <c r="S32" s="24"/>
      <c r="T32" s="24"/>
      <c r="U32" s="24"/>
      <c r="V32" s="24"/>
      <c r="W32" s="24"/>
      <c r="X32" s="24"/>
      <c r="Y32" s="24"/>
      <c r="Z32" s="24"/>
      <c r="AA32" s="24"/>
      <c r="AB32" s="9"/>
    </row>
    <row r="33" spans="1:28">
      <c r="A33" s="9"/>
      <c r="B33" s="9"/>
      <c r="C33" s="27" t="s">
        <v>7</v>
      </c>
      <c r="D33" s="28"/>
      <c r="E33" s="28"/>
      <c r="F33" s="158" t="str">
        <f>F9</f>
        <v>March</v>
      </c>
      <c r="G33" s="158"/>
      <c r="H33" s="158"/>
      <c r="I33" s="158"/>
      <c r="J33" s="158"/>
      <c r="K33" s="158"/>
      <c r="L33" s="158"/>
      <c r="M33" s="158"/>
      <c r="N33" s="159"/>
      <c r="O33" s="157" t="s">
        <v>107</v>
      </c>
      <c r="P33" s="158"/>
      <c r="Q33" s="158"/>
      <c r="R33" s="158"/>
      <c r="S33" s="158"/>
      <c r="T33" s="158"/>
      <c r="U33" s="158"/>
      <c r="V33" s="158"/>
      <c r="W33" s="159"/>
      <c r="X33" s="157" t="s">
        <v>58</v>
      </c>
      <c r="Y33" s="158"/>
      <c r="Z33" s="158"/>
      <c r="AA33" s="160"/>
      <c r="AB33" s="9"/>
    </row>
    <row r="34" spans="1:28">
      <c r="A34" s="9"/>
      <c r="B34" s="9"/>
      <c r="C34" s="29"/>
      <c r="D34" s="30"/>
      <c r="E34" s="30"/>
      <c r="F34" s="29"/>
      <c r="G34" s="30"/>
      <c r="H34" s="30"/>
      <c r="I34" s="30"/>
      <c r="J34" s="30"/>
      <c r="K34" s="30"/>
      <c r="L34" s="30"/>
      <c r="M34" s="30"/>
      <c r="N34" s="56"/>
      <c r="O34" s="30"/>
      <c r="P34" s="30"/>
      <c r="Q34" s="30"/>
      <c r="R34" s="30"/>
      <c r="S34" s="30"/>
      <c r="T34" s="30"/>
      <c r="U34" s="30"/>
      <c r="V34" s="30"/>
      <c r="W34" s="56"/>
      <c r="X34" s="30"/>
      <c r="Y34" s="30"/>
      <c r="Z34" s="30"/>
      <c r="AA34" s="56"/>
      <c r="AB34" s="9"/>
    </row>
    <row r="35" spans="1:28" ht="33.75">
      <c r="A35" s="9"/>
      <c r="B35" s="9"/>
      <c r="C35" s="59" t="s">
        <v>29</v>
      </c>
      <c r="D35" s="50"/>
      <c r="E35" s="51"/>
      <c r="F35" s="55">
        <v>2023</v>
      </c>
      <c r="G35" s="52">
        <v>2022</v>
      </c>
      <c r="H35" s="52">
        <v>2021</v>
      </c>
      <c r="I35" s="52">
        <v>2020</v>
      </c>
      <c r="J35" s="52">
        <v>2019</v>
      </c>
      <c r="K35" s="53" t="s">
        <v>66</v>
      </c>
      <c r="L35" s="53" t="s">
        <v>67</v>
      </c>
      <c r="M35" s="53" t="s">
        <v>68</v>
      </c>
      <c r="N35" s="57" t="s">
        <v>101</v>
      </c>
      <c r="O35" s="53"/>
      <c r="P35" s="53" t="s">
        <v>53</v>
      </c>
      <c r="Q35" s="52" t="s">
        <v>54</v>
      </c>
      <c r="R35" s="52" t="s">
        <v>59</v>
      </c>
      <c r="S35" s="52" t="s">
        <v>64</v>
      </c>
      <c r="T35" s="52"/>
      <c r="U35" s="53" t="s">
        <v>66</v>
      </c>
      <c r="V35" s="53" t="s">
        <v>67</v>
      </c>
      <c r="W35" s="57" t="s">
        <v>68</v>
      </c>
      <c r="X35" s="53" t="s">
        <v>53</v>
      </c>
      <c r="Y35" s="53" t="s">
        <v>54</v>
      </c>
      <c r="Z35" s="53" t="s">
        <v>65</v>
      </c>
      <c r="AA35" s="57" t="s">
        <v>73</v>
      </c>
      <c r="AB35" s="9"/>
    </row>
    <row r="36" spans="1:28">
      <c r="A36" s="9"/>
      <c r="B36" s="9"/>
      <c r="C36" s="31" t="s">
        <v>108</v>
      </c>
      <c r="D36" s="26"/>
      <c r="E36" s="32"/>
      <c r="F36" s="26"/>
      <c r="G36" s="26"/>
      <c r="H36" s="26"/>
      <c r="I36" s="26"/>
      <c r="J36" s="26"/>
      <c r="K36" s="26"/>
      <c r="L36" s="26"/>
      <c r="M36" s="26"/>
      <c r="N36" s="32"/>
      <c r="O36" s="26"/>
      <c r="P36" s="26"/>
      <c r="Q36" s="26"/>
      <c r="R36" s="26"/>
      <c r="S36" s="9"/>
      <c r="T36" s="26"/>
      <c r="U36" s="9"/>
      <c r="V36" s="26"/>
      <c r="W36" s="32"/>
      <c r="X36" s="33"/>
      <c r="Y36" s="26"/>
      <c r="Z36" s="88"/>
      <c r="AA36" s="85"/>
      <c r="AB36" s="9"/>
    </row>
    <row r="37" spans="1:28">
      <c r="A37" s="9"/>
      <c r="B37" s="9"/>
      <c r="C37" s="33"/>
      <c r="D37" s="26" t="s">
        <v>5</v>
      </c>
      <c r="E37" s="32"/>
      <c r="F37" s="74">
        <f t="shared" ref="F37:J38" si="5">F13</f>
        <v>181</v>
      </c>
      <c r="G37" s="74">
        <f t="shared" si="5"/>
        <v>204</v>
      </c>
      <c r="H37" s="74">
        <f t="shared" si="5"/>
        <v>0</v>
      </c>
      <c r="I37" s="74">
        <f t="shared" si="5"/>
        <v>147</v>
      </c>
      <c r="J37" s="74">
        <f t="shared" si="5"/>
        <v>170</v>
      </c>
      <c r="K37" s="64">
        <f>IFERROR(F37/G37-1,"n/a")</f>
        <v>-0.11274509803921573</v>
      </c>
      <c r="L37" s="64" t="str">
        <f>IFERROR(F37/H37-1,"n/a")</f>
        <v>n/a</v>
      </c>
      <c r="M37" s="64">
        <f>IFERROR(F37/I37-1,"n/a")</f>
        <v>0.23129251700680276</v>
      </c>
      <c r="N37" s="60">
        <f>IFERROR(F37/J37-1,"n/a")</f>
        <v>6.4705882352941169E-2</v>
      </c>
      <c r="O37" s="108"/>
      <c r="P37" s="70">
        <v>1486</v>
      </c>
      <c r="Q37" s="70">
        <v>1052</v>
      </c>
      <c r="R37" s="82">
        <v>42</v>
      </c>
      <c r="S37" s="70">
        <v>1584</v>
      </c>
      <c r="T37" s="108"/>
      <c r="U37" s="64">
        <f>IFERROR(P37/Q37-1,"n/a")</f>
        <v>0.4125475285171103</v>
      </c>
      <c r="V37" s="64">
        <f>IFERROR(P37/R37-1,"n/a")</f>
        <v>34.38095238095238</v>
      </c>
      <c r="W37" s="60">
        <f>IFERROR(P37/S37-1,"n/a")</f>
        <v>-6.1868686868686851E-2</v>
      </c>
      <c r="X37" s="89">
        <v>1486</v>
      </c>
      <c r="Y37" s="89">
        <v>1052</v>
      </c>
      <c r="Z37" s="70">
        <v>551</v>
      </c>
      <c r="AA37" s="78">
        <v>1584</v>
      </c>
      <c r="AB37" s="9"/>
    </row>
    <row r="38" spans="1:28">
      <c r="A38" s="9"/>
      <c r="B38" s="9"/>
      <c r="C38" s="33"/>
      <c r="D38" s="26" t="s">
        <v>11</v>
      </c>
      <c r="E38" s="32"/>
      <c r="F38" s="74">
        <f t="shared" si="5"/>
        <v>565574</v>
      </c>
      <c r="G38" s="74">
        <f t="shared" si="5"/>
        <v>344501</v>
      </c>
      <c r="H38" s="74">
        <f t="shared" si="5"/>
        <v>0</v>
      </c>
      <c r="I38" s="74">
        <f t="shared" si="5"/>
        <v>196286</v>
      </c>
      <c r="J38" s="74">
        <f t="shared" si="5"/>
        <v>500596</v>
      </c>
      <c r="K38" s="64">
        <f>IFERROR(F38/G38-1,"n/a")</f>
        <v>0.64171947251241646</v>
      </c>
      <c r="L38" s="64" t="str">
        <f>IFERROR(F38/H38-1,"n/a")</f>
        <v>n/a</v>
      </c>
      <c r="M38" s="64">
        <f>IFERROR(F38/I38-1,"n/a")</f>
        <v>1.8813771741234731</v>
      </c>
      <c r="N38" s="60">
        <f>IFERROR(F38/J38-1,"n/a")</f>
        <v>0.1298012768779615</v>
      </c>
      <c r="O38" s="109"/>
      <c r="P38" s="70">
        <v>4370939</v>
      </c>
      <c r="Q38" s="82">
        <v>1527970</v>
      </c>
      <c r="R38" s="82">
        <v>0</v>
      </c>
      <c r="S38" s="82">
        <v>4234259</v>
      </c>
      <c r="T38" s="109"/>
      <c r="U38" s="64">
        <f>IFERROR(P38/Q38-1,"n/a")</f>
        <v>1.8606183367474491</v>
      </c>
      <c r="V38" s="64" t="str">
        <f>IFERROR(P38/R38-1,"n/a")</f>
        <v>n/a</v>
      </c>
      <c r="W38" s="60">
        <f>IFERROR(P38/S38-1,"n/a")</f>
        <v>3.2279555879789035E-2</v>
      </c>
      <c r="X38" s="89">
        <v>4370939</v>
      </c>
      <c r="Y38" s="89">
        <v>1527970</v>
      </c>
      <c r="Z38" s="84">
        <v>1092884</v>
      </c>
      <c r="AA38" s="78">
        <v>4234259</v>
      </c>
      <c r="AB38" s="9"/>
    </row>
    <row r="39" spans="1:28">
      <c r="A39" s="9"/>
      <c r="B39" s="9"/>
      <c r="C39" s="31" t="s">
        <v>109</v>
      </c>
      <c r="D39" s="26"/>
      <c r="E39" s="32"/>
      <c r="F39" s="26"/>
      <c r="G39" s="26"/>
      <c r="H39" s="26"/>
      <c r="I39" s="26"/>
      <c r="J39" s="26"/>
      <c r="K39" s="64"/>
      <c r="L39" s="64"/>
      <c r="M39" s="64"/>
      <c r="N39" s="61"/>
      <c r="O39" s="110"/>
      <c r="P39" s="87"/>
      <c r="Q39" s="87"/>
      <c r="R39" s="87"/>
      <c r="S39" s="87"/>
      <c r="T39" s="110"/>
      <c r="U39" s="65"/>
      <c r="V39" s="65"/>
      <c r="W39" s="61"/>
      <c r="X39" s="90"/>
      <c r="Y39" s="90"/>
      <c r="Z39" s="44"/>
      <c r="AA39" s="79"/>
      <c r="AB39" s="9"/>
    </row>
    <row r="40" spans="1:28">
      <c r="A40" s="9"/>
      <c r="B40" s="9"/>
      <c r="C40" s="33"/>
      <c r="D40" s="26" t="s">
        <v>5</v>
      </c>
      <c r="E40" s="32"/>
      <c r="F40" s="74">
        <f t="shared" ref="F40:J41" si="6">F16</f>
        <v>16</v>
      </c>
      <c r="G40" s="74">
        <f t="shared" si="6"/>
        <v>26</v>
      </c>
      <c r="H40" s="74">
        <f t="shared" si="6"/>
        <v>5</v>
      </c>
      <c r="I40" s="74">
        <f t="shared" si="6"/>
        <v>1</v>
      </c>
      <c r="J40" s="74">
        <f t="shared" si="6"/>
        <v>10</v>
      </c>
      <c r="K40" s="64">
        <f>IFERROR(F40/G40-1,"n/a")</f>
        <v>-0.38461538461538458</v>
      </c>
      <c r="L40" s="64">
        <f>IFERROR(F40/H40-1,"n/a")</f>
        <v>2.2000000000000002</v>
      </c>
      <c r="M40" s="64">
        <f>IFERROR(F40/I40-1,"n/a")</f>
        <v>15</v>
      </c>
      <c r="N40" s="60">
        <f>IFERROR(F40/J40-1,"n/a")</f>
        <v>0.60000000000000009</v>
      </c>
      <c r="O40" s="108"/>
      <c r="P40" s="70">
        <v>563</v>
      </c>
      <c r="Q40" s="70">
        <v>226</v>
      </c>
      <c r="R40" s="70">
        <v>56</v>
      </c>
      <c r="S40" s="70">
        <v>573</v>
      </c>
      <c r="T40" s="108"/>
      <c r="U40" s="64">
        <f>IFERROR(P40/Q40-1,"n/a")</f>
        <v>1.4911504424778763</v>
      </c>
      <c r="V40" s="64">
        <f>IFERROR(P40/R40-1,"n/a")</f>
        <v>9.0535714285714288</v>
      </c>
      <c r="W40" s="60">
        <f>IFERROR(P40/S40-1,"n/a")</f>
        <v>-1.7452006980802848E-2</v>
      </c>
      <c r="X40" s="89">
        <v>563</v>
      </c>
      <c r="Y40" s="89">
        <v>226</v>
      </c>
      <c r="Z40" s="70">
        <v>66</v>
      </c>
      <c r="AA40" s="78">
        <v>573</v>
      </c>
      <c r="AB40" s="9"/>
    </row>
    <row r="41" spans="1:28">
      <c r="A41" s="9"/>
      <c r="B41" s="9"/>
      <c r="C41" s="33"/>
      <c r="D41" s="26" t="s">
        <v>11</v>
      </c>
      <c r="E41" s="32"/>
      <c r="F41" s="74">
        <f t="shared" si="6"/>
        <v>43135</v>
      </c>
      <c r="G41" s="74">
        <f t="shared" si="6"/>
        <v>28377</v>
      </c>
      <c r="H41" s="74">
        <f t="shared" si="6"/>
        <v>4146</v>
      </c>
      <c r="I41" s="74">
        <f t="shared" si="6"/>
        <v>565</v>
      </c>
      <c r="J41" s="74">
        <f t="shared" si="6"/>
        <v>32801</v>
      </c>
      <c r="K41" s="64">
        <f>IFERROR(F41/G41-1,"n/a")</f>
        <v>0.52006907002149627</v>
      </c>
      <c r="L41" s="64">
        <f>IFERROR(F41/H41-1,"n/a")</f>
        <v>9.4040038591413406</v>
      </c>
      <c r="M41" s="64">
        <f>IFERROR(F41/I41-1,"n/a")</f>
        <v>75.345132743362825</v>
      </c>
      <c r="N41" s="60">
        <f>IFERROR(F41/J41-1,"n/a")</f>
        <v>0.31505137038504927</v>
      </c>
      <c r="O41" s="109"/>
      <c r="P41" s="70">
        <v>1012510</v>
      </c>
      <c r="Q41" s="70">
        <v>327926</v>
      </c>
      <c r="R41" s="70">
        <v>39665</v>
      </c>
      <c r="S41" s="70">
        <v>1361671</v>
      </c>
      <c r="T41" s="108"/>
      <c r="U41" s="64">
        <f>IFERROR(P41/Q41-1,"n/a")</f>
        <v>2.0876173282996775</v>
      </c>
      <c r="V41" s="64">
        <f>IFERROR(P41/R41-1,"n/a")</f>
        <v>24.52653472834993</v>
      </c>
      <c r="W41" s="60">
        <f>IFERROR(P41/S41-1,"n/a")</f>
        <v>-0.25642097099813388</v>
      </c>
      <c r="X41" s="89">
        <v>1012510</v>
      </c>
      <c r="Y41" s="89">
        <v>327926</v>
      </c>
      <c r="Z41" s="84">
        <v>80778</v>
      </c>
      <c r="AA41" s="78">
        <v>1361671</v>
      </c>
      <c r="AB41" s="9"/>
    </row>
    <row r="42" spans="1:28">
      <c r="A42" s="9"/>
      <c r="B42" s="9"/>
      <c r="C42" s="31" t="s">
        <v>110</v>
      </c>
      <c r="D42" s="26"/>
      <c r="E42" s="32"/>
      <c r="F42" s="87"/>
      <c r="G42" s="87"/>
      <c r="H42" s="87"/>
      <c r="I42" s="87"/>
      <c r="J42" s="72"/>
      <c r="K42" s="64"/>
      <c r="L42" s="64"/>
      <c r="M42" s="64"/>
      <c r="N42" s="60"/>
      <c r="O42" s="110"/>
      <c r="P42" s="87"/>
      <c r="Q42" s="87"/>
      <c r="R42" s="87"/>
      <c r="S42" s="87"/>
      <c r="T42" s="110"/>
      <c r="U42" s="64"/>
      <c r="V42" s="64"/>
      <c r="W42" s="60"/>
      <c r="X42" s="90"/>
      <c r="Y42" s="90"/>
      <c r="Z42" s="44"/>
      <c r="AA42" s="79"/>
      <c r="AB42" s="9"/>
    </row>
    <row r="43" spans="1:28">
      <c r="A43" s="9"/>
      <c r="B43" s="9"/>
      <c r="C43" s="33"/>
      <c r="D43" s="26" t="s">
        <v>5</v>
      </c>
      <c r="E43" s="32"/>
      <c r="F43" s="74">
        <f t="shared" ref="F43:J44" si="7">F19</f>
        <v>17</v>
      </c>
      <c r="G43" s="74">
        <f t="shared" si="7"/>
        <v>6</v>
      </c>
      <c r="H43" s="74">
        <f t="shared" si="7"/>
        <v>0</v>
      </c>
      <c r="I43" s="74">
        <f t="shared" si="7"/>
        <v>2</v>
      </c>
      <c r="J43" s="74">
        <f t="shared" si="7"/>
        <v>5</v>
      </c>
      <c r="K43" s="64">
        <f>IFERROR(F43/G43-1,"n/a")</f>
        <v>1.8333333333333335</v>
      </c>
      <c r="L43" s="64" t="str">
        <f>IFERROR(F43/H43-1,"n/a")</f>
        <v>n/a</v>
      </c>
      <c r="M43" s="64">
        <f>IFERROR(F43/I43-1,"n/a")</f>
        <v>7.5</v>
      </c>
      <c r="N43" s="60">
        <f>IFERROR(F43/J43-1,"n/a")</f>
        <v>2.4</v>
      </c>
      <c r="O43" s="108"/>
      <c r="P43" s="70">
        <v>669</v>
      </c>
      <c r="Q43" s="70">
        <v>59</v>
      </c>
      <c r="R43" s="70">
        <v>6</v>
      </c>
      <c r="S43" s="70">
        <v>287</v>
      </c>
      <c r="T43" s="108"/>
      <c r="U43" s="64">
        <f>IFERROR(P43/Q43-1,"n/a")</f>
        <v>10.338983050847459</v>
      </c>
      <c r="V43" s="64">
        <f>IFERROR(P43/R43-1,"n/a")</f>
        <v>110.5</v>
      </c>
      <c r="W43" s="60">
        <f>IFERROR(P43/S43-1,"n/a")</f>
        <v>1.3310104529616726</v>
      </c>
      <c r="X43" s="89">
        <v>669</v>
      </c>
      <c r="Y43" s="89">
        <v>59</v>
      </c>
      <c r="Z43" s="70">
        <v>9</v>
      </c>
      <c r="AA43" s="78">
        <v>287</v>
      </c>
      <c r="AB43" s="9"/>
    </row>
    <row r="44" spans="1:28">
      <c r="A44" s="9"/>
      <c r="B44" s="9"/>
      <c r="C44" s="33"/>
      <c r="D44" s="26" t="s">
        <v>11</v>
      </c>
      <c r="E44" s="32"/>
      <c r="F44" s="74">
        <f t="shared" si="7"/>
        <v>14734</v>
      </c>
      <c r="G44" s="74">
        <f t="shared" si="7"/>
        <v>595</v>
      </c>
      <c r="H44" s="74">
        <f t="shared" si="7"/>
        <v>0</v>
      </c>
      <c r="I44" s="74">
        <f t="shared" si="7"/>
        <v>887</v>
      </c>
      <c r="J44" s="74">
        <f t="shared" si="7"/>
        <v>4876</v>
      </c>
      <c r="K44" s="64">
        <f>IFERROR(F44/G44-1,"n/a")</f>
        <v>23.763025210084034</v>
      </c>
      <c r="L44" s="64" t="str">
        <f>IFERROR(F44/H44-1,"n/a")</f>
        <v>n/a</v>
      </c>
      <c r="M44" s="64">
        <f>IFERROR(F44/I44-1,"n/a")</f>
        <v>15.611048478015782</v>
      </c>
      <c r="N44" s="60">
        <f>IFERROR(F44/J44-1,"n/a")</f>
        <v>2.0217391304347827</v>
      </c>
      <c r="O44" s="109"/>
      <c r="P44" s="70">
        <v>905256</v>
      </c>
      <c r="Q44" s="70">
        <f>19875+751</f>
        <v>20626</v>
      </c>
      <c r="R44" s="70">
        <v>8294</v>
      </c>
      <c r="S44" s="70">
        <v>581199</v>
      </c>
      <c r="T44" s="108"/>
      <c r="U44" s="64">
        <f>IFERROR(P44/Q44-1,"n/a")</f>
        <v>42.889072044991757</v>
      </c>
      <c r="V44" s="64">
        <f>IFERROR(P44/R44-1,"n/a")</f>
        <v>108.14588859416446</v>
      </c>
      <c r="W44" s="60">
        <f>IFERROR(P44/S44-1,"n/a")</f>
        <v>0.55756634130478555</v>
      </c>
      <c r="X44" s="82">
        <f>709768+195488</f>
        <v>905256</v>
      </c>
      <c r="Y44" s="82">
        <v>20626</v>
      </c>
      <c r="Z44" s="84">
        <v>10047</v>
      </c>
      <c r="AA44" s="78">
        <v>581199</v>
      </c>
      <c r="AB44" s="9"/>
    </row>
    <row r="45" spans="1:28">
      <c r="A45" s="9"/>
      <c r="B45" s="9"/>
      <c r="C45" s="31" t="s">
        <v>111</v>
      </c>
      <c r="D45" s="26"/>
      <c r="E45" s="34"/>
      <c r="F45" s="72"/>
      <c r="G45" s="72"/>
      <c r="H45" s="72"/>
      <c r="I45" s="72"/>
      <c r="J45" s="72"/>
      <c r="K45" s="64"/>
      <c r="L45" s="64"/>
      <c r="M45" s="64"/>
      <c r="N45" s="60"/>
      <c r="O45" s="110"/>
      <c r="P45" s="87"/>
      <c r="Q45" s="87"/>
      <c r="R45" s="87"/>
      <c r="S45" s="87"/>
      <c r="T45" s="110"/>
      <c r="U45" s="64"/>
      <c r="V45" s="64"/>
      <c r="W45" s="60"/>
      <c r="X45" s="90"/>
      <c r="Y45" s="90"/>
      <c r="Z45" s="44"/>
      <c r="AA45" s="79"/>
      <c r="AB45" s="9"/>
    </row>
    <row r="46" spans="1:28">
      <c r="A46" s="9"/>
      <c r="B46" s="9"/>
      <c r="C46" s="33"/>
      <c r="D46" s="26" t="s">
        <v>5</v>
      </c>
      <c r="E46" s="34"/>
      <c r="F46" s="74">
        <f t="shared" ref="F46:J47" si="8">F22</f>
        <v>108</v>
      </c>
      <c r="G46" s="74">
        <f t="shared" si="8"/>
        <v>24</v>
      </c>
      <c r="H46" s="74">
        <f t="shared" si="8"/>
        <v>0</v>
      </c>
      <c r="I46" s="74">
        <f t="shared" si="8"/>
        <v>10</v>
      </c>
      <c r="J46" s="74">
        <f t="shared" si="8"/>
        <v>44</v>
      </c>
      <c r="K46" s="64">
        <f>IFERROR(F46/G46-1,"n/a")</f>
        <v>3.5</v>
      </c>
      <c r="L46" s="64" t="str">
        <f>IFERROR(F46/H46-1,"n/a")</f>
        <v>n/a</v>
      </c>
      <c r="M46" s="64">
        <f>IFERROR(F46/I46-1,"n/a")</f>
        <v>9.8000000000000007</v>
      </c>
      <c r="N46" s="60">
        <f>IFERROR(F46/J46-1,"n/a")</f>
        <v>1.4545454545454546</v>
      </c>
      <c r="O46" s="108"/>
      <c r="P46" s="70">
        <v>1129</v>
      </c>
      <c r="Q46" s="70">
        <v>336</v>
      </c>
      <c r="R46" s="70">
        <v>55</v>
      </c>
      <c r="S46" s="70">
        <v>781</v>
      </c>
      <c r="T46" s="108"/>
      <c r="U46" s="64">
        <f>IFERROR(P46/Q46-1,"n/a")</f>
        <v>2.3601190476190474</v>
      </c>
      <c r="V46" s="64">
        <f>IFERROR(P46/R46-1,"n/a")</f>
        <v>19.527272727272727</v>
      </c>
      <c r="W46" s="60">
        <f>IFERROR(P46/S46-1,"n/a")</f>
        <v>0.4455825864276568</v>
      </c>
      <c r="X46" s="89">
        <v>1129</v>
      </c>
      <c r="Y46" s="89">
        <v>336</v>
      </c>
      <c r="Z46" s="84">
        <v>43</v>
      </c>
      <c r="AA46" s="78">
        <v>781</v>
      </c>
      <c r="AB46" s="9"/>
    </row>
    <row r="47" spans="1:28">
      <c r="A47" s="9"/>
      <c r="B47" s="9"/>
      <c r="C47" s="33"/>
      <c r="D47" s="26" t="s">
        <v>11</v>
      </c>
      <c r="E47" s="32"/>
      <c r="F47" s="74">
        <f t="shared" si="8"/>
        <v>297870</v>
      </c>
      <c r="G47" s="74">
        <f t="shared" si="8"/>
        <v>32594</v>
      </c>
      <c r="H47" s="74">
        <f t="shared" si="8"/>
        <v>0</v>
      </c>
      <c r="I47" s="74">
        <f t="shared" si="8"/>
        <v>28535</v>
      </c>
      <c r="J47" s="74">
        <f t="shared" si="8"/>
        <v>117674</v>
      </c>
      <c r="K47" s="64">
        <f>IFERROR(F47/G47-1,"n/a")</f>
        <v>8.1387985518807149</v>
      </c>
      <c r="L47" s="64" t="str">
        <f>IFERROR(F47/H47-1,"n/a")</f>
        <v>n/a</v>
      </c>
      <c r="M47" s="64">
        <f>IFERROR(F47/I47-1,"n/a")</f>
        <v>9.4387594182582788</v>
      </c>
      <c r="N47" s="60">
        <f>IFERROR(F47/J47-1,"n/a")</f>
        <v>1.5313153287897072</v>
      </c>
      <c r="O47" s="109"/>
      <c r="P47" s="70">
        <v>2932981</v>
      </c>
      <c r="Q47" s="70">
        <v>533563</v>
      </c>
      <c r="R47" s="70">
        <v>56442</v>
      </c>
      <c r="S47" s="70">
        <v>2441594</v>
      </c>
      <c r="T47" s="108"/>
      <c r="U47" s="64">
        <f>IFERROR(P47/Q47-1,"n/a")</f>
        <v>4.496972241328578</v>
      </c>
      <c r="V47" s="64">
        <f>IFERROR(P47/R47-1,"n/a")</f>
        <v>50.964512242656177</v>
      </c>
      <c r="W47" s="60">
        <f>IFERROR(P47/S47-1,"n/a")</f>
        <v>0.2012566380815155</v>
      </c>
      <c r="X47" s="82">
        <v>2932981</v>
      </c>
      <c r="Y47" s="82">
        <v>533563</v>
      </c>
      <c r="Z47" s="84">
        <v>140552</v>
      </c>
      <c r="AA47" s="78">
        <v>2441594</v>
      </c>
      <c r="AB47" s="9"/>
    </row>
    <row r="48" spans="1:28">
      <c r="C48" s="31" t="s">
        <v>112</v>
      </c>
      <c r="D48" s="26"/>
      <c r="E48" s="32"/>
      <c r="F48" s="72"/>
      <c r="G48" s="72"/>
      <c r="H48" s="72"/>
      <c r="I48" s="72"/>
      <c r="J48" s="72"/>
      <c r="K48" s="64"/>
      <c r="L48" s="64"/>
      <c r="M48" s="64"/>
      <c r="N48" s="60"/>
      <c r="O48" s="110"/>
      <c r="P48" s="87"/>
      <c r="Q48" s="87"/>
      <c r="R48" s="87"/>
      <c r="S48" s="87"/>
      <c r="T48" s="110"/>
      <c r="U48" s="64"/>
      <c r="V48" s="64"/>
      <c r="W48" s="60"/>
      <c r="X48" s="90"/>
      <c r="Y48" s="90"/>
      <c r="Z48" s="44"/>
      <c r="AA48" s="79"/>
      <c r="AB48" s="9"/>
    </row>
    <row r="49" spans="3:28">
      <c r="C49" s="33"/>
      <c r="D49" s="26" t="s">
        <v>5</v>
      </c>
      <c r="E49" s="32"/>
      <c r="F49" s="74">
        <f t="shared" ref="F49:J50" si="9">F25</f>
        <v>0</v>
      </c>
      <c r="G49" s="74">
        <f t="shared" si="9"/>
        <v>0</v>
      </c>
      <c r="H49" s="74">
        <f t="shared" si="9"/>
        <v>0</v>
      </c>
      <c r="I49" s="74">
        <f t="shared" si="9"/>
        <v>0</v>
      </c>
      <c r="J49" s="74">
        <f t="shared" si="9"/>
        <v>0</v>
      </c>
      <c r="K49" s="64" t="str">
        <f>IFERROR(F49/G49-1,"n/a")</f>
        <v>n/a</v>
      </c>
      <c r="L49" s="64" t="str">
        <f>IFERROR(F49/H49-1,"n/a")</f>
        <v>n/a</v>
      </c>
      <c r="M49" s="64" t="str">
        <f>IFERROR(F49/I49-1,"n/a")</f>
        <v>n/a</v>
      </c>
      <c r="N49" s="60" t="str">
        <f>IFERROR(F49/J49-1,"n/a")</f>
        <v>n/a</v>
      </c>
      <c r="O49" s="108"/>
      <c r="P49" s="70">
        <v>9</v>
      </c>
      <c r="Q49" s="82">
        <v>0</v>
      </c>
      <c r="R49" s="82">
        <v>0</v>
      </c>
      <c r="S49" s="70">
        <v>16</v>
      </c>
      <c r="T49" s="108"/>
      <c r="U49" s="64" t="str">
        <f>IFERROR(P49/Q49-1,"n/a")</f>
        <v>n/a</v>
      </c>
      <c r="V49" s="64" t="str">
        <f>IFERROR(P49/R49-1,"n/a")</f>
        <v>n/a</v>
      </c>
      <c r="W49" s="60">
        <f>IFERROR(P49/S49-1,"n/a")</f>
        <v>-0.4375</v>
      </c>
      <c r="X49" s="89">
        <v>9</v>
      </c>
      <c r="Y49" s="68">
        <v>0</v>
      </c>
      <c r="Z49" s="68">
        <v>0</v>
      </c>
      <c r="AA49" s="78">
        <v>16</v>
      </c>
      <c r="AB49" s="9"/>
    </row>
    <row r="50" spans="3:28">
      <c r="C50" s="33"/>
      <c r="D50" s="26" t="s">
        <v>11</v>
      </c>
      <c r="E50" s="32"/>
      <c r="F50" s="74">
        <f t="shared" si="9"/>
        <v>0</v>
      </c>
      <c r="G50" s="74">
        <f t="shared" si="9"/>
        <v>0</v>
      </c>
      <c r="H50" s="74">
        <f t="shared" si="9"/>
        <v>0</v>
      </c>
      <c r="I50" s="74">
        <f t="shared" si="9"/>
        <v>0</v>
      </c>
      <c r="J50" s="74">
        <f t="shared" si="9"/>
        <v>0</v>
      </c>
      <c r="K50" s="64" t="str">
        <f>IFERROR(F50/G50-1,"n/a")</f>
        <v>n/a</v>
      </c>
      <c r="L50" s="64" t="str">
        <f>IFERROR(F50/H50-1,"n/a")</f>
        <v>n/a</v>
      </c>
      <c r="M50" s="64" t="str">
        <f>IFERROR(F50/I50-1,"n/a")</f>
        <v>n/a</v>
      </c>
      <c r="N50" s="60" t="str">
        <f>IFERROR(F50/J50-1,"n/a")</f>
        <v>n/a</v>
      </c>
      <c r="O50" s="109"/>
      <c r="P50" s="82">
        <v>15637</v>
      </c>
      <c r="Q50" s="82">
        <v>0</v>
      </c>
      <c r="R50" s="82">
        <v>0</v>
      </c>
      <c r="S50" s="82">
        <v>20248</v>
      </c>
      <c r="T50" s="109"/>
      <c r="U50" s="64" t="str">
        <f>IFERROR(P50/Q50-1,"n/a")</f>
        <v>n/a</v>
      </c>
      <c r="V50" s="64" t="str">
        <f>IFERROR(P50/R50-1,"n/a")</f>
        <v>n/a</v>
      </c>
      <c r="W50" s="60">
        <f>IFERROR(P50/S50-1,"n/a")</f>
        <v>-0.22772619517977088</v>
      </c>
      <c r="X50" s="82">
        <v>15637</v>
      </c>
      <c r="Y50" s="68">
        <v>0</v>
      </c>
      <c r="Z50" s="68">
        <v>0</v>
      </c>
      <c r="AA50" s="78">
        <v>20248</v>
      </c>
      <c r="AB50" s="9"/>
    </row>
    <row r="51" spans="3:28" ht="15.75" thickBot="1">
      <c r="C51" s="35" t="s">
        <v>12</v>
      </c>
      <c r="D51" s="36"/>
      <c r="E51" s="37"/>
      <c r="F51" s="75">
        <f t="shared" ref="F51:J52" si="10">F37+F40+F43+F46+F49</f>
        <v>322</v>
      </c>
      <c r="G51" s="75">
        <f t="shared" si="10"/>
        <v>260</v>
      </c>
      <c r="H51" s="75">
        <f t="shared" si="10"/>
        <v>5</v>
      </c>
      <c r="I51" s="75">
        <f t="shared" si="10"/>
        <v>160</v>
      </c>
      <c r="J51" s="75">
        <f t="shared" si="10"/>
        <v>229</v>
      </c>
      <c r="K51" s="66">
        <f>IFERROR(F51/G51-1,"n/a")</f>
        <v>0.2384615384615385</v>
      </c>
      <c r="L51" s="66">
        <f>IFERROR(F51/H51-1,"n/a")</f>
        <v>63.400000000000006</v>
      </c>
      <c r="M51" s="66">
        <f>IFERROR(F51/I51-1,"n/a")</f>
        <v>1.0125000000000002</v>
      </c>
      <c r="N51" s="62">
        <f>IFERROR(F51/J51-1,"n/a")</f>
        <v>0.40611353711790388</v>
      </c>
      <c r="O51" s="46"/>
      <c r="P51" s="75">
        <f t="shared" ref="P51:S52" si="11">P37+P40+P43+P46+P49</f>
        <v>3856</v>
      </c>
      <c r="Q51" s="75">
        <f t="shared" si="11"/>
        <v>1673</v>
      </c>
      <c r="R51" s="75">
        <f t="shared" si="11"/>
        <v>159</v>
      </c>
      <c r="S51" s="75">
        <f t="shared" si="11"/>
        <v>3241</v>
      </c>
      <c r="T51" s="46"/>
      <c r="U51" s="66">
        <f>IFERROR(P51/Q51-1,"n/a")</f>
        <v>1.3048416019127318</v>
      </c>
      <c r="V51" s="66">
        <f>IFERROR(P51/R51-1,"n/a")</f>
        <v>23.251572327044027</v>
      </c>
      <c r="W51" s="62">
        <f>IFERROR(P51/S51-1,"n/a")</f>
        <v>0.18975624807158287</v>
      </c>
      <c r="X51" s="46">
        <f t="shared" ref="X51:X52" si="12">X37+X40+X43+X46+X49</f>
        <v>3856</v>
      </c>
      <c r="Y51" s="46">
        <f t="shared" ref="Y51:AA52" si="13">Y37+Y40+Y43+Y46+Y49</f>
        <v>1673</v>
      </c>
      <c r="Z51" s="46">
        <f t="shared" si="13"/>
        <v>669</v>
      </c>
      <c r="AA51" s="80">
        <f t="shared" si="13"/>
        <v>3241</v>
      </c>
      <c r="AB51" s="9"/>
    </row>
    <row r="52" spans="3:28" ht="16.5" thickTop="1" thickBot="1">
      <c r="C52" s="38" t="s">
        <v>13</v>
      </c>
      <c r="D52" s="39"/>
      <c r="E52" s="40"/>
      <c r="F52" s="76">
        <f t="shared" si="10"/>
        <v>921313</v>
      </c>
      <c r="G52" s="76">
        <f t="shared" si="10"/>
        <v>406067</v>
      </c>
      <c r="H52" s="76">
        <f t="shared" si="10"/>
        <v>4146</v>
      </c>
      <c r="I52" s="76">
        <f t="shared" si="10"/>
        <v>226273</v>
      </c>
      <c r="J52" s="76">
        <f t="shared" si="10"/>
        <v>655947</v>
      </c>
      <c r="K52" s="67">
        <f>IFERROR(F52/G52-1,"n/a")</f>
        <v>1.2688694230262492</v>
      </c>
      <c r="L52" s="67">
        <f>IFERROR(F52/H52-1,"n/a")</f>
        <v>221.21731789676798</v>
      </c>
      <c r="M52" s="67">
        <f>IFERROR(F52/I52-1,"n/a")</f>
        <v>3.071687740030848</v>
      </c>
      <c r="N52" s="63">
        <f>IFERROR(F52/J52-1,"n/a")</f>
        <v>0.40455402646860184</v>
      </c>
      <c r="O52" s="47"/>
      <c r="P52" s="76">
        <f t="shared" si="11"/>
        <v>9237323</v>
      </c>
      <c r="Q52" s="76">
        <f t="shared" si="11"/>
        <v>2410085</v>
      </c>
      <c r="R52" s="76">
        <f t="shared" si="11"/>
        <v>104401</v>
      </c>
      <c r="S52" s="76">
        <f t="shared" si="11"/>
        <v>8638971</v>
      </c>
      <c r="T52" s="47"/>
      <c r="U52" s="67">
        <f>IFERROR(P52/Q52-1,"n/a")</f>
        <v>2.8327789268843215</v>
      </c>
      <c r="V52" s="67">
        <f>IFERROR(P52/R52-1,"n/a")</f>
        <v>87.479257861514739</v>
      </c>
      <c r="W52" s="63">
        <f>IFERROR(P52/S52-1,"n/a")</f>
        <v>6.9261952609865229E-2</v>
      </c>
      <c r="X52" s="47">
        <f t="shared" si="12"/>
        <v>9237323</v>
      </c>
      <c r="Y52" s="47">
        <f t="shared" si="13"/>
        <v>2410085</v>
      </c>
      <c r="Z52" s="47">
        <f t="shared" si="13"/>
        <v>1324261</v>
      </c>
      <c r="AA52" s="81">
        <f t="shared" si="13"/>
        <v>8638971</v>
      </c>
      <c r="AB52" s="9"/>
    </row>
    <row r="53" spans="3:28" ht="15.75" thickTop="1">
      <c r="AB53" s="9"/>
    </row>
    <row r="54" spans="3:28">
      <c r="P54" s="111"/>
      <c r="Q54" s="111"/>
      <c r="R54" s="111"/>
      <c r="S54" s="111"/>
      <c r="AB54" s="9"/>
    </row>
    <row r="55" spans="3:28">
      <c r="P55" s="111"/>
      <c r="Q55" s="111"/>
      <c r="R55" s="111"/>
      <c r="S55" s="111"/>
      <c r="AB55" s="9"/>
    </row>
    <row r="56" spans="3:28" hidden="1">
      <c r="P56" s="111"/>
      <c r="Q56" s="111"/>
      <c r="R56" s="111"/>
      <c r="S56" s="111"/>
      <c r="AB56" s="9"/>
    </row>
    <row r="57" spans="3:28" hidden="1">
      <c r="P57" s="111"/>
      <c r="Q57" s="111"/>
      <c r="R57" s="111"/>
      <c r="S57" s="111"/>
      <c r="AB57" s="9"/>
    </row>
    <row r="58" spans="3:28" hidden="1">
      <c r="AB58" s="9"/>
    </row>
    <row r="59" spans="3:28" hidden="1">
      <c r="AB59" s="9"/>
    </row>
    <row r="60" spans="3:28" hidden="1">
      <c r="AB60" s="9"/>
    </row>
    <row r="61" spans="3:28" ht="15" customHeight="1"/>
    <row r="62" spans="3:28" ht="15" customHeight="1"/>
    <row r="63" spans="3:28" ht="15" customHeight="1"/>
    <row r="64" spans="3:28" ht="15" customHeight="1"/>
    <row r="65" ht="15" customHeight="1"/>
    <row r="66" ht="15" customHeight="1"/>
  </sheetData>
  <mergeCells count="6">
    <mergeCell ref="F9:N9"/>
    <mergeCell ref="O9:W9"/>
    <mergeCell ref="X9:AA9"/>
    <mergeCell ref="F33:N33"/>
    <mergeCell ref="O33:W33"/>
    <mergeCell ref="X33:AA33"/>
  </mergeCells>
  <pageMargins left="0.7" right="0.7" top="0.75" bottom="0.75" header="0.3" footer="0.3"/>
  <drawing r:id="rId1"/>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B66"/>
  <sheetViews>
    <sheetView showGridLines="0" topLeftCell="A32" workbookViewId="0">
      <selection activeCell="G55" sqref="G55"/>
    </sheetView>
  </sheetViews>
  <sheetFormatPr defaultColWidth="0" defaultRowHeight="15" customHeight="1" zeroHeight="1"/>
  <cols>
    <col min="1" max="2" width="4.140625" customWidth="1"/>
    <col min="3" max="3" width="3.85546875" customWidth="1"/>
    <col min="4" max="4" width="8.85546875" customWidth="1"/>
    <col min="5" max="5" width="10.85546875" bestFit="1" customWidth="1"/>
    <col min="6" max="10" width="8.85546875" customWidth="1"/>
    <col min="11" max="14" width="8" customWidth="1"/>
    <col min="15" max="19" width="10.42578125" bestFit="1" customWidth="1"/>
    <col min="20" max="21" width="8.140625" bestFit="1" customWidth="1"/>
    <col min="22" max="22" width="9" bestFit="1" customWidth="1"/>
    <col min="23" max="23" width="7.85546875" customWidth="1"/>
    <col min="24" max="26" width="10.42578125" bestFit="1" customWidth="1"/>
    <col min="27" max="27" width="11.140625" bestFit="1" customWidth="1"/>
    <col min="28" max="28" width="3.42578125" customWidth="1"/>
    <col min="29" max="16384" width="8.85546875" hidden="1"/>
  </cols>
  <sheetData>
    <row r="1" spans="1:28">
      <c r="A1" s="9"/>
      <c r="B1" s="9"/>
      <c r="C1" s="9"/>
      <c r="D1" s="9"/>
      <c r="E1" s="9"/>
      <c r="F1" s="9"/>
      <c r="G1" s="9"/>
      <c r="H1" s="9"/>
      <c r="I1" s="9"/>
      <c r="J1" s="9"/>
      <c r="K1" s="9"/>
      <c r="L1" s="9"/>
      <c r="M1" s="9"/>
      <c r="N1" s="9"/>
      <c r="O1" s="9"/>
      <c r="P1" s="9"/>
      <c r="Q1" s="9"/>
      <c r="R1" s="9"/>
      <c r="S1" s="9"/>
      <c r="T1" s="9"/>
      <c r="U1" s="9"/>
      <c r="V1" s="9"/>
      <c r="W1" s="9"/>
      <c r="X1" s="9"/>
      <c r="Y1" s="9"/>
      <c r="Z1" s="9"/>
      <c r="AA1" s="9"/>
      <c r="AB1" s="9"/>
    </row>
    <row r="2" spans="1:28" ht="31.35" customHeight="1" thickBot="1">
      <c r="A2" s="9"/>
      <c r="B2" s="8" t="s">
        <v>6</v>
      </c>
      <c r="C2" s="23"/>
      <c r="D2" s="23"/>
      <c r="E2" s="23"/>
      <c r="F2" s="23"/>
      <c r="G2" s="23"/>
      <c r="H2" s="23"/>
      <c r="I2" s="23"/>
      <c r="J2" s="23"/>
      <c r="K2" s="23"/>
      <c r="L2" s="23"/>
      <c r="M2" s="23"/>
      <c r="N2" s="23"/>
      <c r="O2" s="23"/>
      <c r="P2" s="23"/>
      <c r="Q2" s="23"/>
      <c r="R2" s="23"/>
      <c r="S2" s="23"/>
      <c r="T2" s="23"/>
      <c r="U2" s="23"/>
      <c r="V2" s="23"/>
      <c r="W2" s="23"/>
      <c r="X2" s="23"/>
      <c r="Y2" s="23"/>
      <c r="Z2" s="23"/>
      <c r="AA2" s="23"/>
      <c r="AB2" s="9"/>
    </row>
    <row r="3" spans="1:28">
      <c r="A3" s="9"/>
      <c r="B3" s="10"/>
      <c r="C3" s="24"/>
      <c r="D3" s="24"/>
      <c r="E3" s="24"/>
      <c r="F3" s="24"/>
      <c r="G3" s="24"/>
      <c r="H3" s="24"/>
      <c r="I3" s="24"/>
      <c r="J3" s="24"/>
      <c r="K3" s="24"/>
      <c r="L3" s="24"/>
      <c r="M3" s="24"/>
      <c r="N3" s="24"/>
      <c r="O3" s="24"/>
      <c r="P3" s="24"/>
      <c r="Q3" s="24"/>
      <c r="R3" s="24"/>
      <c r="S3" s="24"/>
      <c r="T3" s="24"/>
      <c r="U3" s="24"/>
      <c r="V3" s="24"/>
      <c r="W3" s="24"/>
      <c r="X3" s="24"/>
      <c r="Y3" s="24"/>
      <c r="Z3" s="24"/>
      <c r="AA3" s="25">
        <v>45028</v>
      </c>
      <c r="AB3" s="9"/>
    </row>
    <row r="4" spans="1:28" ht="15.75">
      <c r="A4" s="9"/>
      <c r="B4" s="11" t="s">
        <v>7</v>
      </c>
      <c r="C4" s="26"/>
      <c r="D4" s="24"/>
      <c r="E4" s="58" t="s">
        <v>106</v>
      </c>
      <c r="F4" s="24"/>
      <c r="G4" s="24"/>
      <c r="H4" s="24"/>
      <c r="I4" s="24"/>
      <c r="J4" s="24"/>
      <c r="K4" s="24"/>
      <c r="L4" s="24"/>
      <c r="M4" s="24"/>
      <c r="N4" s="24"/>
      <c r="O4" s="24"/>
      <c r="P4" s="24"/>
      <c r="Q4" s="24"/>
      <c r="R4" s="24"/>
      <c r="S4" s="24"/>
      <c r="T4" s="24"/>
      <c r="U4" s="24"/>
      <c r="V4" s="24"/>
      <c r="W4" s="24"/>
      <c r="X4" s="24"/>
      <c r="Y4" s="24"/>
      <c r="Z4" s="24"/>
      <c r="AA4" s="24"/>
      <c r="AB4" s="9"/>
    </row>
    <row r="5" spans="1:28">
      <c r="A5" s="9"/>
      <c r="B5" s="10"/>
      <c r="C5" s="24"/>
      <c r="D5" s="24"/>
      <c r="E5" s="24"/>
      <c r="F5" s="24"/>
      <c r="G5" s="24"/>
      <c r="H5" s="24"/>
      <c r="I5" s="24"/>
      <c r="J5" s="24"/>
      <c r="K5" s="24"/>
      <c r="L5" s="24"/>
      <c r="M5" s="24"/>
      <c r="N5" s="24"/>
      <c r="O5" s="24"/>
      <c r="P5" s="24"/>
      <c r="Q5" s="24"/>
      <c r="R5" s="24"/>
      <c r="S5" s="24"/>
      <c r="T5" s="24"/>
      <c r="U5" s="24"/>
      <c r="V5" s="24"/>
      <c r="W5" s="24"/>
      <c r="X5" s="24"/>
      <c r="Y5" s="24"/>
      <c r="Z5" s="24"/>
      <c r="AA5" s="24"/>
      <c r="AB5" s="9"/>
    </row>
    <row r="6" spans="1:28">
      <c r="A6" s="9"/>
      <c r="B6" s="10"/>
      <c r="C6" s="24"/>
      <c r="D6" s="24"/>
      <c r="E6" s="24"/>
      <c r="F6" s="24"/>
      <c r="G6" s="24"/>
      <c r="H6" s="24"/>
      <c r="I6" s="24"/>
      <c r="J6" s="24"/>
      <c r="K6" s="24"/>
      <c r="L6" s="24"/>
      <c r="M6" s="24"/>
      <c r="N6" s="24"/>
      <c r="O6" s="24"/>
      <c r="P6" s="24"/>
      <c r="Q6" s="24"/>
      <c r="R6" s="24"/>
      <c r="S6" s="24"/>
      <c r="T6" s="24"/>
      <c r="U6" s="24"/>
      <c r="V6" s="24"/>
      <c r="W6" s="24"/>
      <c r="X6" s="24"/>
      <c r="Y6" s="24"/>
      <c r="Z6" s="24"/>
      <c r="AA6" s="24"/>
      <c r="AB6" s="9"/>
    </row>
    <row r="7" spans="1:28">
      <c r="A7" s="9"/>
      <c r="B7" s="10"/>
      <c r="C7" s="86" t="s">
        <v>62</v>
      </c>
      <c r="D7" s="24"/>
      <c r="E7" s="24"/>
      <c r="F7" s="24"/>
      <c r="G7" s="24"/>
      <c r="H7" s="24"/>
      <c r="I7" s="24"/>
      <c r="J7" s="24"/>
      <c r="K7" s="24"/>
      <c r="L7" s="24"/>
      <c r="M7" s="24"/>
      <c r="N7" s="24"/>
      <c r="O7" s="24"/>
      <c r="P7" s="24"/>
      <c r="Q7" s="24"/>
      <c r="R7" s="24"/>
      <c r="S7" s="24"/>
      <c r="T7" s="24"/>
      <c r="U7" s="24"/>
      <c r="V7" s="24"/>
      <c r="W7" s="24"/>
      <c r="X7" s="24"/>
      <c r="Y7" s="24"/>
      <c r="Z7" s="24"/>
      <c r="AA7" s="24"/>
      <c r="AB7" s="9"/>
    </row>
    <row r="8" spans="1:28">
      <c r="A8" s="9"/>
      <c r="B8" s="10"/>
      <c r="C8" s="24"/>
      <c r="D8" s="24"/>
      <c r="E8" s="24"/>
      <c r="F8" s="24"/>
      <c r="G8" s="24"/>
      <c r="H8" s="24"/>
      <c r="I8" s="24"/>
      <c r="J8" s="24"/>
      <c r="K8" s="24"/>
      <c r="L8" s="24"/>
      <c r="M8" s="24"/>
      <c r="N8" s="24"/>
      <c r="O8" s="24"/>
      <c r="P8" s="24"/>
      <c r="Q8" s="24"/>
      <c r="R8" s="24"/>
      <c r="S8" s="24"/>
      <c r="T8" s="24"/>
      <c r="U8" s="24"/>
      <c r="V8" s="24"/>
      <c r="W8" s="24"/>
      <c r="X8" s="24"/>
      <c r="Y8" s="24"/>
      <c r="Z8" s="24"/>
      <c r="AA8" s="24"/>
      <c r="AB8" s="9"/>
    </row>
    <row r="9" spans="1:28">
      <c r="A9" s="9"/>
      <c r="C9" s="27" t="s">
        <v>7</v>
      </c>
      <c r="D9" s="28"/>
      <c r="E9" s="28"/>
      <c r="F9" s="158" t="s">
        <v>41</v>
      </c>
      <c r="G9" s="158"/>
      <c r="H9" s="158"/>
      <c r="I9" s="158"/>
      <c r="J9" s="158"/>
      <c r="K9" s="158"/>
      <c r="L9" s="158"/>
      <c r="M9" s="158"/>
      <c r="N9" s="159"/>
      <c r="O9" s="157" t="s">
        <v>43</v>
      </c>
      <c r="P9" s="158"/>
      <c r="Q9" s="158"/>
      <c r="R9" s="158"/>
      <c r="S9" s="158"/>
      <c r="T9" s="158"/>
      <c r="U9" s="158"/>
      <c r="V9" s="158"/>
      <c r="W9" s="159"/>
      <c r="X9" s="157" t="s">
        <v>57</v>
      </c>
      <c r="Y9" s="158"/>
      <c r="Z9" s="158"/>
      <c r="AA9" s="160"/>
      <c r="AB9" s="9"/>
    </row>
    <row r="10" spans="1:28" ht="15.75">
      <c r="A10" s="9"/>
      <c r="B10" s="18"/>
      <c r="C10" s="29"/>
      <c r="D10" s="30"/>
      <c r="E10" s="30"/>
      <c r="F10" s="29"/>
      <c r="G10" s="30"/>
      <c r="H10" s="30"/>
      <c r="I10" s="30"/>
      <c r="J10" s="30"/>
      <c r="K10" s="30"/>
      <c r="L10" s="30"/>
      <c r="M10" s="30"/>
      <c r="N10" s="56"/>
      <c r="O10" s="30"/>
      <c r="P10" s="30"/>
      <c r="Q10" s="30"/>
      <c r="R10" s="30"/>
      <c r="S10" s="30"/>
      <c r="T10" s="30"/>
      <c r="U10" s="30"/>
      <c r="V10" s="30"/>
      <c r="W10" s="56"/>
      <c r="X10" s="30"/>
      <c r="Y10" s="30"/>
      <c r="Z10" s="30"/>
      <c r="AA10" s="56"/>
      <c r="AB10" s="9"/>
    </row>
    <row r="11" spans="1:28" ht="26.1" customHeight="1">
      <c r="A11" s="48"/>
      <c r="B11" s="49"/>
      <c r="C11" s="59" t="s">
        <v>29</v>
      </c>
      <c r="D11" s="50"/>
      <c r="E11" s="51"/>
      <c r="F11" s="55">
        <v>2023</v>
      </c>
      <c r="G11" s="52">
        <v>2022</v>
      </c>
      <c r="H11" s="52">
        <v>2021</v>
      </c>
      <c r="I11" s="52">
        <v>2020</v>
      </c>
      <c r="J11" s="52">
        <v>2019</v>
      </c>
      <c r="K11" s="53" t="s">
        <v>66</v>
      </c>
      <c r="L11" s="53" t="s">
        <v>67</v>
      </c>
      <c r="M11" s="53" t="s">
        <v>68</v>
      </c>
      <c r="N11" s="57" t="s">
        <v>101</v>
      </c>
      <c r="O11" s="53">
        <v>2023</v>
      </c>
      <c r="P11" s="53">
        <v>2022</v>
      </c>
      <c r="Q11" s="52">
        <v>2021</v>
      </c>
      <c r="R11" s="52">
        <v>2020</v>
      </c>
      <c r="S11" s="52">
        <v>2019</v>
      </c>
      <c r="T11" s="53" t="s">
        <v>66</v>
      </c>
      <c r="U11" s="53" t="s">
        <v>67</v>
      </c>
      <c r="V11" s="53" t="s">
        <v>68</v>
      </c>
      <c r="W11" s="57" t="s">
        <v>101</v>
      </c>
      <c r="X11" s="53">
        <v>2022</v>
      </c>
      <c r="Y11" s="53">
        <v>2021</v>
      </c>
      <c r="Z11" s="52">
        <v>2020</v>
      </c>
      <c r="AA11" s="77">
        <v>2019</v>
      </c>
      <c r="AB11" s="48"/>
    </row>
    <row r="12" spans="1:28">
      <c r="A12" s="9"/>
      <c r="B12" s="12"/>
      <c r="C12" s="31" t="s">
        <v>14</v>
      </c>
      <c r="D12" s="26"/>
      <c r="E12" s="32"/>
      <c r="F12" s="26"/>
      <c r="G12" s="26"/>
      <c r="H12" s="26"/>
      <c r="I12" s="26"/>
      <c r="J12" s="26"/>
      <c r="K12" s="26"/>
      <c r="L12" s="26"/>
      <c r="M12" s="26"/>
      <c r="N12" s="32"/>
      <c r="O12" s="26"/>
      <c r="P12" s="26"/>
      <c r="Q12" s="26"/>
      <c r="R12" s="26"/>
      <c r="S12" s="26"/>
      <c r="T12" s="26"/>
      <c r="U12" s="26"/>
      <c r="V12" s="26"/>
      <c r="W12" s="32"/>
      <c r="X12" s="26"/>
      <c r="Y12" s="26"/>
      <c r="Z12" s="26"/>
      <c r="AA12" s="32"/>
      <c r="AB12" s="9"/>
    </row>
    <row r="13" spans="1:28">
      <c r="A13" s="9"/>
      <c r="B13" s="12"/>
      <c r="C13" s="33"/>
      <c r="D13" s="26" t="s">
        <v>5</v>
      </c>
      <c r="E13" s="32"/>
      <c r="F13" s="73">
        <v>57</v>
      </c>
      <c r="G13" s="71">
        <v>74</v>
      </c>
      <c r="H13" s="71">
        <v>0</v>
      </c>
      <c r="I13" s="71">
        <v>29</v>
      </c>
      <c r="J13" s="71">
        <v>62</v>
      </c>
      <c r="K13" s="64">
        <f>IFERROR(F13/G13-1,"n/a")</f>
        <v>-0.22972972972972971</v>
      </c>
      <c r="L13" s="64" t="str">
        <f t="shared" ref="L13:L31" si="0">IFERROR(F13/H13-1,"n/a")</f>
        <v>n/a</v>
      </c>
      <c r="M13" s="64">
        <f>IFERROR(F13/I13-1,"n/a")</f>
        <v>0.96551724137931028</v>
      </c>
      <c r="N13" s="60">
        <f>IFERROR(F13/J13-1,"n/a")</f>
        <v>-8.064516129032262E-2</v>
      </c>
      <c r="O13" s="68">
        <f>F13+'Feb-23'!O13</f>
        <v>186</v>
      </c>
      <c r="P13" s="68">
        <f>G13+'Feb-23'!P13</f>
        <v>197</v>
      </c>
      <c r="Q13" s="68">
        <f>H13+'Feb-23'!Q13</f>
        <v>0</v>
      </c>
      <c r="R13" s="68">
        <f>I13+'Feb-23'!R13</f>
        <v>145</v>
      </c>
      <c r="S13" s="68">
        <f>J13+'Feb-23'!S13</f>
        <v>200</v>
      </c>
      <c r="T13" s="64">
        <f>IFERROR(O13/P13-1,"n/a")</f>
        <v>-5.5837563451776595E-2</v>
      </c>
      <c r="U13" s="64" t="str">
        <f>IFERROR(O13/Q13-1,"n/a")</f>
        <v>n/a</v>
      </c>
      <c r="V13" s="64">
        <f>IFERROR(O13/R13-1,"n/a")</f>
        <v>0.28275862068965507</v>
      </c>
      <c r="W13" s="60">
        <f>IFERROR(O13/S13-1,"n/a")</f>
        <v>-6.9999999999999951E-2</v>
      </c>
      <c r="X13" s="68">
        <v>346</v>
      </c>
      <c r="Y13" s="68">
        <v>111</v>
      </c>
      <c r="Z13" s="70">
        <v>145</v>
      </c>
      <c r="AA13" s="78">
        <v>386</v>
      </c>
      <c r="AB13" s="9"/>
    </row>
    <row r="14" spans="1:28">
      <c r="A14" s="9"/>
      <c r="B14" s="12"/>
      <c r="C14" s="33"/>
      <c r="D14" s="26" t="s">
        <v>11</v>
      </c>
      <c r="E14" s="32"/>
      <c r="F14" s="73">
        <v>109432</v>
      </c>
      <c r="G14" s="71">
        <v>60824</v>
      </c>
      <c r="H14" s="71">
        <v>0</v>
      </c>
      <c r="I14" s="71">
        <v>48626</v>
      </c>
      <c r="J14" s="71">
        <v>108846</v>
      </c>
      <c r="K14" s="64">
        <f>IFERROR(F14/G14-1,"n/a")</f>
        <v>0.79915822701565165</v>
      </c>
      <c r="L14" s="64" t="str">
        <f t="shared" si="0"/>
        <v>n/a</v>
      </c>
      <c r="M14" s="64">
        <f>IFERROR(F14/I14-1,"n/a")</f>
        <v>1.2504832805495001</v>
      </c>
      <c r="N14" s="60">
        <f>IFERROR(F14/J14-1,"n/a")</f>
        <v>5.3837531925839954E-3</v>
      </c>
      <c r="O14" s="68">
        <f>F14+'Feb-23'!O14</f>
        <v>332650</v>
      </c>
      <c r="P14" s="68">
        <f>G14+'Feb-23'!P14</f>
        <v>156328</v>
      </c>
      <c r="Q14" s="68">
        <f>H14+'Feb-23'!Q14</f>
        <v>0</v>
      </c>
      <c r="R14" s="68">
        <f>I14+'Feb-23'!R14</f>
        <v>258885</v>
      </c>
      <c r="S14" s="68">
        <f>J14+'Feb-23'!S14</f>
        <v>385380</v>
      </c>
      <c r="T14" s="64">
        <f>IFERROR(O14/P14-1,"n/a")</f>
        <v>1.127897753441482</v>
      </c>
      <c r="U14" s="64" t="str">
        <f>IFERROR(O14/Q14-1,"n/a")</f>
        <v>n/a</v>
      </c>
      <c r="V14" s="64">
        <f>IFERROR(O14/R14-1,"n/a")</f>
        <v>0.28493346466577818</v>
      </c>
      <c r="W14" s="60">
        <f>IFERROR(O14/S14-1,"n/a")</f>
        <v>-0.13682598993201511</v>
      </c>
      <c r="X14" s="68">
        <v>380182</v>
      </c>
      <c r="Y14" s="68">
        <v>80863</v>
      </c>
      <c r="Z14" s="70">
        <v>258885</v>
      </c>
      <c r="AA14" s="78">
        <v>733296</v>
      </c>
      <c r="AB14" s="9"/>
    </row>
    <row r="15" spans="1:28">
      <c r="A15" s="9"/>
      <c r="B15" s="12"/>
      <c r="C15" s="31" t="s">
        <v>74</v>
      </c>
      <c r="D15" s="26"/>
      <c r="E15" s="32"/>
      <c r="F15" s="97"/>
      <c r="G15" s="26"/>
      <c r="H15" s="26"/>
      <c r="I15" s="26"/>
      <c r="J15" s="26"/>
      <c r="K15" s="64"/>
      <c r="L15" s="64"/>
      <c r="M15" s="64"/>
      <c r="N15" s="61"/>
      <c r="O15" s="87"/>
      <c r="P15" s="87"/>
      <c r="Q15" s="87"/>
      <c r="R15" s="87"/>
      <c r="S15" s="87"/>
      <c r="T15" s="64"/>
      <c r="U15" s="64"/>
      <c r="V15" s="65"/>
      <c r="W15" s="61"/>
      <c r="X15" s="43"/>
      <c r="Y15" s="43"/>
      <c r="Z15" s="44"/>
      <c r="AA15" s="79"/>
      <c r="AB15" s="9"/>
    </row>
    <row r="16" spans="1:28">
      <c r="A16" s="9"/>
      <c r="B16" s="12"/>
      <c r="C16" s="33"/>
      <c r="D16" s="26" t="s">
        <v>5</v>
      </c>
      <c r="E16" s="32"/>
      <c r="F16" s="74">
        <v>37</v>
      </c>
      <c r="G16" s="71">
        <v>24</v>
      </c>
      <c r="H16" s="71">
        <v>0</v>
      </c>
      <c r="I16" s="71">
        <v>10</v>
      </c>
      <c r="J16" s="71">
        <v>44</v>
      </c>
      <c r="K16" s="64">
        <f>IFERROR(F16/G16-1,"n/a")</f>
        <v>0.54166666666666674</v>
      </c>
      <c r="L16" s="64" t="str">
        <f t="shared" si="0"/>
        <v>n/a</v>
      </c>
      <c r="M16" s="64">
        <f>IFERROR(F16/I16-1,"n/a")</f>
        <v>2.7</v>
      </c>
      <c r="N16" s="60">
        <f>IFERROR(F16/J16-1,"n/a")</f>
        <v>-0.15909090909090906</v>
      </c>
      <c r="O16" s="68">
        <f>F16+'Feb-23'!O16</f>
        <v>77</v>
      </c>
      <c r="P16" s="68">
        <f>G16+'Feb-23'!P16</f>
        <v>53</v>
      </c>
      <c r="Q16" s="68">
        <f>H16+'Feb-23'!Q16</f>
        <v>0</v>
      </c>
      <c r="R16" s="68">
        <f>I16+'Feb-23'!R16</f>
        <v>43</v>
      </c>
      <c r="S16" s="68">
        <f>J16+'Feb-23'!S16</f>
        <v>89</v>
      </c>
      <c r="T16" s="64">
        <f>IFERROR(O16/P16-1,"n/a")</f>
        <v>0.45283018867924518</v>
      </c>
      <c r="U16" s="64" t="str">
        <f>IFERROR(O16/Q16-1,"n/a")</f>
        <v>n/a</v>
      </c>
      <c r="V16" s="64">
        <f>IFERROR(O16/R16-1,"n/a")</f>
        <v>0.79069767441860472</v>
      </c>
      <c r="W16" s="60">
        <f>IFERROR(O16/S16-1,"n/a")</f>
        <v>-0.1348314606741573</v>
      </c>
      <c r="X16" s="68">
        <v>778</v>
      </c>
      <c r="Y16" s="68">
        <v>283</v>
      </c>
      <c r="Z16" s="70">
        <v>43</v>
      </c>
      <c r="AA16" s="78">
        <v>827</v>
      </c>
      <c r="AB16" s="9"/>
    </row>
    <row r="17" spans="1:28">
      <c r="A17" s="9"/>
      <c r="B17" s="12"/>
      <c r="C17" s="33"/>
      <c r="D17" s="26" t="s">
        <v>11</v>
      </c>
      <c r="E17" s="32"/>
      <c r="F17" s="74">
        <v>105059</v>
      </c>
      <c r="G17" s="71">
        <v>32594</v>
      </c>
      <c r="H17" s="71">
        <v>0</v>
      </c>
      <c r="I17" s="71">
        <v>28535</v>
      </c>
      <c r="J17" s="71">
        <v>117674</v>
      </c>
      <c r="K17" s="64">
        <f>IFERROR(F17/G17-1,"n/a")</f>
        <v>2.2232619500521569</v>
      </c>
      <c r="L17" s="64" t="str">
        <f t="shared" si="0"/>
        <v>n/a</v>
      </c>
      <c r="M17" s="64">
        <f>IFERROR(F17/I17-1,"n/a")</f>
        <v>2.6817592430348696</v>
      </c>
      <c r="N17" s="60">
        <f>IFERROR(F17/J17-1,"n/a")</f>
        <v>-0.10720295052432993</v>
      </c>
      <c r="O17" s="68">
        <f>F17+'Feb-23'!O17</f>
        <v>242497</v>
      </c>
      <c r="P17" s="68">
        <f>G17+'Feb-23'!P17</f>
        <v>68454</v>
      </c>
      <c r="Q17" s="68">
        <f>H17+'Feb-23'!Q17</f>
        <v>0</v>
      </c>
      <c r="R17" s="68">
        <f>I17+'Feb-23'!R17</f>
        <v>140552</v>
      </c>
      <c r="S17" s="68">
        <f>J17+'Feb-23'!S17</f>
        <v>251900</v>
      </c>
      <c r="T17" s="64">
        <f>IFERROR(O17/P17-1,"n/a")</f>
        <v>2.542481082186578</v>
      </c>
      <c r="U17" s="64" t="str">
        <f>IFERROR(O17/Q17-1,"n/a")</f>
        <v>n/a</v>
      </c>
      <c r="V17" s="64">
        <f>IFERROR(O17/R17-1,"n/a")</f>
        <v>0.72531874324093581</v>
      </c>
      <c r="W17" s="60">
        <f>IFERROR(O17/S17-1,"n/a")</f>
        <v>-3.7328304882890073E-2</v>
      </c>
      <c r="X17" s="68">
        <v>1843624</v>
      </c>
      <c r="Y17" s="68">
        <v>465109</v>
      </c>
      <c r="Z17" s="70">
        <v>140552</v>
      </c>
      <c r="AA17" s="78">
        <v>2552942</v>
      </c>
      <c r="AB17" s="9"/>
    </row>
    <row r="18" spans="1:28">
      <c r="A18" s="9"/>
      <c r="B18" s="12"/>
      <c r="C18" s="31" t="s">
        <v>15</v>
      </c>
      <c r="D18" s="26"/>
      <c r="E18" s="32"/>
      <c r="F18" s="72"/>
      <c r="G18" s="72"/>
      <c r="H18" s="72"/>
      <c r="I18" s="72"/>
      <c r="J18" s="72"/>
      <c r="K18" s="64"/>
      <c r="L18" s="64"/>
      <c r="M18" s="64"/>
      <c r="N18" s="60"/>
      <c r="O18" s="87"/>
      <c r="P18" s="87"/>
      <c r="Q18" s="87"/>
      <c r="R18" s="87"/>
      <c r="S18" s="87"/>
      <c r="T18" s="64"/>
      <c r="U18" s="64"/>
      <c r="V18" s="64"/>
      <c r="W18" s="60"/>
      <c r="X18" s="43"/>
      <c r="Y18" s="43"/>
      <c r="Z18" s="44"/>
      <c r="AA18" s="79"/>
      <c r="AB18" s="9"/>
    </row>
    <row r="19" spans="1:28">
      <c r="A19" s="9"/>
      <c r="B19" s="12"/>
      <c r="C19" s="33"/>
      <c r="D19" s="26" t="s">
        <v>5</v>
      </c>
      <c r="E19" s="32"/>
      <c r="F19" s="73">
        <v>15</v>
      </c>
      <c r="G19" s="71">
        <v>5</v>
      </c>
      <c r="H19" s="71">
        <v>0</v>
      </c>
      <c r="I19" s="71">
        <v>2</v>
      </c>
      <c r="J19" s="71">
        <v>5</v>
      </c>
      <c r="K19" s="64">
        <f>IFERROR(F19/G19-1,"n/a")</f>
        <v>2</v>
      </c>
      <c r="L19" s="64" t="str">
        <f t="shared" si="0"/>
        <v>n/a</v>
      </c>
      <c r="M19" s="64">
        <f>IFERROR(F19/I19-1,"n/a")</f>
        <v>6.5</v>
      </c>
      <c r="N19" s="60">
        <f>IFERROR(F19/J19-1,"n/a")</f>
        <v>2</v>
      </c>
      <c r="O19" s="68">
        <f>F19+'Feb-23'!O19</f>
        <v>21</v>
      </c>
      <c r="P19" s="68">
        <f>G19+'Feb-23'!P19</f>
        <v>10</v>
      </c>
      <c r="Q19" s="68">
        <f>H19+'Feb-23'!Q19</f>
        <v>0</v>
      </c>
      <c r="R19" s="68">
        <f>I19+'Feb-23'!R19</f>
        <v>3</v>
      </c>
      <c r="S19" s="68">
        <f>J19+'Feb-23'!S19</f>
        <v>6</v>
      </c>
      <c r="T19" s="64">
        <f>IFERROR(O19/P19-1,"n/a")</f>
        <v>1.1000000000000001</v>
      </c>
      <c r="U19" s="64" t="str">
        <f>IFERROR(O19/Q19-1,"n/a")</f>
        <v>n/a</v>
      </c>
      <c r="V19" s="64">
        <f>IFERROR(O19/R19-1,"n/a")</f>
        <v>6</v>
      </c>
      <c r="W19" s="60">
        <f>IFERROR(O19/S19-1,"n/a")</f>
        <v>2.5</v>
      </c>
      <c r="X19" s="68">
        <v>475</v>
      </c>
      <c r="Y19" s="68">
        <v>23</v>
      </c>
      <c r="Z19" s="70">
        <v>4</v>
      </c>
      <c r="AA19" s="78">
        <v>191</v>
      </c>
      <c r="AB19" s="9"/>
    </row>
    <row r="20" spans="1:28">
      <c r="A20" s="9"/>
      <c r="B20" s="12"/>
      <c r="C20" s="33"/>
      <c r="D20" s="26" t="s">
        <v>11</v>
      </c>
      <c r="E20" s="32"/>
      <c r="F20" s="73">
        <v>14659</v>
      </c>
      <c r="G20" s="71">
        <v>364</v>
      </c>
      <c r="H20" s="71">
        <v>0</v>
      </c>
      <c r="I20" s="71">
        <v>887</v>
      </c>
      <c r="J20" s="71">
        <v>4555</v>
      </c>
      <c r="K20" s="64">
        <f>IFERROR(F20/G20-1,"n/a")</f>
        <v>39.271978021978022</v>
      </c>
      <c r="L20" s="64" t="str">
        <f t="shared" si="0"/>
        <v>n/a</v>
      </c>
      <c r="M20" s="64">
        <f>IFERROR(F20/I20-1,"n/a")</f>
        <v>15.526493799323564</v>
      </c>
      <c r="N20" s="60">
        <f t="shared" ref="N20:N31" si="1">IFERROR(F20/J20-1,"n/a")</f>
        <v>2.2182217343578485</v>
      </c>
      <c r="O20" s="68">
        <f>F20+'Feb-23'!O20</f>
        <v>19654</v>
      </c>
      <c r="P20" s="68">
        <f>G20+'Feb-23'!P20</f>
        <v>1472</v>
      </c>
      <c r="Q20" s="68">
        <f>H20+'Feb-23'!Q20</f>
        <v>0</v>
      </c>
      <c r="R20" s="68">
        <f>I20+'Feb-23'!R20</f>
        <v>1710</v>
      </c>
      <c r="S20" s="68">
        <f>J20+'Feb-23'!S20</f>
        <v>5138</v>
      </c>
      <c r="T20" s="64">
        <f>IFERROR(O20/P20-1,"n/a")</f>
        <v>12.351902173913043</v>
      </c>
      <c r="U20" s="64" t="str">
        <f>IFERROR(O20/Q20-1,"n/a")</f>
        <v>n/a</v>
      </c>
      <c r="V20" s="64">
        <f>IFERROR(O20/R20-1,"n/a")</f>
        <v>10.493567251461988</v>
      </c>
      <c r="W20" s="60">
        <f>IFERROR(O20/S20-1,"n/a")</f>
        <v>2.8252238224990269</v>
      </c>
      <c r="X20" s="68">
        <v>561984</v>
      </c>
      <c r="Y20" s="68">
        <v>8611</v>
      </c>
      <c r="Z20" s="70">
        <v>1753</v>
      </c>
      <c r="AA20" s="78">
        <v>254421</v>
      </c>
      <c r="AB20" s="9"/>
    </row>
    <row r="21" spans="1:28">
      <c r="A21" s="9"/>
      <c r="B21" s="12"/>
      <c r="C21" s="31" t="s">
        <v>10</v>
      </c>
      <c r="D21" s="26"/>
      <c r="E21" s="34"/>
      <c r="F21" s="72"/>
      <c r="G21" s="72"/>
      <c r="H21" s="72"/>
      <c r="I21" s="72"/>
      <c r="J21" s="72"/>
      <c r="K21" s="64"/>
      <c r="L21" s="64"/>
      <c r="M21" s="64"/>
      <c r="N21" s="60"/>
      <c r="O21" s="87"/>
      <c r="P21" s="87"/>
      <c r="Q21" s="87"/>
      <c r="R21" s="87"/>
      <c r="S21" s="87"/>
      <c r="T21" s="64"/>
      <c r="U21" s="64"/>
      <c r="V21" s="64"/>
      <c r="W21" s="60"/>
      <c r="X21" s="43"/>
      <c r="Y21" s="43"/>
      <c r="Z21" s="44"/>
      <c r="AA21" s="79"/>
      <c r="AB21" s="9"/>
    </row>
    <row r="22" spans="1:28">
      <c r="A22" s="9"/>
      <c r="B22" s="12"/>
      <c r="C22" s="33"/>
      <c r="D22" s="26" t="s">
        <v>5</v>
      </c>
      <c r="E22" s="34"/>
      <c r="F22" s="74">
        <v>124</v>
      </c>
      <c r="G22" s="71">
        <v>130</v>
      </c>
      <c r="H22" s="71">
        <v>0</v>
      </c>
      <c r="I22" s="71">
        <v>118</v>
      </c>
      <c r="J22" s="71">
        <v>108</v>
      </c>
      <c r="K22" s="64">
        <f>IFERROR(F22/G22-1,"n/a")</f>
        <v>-4.6153846153846101E-2</v>
      </c>
      <c r="L22" s="64" t="str">
        <f t="shared" si="0"/>
        <v>n/a</v>
      </c>
      <c r="M22" s="64">
        <f>IFERROR(F22/I22-1,"n/a")</f>
        <v>5.0847457627118731E-2</v>
      </c>
      <c r="N22" s="60">
        <f t="shared" si="1"/>
        <v>0.14814814814814814</v>
      </c>
      <c r="O22" s="68">
        <f>F22+'Feb-23'!O22</f>
        <v>344</v>
      </c>
      <c r="P22" s="68">
        <f>G22+'Feb-23'!P22</f>
        <v>333</v>
      </c>
      <c r="Q22" s="68">
        <f>H22+'Feb-23'!Q22</f>
        <v>0</v>
      </c>
      <c r="R22" s="68">
        <f>I22+'Feb-23'!R22</f>
        <v>364</v>
      </c>
      <c r="S22" s="68">
        <f>J22+'Feb-23'!S22</f>
        <v>316</v>
      </c>
      <c r="T22" s="64">
        <f>IFERROR(O22/P22-1,"n/a")</f>
        <v>3.3033033033033066E-2</v>
      </c>
      <c r="U22" s="64" t="str">
        <f>IFERROR(O22/Q22-1,"n/a")</f>
        <v>n/a</v>
      </c>
      <c r="V22" s="64">
        <f>IFERROR(O22/R22-1,"n/a")</f>
        <v>-5.4945054945054972E-2</v>
      </c>
      <c r="W22" s="60">
        <f>IFERROR(O22/S22-1,"n/a")</f>
        <v>8.8607594936708889E-2</v>
      </c>
      <c r="X22" s="68">
        <v>1140</v>
      </c>
      <c r="Y22" s="68">
        <v>411</v>
      </c>
      <c r="Z22" s="70">
        <v>406</v>
      </c>
      <c r="AA22" s="78">
        <v>1205</v>
      </c>
      <c r="AB22" s="9"/>
    </row>
    <row r="23" spans="1:28">
      <c r="A23" s="9"/>
      <c r="B23" s="12"/>
      <c r="C23" s="33"/>
      <c r="D23" s="26" t="s">
        <v>11</v>
      </c>
      <c r="E23" s="32"/>
      <c r="F23" s="73">
        <v>456142</v>
      </c>
      <c r="G23" s="71">
        <v>283677</v>
      </c>
      <c r="H23" s="71">
        <v>0</v>
      </c>
      <c r="I23" s="71">
        <v>147660</v>
      </c>
      <c r="J23" s="71">
        <v>391750</v>
      </c>
      <c r="K23" s="64">
        <f>IFERROR(F23/G23-1,"n/a")</f>
        <v>0.60796257715641389</v>
      </c>
      <c r="L23" s="64" t="str">
        <f t="shared" si="0"/>
        <v>n/a</v>
      </c>
      <c r="M23" s="64">
        <f>IFERROR(F23/I23-1,"n/a")</f>
        <v>2.0891372070973859</v>
      </c>
      <c r="N23" s="60">
        <f t="shared" si="1"/>
        <v>0.16437013401403955</v>
      </c>
      <c r="O23" s="68">
        <f>F23+'Feb-23'!O23</f>
        <v>1205534</v>
      </c>
      <c r="P23" s="68">
        <f>G23+'Feb-23'!P23</f>
        <v>603330</v>
      </c>
      <c r="Q23" s="68">
        <f>H23+'Feb-23'!Q23</f>
        <v>0</v>
      </c>
      <c r="R23" s="68">
        <f>I23+'Feb-23'!R23</f>
        <v>833999</v>
      </c>
      <c r="S23" s="68">
        <f>J23+'Feb-23'!S23</f>
        <v>1065724</v>
      </c>
      <c r="T23" s="64">
        <f>IFERROR(O23/P23-1,"n/a")</f>
        <v>0.99813369134636099</v>
      </c>
      <c r="U23" s="64" t="str">
        <f>IFERROR(O23/Q23-1,"n/a")</f>
        <v>n/a</v>
      </c>
      <c r="V23" s="64">
        <f>IFERROR(O23/R23-1,"n/a")</f>
        <v>0.4454861456668413</v>
      </c>
      <c r="W23" s="60">
        <f>IFERROR(O23/S23-1,"n/a")</f>
        <v>0.13118781222905751</v>
      </c>
      <c r="X23" s="68">
        <v>3212646</v>
      </c>
      <c r="Y23" s="68">
        <v>687449</v>
      </c>
      <c r="Z23" s="70">
        <v>833999</v>
      </c>
      <c r="AA23" s="78">
        <v>3859183</v>
      </c>
      <c r="AB23" s="9"/>
    </row>
    <row r="24" spans="1:28">
      <c r="A24" s="9"/>
      <c r="B24" s="12"/>
      <c r="C24" s="31" t="s">
        <v>16</v>
      </c>
      <c r="D24" s="26"/>
      <c r="E24" s="32"/>
      <c r="F24" s="72"/>
      <c r="G24" s="72"/>
      <c r="H24" s="72"/>
      <c r="I24" s="72"/>
      <c r="J24" s="72"/>
      <c r="K24" s="64"/>
      <c r="L24" s="64"/>
      <c r="M24" s="64"/>
      <c r="N24" s="60"/>
      <c r="O24" s="87"/>
      <c r="P24" s="87"/>
      <c r="Q24" s="87"/>
      <c r="R24" s="87"/>
      <c r="S24" s="87"/>
      <c r="T24" s="64"/>
      <c r="U24" s="64"/>
      <c r="V24" s="64"/>
      <c r="W24" s="60"/>
      <c r="X24" s="43"/>
      <c r="Y24" s="43"/>
      <c r="Z24" s="44"/>
      <c r="AA24" s="79"/>
      <c r="AB24" s="9"/>
    </row>
    <row r="25" spans="1:28">
      <c r="A25" s="9"/>
      <c r="B25" s="12"/>
      <c r="C25" s="33"/>
      <c r="D25" s="26" t="s">
        <v>5</v>
      </c>
      <c r="E25" s="32"/>
      <c r="F25" s="73">
        <v>11</v>
      </c>
      <c r="G25" s="71">
        <v>14</v>
      </c>
      <c r="H25" s="71">
        <v>4</v>
      </c>
      <c r="I25" s="71">
        <v>1</v>
      </c>
      <c r="J25" s="71">
        <v>9</v>
      </c>
      <c r="K25" s="64">
        <f>IFERROR(F25/G25-1,"n/a")</f>
        <v>-0.2142857142857143</v>
      </c>
      <c r="L25" s="64">
        <f t="shared" si="0"/>
        <v>1.75</v>
      </c>
      <c r="M25" s="64">
        <f>IFERROR(F25/I25-1,"n/a")</f>
        <v>10</v>
      </c>
      <c r="N25" s="60">
        <f t="shared" si="1"/>
        <v>0.22222222222222232</v>
      </c>
      <c r="O25" s="68">
        <f>F25+'Feb-23'!O25</f>
        <v>20</v>
      </c>
      <c r="P25" s="68">
        <f>G25+'Feb-23'!P25</f>
        <v>23</v>
      </c>
      <c r="Q25" s="68">
        <f>H25+'Feb-23'!Q25</f>
        <v>9</v>
      </c>
      <c r="R25" s="68">
        <f>I25+'Feb-23'!R25</f>
        <v>9</v>
      </c>
      <c r="S25" s="68">
        <f>J25+'Feb-23'!S25</f>
        <v>20</v>
      </c>
      <c r="T25" s="64">
        <f>IFERROR(O25/P25-1,"n/a")</f>
        <v>-0.13043478260869568</v>
      </c>
      <c r="U25" s="64">
        <f>IFERROR(O25/Q25-1,"n/a")</f>
        <v>1.2222222222222223</v>
      </c>
      <c r="V25" s="64">
        <f>IFERROR(O25/R25-1,"n/a")</f>
        <v>1.2222222222222223</v>
      </c>
      <c r="W25" s="60">
        <f>IFERROR(O25/S25-1,"n/a")</f>
        <v>0</v>
      </c>
      <c r="X25" s="68">
        <v>283</v>
      </c>
      <c r="Y25" s="68">
        <v>107</v>
      </c>
      <c r="Z25" s="70">
        <v>32</v>
      </c>
      <c r="AA25" s="78">
        <v>372</v>
      </c>
      <c r="AB25" s="9"/>
    </row>
    <row r="26" spans="1:28">
      <c r="A26" s="9"/>
      <c r="B26" s="12"/>
      <c r="C26" s="33"/>
      <c r="D26" s="26" t="s">
        <v>11</v>
      </c>
      <c r="E26" s="32"/>
      <c r="F26" s="73">
        <v>35490</v>
      </c>
      <c r="G26" s="71">
        <v>19157</v>
      </c>
      <c r="H26" s="71">
        <v>3290</v>
      </c>
      <c r="I26" s="71">
        <v>565</v>
      </c>
      <c r="J26" s="71">
        <v>31670</v>
      </c>
      <c r="K26" s="64">
        <f>IFERROR(F26/G26-1,"n/a")</f>
        <v>0.85258652189800066</v>
      </c>
      <c r="L26" s="64">
        <f t="shared" si="0"/>
        <v>9.787234042553191</v>
      </c>
      <c r="M26" s="64">
        <f>IFERROR(F26/I26-1,"n/a")</f>
        <v>61.814159292035399</v>
      </c>
      <c r="N26" s="60">
        <f t="shared" si="1"/>
        <v>0.12061888222292394</v>
      </c>
      <c r="O26" s="68">
        <f>F26+'Feb-23'!O26</f>
        <v>72219</v>
      </c>
      <c r="P26" s="68">
        <f>G26+'Feb-23'!P26</f>
        <v>26521</v>
      </c>
      <c r="Q26" s="68">
        <f>H26+'Feb-23'!Q26</f>
        <v>7964</v>
      </c>
      <c r="R26" s="68">
        <f>I26+'Feb-23'!R26</f>
        <v>40221</v>
      </c>
      <c r="S26" s="68">
        <f>J26+'Feb-23'!S26</f>
        <v>76275</v>
      </c>
      <c r="T26" s="64">
        <f>IFERROR(O26/P26-1,"n/a")</f>
        <v>1.7230873647298366</v>
      </c>
      <c r="U26" s="64">
        <f>IFERROR(O26/Q26-1,"n/a")</f>
        <v>8.0681818181818183</v>
      </c>
      <c r="V26" s="64">
        <f>IFERROR(O26/R26-1,"n/a")</f>
        <v>0.79555456105019773</v>
      </c>
      <c r="W26" s="60">
        <f>IFERROR(O26/S26-1,"n/a")</f>
        <v>-5.31760078662733E-2</v>
      </c>
      <c r="X26" s="68">
        <v>530405</v>
      </c>
      <c r="Y26" s="68">
        <v>147132</v>
      </c>
      <c r="Z26" s="70">
        <v>59180</v>
      </c>
      <c r="AA26" s="78">
        <v>902015</v>
      </c>
      <c r="AB26" s="9"/>
    </row>
    <row r="27" spans="1:28">
      <c r="A27" s="9"/>
      <c r="B27" s="12"/>
      <c r="C27" s="31" t="s">
        <v>17</v>
      </c>
      <c r="D27" s="26"/>
      <c r="E27" s="32"/>
      <c r="F27" s="72"/>
      <c r="G27" s="72"/>
      <c r="H27" s="72"/>
      <c r="I27" s="72"/>
      <c r="J27" s="72"/>
      <c r="K27" s="64"/>
      <c r="L27" s="64"/>
      <c r="M27" s="64"/>
      <c r="N27" s="60"/>
      <c r="O27" s="87"/>
      <c r="P27" s="87"/>
      <c r="Q27" s="87"/>
      <c r="R27" s="87"/>
      <c r="S27" s="87"/>
      <c r="T27" s="64"/>
      <c r="U27" s="64"/>
      <c r="V27" s="64"/>
      <c r="W27" s="60"/>
      <c r="X27" s="43"/>
      <c r="Y27" s="43"/>
      <c r="Z27" s="44"/>
      <c r="AA27" s="79"/>
      <c r="AB27" s="9"/>
    </row>
    <row r="28" spans="1:28">
      <c r="B28" s="12"/>
      <c r="C28" s="33"/>
      <c r="D28" s="26" t="s">
        <v>5</v>
      </c>
      <c r="E28" s="32"/>
      <c r="F28" s="74">
        <v>78</v>
      </c>
      <c r="G28" s="71">
        <v>13</v>
      </c>
      <c r="H28" s="71">
        <v>1</v>
      </c>
      <c r="I28" s="71">
        <v>0</v>
      </c>
      <c r="J28" s="71">
        <v>1</v>
      </c>
      <c r="K28" s="64">
        <f>IFERROR(F28/G28-1,"n/a")</f>
        <v>5</v>
      </c>
      <c r="L28" s="64">
        <f t="shared" si="0"/>
        <v>77</v>
      </c>
      <c r="M28" s="64" t="str">
        <f>IFERROR(F28/I28-1,"n/a")</f>
        <v>n/a</v>
      </c>
      <c r="N28" s="60">
        <f t="shared" si="1"/>
        <v>77</v>
      </c>
      <c r="O28" s="68">
        <f>F28+'Feb-23'!O28</f>
        <v>219</v>
      </c>
      <c r="P28" s="68">
        <f>G28+'Feb-23'!P28</f>
        <v>14</v>
      </c>
      <c r="Q28" s="68">
        <f>H28+'Feb-23'!Q28</f>
        <v>3</v>
      </c>
      <c r="R28" s="68">
        <f>I28+'Feb-23'!R28</f>
        <v>1</v>
      </c>
      <c r="S28" s="68">
        <f>J28+'Feb-23'!S28</f>
        <v>4</v>
      </c>
      <c r="T28" s="64">
        <f>IFERROR(O28/P28-1,"n/a")</f>
        <v>14.642857142857142</v>
      </c>
      <c r="U28" s="64">
        <f>IFERROR(O28/Q28-1,"n/a")</f>
        <v>72</v>
      </c>
      <c r="V28" s="64">
        <f>IFERROR(O28/R28-1,"n/a")</f>
        <v>218</v>
      </c>
      <c r="W28" s="60">
        <f>IFERROR(O28/S28-1,"n/a")</f>
        <v>53.75</v>
      </c>
      <c r="X28" s="68">
        <v>605</v>
      </c>
      <c r="Y28" s="68">
        <v>127</v>
      </c>
      <c r="Z28" s="70">
        <v>37</v>
      </c>
      <c r="AA28" s="78">
        <f>282+81</f>
        <v>363</v>
      </c>
      <c r="AB28" s="9"/>
    </row>
    <row r="29" spans="1:28">
      <c r="A29" s="9"/>
      <c r="B29" s="12"/>
      <c r="C29" s="33"/>
      <c r="D29" s="26" t="s">
        <v>11</v>
      </c>
      <c r="E29" s="32"/>
      <c r="F29" s="74">
        <v>200531</v>
      </c>
      <c r="G29" s="71">
        <v>10202</v>
      </c>
      <c r="H29" s="71">
        <v>856</v>
      </c>
      <c r="I29" s="71">
        <v>0</v>
      </c>
      <c r="J29" s="71">
        <v>1452</v>
      </c>
      <c r="K29" s="64">
        <f>IFERROR(F29/G29-1,"n/a")</f>
        <v>18.656047833758088</v>
      </c>
      <c r="L29" s="64">
        <f t="shared" si="0"/>
        <v>233.26518691588785</v>
      </c>
      <c r="M29" s="64" t="str">
        <f>IFERROR(F29/I29-1,"n/a")</f>
        <v>n/a</v>
      </c>
      <c r="N29" s="60">
        <f t="shared" si="1"/>
        <v>137.10674931129478</v>
      </c>
      <c r="O29" s="68">
        <f>F29+'Feb-23'!O29</f>
        <v>605805</v>
      </c>
      <c r="P29" s="68">
        <f>G29+'Feb-23'!P29</f>
        <v>12185</v>
      </c>
      <c r="Q29" s="68">
        <f>H29+'Feb-23'!Q29</f>
        <v>2139</v>
      </c>
      <c r="R29" s="68">
        <f>I29+'Feb-23'!R29</f>
        <v>892</v>
      </c>
      <c r="S29" s="68">
        <f>J29+'Feb-23'!S29</f>
        <v>6109</v>
      </c>
      <c r="T29" s="64">
        <f>IFERROR(O29/P29-1,"n/a")</f>
        <v>48.717275338530982</v>
      </c>
      <c r="U29" s="64">
        <f>IFERROR(O29/Q29-1,"n/a")</f>
        <v>282.21879382889199</v>
      </c>
      <c r="V29" s="64">
        <f>IFERROR(O29/R29-1,"n/a")</f>
        <v>678.15358744394621</v>
      </c>
      <c r="W29" s="60">
        <f>IFERROR(O29/S29-1,"n/a")</f>
        <v>98.165984612866268</v>
      </c>
      <c r="X29" s="68">
        <v>1098243</v>
      </c>
      <c r="Y29" s="68">
        <v>165083</v>
      </c>
      <c r="Z29" s="70">
        <f>20768+8294</f>
        <v>29062</v>
      </c>
      <c r="AA29" s="78">
        <f>659951+168729+38484</f>
        <v>867164</v>
      </c>
      <c r="AB29" s="9"/>
    </row>
    <row r="30" spans="1:28" ht="15.75" thickBot="1">
      <c r="A30" s="9"/>
      <c r="B30" s="12"/>
      <c r="C30" s="35" t="s">
        <v>12</v>
      </c>
      <c r="D30" s="36"/>
      <c r="E30" s="37"/>
      <c r="F30" s="75">
        <f t="shared" ref="F30:J31" si="2">F13+F16+F19+F22+F25+F28</f>
        <v>322</v>
      </c>
      <c r="G30" s="75">
        <f t="shared" si="2"/>
        <v>260</v>
      </c>
      <c r="H30" s="75">
        <f>H13+H16+H19+H22+H25+H28</f>
        <v>5</v>
      </c>
      <c r="I30" s="75">
        <f t="shared" si="2"/>
        <v>160</v>
      </c>
      <c r="J30" s="75">
        <f t="shared" si="2"/>
        <v>229</v>
      </c>
      <c r="K30" s="66">
        <f>IFERROR(F30/G30-1,"n/a")</f>
        <v>0.2384615384615385</v>
      </c>
      <c r="L30" s="66">
        <f t="shared" si="0"/>
        <v>63.400000000000006</v>
      </c>
      <c r="M30" s="66">
        <f>IFERROR(F30/I30-1,"n/a")</f>
        <v>1.0125000000000002</v>
      </c>
      <c r="N30" s="62">
        <f t="shared" si="1"/>
        <v>0.40611353711790388</v>
      </c>
      <c r="O30" s="46">
        <f t="shared" ref="O30:S31" si="3">O13+O16+O19+O22+O25+O28</f>
        <v>867</v>
      </c>
      <c r="P30" s="46">
        <f t="shared" si="3"/>
        <v>630</v>
      </c>
      <c r="Q30" s="46">
        <f t="shared" si="3"/>
        <v>12</v>
      </c>
      <c r="R30" s="46">
        <f t="shared" si="3"/>
        <v>565</v>
      </c>
      <c r="S30" s="46">
        <f t="shared" si="3"/>
        <v>635</v>
      </c>
      <c r="T30" s="66">
        <f>IFERROR(O30/P30-1,"n/a")</f>
        <v>0.37619047619047619</v>
      </c>
      <c r="U30" s="66">
        <f>IFERROR(O30/Q30-1,"n/a")</f>
        <v>71.25</v>
      </c>
      <c r="V30" s="66">
        <f>IFERROR(O30/R30-1,"n/a")</f>
        <v>0.53451327433628326</v>
      </c>
      <c r="W30" s="62">
        <f>IFERROR(O30/S30-1,"n/a")</f>
        <v>0.36535433070866152</v>
      </c>
      <c r="X30" s="46">
        <f t="shared" ref="X30:AA31" si="4">X13+X16+X19+X22+X25+X28</f>
        <v>3627</v>
      </c>
      <c r="Y30" s="46">
        <f t="shared" si="4"/>
        <v>1062</v>
      </c>
      <c r="Z30" s="46">
        <f t="shared" si="4"/>
        <v>667</v>
      </c>
      <c r="AA30" s="80">
        <f t="shared" si="4"/>
        <v>3344</v>
      </c>
      <c r="AB30" s="9"/>
    </row>
    <row r="31" spans="1:28" ht="16.5" thickTop="1" thickBot="1">
      <c r="A31" s="9"/>
      <c r="B31" s="12"/>
      <c r="C31" s="38" t="s">
        <v>13</v>
      </c>
      <c r="D31" s="39"/>
      <c r="E31" s="40"/>
      <c r="F31" s="76">
        <f t="shared" si="2"/>
        <v>921313</v>
      </c>
      <c r="G31" s="76">
        <f t="shared" si="2"/>
        <v>406818</v>
      </c>
      <c r="H31" s="76">
        <f t="shared" si="2"/>
        <v>4146</v>
      </c>
      <c r="I31" s="76">
        <f t="shared" si="2"/>
        <v>226273</v>
      </c>
      <c r="J31" s="76">
        <f t="shared" si="2"/>
        <v>655947</v>
      </c>
      <c r="K31" s="67">
        <f>IFERROR(F31/G31-1,"n/a")</f>
        <v>1.2646810121479386</v>
      </c>
      <c r="L31" s="67">
        <f t="shared" si="0"/>
        <v>221.21731789676798</v>
      </c>
      <c r="M31" s="67">
        <f>IFERROR(F31/I31-1,"n/a")</f>
        <v>3.071687740030848</v>
      </c>
      <c r="N31" s="63">
        <f t="shared" si="1"/>
        <v>0.40455402646860184</v>
      </c>
      <c r="O31" s="47">
        <f t="shared" si="3"/>
        <v>2478359</v>
      </c>
      <c r="P31" s="47">
        <f t="shared" si="3"/>
        <v>868290</v>
      </c>
      <c r="Q31" s="47">
        <f t="shared" si="3"/>
        <v>10103</v>
      </c>
      <c r="R31" s="47">
        <f t="shared" si="3"/>
        <v>1276259</v>
      </c>
      <c r="S31" s="47">
        <f t="shared" si="3"/>
        <v>1790526</v>
      </c>
      <c r="T31" s="67">
        <f>IFERROR(O31/P31-1,"n/a")</f>
        <v>1.8542986790127722</v>
      </c>
      <c r="U31" s="67">
        <f>IFERROR(O31/Q31-1,"n/a")</f>
        <v>244.30921508462833</v>
      </c>
      <c r="V31" s="67">
        <f>IFERROR(O31/R31-1,"n/a")</f>
        <v>0.94189345579541461</v>
      </c>
      <c r="W31" s="63">
        <f>IFERROR(O31/S31-1,"n/a")</f>
        <v>0.38415136110841175</v>
      </c>
      <c r="X31" s="47">
        <f t="shared" si="4"/>
        <v>7627084</v>
      </c>
      <c r="Y31" s="47">
        <f t="shared" si="4"/>
        <v>1554247</v>
      </c>
      <c r="Z31" s="47">
        <f t="shared" si="4"/>
        <v>1323431</v>
      </c>
      <c r="AA31" s="81">
        <f t="shared" si="4"/>
        <v>9169021</v>
      </c>
      <c r="AB31" s="9"/>
    </row>
    <row r="32" spans="1:28" ht="15.75" thickTop="1">
      <c r="A32" s="9"/>
      <c r="B32" s="9"/>
      <c r="C32" s="9"/>
      <c r="D32" s="9"/>
      <c r="E32" s="9"/>
      <c r="F32" s="41"/>
      <c r="G32" s="41"/>
      <c r="H32" s="41"/>
      <c r="I32" s="41"/>
      <c r="J32" s="41"/>
      <c r="K32" s="41"/>
      <c r="L32" s="41"/>
      <c r="M32" s="41"/>
      <c r="N32" s="9"/>
      <c r="O32" s="9"/>
      <c r="P32" s="9"/>
      <c r="Q32" s="9"/>
      <c r="R32" s="9"/>
      <c r="S32" s="9"/>
      <c r="T32" s="9"/>
      <c r="U32" s="9"/>
      <c r="V32" s="9"/>
      <c r="W32" s="9"/>
      <c r="X32" s="9"/>
      <c r="Y32" s="9"/>
      <c r="Z32" s="9"/>
      <c r="AA32" s="9"/>
      <c r="AB32" s="9"/>
    </row>
    <row r="33" spans="1:28">
      <c r="A33" s="9"/>
      <c r="B33" s="9"/>
      <c r="C33" s="9"/>
      <c r="D33" s="9"/>
      <c r="E33" s="9"/>
      <c r="F33" s="41"/>
      <c r="G33" s="41"/>
      <c r="H33" s="41"/>
      <c r="I33" s="41"/>
      <c r="J33" s="41"/>
      <c r="K33" s="41"/>
      <c r="L33" s="41"/>
      <c r="M33" s="41"/>
      <c r="N33" s="9"/>
      <c r="O33" s="9"/>
      <c r="P33" s="9"/>
      <c r="Q33" s="9"/>
      <c r="R33" s="9"/>
      <c r="S33" s="9"/>
      <c r="T33" s="9"/>
      <c r="U33" s="9"/>
      <c r="V33" s="9"/>
      <c r="W33" s="9"/>
      <c r="X33" s="9"/>
      <c r="Y33" s="9"/>
      <c r="Z33" s="9"/>
      <c r="AA33" s="9"/>
      <c r="AB33" s="9"/>
    </row>
    <row r="34" spans="1:28">
      <c r="A34" s="9"/>
      <c r="B34" s="10"/>
      <c r="C34" s="86" t="s">
        <v>63</v>
      </c>
      <c r="D34" s="24"/>
      <c r="E34" s="24"/>
      <c r="F34" s="24"/>
      <c r="G34" s="24"/>
      <c r="H34" s="24"/>
      <c r="I34" s="24"/>
      <c r="J34" s="95"/>
      <c r="K34" s="95"/>
      <c r="L34" s="95"/>
      <c r="M34" s="95"/>
      <c r="N34" s="24"/>
      <c r="O34" s="24"/>
      <c r="P34" s="24"/>
      <c r="Q34" s="24"/>
      <c r="R34" s="24"/>
      <c r="S34" s="24"/>
      <c r="T34" s="24"/>
      <c r="U34" s="24"/>
      <c r="V34" s="24"/>
      <c r="W34" s="24"/>
      <c r="X34" s="24"/>
      <c r="Y34" s="24"/>
      <c r="Z34" s="24"/>
      <c r="AA34" s="24"/>
      <c r="AB34" s="9"/>
    </row>
    <row r="35" spans="1:28">
      <c r="A35" s="9"/>
      <c r="B35" s="10"/>
      <c r="C35" s="24"/>
      <c r="D35" s="24"/>
      <c r="E35" s="24"/>
      <c r="F35" s="24"/>
      <c r="G35" s="24"/>
      <c r="H35" s="24"/>
      <c r="I35" s="24"/>
      <c r="J35" s="95"/>
      <c r="K35" s="95"/>
      <c r="L35" s="95"/>
      <c r="M35" s="95"/>
      <c r="N35" s="24"/>
      <c r="O35" s="24"/>
      <c r="P35" s="24"/>
      <c r="Q35" s="24"/>
      <c r="R35" s="24"/>
      <c r="S35" s="24"/>
      <c r="T35" s="24"/>
      <c r="U35" s="24"/>
      <c r="V35" s="24"/>
      <c r="W35" s="24"/>
      <c r="X35" s="24"/>
      <c r="Y35" s="24"/>
      <c r="Z35" s="24"/>
      <c r="AA35" s="24"/>
      <c r="AB35" s="9"/>
    </row>
    <row r="36" spans="1:28">
      <c r="A36" s="9"/>
      <c r="B36" s="9"/>
      <c r="C36" s="27" t="s">
        <v>7</v>
      </c>
      <c r="D36" s="28"/>
      <c r="E36" s="28"/>
      <c r="F36" s="158" t="str">
        <f>F9</f>
        <v>March</v>
      </c>
      <c r="G36" s="158"/>
      <c r="H36" s="158"/>
      <c r="I36" s="158"/>
      <c r="J36" s="158"/>
      <c r="K36" s="158"/>
      <c r="L36" s="158"/>
      <c r="M36" s="158"/>
      <c r="N36" s="159"/>
      <c r="O36" s="157" t="s">
        <v>107</v>
      </c>
      <c r="P36" s="158"/>
      <c r="Q36" s="158"/>
      <c r="R36" s="158"/>
      <c r="S36" s="158"/>
      <c r="T36" s="158"/>
      <c r="U36" s="158"/>
      <c r="V36" s="158"/>
      <c r="W36" s="159"/>
      <c r="X36" s="157" t="s">
        <v>58</v>
      </c>
      <c r="Y36" s="158"/>
      <c r="Z36" s="158"/>
      <c r="AA36" s="160"/>
      <c r="AB36" s="9"/>
    </row>
    <row r="37" spans="1:28">
      <c r="A37" s="9"/>
      <c r="B37" s="9"/>
      <c r="C37" s="29"/>
      <c r="D37" s="30"/>
      <c r="E37" s="30"/>
      <c r="F37" s="29"/>
      <c r="G37" s="30"/>
      <c r="H37" s="30"/>
      <c r="I37" s="30"/>
      <c r="J37" s="30"/>
      <c r="K37" s="30"/>
      <c r="L37" s="30"/>
      <c r="M37" s="30"/>
      <c r="N37" s="56"/>
      <c r="O37" s="30"/>
      <c r="P37" s="30"/>
      <c r="Q37" s="30"/>
      <c r="R37" s="30"/>
      <c r="S37" s="30"/>
      <c r="T37" s="30"/>
      <c r="U37" s="30"/>
      <c r="V37" s="30"/>
      <c r="W37" s="56"/>
      <c r="X37" s="30"/>
      <c r="Y37" s="30"/>
      <c r="Z37" s="30"/>
      <c r="AA37" s="56"/>
      <c r="AB37" s="9"/>
    </row>
    <row r="38" spans="1:28" ht="33.75">
      <c r="A38" s="9"/>
      <c r="B38" s="9"/>
      <c r="C38" s="59" t="s">
        <v>29</v>
      </c>
      <c r="D38" s="50"/>
      <c r="E38" s="51"/>
      <c r="F38" s="55">
        <v>2023</v>
      </c>
      <c r="G38" s="52">
        <v>2022</v>
      </c>
      <c r="H38" s="52">
        <v>2021</v>
      </c>
      <c r="I38" s="52">
        <v>2020</v>
      </c>
      <c r="J38" s="52">
        <v>2019</v>
      </c>
      <c r="K38" s="53" t="s">
        <v>66</v>
      </c>
      <c r="L38" s="53" t="s">
        <v>67</v>
      </c>
      <c r="M38" s="53" t="s">
        <v>68</v>
      </c>
      <c r="N38" s="57" t="s">
        <v>101</v>
      </c>
      <c r="O38" s="53"/>
      <c r="P38" s="53" t="s">
        <v>53</v>
      </c>
      <c r="Q38" s="52" t="s">
        <v>54</v>
      </c>
      <c r="R38" s="52" t="s">
        <v>59</v>
      </c>
      <c r="S38" s="52" t="s">
        <v>64</v>
      </c>
      <c r="T38" s="52"/>
      <c r="U38" s="53" t="s">
        <v>66</v>
      </c>
      <c r="V38" s="53" t="s">
        <v>67</v>
      </c>
      <c r="W38" s="57" t="s">
        <v>68</v>
      </c>
      <c r="X38" s="53"/>
      <c r="Y38" s="53" t="s">
        <v>54</v>
      </c>
      <c r="Z38" s="53" t="s">
        <v>65</v>
      </c>
      <c r="AA38" s="57" t="s">
        <v>73</v>
      </c>
      <c r="AB38" s="9"/>
    </row>
    <row r="39" spans="1:28">
      <c r="A39" s="9"/>
      <c r="B39" s="9"/>
      <c r="C39" s="31" t="s">
        <v>14</v>
      </c>
      <c r="D39" s="26"/>
      <c r="E39" s="32"/>
      <c r="F39" s="26"/>
      <c r="G39" s="26"/>
      <c r="H39" s="26"/>
      <c r="I39" s="26"/>
      <c r="J39" s="26"/>
      <c r="K39" s="26"/>
      <c r="L39" s="26"/>
      <c r="M39" s="26"/>
      <c r="N39" s="32"/>
      <c r="O39" s="26"/>
      <c r="P39" s="26"/>
      <c r="Q39" s="26"/>
      <c r="R39" s="26"/>
      <c r="S39" s="9"/>
      <c r="T39" s="26"/>
      <c r="U39" s="9"/>
      <c r="V39" s="26"/>
      <c r="W39" s="32"/>
      <c r="X39" s="33"/>
      <c r="Y39" s="26"/>
      <c r="Z39" s="88"/>
      <c r="AA39" s="85"/>
      <c r="AB39" s="9"/>
    </row>
    <row r="40" spans="1:28">
      <c r="A40" s="9"/>
      <c r="B40" s="9"/>
      <c r="C40" s="33"/>
      <c r="D40" s="26" t="s">
        <v>5</v>
      </c>
      <c r="E40" s="32"/>
      <c r="F40" s="74">
        <f t="shared" ref="F40:J41" si="5">F13</f>
        <v>57</v>
      </c>
      <c r="G40" s="74">
        <f t="shared" si="5"/>
        <v>74</v>
      </c>
      <c r="H40" s="74">
        <f t="shared" si="5"/>
        <v>0</v>
      </c>
      <c r="I40" s="74">
        <f t="shared" si="5"/>
        <v>29</v>
      </c>
      <c r="J40" s="74">
        <f t="shared" si="5"/>
        <v>62</v>
      </c>
      <c r="K40" s="64">
        <f>IFERROR(F40/G40-1,"n/a")</f>
        <v>-0.22972972972972971</v>
      </c>
      <c r="L40" s="64" t="str">
        <f>IFERROR(F40/H40-1,"n/a")</f>
        <v>n/a</v>
      </c>
      <c r="M40" s="64">
        <f>IFERROR(F40/I40-1,"n/a")</f>
        <v>0.96551724137931028</v>
      </c>
      <c r="N40" s="60">
        <f>IFERROR(F40/J40-1,"n/a")</f>
        <v>-8.064516129032262E-2</v>
      </c>
      <c r="O40" s="108"/>
      <c r="P40" s="70">
        <f>+O13-'Mar-22'!M10+'Dec-22'!M13</f>
        <v>335</v>
      </c>
      <c r="Q40" s="70">
        <f>+P13-'Mar-22'!N10+'Dec-22'!N13</f>
        <v>308</v>
      </c>
      <c r="R40" s="82">
        <f>+Q13-'Mar-22'!O10+'Dec-22'!O13</f>
        <v>0</v>
      </c>
      <c r="S40" s="70">
        <f>+R13-'Mar-22'!P10+'Dec-22'!P13</f>
        <v>331</v>
      </c>
      <c r="T40" s="108"/>
      <c r="U40" s="64">
        <f>IFERROR(P40/Q40-1,"n/a")</f>
        <v>8.7662337662337553E-2</v>
      </c>
      <c r="V40" s="64" t="str">
        <f>IFERROR(P40/R40-1,"n/a")</f>
        <v>n/a</v>
      </c>
      <c r="W40" s="60">
        <f>IFERROR(P40/S40-1,"n/a")</f>
        <v>1.2084592145015005E-2</v>
      </c>
      <c r="X40" s="89"/>
      <c r="Y40" s="89">
        <v>308</v>
      </c>
      <c r="Z40" s="70">
        <v>145</v>
      </c>
      <c r="AA40" s="78">
        <v>331</v>
      </c>
      <c r="AB40" s="9"/>
    </row>
    <row r="41" spans="1:28">
      <c r="A41" s="9"/>
      <c r="B41" s="9"/>
      <c r="C41" s="33"/>
      <c r="D41" s="26" t="s">
        <v>11</v>
      </c>
      <c r="E41" s="32"/>
      <c r="F41" s="74">
        <f t="shared" si="5"/>
        <v>109432</v>
      </c>
      <c r="G41" s="74">
        <f t="shared" si="5"/>
        <v>60824</v>
      </c>
      <c r="H41" s="74">
        <f t="shared" si="5"/>
        <v>0</v>
      </c>
      <c r="I41" s="74">
        <f t="shared" si="5"/>
        <v>48626</v>
      </c>
      <c r="J41" s="74">
        <f t="shared" si="5"/>
        <v>108846</v>
      </c>
      <c r="K41" s="64">
        <f>IFERROR(F41/G41-1,"n/a")</f>
        <v>0.79915822701565165</v>
      </c>
      <c r="L41" s="64" t="str">
        <f>IFERROR(F41/H41-1,"n/a")</f>
        <v>n/a</v>
      </c>
      <c r="M41" s="64">
        <f>IFERROR(F41/I41-1,"n/a")</f>
        <v>1.2504832805495001</v>
      </c>
      <c r="N41" s="60">
        <f>IFERROR(F41/J41-1,"n/a")</f>
        <v>5.3837531925839954E-3</v>
      </c>
      <c r="O41" s="109"/>
      <c r="P41" s="70">
        <f>+O14-'Mar-22'!M11+'Dec-22'!M14</f>
        <v>556504</v>
      </c>
      <c r="Q41" s="82">
        <f>+P14-'Mar-22'!N11+'Dec-22'!N14</f>
        <v>237191</v>
      </c>
      <c r="R41" s="82">
        <f>+Q14-'Mar-22'!O11+'Dec-22'!O14</f>
        <v>0</v>
      </c>
      <c r="S41" s="82">
        <f>+R14-'Mar-22'!P11+'Dec-22'!P14</f>
        <v>606801</v>
      </c>
      <c r="T41" s="109"/>
      <c r="U41" s="64">
        <f>IFERROR(P41/Q41-1,"n/a")</f>
        <v>1.3462273020477169</v>
      </c>
      <c r="V41" s="64" t="str">
        <f>IFERROR(P41/R41-1,"n/a")</f>
        <v>n/a</v>
      </c>
      <c r="W41" s="60">
        <f>IFERROR(P41/S41-1,"n/a")</f>
        <v>-8.2888788911026801E-2</v>
      </c>
      <c r="X41" s="89"/>
      <c r="Y41" s="89">
        <v>237191</v>
      </c>
      <c r="Z41" s="84">
        <v>258885</v>
      </c>
      <c r="AA41" s="78">
        <v>606801</v>
      </c>
      <c r="AB41" s="9"/>
    </row>
    <row r="42" spans="1:28">
      <c r="A42" s="9"/>
      <c r="B42" s="9"/>
      <c r="C42" s="31" t="s">
        <v>74</v>
      </c>
      <c r="D42" s="26"/>
      <c r="E42" s="32"/>
      <c r="F42" s="26"/>
      <c r="G42" s="26"/>
      <c r="H42" s="26"/>
      <c r="I42" s="26"/>
      <c r="J42" s="26"/>
      <c r="K42" s="64"/>
      <c r="L42" s="64"/>
      <c r="M42" s="64"/>
      <c r="N42" s="61"/>
      <c r="O42" s="110"/>
      <c r="P42" s="87"/>
      <c r="Q42" s="87"/>
      <c r="R42" s="87"/>
      <c r="S42" s="87"/>
      <c r="T42" s="110"/>
      <c r="U42" s="65"/>
      <c r="V42" s="65"/>
      <c r="W42" s="61"/>
      <c r="X42" s="90"/>
      <c r="Y42" s="90"/>
      <c r="Z42" s="44"/>
      <c r="AA42" s="79"/>
      <c r="AB42" s="9"/>
    </row>
    <row r="43" spans="1:28">
      <c r="A43" s="9"/>
      <c r="B43" s="9"/>
      <c r="C43" s="33"/>
      <c r="D43" s="26" t="s">
        <v>5</v>
      </c>
      <c r="E43" s="32"/>
      <c r="F43" s="74">
        <f t="shared" ref="F43:J44" si="6">F16</f>
        <v>37</v>
      </c>
      <c r="G43" s="74">
        <f t="shared" si="6"/>
        <v>24</v>
      </c>
      <c r="H43" s="74">
        <f t="shared" si="6"/>
        <v>0</v>
      </c>
      <c r="I43" s="74">
        <f t="shared" si="6"/>
        <v>10</v>
      </c>
      <c r="J43" s="74">
        <f t="shared" si="6"/>
        <v>44</v>
      </c>
      <c r="K43" s="64">
        <f>IFERROR(F43/G43-1,"n/a")</f>
        <v>0.54166666666666674</v>
      </c>
      <c r="L43" s="64" t="str">
        <f>IFERROR(F43/H43-1,"n/a")</f>
        <v>n/a</v>
      </c>
      <c r="M43" s="64">
        <f>IFERROR(F43/I43-1,"n/a")</f>
        <v>2.7</v>
      </c>
      <c r="N43" s="60">
        <f>IFERROR(F43/J43-1,"n/a")</f>
        <v>-0.15909090909090906</v>
      </c>
      <c r="O43" s="108"/>
      <c r="P43" s="70">
        <f>+O16-'Mar-22'!M13+'Dec-22'!M16</f>
        <v>802</v>
      </c>
      <c r="Q43" s="70">
        <f>+P16-'Mar-22'!N13+'Dec-22'!N16</f>
        <v>336</v>
      </c>
      <c r="R43" s="70">
        <f>+Q16-'Mar-22'!O13+'Dec-22'!O16</f>
        <v>0</v>
      </c>
      <c r="S43" s="70">
        <f>+R16-'Mar-22'!P13+'Dec-22'!P16</f>
        <v>781</v>
      </c>
      <c r="T43" s="108"/>
      <c r="U43" s="64">
        <f>IFERROR(P43/Q43-1,"n/a")</f>
        <v>1.3869047619047619</v>
      </c>
      <c r="V43" s="64" t="str">
        <f>IFERROR(P43/R43-1,"n/a")</f>
        <v>n/a</v>
      </c>
      <c r="W43" s="60">
        <f>IFERROR(P43/S43-1,"n/a")</f>
        <v>2.6888604353393131E-2</v>
      </c>
      <c r="X43" s="89"/>
      <c r="Y43" s="89">
        <v>336</v>
      </c>
      <c r="Z43" s="70">
        <v>43</v>
      </c>
      <c r="AA43" s="78">
        <v>781</v>
      </c>
      <c r="AB43" s="9"/>
    </row>
    <row r="44" spans="1:28">
      <c r="A44" s="9"/>
      <c r="B44" s="9"/>
      <c r="C44" s="33"/>
      <c r="D44" s="26" t="s">
        <v>11</v>
      </c>
      <c r="E44" s="32"/>
      <c r="F44" s="74">
        <f t="shared" si="6"/>
        <v>105059</v>
      </c>
      <c r="G44" s="74">
        <f t="shared" si="6"/>
        <v>32594</v>
      </c>
      <c r="H44" s="74">
        <f t="shared" si="6"/>
        <v>0</v>
      </c>
      <c r="I44" s="74">
        <f t="shared" si="6"/>
        <v>28535</v>
      </c>
      <c r="J44" s="74">
        <f t="shared" si="6"/>
        <v>117674</v>
      </c>
      <c r="K44" s="64">
        <f>IFERROR(F44/G44-1,"n/a")</f>
        <v>2.2232619500521569</v>
      </c>
      <c r="L44" s="64" t="str">
        <f>IFERROR(F44/H44-1,"n/a")</f>
        <v>n/a</v>
      </c>
      <c r="M44" s="64">
        <f>IFERROR(F44/I44-1,"n/a")</f>
        <v>2.6817592430348696</v>
      </c>
      <c r="N44" s="60">
        <f>IFERROR(F44/J44-1,"n/a")</f>
        <v>-0.10720295052432993</v>
      </c>
      <c r="O44" s="109"/>
      <c r="P44" s="70">
        <f>+O17-'Mar-22'!M14+'Dec-22'!M17</f>
        <v>2017667</v>
      </c>
      <c r="Q44" s="70">
        <f>+P17-'Mar-22'!N14+'Dec-22'!N17</f>
        <v>533563</v>
      </c>
      <c r="R44" s="70">
        <f>+Q17-'Mar-22'!O14+'Dec-22'!O17</f>
        <v>0</v>
      </c>
      <c r="S44" s="70">
        <f>+R17-'Mar-22'!P14+'Dec-22'!P17</f>
        <v>2441594</v>
      </c>
      <c r="T44" s="108"/>
      <c r="U44" s="64">
        <f>IFERROR(P44/Q44-1,"n/a")</f>
        <v>2.7814972177606019</v>
      </c>
      <c r="V44" s="64" t="str">
        <f>IFERROR(P44/R44-1,"n/a")</f>
        <v>n/a</v>
      </c>
      <c r="W44" s="60">
        <f>IFERROR(P44/S44-1,"n/a")</f>
        <v>-0.17362714685570169</v>
      </c>
      <c r="X44" s="89"/>
      <c r="Y44" s="89">
        <v>533563</v>
      </c>
      <c r="Z44" s="84">
        <v>140552</v>
      </c>
      <c r="AA44" s="78">
        <v>2441594</v>
      </c>
      <c r="AB44" s="9"/>
    </row>
    <row r="45" spans="1:28">
      <c r="A45" s="9"/>
      <c r="B45" s="9"/>
      <c r="C45" s="31" t="s">
        <v>15</v>
      </c>
      <c r="D45" s="26"/>
      <c r="E45" s="32"/>
      <c r="F45" s="87"/>
      <c r="G45" s="87"/>
      <c r="H45" s="87"/>
      <c r="I45" s="87"/>
      <c r="J45" s="72"/>
      <c r="K45" s="64"/>
      <c r="L45" s="64"/>
      <c r="M45" s="64"/>
      <c r="N45" s="60"/>
      <c r="O45" s="110"/>
      <c r="P45" s="87"/>
      <c r="Q45" s="87"/>
      <c r="R45" s="87"/>
      <c r="S45" s="87"/>
      <c r="T45" s="110"/>
      <c r="U45" s="64"/>
      <c r="V45" s="64"/>
      <c r="W45" s="60"/>
      <c r="X45" s="90"/>
      <c r="Y45" s="90"/>
      <c r="Z45" s="44"/>
      <c r="AA45" s="79"/>
      <c r="AB45" s="9"/>
    </row>
    <row r="46" spans="1:28">
      <c r="A46" s="9"/>
      <c r="B46" s="9"/>
      <c r="C46" s="33"/>
      <c r="D46" s="26" t="s">
        <v>5</v>
      </c>
      <c r="E46" s="32"/>
      <c r="F46" s="74">
        <f t="shared" ref="F46:J47" si="7">F19</f>
        <v>15</v>
      </c>
      <c r="G46" s="74">
        <f t="shared" si="7"/>
        <v>5</v>
      </c>
      <c r="H46" s="74">
        <f t="shared" si="7"/>
        <v>0</v>
      </c>
      <c r="I46" s="74">
        <f t="shared" si="7"/>
        <v>2</v>
      </c>
      <c r="J46" s="74">
        <f t="shared" si="7"/>
        <v>5</v>
      </c>
      <c r="K46" s="64">
        <f>IFERROR(F46/G46-1,"n/a")</f>
        <v>2</v>
      </c>
      <c r="L46" s="64" t="str">
        <f>IFERROR(F46/H46-1,"n/a")</f>
        <v>n/a</v>
      </c>
      <c r="M46" s="64">
        <f>IFERROR(F46/I46-1,"n/a")</f>
        <v>6.5</v>
      </c>
      <c r="N46" s="60">
        <f>IFERROR(F46/J46-1,"n/a")</f>
        <v>2</v>
      </c>
      <c r="O46" s="108"/>
      <c r="P46" s="70">
        <f>+O19-'Mar-22'!M16+'Dec-22'!M19</f>
        <v>486</v>
      </c>
      <c r="Q46" s="70">
        <f>+P19-'Mar-22'!N16+'Dec-22'!N19</f>
        <v>33</v>
      </c>
      <c r="R46" s="70">
        <f>+Q19-'Mar-22'!O16+'Dec-22'!O19</f>
        <v>1</v>
      </c>
      <c r="S46" s="70">
        <f>+R19-'Mar-22'!P16+'Dec-22'!P19</f>
        <v>188</v>
      </c>
      <c r="T46" s="108"/>
      <c r="U46" s="64">
        <f>IFERROR(P46/Q46-1,"n/a")</f>
        <v>13.727272727272727</v>
      </c>
      <c r="V46" s="64">
        <f>IFERROR(P46/R46-1,"n/a")</f>
        <v>485</v>
      </c>
      <c r="W46" s="60">
        <f>IFERROR(P46/S46-1,"n/a")</f>
        <v>1.5851063829787235</v>
      </c>
      <c r="X46" s="89"/>
      <c r="Y46" s="89">
        <v>33</v>
      </c>
      <c r="Z46" s="70">
        <v>4</v>
      </c>
      <c r="AA46" s="78">
        <v>188</v>
      </c>
      <c r="AB46" s="9"/>
    </row>
    <row r="47" spans="1:28">
      <c r="A47" s="9"/>
      <c r="B47" s="9"/>
      <c r="C47" s="33"/>
      <c r="D47" s="26" t="s">
        <v>11</v>
      </c>
      <c r="E47" s="32"/>
      <c r="F47" s="74">
        <f t="shared" si="7"/>
        <v>14659</v>
      </c>
      <c r="G47" s="74">
        <f t="shared" si="7"/>
        <v>364</v>
      </c>
      <c r="H47" s="74">
        <f t="shared" si="7"/>
        <v>0</v>
      </c>
      <c r="I47" s="74">
        <f t="shared" si="7"/>
        <v>887</v>
      </c>
      <c r="J47" s="74">
        <f t="shared" si="7"/>
        <v>4555</v>
      </c>
      <c r="K47" s="64">
        <f>IFERROR(F47/G47-1,"n/a")</f>
        <v>39.271978021978022</v>
      </c>
      <c r="L47" s="64" t="str">
        <f>IFERROR(F47/H47-1,"n/a")</f>
        <v>n/a</v>
      </c>
      <c r="M47" s="64">
        <f>IFERROR(F47/I47-1,"n/a")</f>
        <v>15.526493799323564</v>
      </c>
      <c r="N47" s="60">
        <f>IFERROR(F47/J47-1,"n/a")</f>
        <v>2.2182217343578485</v>
      </c>
      <c r="O47" s="109"/>
      <c r="P47" s="70">
        <f>+O20-'Mar-22'!M17+'Dec-22'!M20</f>
        <v>580166</v>
      </c>
      <c r="Q47" s="70">
        <f>+P20-'Mar-22'!N17+'Dec-22'!N20</f>
        <v>10083</v>
      </c>
      <c r="R47" s="70">
        <f>+Q20-'Mar-22'!O17+'Dec-22'!O20</f>
        <v>111</v>
      </c>
      <c r="S47" s="70">
        <f>+R20-'Mar-22'!P17+'Dec-22'!P20</f>
        <v>250993</v>
      </c>
      <c r="T47" s="108"/>
      <c r="U47" s="64">
        <f>IFERROR(P47/Q47-1,"n/a")</f>
        <v>56.53902608350689</v>
      </c>
      <c r="V47" s="64">
        <f>IFERROR(P47/R47-1,"n/a")</f>
        <v>5225.7207207207211</v>
      </c>
      <c r="W47" s="60">
        <f>IFERROR(P47/S47-1,"n/a")</f>
        <v>1.311482790356703</v>
      </c>
      <c r="X47" s="82"/>
      <c r="Y47" s="82">
        <v>10083</v>
      </c>
      <c r="Z47" s="84">
        <v>1753</v>
      </c>
      <c r="AA47" s="78">
        <f>176097+74816</f>
        <v>250913</v>
      </c>
      <c r="AB47" s="9"/>
    </row>
    <row r="48" spans="1:28">
      <c r="A48" s="9"/>
      <c r="B48" s="9"/>
      <c r="C48" s="31" t="s">
        <v>10</v>
      </c>
      <c r="D48" s="26"/>
      <c r="E48" s="34"/>
      <c r="F48" s="72"/>
      <c r="G48" s="72"/>
      <c r="H48" s="72"/>
      <c r="I48" s="72"/>
      <c r="J48" s="72"/>
      <c r="K48" s="64"/>
      <c r="L48" s="64"/>
      <c r="M48" s="64"/>
      <c r="N48" s="60"/>
      <c r="O48" s="110"/>
      <c r="P48" s="87"/>
      <c r="Q48" s="87"/>
      <c r="R48" s="87"/>
      <c r="S48" s="87"/>
      <c r="T48" s="110"/>
      <c r="U48" s="64"/>
      <c r="V48" s="64"/>
      <c r="W48" s="60"/>
      <c r="X48" s="90"/>
      <c r="Y48" s="90"/>
      <c r="Z48" s="44"/>
      <c r="AA48" s="79"/>
      <c r="AB48" s="9"/>
    </row>
    <row r="49" spans="1:28">
      <c r="A49" s="9"/>
      <c r="B49" s="9"/>
      <c r="C49" s="33"/>
      <c r="D49" s="26" t="s">
        <v>5</v>
      </c>
      <c r="E49" s="34"/>
      <c r="F49" s="74">
        <f t="shared" ref="F49:J50" si="8">F22</f>
        <v>124</v>
      </c>
      <c r="G49" s="74">
        <f t="shared" si="8"/>
        <v>130</v>
      </c>
      <c r="H49" s="74">
        <f t="shared" si="8"/>
        <v>0</v>
      </c>
      <c r="I49" s="74">
        <f t="shared" si="8"/>
        <v>118</v>
      </c>
      <c r="J49" s="74">
        <f t="shared" si="8"/>
        <v>108</v>
      </c>
      <c r="K49" s="64">
        <f>IFERROR(F49/G49-1,"n/a")</f>
        <v>-4.6153846153846101E-2</v>
      </c>
      <c r="L49" s="64" t="str">
        <f>IFERROR(F49/H49-1,"n/a")</f>
        <v>n/a</v>
      </c>
      <c r="M49" s="64">
        <f>IFERROR(F49/I49-1,"n/a")</f>
        <v>5.0847457627118731E-2</v>
      </c>
      <c r="N49" s="60">
        <f>IFERROR(F49/J49-1,"n/a")</f>
        <v>0.14814814814814814</v>
      </c>
      <c r="O49" s="108"/>
      <c r="P49" s="70">
        <f>+O22-'Mar-22'!M19+'Dec-22'!M22</f>
        <v>1151</v>
      </c>
      <c r="Q49" s="70">
        <f>+P22-'Mar-22'!N19+'Dec-22'!N22</f>
        <v>744</v>
      </c>
      <c r="R49" s="70">
        <f>+Q22-'Mar-22'!O19+'Dec-22'!O22</f>
        <v>42</v>
      </c>
      <c r="S49" s="70">
        <f>+R22-'Mar-22'!P19+'Dec-22'!P22</f>
        <v>1253</v>
      </c>
      <c r="T49" s="108"/>
      <c r="U49" s="64">
        <f>IFERROR(P49/Q49-1,"n/a")</f>
        <v>0.54704301075268824</v>
      </c>
      <c r="V49" s="64">
        <f>IFERROR(P49/R49-1,"n/a")</f>
        <v>26.404761904761905</v>
      </c>
      <c r="W49" s="60">
        <f>IFERROR(P49/S49-1,"n/a")</f>
        <v>-8.1404628890662356E-2</v>
      </c>
      <c r="X49" s="89"/>
      <c r="Y49" s="89">
        <v>744</v>
      </c>
      <c r="Z49" s="84">
        <v>406</v>
      </c>
      <c r="AA49" s="78">
        <v>1253</v>
      </c>
      <c r="AB49" s="9"/>
    </row>
    <row r="50" spans="1:28">
      <c r="A50" s="9"/>
      <c r="B50" s="9"/>
      <c r="C50" s="33"/>
      <c r="D50" s="26" t="s">
        <v>11</v>
      </c>
      <c r="E50" s="32"/>
      <c r="F50" s="74">
        <f t="shared" si="8"/>
        <v>456142</v>
      </c>
      <c r="G50" s="74">
        <f t="shared" si="8"/>
        <v>283677</v>
      </c>
      <c r="H50" s="74">
        <f t="shared" si="8"/>
        <v>0</v>
      </c>
      <c r="I50" s="74">
        <f t="shared" si="8"/>
        <v>147660</v>
      </c>
      <c r="J50" s="74">
        <f t="shared" si="8"/>
        <v>391750</v>
      </c>
      <c r="K50" s="64">
        <f>IFERROR(F50/G50-1,"n/a")</f>
        <v>0.60796257715641389</v>
      </c>
      <c r="L50" s="64" t="str">
        <f>IFERROR(F50/H50-1,"n/a")</f>
        <v>n/a</v>
      </c>
      <c r="M50" s="64">
        <f>IFERROR(F50/I50-1,"n/a")</f>
        <v>2.0891372070973859</v>
      </c>
      <c r="N50" s="60">
        <f>IFERROR(F50/J50-1,"n/a")</f>
        <v>0.16437013401403955</v>
      </c>
      <c r="O50" s="109"/>
      <c r="P50" s="70">
        <f>+O23-'Mar-22'!M20+'Dec-22'!M23</f>
        <v>3814850</v>
      </c>
      <c r="Q50" s="70">
        <f>+P23-'Mar-22'!N20+'Dec-22'!N23</f>
        <v>1290779</v>
      </c>
      <c r="R50" s="70">
        <f>+Q23-'Mar-22'!O20+'Dec-22'!O23</f>
        <v>0</v>
      </c>
      <c r="S50" s="70">
        <f>+R23-'Mar-22'!P20+'Dec-22'!P23</f>
        <v>3627458</v>
      </c>
      <c r="T50" s="108"/>
      <c r="U50" s="64">
        <f>IFERROR(P50/Q50-1,"n/a")</f>
        <v>1.9554633287340435</v>
      </c>
      <c r="V50" s="64" t="str">
        <f>IFERROR(P50/R50-1,"n/a")</f>
        <v>n/a</v>
      </c>
      <c r="W50" s="60">
        <f>IFERROR(P50/S50-1,"n/a")</f>
        <v>5.1659316248458209E-2</v>
      </c>
      <c r="X50" s="82"/>
      <c r="Y50" s="82">
        <v>1290779</v>
      </c>
      <c r="Z50" s="84">
        <v>833999</v>
      </c>
      <c r="AA50" s="78">
        <v>3627458</v>
      </c>
      <c r="AB50" s="9"/>
    </row>
    <row r="51" spans="1:28">
      <c r="A51" s="9"/>
      <c r="B51" s="9"/>
      <c r="C51" s="31" t="s">
        <v>16</v>
      </c>
      <c r="D51" s="26"/>
      <c r="E51" s="32"/>
      <c r="F51" s="72"/>
      <c r="G51" s="72"/>
      <c r="H51" s="72"/>
      <c r="I51" s="72"/>
      <c r="J51" s="72"/>
      <c r="K51" s="64"/>
      <c r="L51" s="64"/>
      <c r="M51" s="64"/>
      <c r="N51" s="60"/>
      <c r="O51" s="110"/>
      <c r="P51" s="87"/>
      <c r="Q51" s="87"/>
      <c r="R51" s="87"/>
      <c r="S51" s="87"/>
      <c r="T51" s="110"/>
      <c r="U51" s="64"/>
      <c r="V51" s="64"/>
      <c r="W51" s="60"/>
      <c r="X51" s="90"/>
      <c r="Y51" s="90"/>
      <c r="Z51" s="44"/>
      <c r="AA51" s="79"/>
      <c r="AB51" s="9"/>
    </row>
    <row r="52" spans="1:28">
      <c r="A52" s="9"/>
      <c r="B52" s="9"/>
      <c r="C52" s="33"/>
      <c r="D52" s="26" t="s">
        <v>5</v>
      </c>
      <c r="E52" s="32"/>
      <c r="F52" s="74">
        <f t="shared" ref="F52:J53" si="9">F25</f>
        <v>11</v>
      </c>
      <c r="G52" s="74">
        <f t="shared" si="9"/>
        <v>14</v>
      </c>
      <c r="H52" s="74">
        <f t="shared" si="9"/>
        <v>4</v>
      </c>
      <c r="I52" s="74">
        <f t="shared" si="9"/>
        <v>1</v>
      </c>
      <c r="J52" s="74">
        <f t="shared" si="9"/>
        <v>9</v>
      </c>
      <c r="K52" s="64">
        <f>IFERROR(F52/G52-1,"n/a")</f>
        <v>-0.2142857142857143</v>
      </c>
      <c r="L52" s="64">
        <f>IFERROR(F52/H52-1,"n/a")</f>
        <v>1.75</v>
      </c>
      <c r="M52" s="64">
        <f>IFERROR(F52/I52-1,"n/a")</f>
        <v>10</v>
      </c>
      <c r="N52" s="60">
        <f>IFERROR(F52/J52-1,"n/a")</f>
        <v>0.22222222222222232</v>
      </c>
      <c r="O52" s="108"/>
      <c r="P52" s="70">
        <f>+O25-'Mar-22'!M22+'Dec-22'!M25</f>
        <v>280</v>
      </c>
      <c r="Q52" s="70">
        <f>+P25-'Mar-22'!N22+'Dec-22'!N25</f>
        <v>121</v>
      </c>
      <c r="R52" s="70">
        <f>+Q25-'Mar-22'!O22+'Dec-22'!O25</f>
        <v>32</v>
      </c>
      <c r="S52" s="70">
        <f>+R25-'Mar-22'!P22+'Dec-22'!P25</f>
        <v>361</v>
      </c>
      <c r="T52" s="108"/>
      <c r="U52" s="64">
        <f>IFERROR(P52/Q52-1,"n/a")</f>
        <v>1.3140495867768593</v>
      </c>
      <c r="V52" s="64">
        <f>IFERROR(P52/R52-1,"n/a")</f>
        <v>7.75</v>
      </c>
      <c r="W52" s="60">
        <f>IFERROR(P52/S52-1,"n/a")</f>
        <v>-0.22437673130193903</v>
      </c>
      <c r="X52" s="89"/>
      <c r="Y52" s="89">
        <v>121</v>
      </c>
      <c r="Z52" s="70">
        <v>41</v>
      </c>
      <c r="AA52" s="78">
        <v>361</v>
      </c>
      <c r="AB52" s="9"/>
    </row>
    <row r="53" spans="1:28">
      <c r="A53" s="9"/>
      <c r="B53" s="9"/>
      <c r="C53" s="33"/>
      <c r="D53" s="26" t="s">
        <v>11</v>
      </c>
      <c r="E53" s="32"/>
      <c r="F53" s="74">
        <f t="shared" si="9"/>
        <v>35490</v>
      </c>
      <c r="G53" s="74">
        <f t="shared" si="9"/>
        <v>19157</v>
      </c>
      <c r="H53" s="74">
        <f t="shared" si="9"/>
        <v>3290</v>
      </c>
      <c r="I53" s="74">
        <f t="shared" si="9"/>
        <v>565</v>
      </c>
      <c r="J53" s="74">
        <f t="shared" si="9"/>
        <v>31670</v>
      </c>
      <c r="K53" s="64">
        <f>IFERROR(F53/G53-1,"n/a")</f>
        <v>0.85258652189800066</v>
      </c>
      <c r="L53" s="64">
        <f>IFERROR(F53/H53-1,"n/a")</f>
        <v>9.787234042553191</v>
      </c>
      <c r="M53" s="64">
        <f>IFERROR(F53/I53-1,"n/a")</f>
        <v>61.814159292035399</v>
      </c>
      <c r="N53" s="60">
        <f>IFERROR(F53/J53-1,"n/a")</f>
        <v>0.12061888222292394</v>
      </c>
      <c r="O53" s="109"/>
      <c r="P53" s="70">
        <f>+O26-'Mar-22'!M23+'Dec-22'!M26</f>
        <v>576103</v>
      </c>
      <c r="Q53" s="70">
        <f>+P26-'Mar-22'!N23+'Dec-22'!N26</f>
        <v>165689</v>
      </c>
      <c r="R53" s="70">
        <f>+Q26-'Mar-22'!O23+'Dec-22'!O26</f>
        <v>26923</v>
      </c>
      <c r="S53" s="70">
        <f>+R26-'Mar-22'!P23+'Dec-22'!P26</f>
        <v>865961</v>
      </c>
      <c r="T53" s="108"/>
      <c r="U53" s="64">
        <f>IFERROR(P53/Q53-1,"n/a")</f>
        <v>2.4770141650924322</v>
      </c>
      <c r="V53" s="64">
        <f>IFERROR(P53/R53-1,"n/a")</f>
        <v>20.398172566207332</v>
      </c>
      <c r="W53" s="60">
        <f>IFERROR(P53/S53-1,"n/a")</f>
        <v>-0.33472408110757879</v>
      </c>
      <c r="X53" s="82"/>
      <c r="Y53" s="82">
        <v>165689</v>
      </c>
      <c r="Z53" s="84">
        <v>67144</v>
      </c>
      <c r="AA53" s="78">
        <v>865961</v>
      </c>
      <c r="AB53" s="9"/>
    </row>
    <row r="54" spans="1:28">
      <c r="C54" s="31" t="s">
        <v>17</v>
      </c>
      <c r="D54" s="26"/>
      <c r="E54" s="32"/>
      <c r="F54" s="72"/>
      <c r="G54" s="72"/>
      <c r="H54" s="72"/>
      <c r="I54" s="72"/>
      <c r="J54" s="72"/>
      <c r="K54" s="64"/>
      <c r="L54" s="64"/>
      <c r="M54" s="64"/>
      <c r="N54" s="60"/>
      <c r="O54" s="110"/>
      <c r="P54" s="87"/>
      <c r="Q54" s="87"/>
      <c r="R54" s="87"/>
      <c r="S54" s="87"/>
      <c r="T54" s="110"/>
      <c r="U54" s="64"/>
      <c r="V54" s="64"/>
      <c r="W54" s="60"/>
      <c r="X54" s="90"/>
      <c r="Y54" s="90"/>
      <c r="Z54" s="44"/>
      <c r="AA54" s="79"/>
      <c r="AB54" s="9"/>
    </row>
    <row r="55" spans="1:28">
      <c r="C55" s="33"/>
      <c r="D55" s="26" t="s">
        <v>5</v>
      </c>
      <c r="E55" s="32"/>
      <c r="F55" s="74">
        <f t="shared" ref="F55:J56" si="10">F28</f>
        <v>78</v>
      </c>
      <c r="G55" s="74">
        <f t="shared" si="10"/>
        <v>13</v>
      </c>
      <c r="H55" s="74">
        <f t="shared" si="10"/>
        <v>1</v>
      </c>
      <c r="I55" s="74">
        <f t="shared" si="10"/>
        <v>0</v>
      </c>
      <c r="J55" s="74">
        <f t="shared" si="10"/>
        <v>1</v>
      </c>
      <c r="K55" s="64">
        <f>IFERROR(F55/G55-1,"n/a")</f>
        <v>5</v>
      </c>
      <c r="L55" s="64">
        <f>IFERROR(F55/H55-1,"n/a")</f>
        <v>77</v>
      </c>
      <c r="M55" s="64" t="str">
        <f>IFERROR(F55/I55-1,"n/a")</f>
        <v>n/a</v>
      </c>
      <c r="N55" s="60">
        <f>IFERROR(F55/J55-1,"n/a")</f>
        <v>77</v>
      </c>
      <c r="O55" s="108"/>
      <c r="P55" s="70">
        <f>+O28-'Mar-22'!M25+'Dec-22'!M28</f>
        <v>808</v>
      </c>
      <c r="Q55" s="70">
        <f>+P28-'Mar-22'!N25+'Dec-22'!N28</f>
        <v>138</v>
      </c>
      <c r="R55" s="70">
        <f>+Q28-'Mar-22'!O25+'Dec-22'!O28</f>
        <v>39</v>
      </c>
      <c r="S55" s="70">
        <f>+R28-'Mar-22'!P25+'Dec-22'!P28</f>
        <v>360</v>
      </c>
      <c r="T55" s="108"/>
      <c r="U55" s="64">
        <f>IFERROR(P55/Q55-1,"n/a")</f>
        <v>4.8550724637681162</v>
      </c>
      <c r="V55" s="64">
        <f>IFERROR(P55/R55-1,"n/a")</f>
        <v>19.717948717948719</v>
      </c>
      <c r="W55" s="60">
        <f>IFERROR(P55/S55-1,"n/a")</f>
        <v>1.2444444444444445</v>
      </c>
      <c r="X55" s="89"/>
      <c r="Y55" s="89">
        <v>140</v>
      </c>
      <c r="Z55" s="70">
        <v>40</v>
      </c>
      <c r="AA55" s="78">
        <v>360</v>
      </c>
      <c r="AB55" s="9"/>
    </row>
    <row r="56" spans="1:28">
      <c r="C56" s="33"/>
      <c r="D56" s="26" t="s">
        <v>11</v>
      </c>
      <c r="E56" s="32"/>
      <c r="F56" s="74">
        <f t="shared" si="10"/>
        <v>200531</v>
      </c>
      <c r="G56" s="74">
        <f t="shared" si="10"/>
        <v>10202</v>
      </c>
      <c r="H56" s="74">
        <f t="shared" si="10"/>
        <v>856</v>
      </c>
      <c r="I56" s="74">
        <f t="shared" si="10"/>
        <v>0</v>
      </c>
      <c r="J56" s="74">
        <f t="shared" si="10"/>
        <v>1452</v>
      </c>
      <c r="K56" s="64">
        <f>IFERROR(F56/G56-1,"n/a")</f>
        <v>18.656047833758088</v>
      </c>
      <c r="L56" s="64">
        <f>IFERROR(F56/H56-1,"n/a")</f>
        <v>233.26518691588785</v>
      </c>
      <c r="M56" s="64" t="str">
        <f>IFERROR(F56/I56-1,"n/a")</f>
        <v>n/a</v>
      </c>
      <c r="N56" s="60">
        <f>IFERROR(F56/J56-1,"n/a")</f>
        <v>137.10674931129478</v>
      </c>
      <c r="O56" s="109"/>
      <c r="P56" s="82">
        <f>+O29-'Mar-22'!M26+'Dec-22'!M29</f>
        <v>1692448</v>
      </c>
      <c r="Q56" s="82">
        <f>+P29-'Mar-22'!N26+'Dec-22'!N29</f>
        <v>175129</v>
      </c>
      <c r="R56" s="82">
        <f>+Q29-'Mar-22'!O26+'Dec-22'!O29</f>
        <v>30309</v>
      </c>
      <c r="S56" s="82">
        <f>+R29-'Mar-22'!P26+'Dec-22'!P29</f>
        <v>861947</v>
      </c>
      <c r="T56" s="109"/>
      <c r="U56" s="64">
        <f>IFERROR(P56/Q56-1,"n/a")</f>
        <v>8.6640076743429137</v>
      </c>
      <c r="V56" s="64">
        <f>IFERROR(P56/R56-1,"n/a")</f>
        <v>54.839783562638161</v>
      </c>
      <c r="W56" s="60">
        <f>IFERROR(P56/S56-1,"n/a")</f>
        <v>0.96351747845285152</v>
      </c>
      <c r="X56" s="82"/>
      <c r="Y56" s="82">
        <v>174336</v>
      </c>
      <c r="Z56" s="84">
        <v>21928</v>
      </c>
      <c r="AA56" s="78">
        <f>706948+155011</f>
        <v>861959</v>
      </c>
      <c r="AB56" s="9"/>
    </row>
    <row r="57" spans="1:28" ht="15.75" thickBot="1">
      <c r="C57" s="35" t="s">
        <v>12</v>
      </c>
      <c r="D57" s="36"/>
      <c r="E57" s="37"/>
      <c r="F57" s="75">
        <f t="shared" ref="F57:J58" si="11">F40+F43+F46+F49+F52+F55</f>
        <v>322</v>
      </c>
      <c r="G57" s="75">
        <f t="shared" si="11"/>
        <v>260</v>
      </c>
      <c r="H57" s="75">
        <f t="shared" si="11"/>
        <v>5</v>
      </c>
      <c r="I57" s="75">
        <f t="shared" si="11"/>
        <v>160</v>
      </c>
      <c r="J57" s="75">
        <f t="shared" si="11"/>
        <v>229</v>
      </c>
      <c r="K57" s="66">
        <f>IFERROR(F57/G57-1,"n/a")</f>
        <v>0.2384615384615385</v>
      </c>
      <c r="L57" s="66">
        <f>IFERROR(F57/H57-1,"n/a")</f>
        <v>63.400000000000006</v>
      </c>
      <c r="M57" s="66">
        <f>IFERROR(F57/I57-1,"n/a")</f>
        <v>1.0125000000000002</v>
      </c>
      <c r="N57" s="62">
        <f>IFERROR(F57/J57-1,"n/a")</f>
        <v>0.40611353711790388</v>
      </c>
      <c r="O57" s="46"/>
      <c r="P57" s="46">
        <f t="shared" ref="P57:S58" si="12">P40+P43+P46+P49+P52+P55</f>
        <v>3862</v>
      </c>
      <c r="Q57" s="46">
        <f t="shared" si="12"/>
        <v>1680</v>
      </c>
      <c r="R57" s="46">
        <f t="shared" si="12"/>
        <v>114</v>
      </c>
      <c r="S57" s="46">
        <f t="shared" si="12"/>
        <v>3274</v>
      </c>
      <c r="T57" s="46"/>
      <c r="U57" s="66">
        <f>IFERROR(P57/Q57-1,"n/a")</f>
        <v>1.2988095238095236</v>
      </c>
      <c r="V57" s="66">
        <f>IFERROR(P57/R57-1,"n/a")</f>
        <v>32.877192982456137</v>
      </c>
      <c r="W57" s="62">
        <f>IFERROR(P57/S57-1,"n/a")</f>
        <v>0.17959682345754424</v>
      </c>
      <c r="X57" s="46"/>
      <c r="Y57" s="46">
        <f t="shared" ref="Y57:AA58" si="13">Y40+Y43+Y46+Y49+Y52+Y55</f>
        <v>1682</v>
      </c>
      <c r="Z57" s="46">
        <f t="shared" si="13"/>
        <v>679</v>
      </c>
      <c r="AA57" s="80">
        <f t="shared" si="13"/>
        <v>3274</v>
      </c>
      <c r="AB57" s="9"/>
    </row>
    <row r="58" spans="1:28" ht="16.5" thickTop="1" thickBot="1">
      <c r="C58" s="38" t="s">
        <v>13</v>
      </c>
      <c r="D58" s="39"/>
      <c r="E58" s="40"/>
      <c r="F58" s="76">
        <f t="shared" si="11"/>
        <v>921313</v>
      </c>
      <c r="G58" s="76">
        <f t="shared" si="11"/>
        <v>406818</v>
      </c>
      <c r="H58" s="76">
        <f t="shared" si="11"/>
        <v>4146</v>
      </c>
      <c r="I58" s="76">
        <f t="shared" si="11"/>
        <v>226273</v>
      </c>
      <c r="J58" s="76">
        <f t="shared" si="11"/>
        <v>655947</v>
      </c>
      <c r="K58" s="67">
        <f>IFERROR(F58/G58-1,"n/a")</f>
        <v>1.2646810121479386</v>
      </c>
      <c r="L58" s="67">
        <f>IFERROR(F58/H58-1,"n/a")</f>
        <v>221.21731789676798</v>
      </c>
      <c r="M58" s="67">
        <f>IFERROR(F58/I58-1,"n/a")</f>
        <v>3.071687740030848</v>
      </c>
      <c r="N58" s="63">
        <f>IFERROR(F58/J58-1,"n/a")</f>
        <v>0.40455402646860184</v>
      </c>
      <c r="O58" s="47"/>
      <c r="P58" s="47">
        <f t="shared" si="12"/>
        <v>9237738</v>
      </c>
      <c r="Q58" s="47">
        <f t="shared" si="12"/>
        <v>2412434</v>
      </c>
      <c r="R58" s="47">
        <f t="shared" si="12"/>
        <v>57343</v>
      </c>
      <c r="S58" s="47">
        <f t="shared" si="12"/>
        <v>8654754</v>
      </c>
      <c r="T58" s="47"/>
      <c r="U58" s="67">
        <f>IFERROR(P58/Q58-1,"n/a")</f>
        <v>2.8292189547983488</v>
      </c>
      <c r="V58" s="67">
        <f>IFERROR(P58/R58-1,"n/a")</f>
        <v>160.09617564480408</v>
      </c>
      <c r="W58" s="63">
        <f>IFERROR(P58/S58-1,"n/a")</f>
        <v>6.7359973489714342E-2</v>
      </c>
      <c r="X58" s="47"/>
      <c r="Y58" s="47">
        <f t="shared" si="13"/>
        <v>2411641</v>
      </c>
      <c r="Z58" s="47">
        <f t="shared" si="13"/>
        <v>1324261</v>
      </c>
      <c r="AA58" s="81">
        <f t="shared" si="13"/>
        <v>8654686</v>
      </c>
      <c r="AB58" s="9"/>
    </row>
    <row r="59" spans="1:28" ht="15.75" thickTop="1">
      <c r="AB59" s="9"/>
    </row>
    <row r="60" spans="1:28">
      <c r="P60" s="111"/>
      <c r="Q60" s="111"/>
      <c r="R60" s="111"/>
      <c r="S60" s="111"/>
      <c r="AB60" s="9"/>
    </row>
    <row r="61" spans="1:28">
      <c r="P61" s="111"/>
      <c r="Q61" s="111"/>
      <c r="R61" s="111"/>
      <c r="S61" s="111"/>
      <c r="AB61" s="9"/>
    </row>
    <row r="62" spans="1:28" hidden="1">
      <c r="P62" s="111"/>
      <c r="Q62" s="111"/>
      <c r="R62" s="111"/>
      <c r="S62" s="111"/>
      <c r="AB62" s="9"/>
    </row>
    <row r="63" spans="1:28" hidden="1">
      <c r="P63" s="111"/>
      <c r="Q63" s="111"/>
      <c r="R63" s="111"/>
      <c r="S63" s="111"/>
      <c r="AB63" s="9"/>
    </row>
    <row r="64" spans="1:28" hidden="1">
      <c r="AB64" s="9"/>
    </row>
    <row r="65" spans="28:28" hidden="1">
      <c r="AB65" s="9"/>
    </row>
    <row r="66" spans="28:28" hidden="1">
      <c r="AB66" s="9"/>
    </row>
  </sheetData>
  <mergeCells count="6">
    <mergeCell ref="F9:N9"/>
    <mergeCell ref="O9:W9"/>
    <mergeCell ref="X9:AA9"/>
    <mergeCell ref="F36:N36"/>
    <mergeCell ref="O36:W36"/>
    <mergeCell ref="X36:AA36"/>
  </mergeCells>
  <pageMargins left="0.7" right="0.7" top="0.75" bottom="0.75" header="0.3" footer="0.3"/>
  <drawing r:id="rId1"/>
  <legacy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66"/>
  <sheetViews>
    <sheetView showGridLines="0" topLeftCell="A34" workbookViewId="0">
      <selection activeCell="G55" sqref="G55"/>
    </sheetView>
  </sheetViews>
  <sheetFormatPr defaultColWidth="0" defaultRowHeight="15" zeroHeight="1"/>
  <cols>
    <col min="1" max="2" width="4.140625" customWidth="1"/>
    <col min="3" max="3" width="3.85546875" customWidth="1"/>
    <col min="4" max="4" width="8.85546875" customWidth="1"/>
    <col min="5" max="5" width="10.85546875" bestFit="1" customWidth="1"/>
    <col min="6" max="10" width="8.85546875" customWidth="1"/>
    <col min="11" max="14" width="8" customWidth="1"/>
    <col min="15" max="19" width="10.42578125" bestFit="1" customWidth="1"/>
    <col min="20" max="21" width="8.140625" bestFit="1" customWidth="1"/>
    <col min="22" max="22" width="9" bestFit="1" customWidth="1"/>
    <col min="23" max="23" width="7.85546875" customWidth="1"/>
    <col min="24" max="26" width="10.42578125" bestFit="1" customWidth="1"/>
    <col min="27" max="27" width="11.140625" bestFit="1" customWidth="1"/>
    <col min="28" max="28" width="3.42578125" customWidth="1"/>
    <col min="29" max="16384" width="8.85546875" hidden="1"/>
  </cols>
  <sheetData>
    <row r="1" spans="1:28">
      <c r="A1" s="9"/>
      <c r="B1" s="9"/>
      <c r="C1" s="9"/>
      <c r="D1" s="9"/>
      <c r="E1" s="9"/>
      <c r="F1" s="9"/>
      <c r="G1" s="9"/>
      <c r="H1" s="9"/>
      <c r="I1" s="9"/>
      <c r="J1" s="9"/>
      <c r="K1" s="9"/>
      <c r="L1" s="9"/>
      <c r="M1" s="9"/>
      <c r="N1" s="9"/>
      <c r="O1" s="9"/>
      <c r="P1" s="9"/>
      <c r="Q1" s="9"/>
      <c r="R1" s="9"/>
      <c r="S1" s="9"/>
      <c r="T1" s="9"/>
      <c r="U1" s="9"/>
      <c r="V1" s="9"/>
      <c r="W1" s="9"/>
      <c r="X1" s="9"/>
      <c r="Y1" s="9"/>
      <c r="Z1" s="9"/>
      <c r="AA1" s="9"/>
      <c r="AB1" s="9"/>
    </row>
    <row r="2" spans="1:28" ht="31.35" customHeight="1" thickBot="1">
      <c r="A2" s="9"/>
      <c r="B2" s="8" t="s">
        <v>6</v>
      </c>
      <c r="C2" s="23"/>
      <c r="D2" s="23"/>
      <c r="E2" s="23"/>
      <c r="F2" s="23"/>
      <c r="G2" s="23"/>
      <c r="H2" s="23"/>
      <c r="I2" s="23"/>
      <c r="J2" s="23"/>
      <c r="K2" s="23"/>
      <c r="L2" s="23"/>
      <c r="M2" s="23"/>
      <c r="N2" s="23"/>
      <c r="O2" s="23"/>
      <c r="P2" s="23"/>
      <c r="Q2" s="23"/>
      <c r="R2" s="23"/>
      <c r="S2" s="23"/>
      <c r="T2" s="23"/>
      <c r="U2" s="23"/>
      <c r="V2" s="23"/>
      <c r="W2" s="23"/>
      <c r="X2" s="23"/>
      <c r="Y2" s="23"/>
      <c r="Z2" s="23"/>
      <c r="AA2" s="23"/>
      <c r="AB2" s="9"/>
    </row>
    <row r="3" spans="1:28">
      <c r="A3" s="9"/>
      <c r="B3" s="10"/>
      <c r="C3" s="24"/>
      <c r="D3" s="24"/>
      <c r="E3" s="24"/>
      <c r="F3" s="24"/>
      <c r="G3" s="24"/>
      <c r="H3" s="24"/>
      <c r="I3" s="24"/>
      <c r="J3" s="24"/>
      <c r="K3" s="24"/>
      <c r="L3" s="24"/>
      <c r="M3" s="24"/>
      <c r="N3" s="24"/>
      <c r="O3" s="24"/>
      <c r="P3" s="24"/>
      <c r="Q3" s="24"/>
      <c r="R3" s="24"/>
      <c r="S3" s="24"/>
      <c r="T3" s="24"/>
      <c r="U3" s="24"/>
      <c r="V3" s="24"/>
      <c r="W3" s="24"/>
      <c r="X3" s="24"/>
      <c r="Y3" s="24"/>
      <c r="Z3" s="24"/>
      <c r="AA3" s="25">
        <v>45000</v>
      </c>
      <c r="AB3" s="9"/>
    </row>
    <row r="4" spans="1:28" ht="15.75">
      <c r="A4" s="9"/>
      <c r="B4" s="11" t="s">
        <v>7</v>
      </c>
      <c r="C4" s="26"/>
      <c r="D4" s="24"/>
      <c r="E4" s="58" t="s">
        <v>102</v>
      </c>
      <c r="F4" s="24"/>
      <c r="G4" s="24"/>
      <c r="H4" s="24"/>
      <c r="I4" s="24"/>
      <c r="J4" s="24"/>
      <c r="K4" s="24"/>
      <c r="L4" s="24"/>
      <c r="M4" s="24"/>
      <c r="N4" s="24"/>
      <c r="O4" s="24"/>
      <c r="P4" s="24"/>
      <c r="Q4" s="24"/>
      <c r="R4" s="24"/>
      <c r="S4" s="24"/>
      <c r="T4" s="24"/>
      <c r="U4" s="24"/>
      <c r="V4" s="24"/>
      <c r="W4" s="24"/>
      <c r="X4" s="24"/>
      <c r="Y4" s="24"/>
      <c r="Z4" s="24"/>
      <c r="AA4" s="24"/>
      <c r="AB4" s="9"/>
    </row>
    <row r="5" spans="1:28">
      <c r="A5" s="9"/>
      <c r="B5" s="10"/>
      <c r="C5" s="24"/>
      <c r="D5" s="24"/>
      <c r="E5" s="24"/>
      <c r="F5" s="24"/>
      <c r="G5" s="24"/>
      <c r="H5" s="24"/>
      <c r="I5" s="24"/>
      <c r="J5" s="24"/>
      <c r="K5" s="24"/>
      <c r="L5" s="24"/>
      <c r="M5" s="24"/>
      <c r="N5" s="24"/>
      <c r="O5" s="24"/>
      <c r="P5" s="24"/>
      <c r="Q5" s="24"/>
      <c r="R5" s="24"/>
      <c r="S5" s="24"/>
      <c r="T5" s="24"/>
      <c r="U5" s="24"/>
      <c r="V5" s="24"/>
      <c r="W5" s="24"/>
      <c r="X5" s="24"/>
      <c r="Y5" s="24"/>
      <c r="Z5" s="24"/>
      <c r="AA5" s="24"/>
      <c r="AB5" s="9"/>
    </row>
    <row r="6" spans="1:28">
      <c r="A6" s="9"/>
      <c r="B6" s="10"/>
      <c r="C6" s="24"/>
      <c r="D6" s="24"/>
      <c r="E6" s="24"/>
      <c r="F6" s="24"/>
      <c r="G6" s="24"/>
      <c r="H6" s="24"/>
      <c r="I6" s="24"/>
      <c r="J6" s="24"/>
      <c r="K6" s="24"/>
      <c r="L6" s="24"/>
      <c r="M6" s="24"/>
      <c r="N6" s="24"/>
      <c r="O6" s="24"/>
      <c r="P6" s="24"/>
      <c r="Q6" s="24"/>
      <c r="R6" s="24"/>
      <c r="S6" s="24"/>
      <c r="T6" s="24"/>
      <c r="U6" s="24"/>
      <c r="V6" s="24"/>
      <c r="W6" s="24"/>
      <c r="X6" s="24"/>
      <c r="Y6" s="24"/>
      <c r="Z6" s="24"/>
      <c r="AA6" s="24"/>
      <c r="AB6" s="9"/>
    </row>
    <row r="7" spans="1:28">
      <c r="A7" s="9"/>
      <c r="B7" s="10"/>
      <c r="C7" s="86" t="s">
        <v>62</v>
      </c>
      <c r="D7" s="24"/>
      <c r="E7" s="24"/>
      <c r="F7" s="24"/>
      <c r="G7" s="24"/>
      <c r="H7" s="24"/>
      <c r="I7" s="24"/>
      <c r="J7" s="24"/>
      <c r="K7" s="24"/>
      <c r="L7" s="24"/>
      <c r="M7" s="24"/>
      <c r="N7" s="24"/>
      <c r="O7" s="24"/>
      <c r="P7" s="24"/>
      <c r="Q7" s="24"/>
      <c r="R7" s="24"/>
      <c r="S7" s="24"/>
      <c r="T7" s="24"/>
      <c r="U7" s="24"/>
      <c r="V7" s="24"/>
      <c r="W7" s="24"/>
      <c r="X7" s="24"/>
      <c r="Y7" s="24"/>
      <c r="Z7" s="24"/>
      <c r="AA7" s="24"/>
      <c r="AB7" s="9"/>
    </row>
    <row r="8" spans="1:28">
      <c r="A8" s="9"/>
      <c r="B8" s="10"/>
      <c r="C8" s="24"/>
      <c r="D8" s="24"/>
      <c r="E8" s="24"/>
      <c r="F8" s="24"/>
      <c r="G8" s="24"/>
      <c r="H8" s="24"/>
      <c r="I8" s="24"/>
      <c r="J8" s="24"/>
      <c r="K8" s="24"/>
      <c r="L8" s="24"/>
      <c r="M8" s="24"/>
      <c r="N8" s="24"/>
      <c r="O8" s="24"/>
      <c r="P8" s="24"/>
      <c r="Q8" s="24"/>
      <c r="R8" s="24"/>
      <c r="S8" s="24"/>
      <c r="T8" s="24"/>
      <c r="U8" s="24"/>
      <c r="V8" s="24"/>
      <c r="W8" s="24"/>
      <c r="X8" s="24"/>
      <c r="Y8" s="24"/>
      <c r="Z8" s="24"/>
      <c r="AA8" s="24"/>
      <c r="AB8" s="9"/>
    </row>
    <row r="9" spans="1:28">
      <c r="A9" s="9"/>
      <c r="C9" s="27" t="s">
        <v>7</v>
      </c>
      <c r="D9" s="28"/>
      <c r="E9" s="28"/>
      <c r="F9" s="158" t="s">
        <v>39</v>
      </c>
      <c r="G9" s="158"/>
      <c r="H9" s="158"/>
      <c r="I9" s="158"/>
      <c r="J9" s="158"/>
      <c r="K9" s="158"/>
      <c r="L9" s="158"/>
      <c r="M9" s="158"/>
      <c r="N9" s="159"/>
      <c r="O9" s="157" t="s">
        <v>38</v>
      </c>
      <c r="P9" s="158"/>
      <c r="Q9" s="158"/>
      <c r="R9" s="158"/>
      <c r="S9" s="158"/>
      <c r="T9" s="158"/>
      <c r="U9" s="158"/>
      <c r="V9" s="158"/>
      <c r="W9" s="159"/>
      <c r="X9" s="157" t="s">
        <v>57</v>
      </c>
      <c r="Y9" s="158"/>
      <c r="Z9" s="158"/>
      <c r="AA9" s="160"/>
      <c r="AB9" s="9"/>
    </row>
    <row r="10" spans="1:28" ht="15.75">
      <c r="A10" s="9"/>
      <c r="B10" s="18"/>
      <c r="C10" s="29"/>
      <c r="D10" s="30"/>
      <c r="E10" s="30"/>
      <c r="F10" s="29"/>
      <c r="G10" s="30"/>
      <c r="H10" s="30"/>
      <c r="I10" s="30"/>
      <c r="J10" s="30"/>
      <c r="K10" s="30"/>
      <c r="L10" s="30"/>
      <c r="M10" s="30"/>
      <c r="N10" s="56"/>
      <c r="O10" s="30"/>
      <c r="P10" s="30"/>
      <c r="Q10" s="30"/>
      <c r="R10" s="30"/>
      <c r="S10" s="30"/>
      <c r="T10" s="30"/>
      <c r="U10" s="30"/>
      <c r="V10" s="30"/>
      <c r="W10" s="56"/>
      <c r="X10" s="30"/>
      <c r="Y10" s="30"/>
      <c r="Z10" s="30"/>
      <c r="AA10" s="56"/>
      <c r="AB10" s="9"/>
    </row>
    <row r="11" spans="1:28" ht="26.1" customHeight="1">
      <c r="A11" s="48"/>
      <c r="B11" s="49"/>
      <c r="C11" s="59" t="s">
        <v>29</v>
      </c>
      <c r="D11" s="50"/>
      <c r="E11" s="51"/>
      <c r="F11" s="55">
        <v>2023</v>
      </c>
      <c r="G11" s="52">
        <v>2022</v>
      </c>
      <c r="H11" s="52">
        <v>2021</v>
      </c>
      <c r="I11" s="52">
        <v>2020</v>
      </c>
      <c r="J11" s="52">
        <v>2019</v>
      </c>
      <c r="K11" s="53" t="s">
        <v>66</v>
      </c>
      <c r="L11" s="53" t="s">
        <v>67</v>
      </c>
      <c r="M11" s="53" t="s">
        <v>68</v>
      </c>
      <c r="N11" s="57" t="s">
        <v>101</v>
      </c>
      <c r="O11" s="53">
        <v>2023</v>
      </c>
      <c r="P11" s="53">
        <v>2022</v>
      </c>
      <c r="Q11" s="52">
        <v>2021</v>
      </c>
      <c r="R11" s="52">
        <v>2020</v>
      </c>
      <c r="S11" s="52">
        <v>2019</v>
      </c>
      <c r="T11" s="53" t="s">
        <v>66</v>
      </c>
      <c r="U11" s="53" t="s">
        <v>67</v>
      </c>
      <c r="V11" s="53" t="s">
        <v>68</v>
      </c>
      <c r="W11" s="57" t="s">
        <v>101</v>
      </c>
      <c r="X11" s="53">
        <v>2022</v>
      </c>
      <c r="Y11" s="53">
        <v>2021</v>
      </c>
      <c r="Z11" s="52">
        <v>2020</v>
      </c>
      <c r="AA11" s="77">
        <v>2019</v>
      </c>
      <c r="AB11" s="48"/>
    </row>
    <row r="12" spans="1:28">
      <c r="A12" s="9"/>
      <c r="B12" s="12"/>
      <c r="C12" s="31" t="s">
        <v>14</v>
      </c>
      <c r="D12" s="26"/>
      <c r="E12" s="32"/>
      <c r="F12" s="26"/>
      <c r="G12" s="26"/>
      <c r="H12" s="26"/>
      <c r="I12" s="26"/>
      <c r="J12" s="26"/>
      <c r="K12" s="26"/>
      <c r="L12" s="26"/>
      <c r="M12" s="26"/>
      <c r="N12" s="32"/>
      <c r="O12" s="26"/>
      <c r="P12" s="26"/>
      <c r="Q12" s="26"/>
      <c r="R12" s="26"/>
      <c r="S12" s="26"/>
      <c r="T12" s="26"/>
      <c r="U12" s="26"/>
      <c r="V12" s="26"/>
      <c r="W12" s="32"/>
      <c r="X12" s="26"/>
      <c r="Y12" s="26"/>
      <c r="Z12" s="26"/>
      <c r="AA12" s="32"/>
      <c r="AB12" s="9"/>
    </row>
    <row r="13" spans="1:28">
      <c r="A13" s="9"/>
      <c r="B13" s="12"/>
      <c r="C13" s="33"/>
      <c r="D13" s="26" t="s">
        <v>5</v>
      </c>
      <c r="E13" s="32"/>
      <c r="F13" s="73">
        <v>61</v>
      </c>
      <c r="G13" s="71">
        <v>59</v>
      </c>
      <c r="H13" s="71">
        <v>0</v>
      </c>
      <c r="I13" s="71">
        <v>55</v>
      </c>
      <c r="J13" s="71">
        <v>62</v>
      </c>
      <c r="K13" s="64">
        <f>IFERROR(F13/G13-1,"n/a")</f>
        <v>3.3898305084745672E-2</v>
      </c>
      <c r="L13" s="64" t="str">
        <f t="shared" ref="L13:L31" si="0">IFERROR(F13/H13-1,"n/a")</f>
        <v>n/a</v>
      </c>
      <c r="M13" s="64">
        <f>IFERROR(F13/I13-1,"n/a")</f>
        <v>0.10909090909090913</v>
      </c>
      <c r="N13" s="60">
        <f>IFERROR(F13/J13-1,"n/a")</f>
        <v>-1.6129032258064502E-2</v>
      </c>
      <c r="O13" s="68">
        <f>F13+'Jan-23'!O13</f>
        <v>129</v>
      </c>
      <c r="P13" s="68">
        <f>G13+'Jan-23'!P13</f>
        <v>123</v>
      </c>
      <c r="Q13" s="68">
        <f>H13+'Jan-23'!Q13</f>
        <v>0</v>
      </c>
      <c r="R13" s="68">
        <f>I13+'Jan-23'!R13</f>
        <v>116</v>
      </c>
      <c r="S13" s="68">
        <f>J13+'Jan-23'!S13</f>
        <v>138</v>
      </c>
      <c r="T13" s="64">
        <f>IFERROR(O13/P13-1,"n/a")</f>
        <v>4.8780487804878092E-2</v>
      </c>
      <c r="U13" s="64" t="str">
        <f>IFERROR(O13/Q13-1,"n/a")</f>
        <v>n/a</v>
      </c>
      <c r="V13" s="64">
        <f>IFERROR(O13/R13-1,"n/a")</f>
        <v>0.11206896551724133</v>
      </c>
      <c r="W13" s="60">
        <f>IFERROR(O13/S13-1,"n/a")</f>
        <v>-6.5217391304347783E-2</v>
      </c>
      <c r="X13" s="68">
        <v>346</v>
      </c>
      <c r="Y13" s="68">
        <v>111</v>
      </c>
      <c r="Z13" s="70">
        <v>145</v>
      </c>
      <c r="AA13" s="78">
        <v>386</v>
      </c>
      <c r="AB13" s="9"/>
    </row>
    <row r="14" spans="1:28">
      <c r="A14" s="9"/>
      <c r="B14" s="12"/>
      <c r="C14" s="33"/>
      <c r="D14" s="26" t="s">
        <v>11</v>
      </c>
      <c r="E14" s="32"/>
      <c r="F14" s="73">
        <v>107254</v>
      </c>
      <c r="G14" s="71">
        <v>44710</v>
      </c>
      <c r="H14" s="71">
        <v>0</v>
      </c>
      <c r="I14" s="71">
        <v>101463</v>
      </c>
      <c r="J14" s="71">
        <v>119668</v>
      </c>
      <c r="K14" s="64">
        <f>IFERROR(F14/G14-1,"n/a")</f>
        <v>1.3988816819503467</v>
      </c>
      <c r="L14" s="64" t="str">
        <f t="shared" si="0"/>
        <v>n/a</v>
      </c>
      <c r="M14" s="64">
        <f>IFERROR(F14/I14-1,"n/a")</f>
        <v>5.7074992854538209E-2</v>
      </c>
      <c r="N14" s="60">
        <f>IFERROR(F14/J14-1,"n/a")</f>
        <v>-0.10373700571581379</v>
      </c>
      <c r="O14" s="68">
        <f>F14+'Jan-23'!O14</f>
        <v>223218</v>
      </c>
      <c r="P14" s="68">
        <f>G14+'Jan-23'!P14</f>
        <v>95504</v>
      </c>
      <c r="Q14" s="68">
        <f>H14+'Jan-23'!Q14</f>
        <v>0</v>
      </c>
      <c r="R14" s="68">
        <f>I14+'Jan-23'!R14</f>
        <v>210259</v>
      </c>
      <c r="S14" s="68">
        <f>J14+'Jan-23'!S14</f>
        <v>276534</v>
      </c>
      <c r="T14" s="64">
        <f>IFERROR(O14/P14-1,"n/a")</f>
        <v>1.3372633606969342</v>
      </c>
      <c r="U14" s="64" t="str">
        <f>IFERROR(O14/Q14-1,"n/a")</f>
        <v>n/a</v>
      </c>
      <c r="V14" s="64">
        <f>IFERROR(O14/R14-1,"n/a")</f>
        <v>6.163350914824095E-2</v>
      </c>
      <c r="W14" s="60">
        <f>IFERROR(O14/S14-1,"n/a")</f>
        <v>-0.19280088524376748</v>
      </c>
      <c r="X14" s="68">
        <v>380182</v>
      </c>
      <c r="Y14" s="68">
        <v>80863</v>
      </c>
      <c r="Z14" s="70">
        <v>258885</v>
      </c>
      <c r="AA14" s="78">
        <v>733296</v>
      </c>
      <c r="AB14" s="9"/>
    </row>
    <row r="15" spans="1:28">
      <c r="A15" s="9"/>
      <c r="B15" s="12"/>
      <c r="C15" s="31" t="s">
        <v>74</v>
      </c>
      <c r="D15" s="26"/>
      <c r="E15" s="32"/>
      <c r="F15" s="97"/>
      <c r="G15" s="26"/>
      <c r="H15" s="26"/>
      <c r="I15" s="26"/>
      <c r="J15" s="26"/>
      <c r="K15" s="64"/>
      <c r="L15" s="64"/>
      <c r="M15" s="64"/>
      <c r="N15" s="61"/>
      <c r="O15" s="87"/>
      <c r="P15" s="87"/>
      <c r="Q15" s="87"/>
      <c r="R15" s="87"/>
      <c r="S15" s="87"/>
      <c r="T15" s="64"/>
      <c r="U15" s="64"/>
      <c r="V15" s="65"/>
      <c r="W15" s="61"/>
      <c r="X15" s="43"/>
      <c r="Y15" s="43"/>
      <c r="Z15" s="44"/>
      <c r="AA15" s="79"/>
      <c r="AB15" s="9"/>
    </row>
    <row r="16" spans="1:28">
      <c r="A16" s="9"/>
      <c r="B16" s="12"/>
      <c r="C16" s="33"/>
      <c r="D16" s="26" t="s">
        <v>5</v>
      </c>
      <c r="E16" s="32"/>
      <c r="F16" s="74">
        <v>17</v>
      </c>
      <c r="G16" s="71">
        <v>13</v>
      </c>
      <c r="H16" s="71">
        <v>0</v>
      </c>
      <c r="I16" s="71">
        <v>14</v>
      </c>
      <c r="J16" s="71">
        <v>21</v>
      </c>
      <c r="K16" s="64">
        <f>IFERROR(F16/G16-1,"n/a")</f>
        <v>0.30769230769230771</v>
      </c>
      <c r="L16" s="64" t="str">
        <f t="shared" si="0"/>
        <v>n/a</v>
      </c>
      <c r="M16" s="64">
        <f>IFERROR(F16/I16-1,"n/a")</f>
        <v>0.21428571428571419</v>
      </c>
      <c r="N16" s="60">
        <f>IFERROR(F16/J16-1,"n/a")</f>
        <v>-0.19047619047619047</v>
      </c>
      <c r="O16" s="68">
        <f>F16+'Jan-23'!O16</f>
        <v>40</v>
      </c>
      <c r="P16" s="68">
        <f>G16+'Jan-23'!P16</f>
        <v>29</v>
      </c>
      <c r="Q16" s="68">
        <f>H16+'Jan-23'!Q16</f>
        <v>0</v>
      </c>
      <c r="R16" s="68">
        <f>I16+'Jan-23'!R16</f>
        <v>33</v>
      </c>
      <c r="S16" s="68">
        <f>J16+'Jan-23'!S16</f>
        <v>45</v>
      </c>
      <c r="T16" s="64">
        <f>IFERROR(O16/P16-1,"n/a")</f>
        <v>0.3793103448275863</v>
      </c>
      <c r="U16" s="64" t="str">
        <f>IFERROR(O16/Q16-1,"n/a")</f>
        <v>n/a</v>
      </c>
      <c r="V16" s="64">
        <f>IFERROR(O16/R16-1,"n/a")</f>
        <v>0.21212121212121215</v>
      </c>
      <c r="W16" s="60">
        <f>IFERROR(O16/S16-1,"n/a")</f>
        <v>-0.11111111111111116</v>
      </c>
      <c r="X16" s="68">
        <v>778</v>
      </c>
      <c r="Y16" s="68">
        <v>283</v>
      </c>
      <c r="Z16" s="70">
        <v>43</v>
      </c>
      <c r="AA16" s="78">
        <v>827</v>
      </c>
      <c r="AB16" s="9"/>
    </row>
    <row r="17" spans="1:28">
      <c r="A17" s="9"/>
      <c r="B17" s="12"/>
      <c r="C17" s="33"/>
      <c r="D17" s="26" t="s">
        <v>11</v>
      </c>
      <c r="E17" s="32"/>
      <c r="F17" s="74">
        <v>64480</v>
      </c>
      <c r="G17" s="71">
        <v>14032</v>
      </c>
      <c r="H17" s="71">
        <v>0</v>
      </c>
      <c r="I17" s="71">
        <v>47023</v>
      </c>
      <c r="J17" s="71">
        <v>59703</v>
      </c>
      <c r="K17" s="64">
        <f>IFERROR(F17/G17-1,"n/a")</f>
        <v>3.5952109464082094</v>
      </c>
      <c r="L17" s="64" t="str">
        <f t="shared" si="0"/>
        <v>n/a</v>
      </c>
      <c r="M17" s="64">
        <f>IFERROR(F17/I17-1,"n/a")</f>
        <v>0.37124385938795901</v>
      </c>
      <c r="N17" s="60">
        <f>IFERROR(F17/J17-1,"n/a")</f>
        <v>8.0012729678575534E-2</v>
      </c>
      <c r="O17" s="68">
        <f>F17+'Jan-23'!O17</f>
        <v>137438</v>
      </c>
      <c r="P17" s="68">
        <f>G17+'Jan-23'!P17</f>
        <v>35860</v>
      </c>
      <c r="Q17" s="68">
        <f>H17+'Jan-23'!Q17</f>
        <v>0</v>
      </c>
      <c r="R17" s="68">
        <f>I17+'Jan-23'!R17</f>
        <v>112017</v>
      </c>
      <c r="S17" s="68">
        <f>J17+'Jan-23'!S17</f>
        <v>134226</v>
      </c>
      <c r="T17" s="64">
        <f>IFERROR(O17/P17-1,"n/a")</f>
        <v>2.8326268823201337</v>
      </c>
      <c r="U17" s="64" t="str">
        <f>IFERROR(O17/Q17-1,"n/a")</f>
        <v>n/a</v>
      </c>
      <c r="V17" s="64">
        <f>IFERROR(O17/R17-1,"n/a")</f>
        <v>0.22693876822268044</v>
      </c>
      <c r="W17" s="60">
        <f>IFERROR(O17/S17-1,"n/a")</f>
        <v>2.3929790055577937E-2</v>
      </c>
      <c r="X17" s="68">
        <v>1843624</v>
      </c>
      <c r="Y17" s="68">
        <v>465109</v>
      </c>
      <c r="Z17" s="70">
        <v>140552</v>
      </c>
      <c r="AA17" s="78">
        <v>2552942</v>
      </c>
      <c r="AB17" s="9"/>
    </row>
    <row r="18" spans="1:28">
      <c r="A18" s="9"/>
      <c r="B18" s="12"/>
      <c r="C18" s="31" t="s">
        <v>15</v>
      </c>
      <c r="D18" s="26"/>
      <c r="E18" s="32"/>
      <c r="F18" s="72"/>
      <c r="G18" s="72"/>
      <c r="H18" s="72"/>
      <c r="I18" s="72"/>
      <c r="J18" s="72"/>
      <c r="K18" s="64"/>
      <c r="L18" s="64"/>
      <c r="M18" s="64"/>
      <c r="N18" s="60"/>
      <c r="O18" s="87"/>
      <c r="P18" s="87"/>
      <c r="Q18" s="87"/>
      <c r="R18" s="87"/>
      <c r="S18" s="87"/>
      <c r="T18" s="64"/>
      <c r="U18" s="64"/>
      <c r="V18" s="64"/>
      <c r="W18" s="60"/>
      <c r="X18" s="43"/>
      <c r="Y18" s="43"/>
      <c r="Z18" s="44"/>
      <c r="AA18" s="79"/>
      <c r="AB18" s="9"/>
    </row>
    <row r="19" spans="1:28">
      <c r="A19" s="9"/>
      <c r="B19" s="12"/>
      <c r="C19" s="33"/>
      <c r="D19" s="26" t="s">
        <v>5</v>
      </c>
      <c r="E19" s="32"/>
      <c r="F19" s="73">
        <v>2</v>
      </c>
      <c r="G19" s="71">
        <v>2</v>
      </c>
      <c r="H19" s="71">
        <v>0</v>
      </c>
      <c r="I19" s="71">
        <v>0</v>
      </c>
      <c r="J19" s="71">
        <v>1</v>
      </c>
      <c r="K19" s="64">
        <f>IFERROR(F19/G19-1,"n/a")</f>
        <v>0</v>
      </c>
      <c r="L19" s="64" t="str">
        <f t="shared" si="0"/>
        <v>n/a</v>
      </c>
      <c r="M19" s="64" t="str">
        <f>IFERROR(F19/I19-1,"n/a")</f>
        <v>n/a</v>
      </c>
      <c r="N19" s="60">
        <f>IFERROR(F19/J19-1,"n/a")</f>
        <v>1</v>
      </c>
      <c r="O19" s="68">
        <f>F19+'Jan-23'!O19</f>
        <v>6</v>
      </c>
      <c r="P19" s="68">
        <f>G19+'Jan-23'!P19</f>
        <v>5</v>
      </c>
      <c r="Q19" s="68">
        <f>H19+'Jan-23'!Q19</f>
        <v>0</v>
      </c>
      <c r="R19" s="68">
        <f>I19+'Jan-23'!R19</f>
        <v>1</v>
      </c>
      <c r="S19" s="68">
        <f>J19+'Jan-23'!S19</f>
        <v>1</v>
      </c>
      <c r="T19" s="64">
        <f>IFERROR(O19/P19-1,"n/a")</f>
        <v>0.19999999999999996</v>
      </c>
      <c r="U19" s="64" t="str">
        <f>IFERROR(O19/Q19-1,"n/a")</f>
        <v>n/a</v>
      </c>
      <c r="V19" s="64">
        <f>IFERROR(O19/R19-1,"n/a")</f>
        <v>5</v>
      </c>
      <c r="W19" s="60">
        <f>IFERROR(O19/S19-1,"n/a")</f>
        <v>5</v>
      </c>
      <c r="X19" s="68">
        <v>475</v>
      </c>
      <c r="Y19" s="68">
        <v>23</v>
      </c>
      <c r="Z19" s="70">
        <v>4</v>
      </c>
      <c r="AA19" s="78">
        <v>191</v>
      </c>
      <c r="AB19" s="9"/>
    </row>
    <row r="20" spans="1:28">
      <c r="A20" s="9"/>
      <c r="B20" s="12"/>
      <c r="C20" s="33"/>
      <c r="D20" s="26" t="s">
        <v>11</v>
      </c>
      <c r="E20" s="32"/>
      <c r="F20" s="73">
        <f>1740+20</f>
        <v>1760</v>
      </c>
      <c r="G20" s="71">
        <v>294</v>
      </c>
      <c r="H20" s="71">
        <v>0</v>
      </c>
      <c r="I20" s="71">
        <v>0</v>
      </c>
      <c r="J20" s="71">
        <v>583</v>
      </c>
      <c r="K20" s="64">
        <f>IFERROR(F20/G20-1,"n/a")</f>
        <v>4.9863945578231297</v>
      </c>
      <c r="L20" s="64" t="str">
        <f t="shared" si="0"/>
        <v>n/a</v>
      </c>
      <c r="M20" s="64" t="str">
        <f>IFERROR(F20/I20-1,"n/a")</f>
        <v>n/a</v>
      </c>
      <c r="N20" s="60">
        <f t="shared" ref="N20:N31" si="1">IFERROR(F20/J20-1,"n/a")</f>
        <v>2.0188679245283021</v>
      </c>
      <c r="O20" s="68">
        <f>F20+'Jan-23'!O20</f>
        <v>4995</v>
      </c>
      <c r="P20" s="68">
        <f>G20+'Jan-23'!P20</f>
        <v>1108</v>
      </c>
      <c r="Q20" s="68">
        <f>H20+'Jan-23'!Q20</f>
        <v>0</v>
      </c>
      <c r="R20" s="68">
        <f>I20+'Jan-23'!R20</f>
        <v>823</v>
      </c>
      <c r="S20" s="68">
        <f>J20+'Jan-23'!S20</f>
        <v>583</v>
      </c>
      <c r="T20" s="64">
        <f>IFERROR(O20/P20-1,"n/a")</f>
        <v>3.5081227436823106</v>
      </c>
      <c r="U20" s="64" t="str">
        <f>IFERROR(O20/Q20-1,"n/a")</f>
        <v>n/a</v>
      </c>
      <c r="V20" s="64">
        <f>IFERROR(O20/R20-1,"n/a")</f>
        <v>5.0692588092345083</v>
      </c>
      <c r="W20" s="60">
        <f>IFERROR(O20/S20-1,"n/a")</f>
        <v>7.5677530017152659</v>
      </c>
      <c r="X20" s="68">
        <v>561984</v>
      </c>
      <c r="Y20" s="68">
        <v>8611</v>
      </c>
      <c r="Z20" s="70">
        <v>1753</v>
      </c>
      <c r="AA20" s="78">
        <v>254421</v>
      </c>
      <c r="AB20" s="9"/>
    </row>
    <row r="21" spans="1:28">
      <c r="A21" s="9"/>
      <c r="B21" s="12"/>
      <c r="C21" s="31" t="s">
        <v>10</v>
      </c>
      <c r="D21" s="26"/>
      <c r="E21" s="34"/>
      <c r="F21" s="72"/>
      <c r="G21" s="72"/>
      <c r="H21" s="72"/>
      <c r="I21" s="72"/>
      <c r="J21" s="72"/>
      <c r="K21" s="64"/>
      <c r="L21" s="64"/>
      <c r="M21" s="64"/>
      <c r="N21" s="60"/>
      <c r="O21" s="87"/>
      <c r="P21" s="87"/>
      <c r="Q21" s="87"/>
      <c r="R21" s="87"/>
      <c r="S21" s="87"/>
      <c r="T21" s="64"/>
      <c r="U21" s="64"/>
      <c r="V21" s="64"/>
      <c r="W21" s="60"/>
      <c r="X21" s="43"/>
      <c r="Y21" s="43"/>
      <c r="Z21" s="44"/>
      <c r="AA21" s="79"/>
      <c r="AB21" s="9"/>
    </row>
    <row r="22" spans="1:28">
      <c r="A22" s="9"/>
      <c r="B22" s="12"/>
      <c r="C22" s="33"/>
      <c r="D22" s="26" t="s">
        <v>5</v>
      </c>
      <c r="E22" s="34"/>
      <c r="F22" s="74">
        <v>100</v>
      </c>
      <c r="G22" s="71">
        <v>103</v>
      </c>
      <c r="H22" s="71">
        <v>0</v>
      </c>
      <c r="I22" s="71">
        <v>120</v>
      </c>
      <c r="J22" s="71">
        <v>95</v>
      </c>
      <c r="K22" s="64">
        <f>IFERROR(F22/G22-1,"n/a")</f>
        <v>-2.9126213592232997E-2</v>
      </c>
      <c r="L22" s="64" t="str">
        <f t="shared" si="0"/>
        <v>n/a</v>
      </c>
      <c r="M22" s="64">
        <f>IFERROR(F22/I22-1,"n/a")</f>
        <v>-0.16666666666666663</v>
      </c>
      <c r="N22" s="60">
        <f t="shared" si="1"/>
        <v>5.2631578947368363E-2</v>
      </c>
      <c r="O22" s="68">
        <f>F22+'Jan-23'!O22</f>
        <v>220</v>
      </c>
      <c r="P22" s="68">
        <f>G22+'Jan-23'!P22</f>
        <v>203</v>
      </c>
      <c r="Q22" s="68">
        <f>H22+'Jan-23'!Q22</f>
        <v>0</v>
      </c>
      <c r="R22" s="68">
        <f>I22+'Jan-23'!R22</f>
        <v>246</v>
      </c>
      <c r="S22" s="68">
        <f>J22+'Jan-23'!S22</f>
        <v>208</v>
      </c>
      <c r="T22" s="64">
        <f>IFERROR(O22/P22-1,"n/a")</f>
        <v>8.3743842364532028E-2</v>
      </c>
      <c r="U22" s="64" t="str">
        <f>IFERROR(O22/Q22-1,"n/a")</f>
        <v>n/a</v>
      </c>
      <c r="V22" s="64">
        <f>IFERROR(O22/R22-1,"n/a")</f>
        <v>-0.10569105691056913</v>
      </c>
      <c r="W22" s="60">
        <f>IFERROR(O22/S22-1,"n/a")</f>
        <v>5.7692307692307709E-2</v>
      </c>
      <c r="X22" s="68">
        <v>1140</v>
      </c>
      <c r="Y22" s="68">
        <v>411</v>
      </c>
      <c r="Z22" s="70">
        <v>406</v>
      </c>
      <c r="AA22" s="78">
        <v>1205</v>
      </c>
      <c r="AB22" s="9"/>
    </row>
    <row r="23" spans="1:28">
      <c r="A23" s="9"/>
      <c r="B23" s="12"/>
      <c r="C23" s="33"/>
      <c r="D23" s="26" t="s">
        <v>11</v>
      </c>
      <c r="E23" s="32"/>
      <c r="F23" s="73">
        <v>342407</v>
      </c>
      <c r="G23" s="71">
        <v>174835</v>
      </c>
      <c r="H23" s="71">
        <v>0</v>
      </c>
      <c r="I23" s="71">
        <v>329055</v>
      </c>
      <c r="J23" s="71">
        <v>305578</v>
      </c>
      <c r="K23" s="64">
        <f>IFERROR(F23/G23-1,"n/a")</f>
        <v>0.95845797466182403</v>
      </c>
      <c r="L23" s="64" t="str">
        <f t="shared" si="0"/>
        <v>n/a</v>
      </c>
      <c r="M23" s="64">
        <f>IFERROR(F23/I23-1,"n/a")</f>
        <v>4.0576803269970041E-2</v>
      </c>
      <c r="N23" s="60">
        <f t="shared" si="1"/>
        <v>0.12052241980770861</v>
      </c>
      <c r="O23" s="68">
        <f>F23+'Jan-23'!O23</f>
        <v>749392</v>
      </c>
      <c r="P23" s="68">
        <f>G23+'Jan-23'!P23</f>
        <v>319653</v>
      </c>
      <c r="Q23" s="68">
        <f>H23+'Jan-23'!Q23</f>
        <v>0</v>
      </c>
      <c r="R23" s="68">
        <f>I23+'Jan-23'!R23</f>
        <v>686339</v>
      </c>
      <c r="S23" s="68">
        <f>J23+'Jan-23'!S23</f>
        <v>673974</v>
      </c>
      <c r="T23" s="64">
        <f>IFERROR(O23/P23-1,"n/a")</f>
        <v>1.3443922002921918</v>
      </c>
      <c r="U23" s="64" t="str">
        <f>IFERROR(O23/Q23-1,"n/a")</f>
        <v>n/a</v>
      </c>
      <c r="V23" s="64">
        <f>IFERROR(O23/R23-1,"n/a")</f>
        <v>9.1868595548264098E-2</v>
      </c>
      <c r="W23" s="60">
        <f>IFERROR(O23/S23-1,"n/a")</f>
        <v>0.11190045906815405</v>
      </c>
      <c r="X23" s="68">
        <v>3212646</v>
      </c>
      <c r="Y23" s="68">
        <v>687449</v>
      </c>
      <c r="Z23" s="70">
        <v>833999</v>
      </c>
      <c r="AA23" s="78">
        <v>3859183</v>
      </c>
      <c r="AB23" s="9"/>
    </row>
    <row r="24" spans="1:28">
      <c r="A24" s="9"/>
      <c r="B24" s="12"/>
      <c r="C24" s="31" t="s">
        <v>16</v>
      </c>
      <c r="D24" s="26"/>
      <c r="E24" s="32"/>
      <c r="F24" s="72"/>
      <c r="G24" s="72"/>
      <c r="H24" s="72"/>
      <c r="I24" s="72"/>
      <c r="J24" s="72"/>
      <c r="K24" s="64"/>
      <c r="L24" s="64"/>
      <c r="M24" s="64"/>
      <c r="N24" s="60"/>
      <c r="O24" s="87"/>
      <c r="P24" s="87"/>
      <c r="Q24" s="87"/>
      <c r="R24" s="87"/>
      <c r="S24" s="87"/>
      <c r="T24" s="64"/>
      <c r="U24" s="64"/>
      <c r="V24" s="64"/>
      <c r="W24" s="60"/>
      <c r="X24" s="43"/>
      <c r="Y24" s="43"/>
      <c r="Z24" s="44"/>
      <c r="AA24" s="79"/>
      <c r="AB24" s="9"/>
    </row>
    <row r="25" spans="1:28">
      <c r="A25" s="9"/>
      <c r="B25" s="12"/>
      <c r="C25" s="33"/>
      <c r="D25" s="26" t="s">
        <v>5</v>
      </c>
      <c r="E25" s="32"/>
      <c r="F25" s="73">
        <v>5</v>
      </c>
      <c r="G25" s="71">
        <v>6</v>
      </c>
      <c r="H25" s="71">
        <v>4</v>
      </c>
      <c r="I25" s="71">
        <v>3</v>
      </c>
      <c r="J25" s="71">
        <v>7</v>
      </c>
      <c r="K25" s="64">
        <f>IFERROR(F25/G25-1,"n/a")</f>
        <v>-0.16666666666666663</v>
      </c>
      <c r="L25" s="64">
        <f t="shared" si="0"/>
        <v>0.25</v>
      </c>
      <c r="M25" s="64">
        <f>IFERROR(F25/I25-1,"n/a")</f>
        <v>0.66666666666666674</v>
      </c>
      <c r="N25" s="60">
        <f t="shared" si="1"/>
        <v>-0.2857142857142857</v>
      </c>
      <c r="O25" s="68">
        <f>F25+'Jan-23'!O25</f>
        <v>9</v>
      </c>
      <c r="P25" s="68">
        <f>G25+'Jan-23'!P25</f>
        <v>9</v>
      </c>
      <c r="Q25" s="68">
        <f>H25+'Jan-23'!Q25</f>
        <v>5</v>
      </c>
      <c r="R25" s="68">
        <f>I25+'Jan-23'!R25</f>
        <v>8</v>
      </c>
      <c r="S25" s="68">
        <f>J25+'Jan-23'!S25</f>
        <v>11</v>
      </c>
      <c r="T25" s="64">
        <f>IFERROR(O25/P25-1,"n/a")</f>
        <v>0</v>
      </c>
      <c r="U25" s="64">
        <f>IFERROR(O25/Q25-1,"n/a")</f>
        <v>0.8</v>
      </c>
      <c r="V25" s="64">
        <f>IFERROR(O25/R25-1,"n/a")</f>
        <v>0.125</v>
      </c>
      <c r="W25" s="60">
        <f>IFERROR(O25/S25-1,"n/a")</f>
        <v>-0.18181818181818177</v>
      </c>
      <c r="X25" s="68">
        <v>283</v>
      </c>
      <c r="Y25" s="68">
        <v>107</v>
      </c>
      <c r="Z25" s="70">
        <v>32</v>
      </c>
      <c r="AA25" s="78">
        <v>372</v>
      </c>
      <c r="AB25" s="9"/>
    </row>
    <row r="26" spans="1:28">
      <c r="A26" s="9"/>
      <c r="B26" s="12"/>
      <c r="C26" s="33"/>
      <c r="D26" s="26" t="s">
        <v>11</v>
      </c>
      <c r="E26" s="32"/>
      <c r="F26" s="73">
        <v>21884</v>
      </c>
      <c r="G26" s="71">
        <v>5662</v>
      </c>
      <c r="H26" s="71">
        <v>4030</v>
      </c>
      <c r="I26" s="71">
        <v>16515</v>
      </c>
      <c r="J26" s="71">
        <v>24890</v>
      </c>
      <c r="K26" s="64">
        <f>IFERROR(F26/G26-1,"n/a")</f>
        <v>2.8650653479335926</v>
      </c>
      <c r="L26" s="64">
        <f t="shared" si="0"/>
        <v>4.4302729528535982</v>
      </c>
      <c r="M26" s="64">
        <f>IFERROR(F26/I26-1,"n/a")</f>
        <v>0.32509839539812302</v>
      </c>
      <c r="N26" s="60">
        <f t="shared" si="1"/>
        <v>-0.12077139413419047</v>
      </c>
      <c r="O26" s="68">
        <f>F26+'Jan-23'!O26</f>
        <v>36729</v>
      </c>
      <c r="P26" s="68">
        <f>G26+'Jan-23'!P26</f>
        <v>7364</v>
      </c>
      <c r="Q26" s="68">
        <f>H26+'Jan-23'!Q26</f>
        <v>4674</v>
      </c>
      <c r="R26" s="68">
        <f>I26+'Jan-23'!R26</f>
        <v>39656</v>
      </c>
      <c r="S26" s="68">
        <f>J26+'Jan-23'!S26</f>
        <v>44605</v>
      </c>
      <c r="T26" s="64">
        <f>IFERROR(O26/P26-1,"n/a")</f>
        <v>3.9876425855513311</v>
      </c>
      <c r="U26" s="64">
        <f>IFERROR(O26/Q26-1,"n/a")</f>
        <v>6.8581514762516047</v>
      </c>
      <c r="V26" s="64">
        <f>IFERROR(O26/R26-1,"n/a")</f>
        <v>-7.3809763970143272E-2</v>
      </c>
      <c r="W26" s="60">
        <f>IFERROR(O26/S26-1,"n/a")</f>
        <v>-0.17657213316892728</v>
      </c>
      <c r="X26" s="68">
        <v>530405</v>
      </c>
      <c r="Y26" s="68">
        <v>147132</v>
      </c>
      <c r="Z26" s="70">
        <v>59180</v>
      </c>
      <c r="AA26" s="78">
        <v>902015</v>
      </c>
      <c r="AB26" s="9"/>
    </row>
    <row r="27" spans="1:28">
      <c r="A27" s="9"/>
      <c r="B27" s="12"/>
      <c r="C27" s="31" t="s">
        <v>17</v>
      </c>
      <c r="D27" s="26"/>
      <c r="E27" s="32"/>
      <c r="F27" s="72"/>
      <c r="G27" s="72"/>
      <c r="H27" s="72"/>
      <c r="I27" s="72"/>
      <c r="J27" s="72"/>
      <c r="K27" s="64"/>
      <c r="L27" s="64"/>
      <c r="M27" s="64"/>
      <c r="N27" s="60"/>
      <c r="O27" s="87"/>
      <c r="P27" s="87"/>
      <c r="Q27" s="87"/>
      <c r="R27" s="87"/>
      <c r="S27" s="87"/>
      <c r="T27" s="64"/>
      <c r="U27" s="64"/>
      <c r="V27" s="64"/>
      <c r="W27" s="60"/>
      <c r="X27" s="43"/>
      <c r="Y27" s="43"/>
      <c r="Z27" s="44"/>
      <c r="AA27" s="79"/>
      <c r="AB27" s="9"/>
    </row>
    <row r="28" spans="1:28">
      <c r="B28" s="12"/>
      <c r="C28" s="33"/>
      <c r="D28" s="26" t="s">
        <v>5</v>
      </c>
      <c r="E28" s="32"/>
      <c r="F28" s="74">
        <v>57</v>
      </c>
      <c r="G28" s="71">
        <v>1</v>
      </c>
      <c r="H28" s="71">
        <v>1</v>
      </c>
      <c r="I28" s="71">
        <v>1</v>
      </c>
      <c r="J28" s="71">
        <v>2</v>
      </c>
      <c r="K28" s="64">
        <f>IFERROR(F28/G28-1,"n/a")</f>
        <v>56</v>
      </c>
      <c r="L28" s="64">
        <f t="shared" si="0"/>
        <v>56</v>
      </c>
      <c r="M28" s="64">
        <f>IFERROR(F28/I28-1,"n/a")</f>
        <v>56</v>
      </c>
      <c r="N28" s="60">
        <f t="shared" si="1"/>
        <v>27.5</v>
      </c>
      <c r="O28" s="68">
        <f>F28+'Jan-23'!O28</f>
        <v>141</v>
      </c>
      <c r="P28" s="68">
        <f>G28+'Jan-23'!P28</f>
        <v>1</v>
      </c>
      <c r="Q28" s="68">
        <f>H28+'Jan-23'!Q28</f>
        <v>2</v>
      </c>
      <c r="R28" s="68">
        <f>I28+'Jan-23'!R28</f>
        <v>1</v>
      </c>
      <c r="S28" s="68">
        <f>J28+'Jan-23'!S28</f>
        <v>3</v>
      </c>
      <c r="T28" s="64">
        <f>IFERROR(O28/P28-1,"n/a")</f>
        <v>140</v>
      </c>
      <c r="U28" s="64">
        <f>IFERROR(O28/Q28-1,"n/a")</f>
        <v>69.5</v>
      </c>
      <c r="V28" s="64">
        <f>IFERROR(O28/R28-1,"n/a")</f>
        <v>140</v>
      </c>
      <c r="W28" s="60">
        <f>IFERROR(O28/S28-1,"n/a")</f>
        <v>46</v>
      </c>
      <c r="X28" s="68">
        <v>605</v>
      </c>
      <c r="Y28" s="68">
        <v>127</v>
      </c>
      <c r="Z28" s="70">
        <v>37</v>
      </c>
      <c r="AA28" s="78">
        <f>282+81</f>
        <v>363</v>
      </c>
      <c r="AB28" s="9"/>
    </row>
    <row r="29" spans="1:28">
      <c r="A29" s="9"/>
      <c r="B29" s="12"/>
      <c r="C29" s="33"/>
      <c r="D29" s="26" t="s">
        <v>11</v>
      </c>
      <c r="E29" s="32"/>
      <c r="F29" s="74">
        <f>185364+492</f>
        <v>185856</v>
      </c>
      <c r="G29" s="71">
        <v>1983</v>
      </c>
      <c r="H29" s="71">
        <v>639</v>
      </c>
      <c r="I29" s="71">
        <v>892</v>
      </c>
      <c r="J29" s="71">
        <v>3305</v>
      </c>
      <c r="K29" s="64">
        <f>IFERROR(F29/G29-1,"n/a")</f>
        <v>92.724659606656587</v>
      </c>
      <c r="L29" s="64">
        <f t="shared" si="0"/>
        <v>289.85446009389671</v>
      </c>
      <c r="M29" s="64">
        <f>IFERROR(F29/I29-1,"n/a")</f>
        <v>207.35874439461884</v>
      </c>
      <c r="N29" s="60">
        <f t="shared" si="1"/>
        <v>55.234795763993951</v>
      </c>
      <c r="O29" s="68">
        <f>F29+'Jan-23'!O29</f>
        <v>405274</v>
      </c>
      <c r="P29" s="68">
        <f>G29+'Jan-23'!P29</f>
        <v>1983</v>
      </c>
      <c r="Q29" s="68">
        <f>H29+'Jan-23'!Q29</f>
        <v>1283</v>
      </c>
      <c r="R29" s="68">
        <f>I29+'Jan-23'!R29</f>
        <v>892</v>
      </c>
      <c r="S29" s="68">
        <f>J29+'Jan-23'!S29</f>
        <v>4657</v>
      </c>
      <c r="T29" s="64">
        <f>IFERROR(O29/P29-1,"n/a")</f>
        <v>203.37418053454363</v>
      </c>
      <c r="U29" s="64">
        <f>IFERROR(O29/Q29-1,"n/a")</f>
        <v>314.87996882307095</v>
      </c>
      <c r="V29" s="64">
        <f>IFERROR(O29/R29-1,"n/a")</f>
        <v>453.34304932735427</v>
      </c>
      <c r="W29" s="60">
        <f>IFERROR(O29/S29-1,"n/a")</f>
        <v>86.024694009018688</v>
      </c>
      <c r="X29" s="68">
        <v>1098243</v>
      </c>
      <c r="Y29" s="68">
        <v>165083</v>
      </c>
      <c r="Z29" s="70">
        <f>20768+8294</f>
        <v>29062</v>
      </c>
      <c r="AA29" s="78">
        <f>659951+168729+38484</f>
        <v>867164</v>
      </c>
      <c r="AB29" s="9"/>
    </row>
    <row r="30" spans="1:28" ht="15.75" thickBot="1">
      <c r="A30" s="9"/>
      <c r="B30" s="12"/>
      <c r="C30" s="35" t="s">
        <v>12</v>
      </c>
      <c r="D30" s="36"/>
      <c r="E30" s="37"/>
      <c r="F30" s="75">
        <f t="shared" ref="F30:J31" si="2">F13+F16+F19+F22+F25+F28</f>
        <v>242</v>
      </c>
      <c r="G30" s="75">
        <f t="shared" si="2"/>
        <v>184</v>
      </c>
      <c r="H30" s="75">
        <f>H13+H16+H19+H22+H25+H28</f>
        <v>5</v>
      </c>
      <c r="I30" s="75">
        <f t="shared" si="2"/>
        <v>193</v>
      </c>
      <c r="J30" s="75">
        <f t="shared" si="2"/>
        <v>188</v>
      </c>
      <c r="K30" s="66">
        <f>IFERROR(F30/G30-1,"n/a")</f>
        <v>0.31521739130434789</v>
      </c>
      <c r="L30" s="66">
        <f t="shared" si="0"/>
        <v>47.4</v>
      </c>
      <c r="M30" s="66">
        <f>IFERROR(F30/I30-1,"n/a")</f>
        <v>0.25388601036269431</v>
      </c>
      <c r="N30" s="62">
        <f t="shared" si="1"/>
        <v>0.2872340425531914</v>
      </c>
      <c r="O30" s="46">
        <f t="shared" ref="O30:S31" si="3">O13+O16+O19+O22+O25+O28</f>
        <v>545</v>
      </c>
      <c r="P30" s="46">
        <f t="shared" si="3"/>
        <v>370</v>
      </c>
      <c r="Q30" s="46">
        <f t="shared" si="3"/>
        <v>7</v>
      </c>
      <c r="R30" s="46">
        <f t="shared" si="3"/>
        <v>405</v>
      </c>
      <c r="S30" s="46">
        <f t="shared" si="3"/>
        <v>406</v>
      </c>
      <c r="T30" s="66">
        <f>IFERROR(O30/P30-1,"n/a")</f>
        <v>0.47297297297297303</v>
      </c>
      <c r="U30" s="66">
        <f>IFERROR(O30/Q30-1,"n/a")</f>
        <v>76.857142857142861</v>
      </c>
      <c r="V30" s="66">
        <f>IFERROR(O30/R30-1,"n/a")</f>
        <v>0.34567901234567899</v>
      </c>
      <c r="W30" s="62">
        <f>IFERROR(O30/S30-1,"n/a")</f>
        <v>0.3423645320197044</v>
      </c>
      <c r="X30" s="46">
        <f t="shared" ref="X30:AA31" si="4">X13+X16+X19+X22+X25+X28</f>
        <v>3627</v>
      </c>
      <c r="Y30" s="46">
        <f t="shared" si="4"/>
        <v>1062</v>
      </c>
      <c r="Z30" s="46">
        <f t="shared" si="4"/>
        <v>667</v>
      </c>
      <c r="AA30" s="80">
        <f t="shared" si="4"/>
        <v>3344</v>
      </c>
      <c r="AB30" s="9"/>
    </row>
    <row r="31" spans="1:28" ht="16.5" thickTop="1" thickBot="1">
      <c r="A31" s="9"/>
      <c r="B31" s="12"/>
      <c r="C31" s="38" t="s">
        <v>13</v>
      </c>
      <c r="D31" s="39"/>
      <c r="E31" s="40"/>
      <c r="F31" s="76">
        <f t="shared" si="2"/>
        <v>723641</v>
      </c>
      <c r="G31" s="76">
        <f t="shared" si="2"/>
        <v>241516</v>
      </c>
      <c r="H31" s="76">
        <f t="shared" si="2"/>
        <v>4669</v>
      </c>
      <c r="I31" s="76">
        <f t="shared" si="2"/>
        <v>494948</v>
      </c>
      <c r="J31" s="76">
        <f t="shared" si="2"/>
        <v>513727</v>
      </c>
      <c r="K31" s="67">
        <f>IFERROR(F31/G31-1,"n/a")</f>
        <v>1.9962445552261547</v>
      </c>
      <c r="L31" s="67">
        <f t="shared" si="0"/>
        <v>153.98843435425144</v>
      </c>
      <c r="M31" s="67">
        <f>IFERROR(F31/I31-1,"n/a")</f>
        <v>0.46205459967511731</v>
      </c>
      <c r="N31" s="63">
        <f t="shared" si="1"/>
        <v>0.40861002049726802</v>
      </c>
      <c r="O31" s="47">
        <f t="shared" si="3"/>
        <v>1557046</v>
      </c>
      <c r="P31" s="47">
        <f t="shared" si="3"/>
        <v>461472</v>
      </c>
      <c r="Q31" s="47">
        <f t="shared" si="3"/>
        <v>5957</v>
      </c>
      <c r="R31" s="47">
        <f t="shared" si="3"/>
        <v>1049986</v>
      </c>
      <c r="S31" s="47">
        <f t="shared" si="3"/>
        <v>1134579</v>
      </c>
      <c r="T31" s="67">
        <f>IFERROR(O31/P31-1,"n/a")</f>
        <v>2.3740855349837044</v>
      </c>
      <c r="U31" s="67">
        <f>IFERROR(O31/Q31-1,"n/a")</f>
        <v>260.38089642437467</v>
      </c>
      <c r="V31" s="67">
        <f>IFERROR(O31/R31-1,"n/a")</f>
        <v>0.48292072465728109</v>
      </c>
      <c r="W31" s="63">
        <f>IFERROR(O31/S31-1,"n/a")</f>
        <v>0.3723557372382178</v>
      </c>
      <c r="X31" s="47">
        <f t="shared" si="4"/>
        <v>7627084</v>
      </c>
      <c r="Y31" s="47">
        <f t="shared" si="4"/>
        <v>1554247</v>
      </c>
      <c r="Z31" s="47">
        <f t="shared" si="4"/>
        <v>1323431</v>
      </c>
      <c r="AA31" s="81">
        <f t="shared" si="4"/>
        <v>9169021</v>
      </c>
      <c r="AB31" s="9"/>
    </row>
    <row r="32" spans="1:28" ht="15.75" thickTop="1">
      <c r="A32" s="9"/>
      <c r="B32" s="9"/>
      <c r="C32" s="9"/>
      <c r="D32" s="9"/>
      <c r="E32" s="9"/>
      <c r="F32" s="41"/>
      <c r="G32" s="41"/>
      <c r="H32" s="41"/>
      <c r="I32" s="41"/>
      <c r="J32" s="41"/>
      <c r="K32" s="41"/>
      <c r="L32" s="41"/>
      <c r="M32" s="41"/>
      <c r="N32" s="9"/>
      <c r="O32" s="9"/>
      <c r="P32" s="9"/>
      <c r="Q32" s="9"/>
      <c r="R32" s="9"/>
      <c r="S32" s="9"/>
      <c r="T32" s="9"/>
      <c r="U32" s="9"/>
      <c r="V32" s="9"/>
      <c r="W32" s="9"/>
      <c r="X32" s="9"/>
      <c r="Y32" s="9"/>
      <c r="Z32" s="9"/>
      <c r="AA32" s="9"/>
      <c r="AB32" s="9"/>
    </row>
    <row r="33" spans="1:28">
      <c r="A33" s="9"/>
      <c r="B33" s="9"/>
      <c r="C33" s="9"/>
      <c r="D33" s="9"/>
      <c r="E33" s="9"/>
      <c r="F33" s="41"/>
      <c r="G33" s="41"/>
      <c r="H33" s="41"/>
      <c r="I33" s="41"/>
      <c r="J33" s="41"/>
      <c r="K33" s="41"/>
      <c r="L33" s="41"/>
      <c r="M33" s="41"/>
      <c r="N33" s="9"/>
      <c r="O33" s="9"/>
      <c r="P33" s="9"/>
      <c r="Q33" s="9"/>
      <c r="R33" s="9"/>
      <c r="S33" s="9"/>
      <c r="T33" s="9"/>
      <c r="U33" s="9"/>
      <c r="V33" s="9"/>
      <c r="W33" s="9"/>
      <c r="X33" s="9"/>
      <c r="Y33" s="9"/>
      <c r="Z33" s="9"/>
      <c r="AA33" s="9"/>
      <c r="AB33" s="9"/>
    </row>
    <row r="34" spans="1:28">
      <c r="A34" s="9"/>
      <c r="B34" s="10"/>
      <c r="C34" s="86" t="s">
        <v>63</v>
      </c>
      <c r="D34" s="24"/>
      <c r="E34" s="24"/>
      <c r="F34" s="24"/>
      <c r="G34" s="24"/>
      <c r="H34" s="24"/>
      <c r="I34" s="24"/>
      <c r="J34" s="95"/>
      <c r="K34" s="95"/>
      <c r="L34" s="95"/>
      <c r="M34" s="95"/>
      <c r="N34" s="24"/>
      <c r="O34" s="24"/>
      <c r="P34" s="24"/>
      <c r="Q34" s="24"/>
      <c r="R34" s="24"/>
      <c r="S34" s="24"/>
      <c r="T34" s="24"/>
      <c r="U34" s="24"/>
      <c r="V34" s="24"/>
      <c r="W34" s="24"/>
      <c r="X34" s="24"/>
      <c r="Y34" s="24"/>
      <c r="Z34" s="24"/>
      <c r="AA34" s="24"/>
      <c r="AB34" s="9"/>
    </row>
    <row r="35" spans="1:28">
      <c r="A35" s="9"/>
      <c r="B35" s="10"/>
      <c r="C35" s="24"/>
      <c r="D35" s="24"/>
      <c r="E35" s="24"/>
      <c r="F35" s="24"/>
      <c r="G35" s="24"/>
      <c r="H35" s="24"/>
      <c r="I35" s="24"/>
      <c r="J35" s="95"/>
      <c r="K35" s="95"/>
      <c r="L35" s="95"/>
      <c r="M35" s="95"/>
      <c r="N35" s="24"/>
      <c r="O35" s="24"/>
      <c r="P35" s="24"/>
      <c r="Q35" s="24"/>
      <c r="R35" s="24"/>
      <c r="S35" s="24"/>
      <c r="T35" s="24"/>
      <c r="U35" s="24"/>
      <c r="V35" s="24"/>
      <c r="W35" s="24"/>
      <c r="X35" s="24"/>
      <c r="Y35" s="24"/>
      <c r="Z35" s="24"/>
      <c r="AA35" s="24"/>
      <c r="AB35" s="9"/>
    </row>
    <row r="36" spans="1:28">
      <c r="A36" s="9"/>
      <c r="B36" s="9"/>
      <c r="C36" s="27" t="s">
        <v>7</v>
      </c>
      <c r="D36" s="28"/>
      <c r="E36" s="28"/>
      <c r="F36" s="158" t="str">
        <f>F9</f>
        <v>February</v>
      </c>
      <c r="G36" s="158"/>
      <c r="H36" s="158"/>
      <c r="I36" s="158"/>
      <c r="J36" s="158"/>
      <c r="K36" s="158"/>
      <c r="L36" s="158"/>
      <c r="M36" s="158"/>
      <c r="N36" s="159"/>
      <c r="O36" s="157" t="s">
        <v>103</v>
      </c>
      <c r="P36" s="158"/>
      <c r="Q36" s="158"/>
      <c r="R36" s="158"/>
      <c r="S36" s="158"/>
      <c r="T36" s="158"/>
      <c r="U36" s="158"/>
      <c r="V36" s="158"/>
      <c r="W36" s="159"/>
      <c r="X36" s="157" t="s">
        <v>58</v>
      </c>
      <c r="Y36" s="158"/>
      <c r="Z36" s="158"/>
      <c r="AA36" s="160"/>
      <c r="AB36" s="9"/>
    </row>
    <row r="37" spans="1:28">
      <c r="A37" s="9"/>
      <c r="B37" s="9"/>
      <c r="C37" s="29"/>
      <c r="D37" s="30"/>
      <c r="E37" s="30"/>
      <c r="F37" s="29"/>
      <c r="G37" s="30"/>
      <c r="H37" s="30"/>
      <c r="I37" s="30"/>
      <c r="J37" s="30"/>
      <c r="K37" s="30"/>
      <c r="L37" s="30"/>
      <c r="M37" s="30"/>
      <c r="N37" s="56"/>
      <c r="O37" s="30"/>
      <c r="P37" s="30"/>
      <c r="Q37" s="30"/>
      <c r="R37" s="30"/>
      <c r="S37" s="30"/>
      <c r="T37" s="30"/>
      <c r="U37" s="30"/>
      <c r="V37" s="30"/>
      <c r="W37" s="56"/>
      <c r="X37" s="30"/>
      <c r="Y37" s="30"/>
      <c r="Z37" s="30"/>
      <c r="AA37" s="56"/>
      <c r="AB37" s="9"/>
    </row>
    <row r="38" spans="1:28" ht="33.75">
      <c r="A38" s="9"/>
      <c r="B38" s="9"/>
      <c r="C38" s="59" t="s">
        <v>29</v>
      </c>
      <c r="D38" s="50"/>
      <c r="E38" s="51"/>
      <c r="F38" s="55">
        <v>2023</v>
      </c>
      <c r="G38" s="52">
        <v>2022</v>
      </c>
      <c r="H38" s="52">
        <v>2021</v>
      </c>
      <c r="I38" s="52">
        <v>2020</v>
      </c>
      <c r="J38" s="52">
        <v>2019</v>
      </c>
      <c r="K38" s="53" t="s">
        <v>66</v>
      </c>
      <c r="L38" s="53" t="s">
        <v>67</v>
      </c>
      <c r="M38" s="53" t="s">
        <v>68</v>
      </c>
      <c r="N38" s="57" t="s">
        <v>101</v>
      </c>
      <c r="O38" s="53"/>
      <c r="P38" s="53" t="s">
        <v>53</v>
      </c>
      <c r="Q38" s="52" t="s">
        <v>54</v>
      </c>
      <c r="R38" s="52" t="s">
        <v>59</v>
      </c>
      <c r="S38" s="52" t="s">
        <v>64</v>
      </c>
      <c r="T38" s="52"/>
      <c r="U38" s="53" t="s">
        <v>66</v>
      </c>
      <c r="V38" s="53" t="s">
        <v>67</v>
      </c>
      <c r="W38" s="57" t="s">
        <v>68</v>
      </c>
      <c r="X38" s="53"/>
      <c r="Y38" s="53" t="s">
        <v>54</v>
      </c>
      <c r="Z38" s="53" t="s">
        <v>65</v>
      </c>
      <c r="AA38" s="57" t="s">
        <v>73</v>
      </c>
      <c r="AB38" s="9"/>
    </row>
    <row r="39" spans="1:28">
      <c r="A39" s="9"/>
      <c r="B39" s="9"/>
      <c r="C39" s="31" t="s">
        <v>14</v>
      </c>
      <c r="D39" s="26"/>
      <c r="E39" s="32"/>
      <c r="F39" s="26"/>
      <c r="G39" s="26"/>
      <c r="H39" s="26"/>
      <c r="I39" s="26"/>
      <c r="J39" s="26"/>
      <c r="K39" s="26"/>
      <c r="L39" s="26"/>
      <c r="M39" s="26"/>
      <c r="N39" s="32"/>
      <c r="O39" s="26"/>
      <c r="P39" s="26"/>
      <c r="Q39" s="26"/>
      <c r="R39" s="26"/>
      <c r="S39" s="9"/>
      <c r="T39" s="26"/>
      <c r="U39" s="9"/>
      <c r="V39" s="26"/>
      <c r="W39" s="32"/>
      <c r="X39" s="33"/>
      <c r="Y39" s="26"/>
      <c r="Z39" s="88"/>
      <c r="AA39" s="85"/>
      <c r="AB39" s="9"/>
    </row>
    <row r="40" spans="1:28">
      <c r="A40" s="9"/>
      <c r="B40" s="9"/>
      <c r="C40" s="33"/>
      <c r="D40" s="26" t="s">
        <v>5</v>
      </c>
      <c r="E40" s="32"/>
      <c r="F40" s="74">
        <f t="shared" ref="F40:J41" si="5">F13</f>
        <v>61</v>
      </c>
      <c r="G40" s="74">
        <f t="shared" si="5"/>
        <v>59</v>
      </c>
      <c r="H40" s="74">
        <f t="shared" si="5"/>
        <v>0</v>
      </c>
      <c r="I40" s="74">
        <f t="shared" si="5"/>
        <v>55</v>
      </c>
      <c r="J40" s="74">
        <f t="shared" si="5"/>
        <v>62</v>
      </c>
      <c r="K40" s="64">
        <f>IFERROR(F40/G40-1,"n/a")</f>
        <v>3.3898305084745672E-2</v>
      </c>
      <c r="L40" s="64" t="str">
        <f>IFERROR(F40/H40-1,"n/a")</f>
        <v>n/a</v>
      </c>
      <c r="M40" s="64">
        <f>IFERROR(F40/I40-1,"n/a")</f>
        <v>0.10909090909090913</v>
      </c>
      <c r="N40" s="60">
        <f>IFERROR(F40/J40-1,"n/a")</f>
        <v>-1.6129032258064502E-2</v>
      </c>
      <c r="O40" s="108"/>
      <c r="P40" s="70">
        <f>+O13-'Mar-22'!M10+'Dec-22'!M13</f>
        <v>278</v>
      </c>
      <c r="Q40" s="70">
        <f>+P13-'Mar-22'!N10+'Dec-22'!N13</f>
        <v>234</v>
      </c>
      <c r="R40" s="82">
        <f>+Q13-'Mar-22'!O10+'Dec-22'!O13</f>
        <v>0</v>
      </c>
      <c r="S40" s="70">
        <f>+R13-'Mar-22'!P10+'Dec-22'!P13</f>
        <v>302</v>
      </c>
      <c r="T40" s="108"/>
      <c r="U40" s="64">
        <f>IFERROR(P40/Q40-1,"n/a")</f>
        <v>0.18803418803418803</v>
      </c>
      <c r="V40" s="64" t="str">
        <f>IFERROR(P40/R40-1,"n/a")</f>
        <v>n/a</v>
      </c>
      <c r="W40" s="60">
        <f>IFERROR(P40/S40-1,"n/a")</f>
        <v>-7.9470198675496651E-2</v>
      </c>
      <c r="X40" s="89"/>
      <c r="Y40" s="89">
        <v>308</v>
      </c>
      <c r="Z40" s="70">
        <v>145</v>
      </c>
      <c r="AA40" s="78">
        <v>331</v>
      </c>
      <c r="AB40" s="9"/>
    </row>
    <row r="41" spans="1:28">
      <c r="A41" s="9"/>
      <c r="B41" s="9"/>
      <c r="C41" s="33"/>
      <c r="D41" s="26" t="s">
        <v>11</v>
      </c>
      <c r="E41" s="32"/>
      <c r="F41" s="74">
        <f t="shared" si="5"/>
        <v>107254</v>
      </c>
      <c r="G41" s="74">
        <f t="shared" si="5"/>
        <v>44710</v>
      </c>
      <c r="H41" s="74">
        <f t="shared" si="5"/>
        <v>0</v>
      </c>
      <c r="I41" s="74">
        <f t="shared" si="5"/>
        <v>101463</v>
      </c>
      <c r="J41" s="74">
        <f t="shared" si="5"/>
        <v>119668</v>
      </c>
      <c r="K41" s="64">
        <f>IFERROR(F41/G41-1,"n/a")</f>
        <v>1.3988816819503467</v>
      </c>
      <c r="L41" s="64" t="str">
        <f>IFERROR(F41/H41-1,"n/a")</f>
        <v>n/a</v>
      </c>
      <c r="M41" s="64">
        <f>IFERROR(F41/I41-1,"n/a")</f>
        <v>5.7074992854538209E-2</v>
      </c>
      <c r="N41" s="60">
        <f>IFERROR(F41/J41-1,"n/a")</f>
        <v>-0.10373700571581379</v>
      </c>
      <c r="O41" s="109"/>
      <c r="P41" s="70">
        <f>+O14-'Mar-22'!M11+'Dec-22'!M14</f>
        <v>447072</v>
      </c>
      <c r="Q41" s="82">
        <f>+P14-'Mar-22'!N11+'Dec-22'!N14</f>
        <v>176367</v>
      </c>
      <c r="R41" s="82">
        <f>+Q14-'Mar-22'!O11+'Dec-22'!O14</f>
        <v>0</v>
      </c>
      <c r="S41" s="82">
        <f>+R14-'Mar-22'!P11+'Dec-22'!P14</f>
        <v>558175</v>
      </c>
      <c r="T41" s="109"/>
      <c r="U41" s="64">
        <f>IFERROR(P41/Q41-1,"n/a")</f>
        <v>1.5348959839425742</v>
      </c>
      <c r="V41" s="64" t="str">
        <f>IFERROR(P41/R41-1,"n/a")</f>
        <v>n/a</v>
      </c>
      <c r="W41" s="60">
        <f>IFERROR(P41/S41-1,"n/a")</f>
        <v>-0.19904689389528374</v>
      </c>
      <c r="X41" s="89"/>
      <c r="Y41" s="89">
        <v>237191</v>
      </c>
      <c r="Z41" s="84">
        <v>258885</v>
      </c>
      <c r="AA41" s="78">
        <v>606801</v>
      </c>
      <c r="AB41" s="9"/>
    </row>
    <row r="42" spans="1:28">
      <c r="A42" s="9"/>
      <c r="B42" s="9"/>
      <c r="C42" s="31" t="s">
        <v>74</v>
      </c>
      <c r="D42" s="26"/>
      <c r="E42" s="32"/>
      <c r="F42" s="26"/>
      <c r="G42" s="26"/>
      <c r="H42" s="26"/>
      <c r="I42" s="26"/>
      <c r="J42" s="26"/>
      <c r="K42" s="64"/>
      <c r="L42" s="64"/>
      <c r="M42" s="64"/>
      <c r="N42" s="61"/>
      <c r="O42" s="110"/>
      <c r="P42" s="87"/>
      <c r="Q42" s="87"/>
      <c r="R42" s="87"/>
      <c r="S42" s="87"/>
      <c r="T42" s="110"/>
      <c r="U42" s="65"/>
      <c r="V42" s="65"/>
      <c r="W42" s="61"/>
      <c r="X42" s="90"/>
      <c r="Y42" s="90"/>
      <c r="Z42" s="44"/>
      <c r="AA42" s="79"/>
      <c r="AB42" s="9"/>
    </row>
    <row r="43" spans="1:28">
      <c r="A43" s="9"/>
      <c r="B43" s="9"/>
      <c r="C43" s="33"/>
      <c r="D43" s="26" t="s">
        <v>5</v>
      </c>
      <c r="E43" s="32"/>
      <c r="F43" s="74">
        <f t="shared" ref="F43:J44" si="6">F16</f>
        <v>17</v>
      </c>
      <c r="G43" s="74">
        <f t="shared" si="6"/>
        <v>13</v>
      </c>
      <c r="H43" s="74">
        <f t="shared" si="6"/>
        <v>0</v>
      </c>
      <c r="I43" s="74">
        <f t="shared" si="6"/>
        <v>14</v>
      </c>
      <c r="J43" s="74">
        <f t="shared" si="6"/>
        <v>21</v>
      </c>
      <c r="K43" s="64">
        <f>IFERROR(F43/G43-1,"n/a")</f>
        <v>0.30769230769230771</v>
      </c>
      <c r="L43" s="64" t="str">
        <f>IFERROR(F43/H43-1,"n/a")</f>
        <v>n/a</v>
      </c>
      <c r="M43" s="64">
        <f>IFERROR(F43/I43-1,"n/a")</f>
        <v>0.21428571428571419</v>
      </c>
      <c r="N43" s="60">
        <f>IFERROR(F43/J43-1,"n/a")</f>
        <v>-0.19047619047619047</v>
      </c>
      <c r="O43" s="108"/>
      <c r="P43" s="70">
        <f>+O16-'Mar-22'!M13+'Dec-22'!M16</f>
        <v>765</v>
      </c>
      <c r="Q43" s="70">
        <f>+P16-'Mar-22'!N13+'Dec-22'!N16</f>
        <v>312</v>
      </c>
      <c r="R43" s="70">
        <f>+Q16-'Mar-22'!O13+'Dec-22'!O16</f>
        <v>0</v>
      </c>
      <c r="S43" s="70">
        <f>+R16-'Mar-22'!P13+'Dec-22'!P16</f>
        <v>771</v>
      </c>
      <c r="T43" s="108"/>
      <c r="U43" s="64">
        <f>IFERROR(P43/Q43-1,"n/a")</f>
        <v>1.4519230769230771</v>
      </c>
      <c r="V43" s="64" t="str">
        <f>IFERROR(P43/R43-1,"n/a")</f>
        <v>n/a</v>
      </c>
      <c r="W43" s="60">
        <f>IFERROR(P43/S43-1,"n/a")</f>
        <v>-7.7821011673151474E-3</v>
      </c>
      <c r="X43" s="89"/>
      <c r="Y43" s="89">
        <v>336</v>
      </c>
      <c r="Z43" s="70">
        <v>43</v>
      </c>
      <c r="AA43" s="78">
        <v>781</v>
      </c>
      <c r="AB43" s="9"/>
    </row>
    <row r="44" spans="1:28">
      <c r="A44" s="9"/>
      <c r="B44" s="9"/>
      <c r="C44" s="33"/>
      <c r="D44" s="26" t="s">
        <v>11</v>
      </c>
      <c r="E44" s="32"/>
      <c r="F44" s="74">
        <f t="shared" si="6"/>
        <v>64480</v>
      </c>
      <c r="G44" s="74">
        <f t="shared" si="6"/>
        <v>14032</v>
      </c>
      <c r="H44" s="74">
        <f t="shared" si="6"/>
        <v>0</v>
      </c>
      <c r="I44" s="74">
        <f t="shared" si="6"/>
        <v>47023</v>
      </c>
      <c r="J44" s="74">
        <f t="shared" si="6"/>
        <v>59703</v>
      </c>
      <c r="K44" s="64">
        <f>IFERROR(F44/G44-1,"n/a")</f>
        <v>3.5952109464082094</v>
      </c>
      <c r="L44" s="64" t="str">
        <f>IFERROR(F44/H44-1,"n/a")</f>
        <v>n/a</v>
      </c>
      <c r="M44" s="64">
        <f>IFERROR(F44/I44-1,"n/a")</f>
        <v>0.37124385938795901</v>
      </c>
      <c r="N44" s="60">
        <f>IFERROR(F44/J44-1,"n/a")</f>
        <v>8.0012729678575534E-2</v>
      </c>
      <c r="O44" s="109"/>
      <c r="P44" s="70">
        <f>+O17-'Mar-22'!M14+'Dec-22'!M17</f>
        <v>1912608</v>
      </c>
      <c r="Q44" s="70">
        <f>+P17-'Mar-22'!N14+'Dec-22'!N17</f>
        <v>500969</v>
      </c>
      <c r="R44" s="70">
        <f>+Q17-'Mar-22'!O14+'Dec-22'!O17</f>
        <v>0</v>
      </c>
      <c r="S44" s="70">
        <f>+R17-'Mar-22'!P14+'Dec-22'!P17</f>
        <v>2413059</v>
      </c>
      <c r="T44" s="108"/>
      <c r="U44" s="64">
        <f>IFERROR(P44/Q44-1,"n/a")</f>
        <v>2.8178170705173375</v>
      </c>
      <c r="V44" s="64" t="str">
        <f>IFERROR(P44/R44-1,"n/a")</f>
        <v>n/a</v>
      </c>
      <c r="W44" s="60">
        <f>IFERROR(P44/S44-1,"n/a")</f>
        <v>-0.20739277406810197</v>
      </c>
      <c r="X44" s="89"/>
      <c r="Y44" s="89">
        <v>533563</v>
      </c>
      <c r="Z44" s="84">
        <v>140552</v>
      </c>
      <c r="AA44" s="78">
        <v>2441594</v>
      </c>
      <c r="AB44" s="9"/>
    </row>
    <row r="45" spans="1:28">
      <c r="A45" s="9"/>
      <c r="B45" s="9"/>
      <c r="C45" s="31" t="s">
        <v>15</v>
      </c>
      <c r="D45" s="26"/>
      <c r="E45" s="32"/>
      <c r="F45" s="87"/>
      <c r="G45" s="87"/>
      <c r="H45" s="87"/>
      <c r="I45" s="87"/>
      <c r="J45" s="72"/>
      <c r="K45" s="64"/>
      <c r="L45" s="64"/>
      <c r="M45" s="64"/>
      <c r="N45" s="60"/>
      <c r="O45" s="110"/>
      <c r="P45" s="87"/>
      <c r="Q45" s="87"/>
      <c r="R45" s="87"/>
      <c r="S45" s="87"/>
      <c r="T45" s="110"/>
      <c r="U45" s="64"/>
      <c r="V45" s="64"/>
      <c r="W45" s="60"/>
      <c r="X45" s="90"/>
      <c r="Y45" s="90"/>
      <c r="Z45" s="44"/>
      <c r="AA45" s="79"/>
      <c r="AB45" s="9"/>
    </row>
    <row r="46" spans="1:28">
      <c r="A46" s="9"/>
      <c r="B46" s="9"/>
      <c r="C46" s="33"/>
      <c r="D46" s="26" t="s">
        <v>5</v>
      </c>
      <c r="E46" s="32"/>
      <c r="F46" s="74">
        <f t="shared" ref="F46:J47" si="7">F19</f>
        <v>2</v>
      </c>
      <c r="G46" s="74">
        <f t="shared" si="7"/>
        <v>2</v>
      </c>
      <c r="H46" s="74">
        <f t="shared" si="7"/>
        <v>0</v>
      </c>
      <c r="I46" s="74">
        <f t="shared" si="7"/>
        <v>0</v>
      </c>
      <c r="J46" s="74">
        <f t="shared" si="7"/>
        <v>1</v>
      </c>
      <c r="K46" s="64">
        <f>IFERROR(F46/G46-1,"n/a")</f>
        <v>0</v>
      </c>
      <c r="L46" s="64" t="str">
        <f>IFERROR(F46/H46-1,"n/a")</f>
        <v>n/a</v>
      </c>
      <c r="M46" s="64" t="str">
        <f>IFERROR(F46/I46-1,"n/a")</f>
        <v>n/a</v>
      </c>
      <c r="N46" s="60">
        <f>IFERROR(F46/J46-1,"n/a")</f>
        <v>1</v>
      </c>
      <c r="O46" s="108"/>
      <c r="P46" s="70">
        <f>+O19-'Mar-22'!M16+'Dec-22'!M19</f>
        <v>471</v>
      </c>
      <c r="Q46" s="70">
        <f>+P19-'Mar-22'!N16+'Dec-22'!N19</f>
        <v>28</v>
      </c>
      <c r="R46" s="70">
        <f>+Q19-'Mar-22'!O16+'Dec-22'!O19</f>
        <v>1</v>
      </c>
      <c r="S46" s="70">
        <f>+R19-'Mar-22'!P16+'Dec-22'!P19</f>
        <v>186</v>
      </c>
      <c r="T46" s="108"/>
      <c r="U46" s="64">
        <f>IFERROR(P46/Q46-1,"n/a")</f>
        <v>15.821428571428573</v>
      </c>
      <c r="V46" s="64">
        <f>IFERROR(P46/R46-1,"n/a")</f>
        <v>470</v>
      </c>
      <c r="W46" s="60">
        <f>IFERROR(P46/S46-1,"n/a")</f>
        <v>1.532258064516129</v>
      </c>
      <c r="X46" s="89"/>
      <c r="Y46" s="89">
        <v>33</v>
      </c>
      <c r="Z46" s="70">
        <v>4</v>
      </c>
      <c r="AA46" s="78">
        <v>188</v>
      </c>
      <c r="AB46" s="9"/>
    </row>
    <row r="47" spans="1:28">
      <c r="A47" s="9"/>
      <c r="B47" s="9"/>
      <c r="C47" s="33"/>
      <c r="D47" s="26" t="s">
        <v>11</v>
      </c>
      <c r="E47" s="32"/>
      <c r="F47" s="74">
        <f t="shared" si="7"/>
        <v>1760</v>
      </c>
      <c r="G47" s="74">
        <f t="shared" si="7"/>
        <v>294</v>
      </c>
      <c r="H47" s="74">
        <f t="shared" si="7"/>
        <v>0</v>
      </c>
      <c r="I47" s="74">
        <f t="shared" si="7"/>
        <v>0</v>
      </c>
      <c r="J47" s="74">
        <f t="shared" si="7"/>
        <v>583</v>
      </c>
      <c r="K47" s="64">
        <f>IFERROR(F47/G47-1,"n/a")</f>
        <v>4.9863945578231297</v>
      </c>
      <c r="L47" s="64" t="str">
        <f>IFERROR(F47/H47-1,"n/a")</f>
        <v>n/a</v>
      </c>
      <c r="M47" s="64" t="str">
        <f>IFERROR(F47/I47-1,"n/a")</f>
        <v>n/a</v>
      </c>
      <c r="N47" s="60">
        <f>IFERROR(F47/J47-1,"n/a")</f>
        <v>2.0188679245283021</v>
      </c>
      <c r="O47" s="109"/>
      <c r="P47" s="70">
        <f>+O20-'Mar-22'!M17+'Dec-22'!M20</f>
        <v>565507</v>
      </c>
      <c r="Q47" s="70">
        <f>+P20-'Mar-22'!N17+'Dec-22'!N20</f>
        <v>9719</v>
      </c>
      <c r="R47" s="70">
        <f>+Q20-'Mar-22'!O17+'Dec-22'!O20</f>
        <v>111</v>
      </c>
      <c r="S47" s="70">
        <f>+R20-'Mar-22'!P17+'Dec-22'!P20</f>
        <v>250106</v>
      </c>
      <c r="T47" s="108"/>
      <c r="U47" s="64">
        <f>IFERROR(P47/Q47-1,"n/a")</f>
        <v>57.185718695339027</v>
      </c>
      <c r="V47" s="64">
        <f>IFERROR(P47/R47-1,"n/a")</f>
        <v>5093.6576576576581</v>
      </c>
      <c r="W47" s="60">
        <f>IFERROR(P47/S47-1,"n/a")</f>
        <v>1.2610693066139955</v>
      </c>
      <c r="X47" s="82"/>
      <c r="Y47" s="82">
        <v>10083</v>
      </c>
      <c r="Z47" s="84">
        <v>1753</v>
      </c>
      <c r="AA47" s="78">
        <f>176097+74816</f>
        <v>250913</v>
      </c>
      <c r="AB47" s="9"/>
    </row>
    <row r="48" spans="1:28">
      <c r="A48" s="9"/>
      <c r="B48" s="9"/>
      <c r="C48" s="31" t="s">
        <v>10</v>
      </c>
      <c r="D48" s="26"/>
      <c r="E48" s="34"/>
      <c r="F48" s="72"/>
      <c r="G48" s="72"/>
      <c r="H48" s="72"/>
      <c r="I48" s="72"/>
      <c r="J48" s="72"/>
      <c r="K48" s="64"/>
      <c r="L48" s="64"/>
      <c r="M48" s="64"/>
      <c r="N48" s="60"/>
      <c r="O48" s="110"/>
      <c r="P48" s="87"/>
      <c r="Q48" s="87"/>
      <c r="R48" s="87"/>
      <c r="S48" s="87"/>
      <c r="T48" s="110"/>
      <c r="U48" s="64"/>
      <c r="V48" s="64"/>
      <c r="W48" s="60"/>
      <c r="X48" s="90"/>
      <c r="Y48" s="90"/>
      <c r="Z48" s="44"/>
      <c r="AA48" s="79"/>
      <c r="AB48" s="9"/>
    </row>
    <row r="49" spans="1:28">
      <c r="A49" s="9"/>
      <c r="B49" s="9"/>
      <c r="C49" s="33"/>
      <c r="D49" s="26" t="s">
        <v>5</v>
      </c>
      <c r="E49" s="34"/>
      <c r="F49" s="74">
        <f t="shared" ref="F49:J50" si="8">F22</f>
        <v>100</v>
      </c>
      <c r="G49" s="74">
        <f t="shared" si="8"/>
        <v>103</v>
      </c>
      <c r="H49" s="74">
        <f t="shared" si="8"/>
        <v>0</v>
      </c>
      <c r="I49" s="74">
        <f t="shared" si="8"/>
        <v>120</v>
      </c>
      <c r="J49" s="74">
        <f t="shared" si="8"/>
        <v>95</v>
      </c>
      <c r="K49" s="64">
        <f>IFERROR(F49/G49-1,"n/a")</f>
        <v>-2.9126213592232997E-2</v>
      </c>
      <c r="L49" s="64" t="str">
        <f>IFERROR(F49/H49-1,"n/a")</f>
        <v>n/a</v>
      </c>
      <c r="M49" s="64">
        <f>IFERROR(F49/I49-1,"n/a")</f>
        <v>-0.16666666666666663</v>
      </c>
      <c r="N49" s="60">
        <f>IFERROR(F49/J49-1,"n/a")</f>
        <v>5.2631578947368363E-2</v>
      </c>
      <c r="O49" s="108"/>
      <c r="P49" s="70">
        <f>+O22-'Mar-22'!M19+'Dec-22'!M22</f>
        <v>1027</v>
      </c>
      <c r="Q49" s="70">
        <f>+P22-'Mar-22'!N19+'Dec-22'!N22</f>
        <v>614</v>
      </c>
      <c r="R49" s="70">
        <f>+Q22-'Mar-22'!O19+'Dec-22'!O22</f>
        <v>42</v>
      </c>
      <c r="S49" s="70">
        <f>+R22-'Mar-22'!P19+'Dec-22'!P22</f>
        <v>1135</v>
      </c>
      <c r="T49" s="108"/>
      <c r="U49" s="64">
        <f>IFERROR(P49/Q49-1,"n/a")</f>
        <v>0.67263843648208477</v>
      </c>
      <c r="V49" s="64">
        <f>IFERROR(P49/R49-1,"n/a")</f>
        <v>23.452380952380953</v>
      </c>
      <c r="W49" s="60">
        <f>IFERROR(P49/S49-1,"n/a")</f>
        <v>-9.5154185022026438E-2</v>
      </c>
      <c r="X49" s="89"/>
      <c r="Y49" s="89">
        <v>744</v>
      </c>
      <c r="Z49" s="84">
        <v>406</v>
      </c>
      <c r="AA49" s="78">
        <v>1253</v>
      </c>
      <c r="AB49" s="9"/>
    </row>
    <row r="50" spans="1:28">
      <c r="A50" s="9"/>
      <c r="B50" s="9"/>
      <c r="C50" s="33"/>
      <c r="D50" s="26" t="s">
        <v>11</v>
      </c>
      <c r="E50" s="32"/>
      <c r="F50" s="74">
        <f t="shared" si="8"/>
        <v>342407</v>
      </c>
      <c r="G50" s="74">
        <f t="shared" si="8"/>
        <v>174835</v>
      </c>
      <c r="H50" s="74">
        <f t="shared" si="8"/>
        <v>0</v>
      </c>
      <c r="I50" s="74">
        <f t="shared" si="8"/>
        <v>329055</v>
      </c>
      <c r="J50" s="74">
        <f t="shared" si="8"/>
        <v>305578</v>
      </c>
      <c r="K50" s="64">
        <f>IFERROR(F50/G50-1,"n/a")</f>
        <v>0.95845797466182403</v>
      </c>
      <c r="L50" s="64" t="str">
        <f>IFERROR(F50/H50-1,"n/a")</f>
        <v>n/a</v>
      </c>
      <c r="M50" s="64">
        <f>IFERROR(F50/I50-1,"n/a")</f>
        <v>4.0576803269970041E-2</v>
      </c>
      <c r="N50" s="60">
        <f>IFERROR(F50/J50-1,"n/a")</f>
        <v>0.12052241980770861</v>
      </c>
      <c r="O50" s="109"/>
      <c r="P50" s="70">
        <f>+O23-'Mar-22'!M20+'Dec-22'!M23</f>
        <v>3358708</v>
      </c>
      <c r="Q50" s="70">
        <f>+P23-'Mar-22'!N20+'Dec-22'!N23</f>
        <v>1007102</v>
      </c>
      <c r="R50" s="70">
        <f>+Q23-'Mar-22'!O20+'Dec-22'!O23</f>
        <v>0</v>
      </c>
      <c r="S50" s="70">
        <f>+R23-'Mar-22'!P20+'Dec-22'!P23</f>
        <v>3479798</v>
      </c>
      <c r="T50" s="108"/>
      <c r="U50" s="64">
        <f>IFERROR(P50/Q50-1,"n/a")</f>
        <v>2.3350226690047284</v>
      </c>
      <c r="V50" s="64" t="str">
        <f>IFERROR(P50/R50-1,"n/a")</f>
        <v>n/a</v>
      </c>
      <c r="W50" s="60">
        <f>IFERROR(P50/S50-1,"n/a")</f>
        <v>-3.4797996895222116E-2</v>
      </c>
      <c r="X50" s="82"/>
      <c r="Y50" s="82">
        <v>1290779</v>
      </c>
      <c r="Z50" s="84">
        <v>833999</v>
      </c>
      <c r="AA50" s="78">
        <v>3627458</v>
      </c>
      <c r="AB50" s="9"/>
    </row>
    <row r="51" spans="1:28">
      <c r="A51" s="9"/>
      <c r="B51" s="9"/>
      <c r="C51" s="31" t="s">
        <v>16</v>
      </c>
      <c r="D51" s="26"/>
      <c r="E51" s="32"/>
      <c r="F51" s="72"/>
      <c r="G51" s="72"/>
      <c r="H51" s="72"/>
      <c r="I51" s="72"/>
      <c r="J51" s="72"/>
      <c r="K51" s="64"/>
      <c r="L51" s="64"/>
      <c r="M51" s="64"/>
      <c r="N51" s="60"/>
      <c r="O51" s="110"/>
      <c r="P51" s="87"/>
      <c r="Q51" s="87"/>
      <c r="R51" s="87"/>
      <c r="S51" s="87"/>
      <c r="T51" s="110"/>
      <c r="U51" s="64"/>
      <c r="V51" s="64"/>
      <c r="W51" s="60"/>
      <c r="X51" s="90"/>
      <c r="Y51" s="90"/>
      <c r="Z51" s="44"/>
      <c r="AA51" s="79"/>
      <c r="AB51" s="9"/>
    </row>
    <row r="52" spans="1:28">
      <c r="A52" s="9"/>
      <c r="B52" s="9"/>
      <c r="C52" s="33"/>
      <c r="D52" s="26" t="s">
        <v>5</v>
      </c>
      <c r="E52" s="32"/>
      <c r="F52" s="74">
        <f t="shared" ref="F52:J53" si="9">F25</f>
        <v>5</v>
      </c>
      <c r="G52" s="74">
        <f t="shared" si="9"/>
        <v>6</v>
      </c>
      <c r="H52" s="74">
        <f t="shared" si="9"/>
        <v>4</v>
      </c>
      <c r="I52" s="74">
        <f t="shared" si="9"/>
        <v>3</v>
      </c>
      <c r="J52" s="74">
        <f t="shared" si="9"/>
        <v>7</v>
      </c>
      <c r="K52" s="64">
        <f>IFERROR(F52/G52-1,"n/a")</f>
        <v>-0.16666666666666663</v>
      </c>
      <c r="L52" s="64">
        <f>IFERROR(F52/H52-1,"n/a")</f>
        <v>0.25</v>
      </c>
      <c r="M52" s="64">
        <f>IFERROR(F52/I52-1,"n/a")</f>
        <v>0.66666666666666674</v>
      </c>
      <c r="N52" s="60">
        <f>IFERROR(F52/J52-1,"n/a")</f>
        <v>-0.2857142857142857</v>
      </c>
      <c r="O52" s="108"/>
      <c r="P52" s="70">
        <f>+O25-'Mar-22'!M22+'Dec-22'!M25</f>
        <v>269</v>
      </c>
      <c r="Q52" s="70">
        <f>+P25-'Mar-22'!N22+'Dec-22'!N25</f>
        <v>107</v>
      </c>
      <c r="R52" s="70">
        <f>+Q25-'Mar-22'!O22+'Dec-22'!O25</f>
        <v>28</v>
      </c>
      <c r="S52" s="70">
        <f>+R25-'Mar-22'!P22+'Dec-22'!P25</f>
        <v>360</v>
      </c>
      <c r="T52" s="108"/>
      <c r="U52" s="64">
        <f>IFERROR(P52/Q52-1,"n/a")</f>
        <v>1.514018691588785</v>
      </c>
      <c r="V52" s="64">
        <f>IFERROR(P52/R52-1,"n/a")</f>
        <v>8.6071428571428577</v>
      </c>
      <c r="W52" s="60">
        <f>IFERROR(P52/S52-1,"n/a")</f>
        <v>-0.25277777777777777</v>
      </c>
      <c r="X52" s="89"/>
      <c r="Y52" s="89">
        <v>121</v>
      </c>
      <c r="Z52" s="70">
        <v>41</v>
      </c>
      <c r="AA52" s="78">
        <v>361</v>
      </c>
      <c r="AB52" s="9"/>
    </row>
    <row r="53" spans="1:28">
      <c r="A53" s="9"/>
      <c r="B53" s="9"/>
      <c r="C53" s="33"/>
      <c r="D53" s="26" t="s">
        <v>11</v>
      </c>
      <c r="E53" s="32"/>
      <c r="F53" s="74">
        <f t="shared" si="9"/>
        <v>21884</v>
      </c>
      <c r="G53" s="74">
        <f t="shared" si="9"/>
        <v>5662</v>
      </c>
      <c r="H53" s="74">
        <f t="shared" si="9"/>
        <v>4030</v>
      </c>
      <c r="I53" s="74">
        <f t="shared" si="9"/>
        <v>16515</v>
      </c>
      <c r="J53" s="74">
        <f t="shared" si="9"/>
        <v>24890</v>
      </c>
      <c r="K53" s="64">
        <f>IFERROR(F53/G53-1,"n/a")</f>
        <v>2.8650653479335926</v>
      </c>
      <c r="L53" s="64">
        <f>IFERROR(F53/H53-1,"n/a")</f>
        <v>4.4302729528535982</v>
      </c>
      <c r="M53" s="64">
        <f>IFERROR(F53/I53-1,"n/a")</f>
        <v>0.32509839539812302</v>
      </c>
      <c r="N53" s="60">
        <f>IFERROR(F53/J53-1,"n/a")</f>
        <v>-0.12077139413419047</v>
      </c>
      <c r="O53" s="109"/>
      <c r="P53" s="70">
        <f>+O26-'Mar-22'!M23+'Dec-22'!M26</f>
        <v>540613</v>
      </c>
      <c r="Q53" s="70">
        <f>+P26-'Mar-22'!N23+'Dec-22'!N26</f>
        <v>146532</v>
      </c>
      <c r="R53" s="70">
        <f>+Q26-'Mar-22'!O23+'Dec-22'!O26</f>
        <v>23633</v>
      </c>
      <c r="S53" s="70">
        <f>+R26-'Mar-22'!P23+'Dec-22'!P26</f>
        <v>865396</v>
      </c>
      <c r="T53" s="108"/>
      <c r="U53" s="64">
        <f>IFERROR(P53/Q53-1,"n/a")</f>
        <v>2.689385253732973</v>
      </c>
      <c r="V53" s="64">
        <f>IFERROR(P53/R53-1,"n/a")</f>
        <v>21.875343798925233</v>
      </c>
      <c r="W53" s="60">
        <f>IFERROR(P53/S53-1,"n/a")</f>
        <v>-0.37529986272180593</v>
      </c>
      <c r="X53" s="82"/>
      <c r="Y53" s="82">
        <v>165689</v>
      </c>
      <c r="Z53" s="84">
        <v>67144</v>
      </c>
      <c r="AA53" s="78">
        <v>865961</v>
      </c>
      <c r="AB53" s="9"/>
    </row>
    <row r="54" spans="1:28">
      <c r="C54" s="31" t="s">
        <v>17</v>
      </c>
      <c r="D54" s="26"/>
      <c r="E54" s="32"/>
      <c r="F54" s="72"/>
      <c r="G54" s="72"/>
      <c r="H54" s="72"/>
      <c r="I54" s="72"/>
      <c r="J54" s="72"/>
      <c r="K54" s="64"/>
      <c r="L54" s="64"/>
      <c r="M54" s="64"/>
      <c r="N54" s="60"/>
      <c r="O54" s="110"/>
      <c r="P54" s="87"/>
      <c r="Q54" s="87"/>
      <c r="R54" s="87"/>
      <c r="S54" s="87"/>
      <c r="T54" s="110"/>
      <c r="U54" s="64"/>
      <c r="V54" s="64"/>
      <c r="W54" s="60"/>
      <c r="X54" s="90"/>
      <c r="Y54" s="90"/>
      <c r="Z54" s="44"/>
      <c r="AA54" s="79"/>
      <c r="AB54" s="9"/>
    </row>
    <row r="55" spans="1:28">
      <c r="C55" s="33"/>
      <c r="D55" s="26" t="s">
        <v>5</v>
      </c>
      <c r="E55" s="32"/>
      <c r="F55" s="74">
        <f t="shared" ref="F55:J56" si="10">F28</f>
        <v>57</v>
      </c>
      <c r="G55" s="74">
        <f t="shared" si="10"/>
        <v>1</v>
      </c>
      <c r="H55" s="74">
        <f t="shared" si="10"/>
        <v>1</v>
      </c>
      <c r="I55" s="74">
        <f t="shared" si="10"/>
        <v>1</v>
      </c>
      <c r="J55" s="74">
        <f t="shared" si="10"/>
        <v>2</v>
      </c>
      <c r="K55" s="64">
        <f>IFERROR(F55/G55-1,"n/a")</f>
        <v>56</v>
      </c>
      <c r="L55" s="64">
        <f>IFERROR(F55/H55-1,"n/a")</f>
        <v>56</v>
      </c>
      <c r="M55" s="64">
        <f>IFERROR(F55/I55-1,"n/a")</f>
        <v>56</v>
      </c>
      <c r="N55" s="60">
        <f>IFERROR(F55/J55-1,"n/a")</f>
        <v>27.5</v>
      </c>
      <c r="O55" s="108"/>
      <c r="P55" s="70">
        <f>+O28-'Mar-22'!M25+'Dec-22'!M28</f>
        <v>730</v>
      </c>
      <c r="Q55" s="70">
        <f>+P28-'Mar-22'!N25+'Dec-22'!N28</f>
        <v>125</v>
      </c>
      <c r="R55" s="70">
        <f>+Q28-'Mar-22'!O25+'Dec-22'!O28</f>
        <v>38</v>
      </c>
      <c r="S55" s="70">
        <f>+R28-'Mar-22'!P25+'Dec-22'!P28</f>
        <v>360</v>
      </c>
      <c r="T55" s="108"/>
      <c r="U55" s="64">
        <f>IFERROR(P55/Q55-1,"n/a")</f>
        <v>4.84</v>
      </c>
      <c r="V55" s="64">
        <f>IFERROR(P55/R55-1,"n/a")</f>
        <v>18.210526315789473</v>
      </c>
      <c r="W55" s="60">
        <f>IFERROR(P55/S55-1,"n/a")</f>
        <v>1.0277777777777777</v>
      </c>
      <c r="X55" s="89"/>
      <c r="Y55" s="89">
        <v>140</v>
      </c>
      <c r="Z55" s="70">
        <v>40</v>
      </c>
      <c r="AA55" s="78">
        <v>360</v>
      </c>
      <c r="AB55" s="9"/>
    </row>
    <row r="56" spans="1:28">
      <c r="C56" s="33"/>
      <c r="D56" s="26" t="s">
        <v>11</v>
      </c>
      <c r="E56" s="32"/>
      <c r="F56" s="74">
        <f t="shared" si="10"/>
        <v>185856</v>
      </c>
      <c r="G56" s="74">
        <f t="shared" si="10"/>
        <v>1983</v>
      </c>
      <c r="H56" s="74">
        <f t="shared" si="10"/>
        <v>639</v>
      </c>
      <c r="I56" s="74">
        <f t="shared" si="10"/>
        <v>892</v>
      </c>
      <c r="J56" s="74">
        <f t="shared" si="10"/>
        <v>3305</v>
      </c>
      <c r="K56" s="64">
        <f>IFERROR(F56/G56-1,"n/a")</f>
        <v>92.724659606656587</v>
      </c>
      <c r="L56" s="64">
        <f>IFERROR(F56/H56-1,"n/a")</f>
        <v>289.85446009389671</v>
      </c>
      <c r="M56" s="64">
        <f>IFERROR(F56/I56-1,"n/a")</f>
        <v>207.35874439461884</v>
      </c>
      <c r="N56" s="60">
        <f>IFERROR(F56/J56-1,"n/a")</f>
        <v>55.234795763993951</v>
      </c>
      <c r="O56" s="109"/>
      <c r="P56" s="82">
        <f>+O29-'Mar-22'!M26+'Dec-22'!M29</f>
        <v>1491917</v>
      </c>
      <c r="Q56" s="82">
        <f>+P29-'Mar-22'!N26+'Dec-22'!N29</f>
        <v>164927</v>
      </c>
      <c r="R56" s="82">
        <f>+Q29-'Mar-22'!O26+'Dec-22'!O29</f>
        <v>29453</v>
      </c>
      <c r="S56" s="82">
        <f>+R29-'Mar-22'!P26+'Dec-22'!P29</f>
        <v>861947</v>
      </c>
      <c r="T56" s="109"/>
      <c r="U56" s="64">
        <f>IFERROR(P56/Q56-1,"n/a")</f>
        <v>8.0459233479054362</v>
      </c>
      <c r="V56" s="64">
        <f>IFERROR(P56/R56-1,"n/a")</f>
        <v>49.654160866465219</v>
      </c>
      <c r="W56" s="60">
        <f>IFERROR(P56/S56-1,"n/a")</f>
        <v>0.73086860328999337</v>
      </c>
      <c r="X56" s="82"/>
      <c r="Y56" s="82">
        <v>174336</v>
      </c>
      <c r="Z56" s="84">
        <v>21928</v>
      </c>
      <c r="AA56" s="78">
        <f>706948+155011</f>
        <v>861959</v>
      </c>
      <c r="AB56" s="9"/>
    </row>
    <row r="57" spans="1:28" ht="15.75" thickBot="1">
      <c r="C57" s="35" t="s">
        <v>12</v>
      </c>
      <c r="D57" s="36"/>
      <c r="E57" s="37"/>
      <c r="F57" s="75">
        <f t="shared" ref="F57:J58" si="11">F40+F43+F46+F49+F52+F55</f>
        <v>242</v>
      </c>
      <c r="G57" s="75">
        <f t="shared" si="11"/>
        <v>184</v>
      </c>
      <c r="H57" s="75">
        <f t="shared" si="11"/>
        <v>5</v>
      </c>
      <c r="I57" s="75">
        <f t="shared" si="11"/>
        <v>193</v>
      </c>
      <c r="J57" s="75">
        <f t="shared" si="11"/>
        <v>188</v>
      </c>
      <c r="K57" s="66">
        <f>IFERROR(F57/G57-1,"n/a")</f>
        <v>0.31521739130434789</v>
      </c>
      <c r="L57" s="66">
        <f>IFERROR(F57/H57-1,"n/a")</f>
        <v>47.4</v>
      </c>
      <c r="M57" s="66">
        <f>IFERROR(F57/I57-1,"n/a")</f>
        <v>0.25388601036269431</v>
      </c>
      <c r="N57" s="62">
        <f>IFERROR(F57/J57-1,"n/a")</f>
        <v>0.2872340425531914</v>
      </c>
      <c r="O57" s="46"/>
      <c r="P57" s="46">
        <f t="shared" ref="P57:S58" si="12">P40+P43+P46+P49+P52+P55</f>
        <v>3540</v>
      </c>
      <c r="Q57" s="46">
        <f t="shared" si="12"/>
        <v>1420</v>
      </c>
      <c r="R57" s="46">
        <f t="shared" si="12"/>
        <v>109</v>
      </c>
      <c r="S57" s="46">
        <f t="shared" si="12"/>
        <v>3114</v>
      </c>
      <c r="T57" s="46"/>
      <c r="U57" s="66">
        <f>IFERROR(P57/Q57-1,"n/a")</f>
        <v>1.492957746478873</v>
      </c>
      <c r="V57" s="66">
        <f>IFERROR(P57/R57-1,"n/a")</f>
        <v>31.477064220183486</v>
      </c>
      <c r="W57" s="62">
        <f>IFERROR(P57/S57-1,"n/a")</f>
        <v>0.1368015414258188</v>
      </c>
      <c r="X57" s="46"/>
      <c r="Y57" s="46">
        <f t="shared" ref="Y57:AA58" si="13">Y40+Y43+Y46+Y49+Y52+Y55</f>
        <v>1682</v>
      </c>
      <c r="Z57" s="46">
        <f t="shared" si="13"/>
        <v>679</v>
      </c>
      <c r="AA57" s="80">
        <f t="shared" si="13"/>
        <v>3274</v>
      </c>
      <c r="AB57" s="9"/>
    </row>
    <row r="58" spans="1:28" ht="16.5" thickTop="1" thickBot="1">
      <c r="C58" s="38" t="s">
        <v>13</v>
      </c>
      <c r="D58" s="39"/>
      <c r="E58" s="40"/>
      <c r="F58" s="76">
        <f t="shared" si="11"/>
        <v>723641</v>
      </c>
      <c r="G58" s="76">
        <f t="shared" si="11"/>
        <v>241516</v>
      </c>
      <c r="H58" s="76">
        <f t="shared" si="11"/>
        <v>4669</v>
      </c>
      <c r="I58" s="76">
        <f t="shared" si="11"/>
        <v>494948</v>
      </c>
      <c r="J58" s="76">
        <f t="shared" si="11"/>
        <v>513727</v>
      </c>
      <c r="K58" s="67">
        <f>IFERROR(F58/G58-1,"n/a")</f>
        <v>1.9962445552261547</v>
      </c>
      <c r="L58" s="67">
        <f>IFERROR(F58/H58-1,"n/a")</f>
        <v>153.98843435425144</v>
      </c>
      <c r="M58" s="67">
        <f>IFERROR(F58/I58-1,"n/a")</f>
        <v>0.46205459967511731</v>
      </c>
      <c r="N58" s="63">
        <f>IFERROR(F58/J58-1,"n/a")</f>
        <v>0.40861002049726802</v>
      </c>
      <c r="O58" s="47"/>
      <c r="P58" s="47">
        <f t="shared" si="12"/>
        <v>8316425</v>
      </c>
      <c r="Q58" s="47">
        <f t="shared" si="12"/>
        <v>2005616</v>
      </c>
      <c r="R58" s="47">
        <f t="shared" si="12"/>
        <v>53197</v>
      </c>
      <c r="S58" s="47">
        <f t="shared" si="12"/>
        <v>8428481</v>
      </c>
      <c r="T58" s="47"/>
      <c r="U58" s="67">
        <f>IFERROR(P58/Q58-1,"n/a")</f>
        <v>3.1465689344321151</v>
      </c>
      <c r="V58" s="67">
        <f>IFERROR(P58/R58-1,"n/a")</f>
        <v>155.33259394326748</v>
      </c>
      <c r="W58" s="63">
        <f>IFERROR(P58/S58-1,"n/a")</f>
        <v>-1.3294922299759593E-2</v>
      </c>
      <c r="X58" s="47"/>
      <c r="Y58" s="47">
        <f t="shared" si="13"/>
        <v>2411641</v>
      </c>
      <c r="Z58" s="47">
        <f t="shared" si="13"/>
        <v>1324261</v>
      </c>
      <c r="AA58" s="81">
        <f t="shared" si="13"/>
        <v>8654686</v>
      </c>
      <c r="AB58" s="9"/>
    </row>
    <row r="59" spans="1:28" ht="15.75" thickTop="1">
      <c r="AB59" s="9"/>
    </row>
    <row r="60" spans="1:28">
      <c r="P60" s="111"/>
      <c r="Q60" s="111"/>
      <c r="R60" s="111"/>
      <c r="S60" s="111"/>
      <c r="AB60" s="9"/>
    </row>
    <row r="61" spans="1:28">
      <c r="P61" s="111"/>
      <c r="Q61" s="111"/>
      <c r="R61" s="111"/>
      <c r="S61" s="111"/>
      <c r="AB61" s="9"/>
    </row>
    <row r="62" spans="1:28" hidden="1">
      <c r="P62" s="111"/>
      <c r="Q62" s="111"/>
      <c r="R62" s="111"/>
      <c r="S62" s="111"/>
      <c r="AB62" s="9"/>
    </row>
    <row r="63" spans="1:28" hidden="1">
      <c r="P63" s="111"/>
      <c r="Q63" s="111"/>
      <c r="R63" s="111"/>
      <c r="S63" s="111"/>
      <c r="AB63" s="9"/>
    </row>
    <row r="64" spans="1:28" hidden="1">
      <c r="AB64" s="9"/>
    </row>
    <row r="65" spans="28:28" hidden="1">
      <c r="AB65" s="9"/>
    </row>
    <row r="66" spans="28:28" hidden="1">
      <c r="AB66" s="9"/>
    </row>
  </sheetData>
  <mergeCells count="6">
    <mergeCell ref="F9:N9"/>
    <mergeCell ref="O9:W9"/>
    <mergeCell ref="X9:AA9"/>
    <mergeCell ref="F36:N36"/>
    <mergeCell ref="O36:W36"/>
    <mergeCell ref="X36:AA36"/>
  </mergeCells>
  <pageMargins left="0.7" right="0.7" top="0.75" bottom="0.75" header="0.3" footer="0.3"/>
  <drawing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AY68"/>
  <sheetViews>
    <sheetView showGridLines="0" topLeftCell="A30" zoomScaleNormal="100" zoomScalePageLayoutView="40" workbookViewId="0">
      <selection activeCell="P40" sqref="P40"/>
    </sheetView>
  </sheetViews>
  <sheetFormatPr defaultColWidth="0" defaultRowHeight="0" customHeight="1" zeroHeight="1"/>
  <cols>
    <col min="1" max="3" width="2.5703125" customWidth="1"/>
    <col min="4" max="4" width="9.140625" customWidth="1"/>
    <col min="5" max="7" width="15.42578125" customWidth="1"/>
    <col min="8" max="9" width="11.140625" bestFit="1" customWidth="1"/>
    <col min="10" max="10" width="10.5703125" bestFit="1" customWidth="1"/>
    <col min="11" max="11" width="9.140625" customWidth="1"/>
    <col min="12" max="12" width="9" bestFit="1" customWidth="1"/>
    <col min="13" max="14" width="9.140625" customWidth="1"/>
    <col min="15" max="15" width="11" bestFit="1" customWidth="1"/>
    <col min="16" max="16" width="11" customWidth="1"/>
    <col min="17" max="17" width="10.140625" bestFit="1" customWidth="1"/>
    <col min="18" max="18" width="12.140625" bestFit="1" customWidth="1"/>
    <col min="19" max="19" width="11.42578125" customWidth="1"/>
    <col min="20" max="20" width="9.85546875" customWidth="1"/>
    <col min="21" max="21" width="8.85546875" customWidth="1"/>
    <col min="22" max="22" width="9.140625" bestFit="1" customWidth="1"/>
    <col min="23" max="23" width="8.85546875" customWidth="1"/>
    <col min="24" max="24" width="10.42578125" bestFit="1" customWidth="1"/>
    <col min="25" max="25" width="10.42578125" customWidth="1"/>
    <col min="26" max="26" width="10.42578125" bestFit="1" customWidth="1"/>
    <col min="27" max="27" width="11.140625" bestFit="1" customWidth="1"/>
    <col min="28" max="28" width="3.140625" style="9" customWidth="1"/>
    <col min="29" max="43" width="0" style="9" hidden="1" customWidth="1"/>
    <col min="44" max="51" width="0" hidden="1" customWidth="1"/>
    <col min="52" max="16384" width="9.140625" hidden="1"/>
  </cols>
  <sheetData>
    <row r="1" spans="1:43" ht="15">
      <c r="A1" s="9"/>
      <c r="B1" s="9"/>
      <c r="C1" s="9"/>
      <c r="D1" s="9"/>
      <c r="E1" s="9"/>
      <c r="F1" s="9"/>
      <c r="G1" s="9"/>
      <c r="H1" s="9"/>
      <c r="I1" s="9"/>
      <c r="J1" s="9"/>
      <c r="K1" s="9"/>
      <c r="L1" s="9"/>
      <c r="M1" s="9"/>
      <c r="N1" s="9"/>
      <c r="O1" s="9"/>
      <c r="P1" s="9"/>
      <c r="Q1" s="9"/>
      <c r="R1" s="9"/>
      <c r="S1" s="9"/>
      <c r="T1" s="9"/>
      <c r="U1" s="9"/>
      <c r="V1" s="9"/>
      <c r="W1" s="9"/>
      <c r="X1" s="9"/>
      <c r="Y1" s="9"/>
      <c r="Z1" s="9"/>
      <c r="AA1" s="9"/>
    </row>
    <row r="2" spans="1:43" ht="19.5" thickBot="1">
      <c r="A2" s="9"/>
      <c r="B2" s="8" t="s">
        <v>6</v>
      </c>
      <c r="C2" s="23"/>
      <c r="D2" s="23"/>
      <c r="E2" s="23"/>
      <c r="F2" s="23"/>
      <c r="G2" s="23"/>
      <c r="H2" s="23"/>
      <c r="I2" s="23"/>
      <c r="J2" s="23"/>
      <c r="K2" s="23"/>
      <c r="L2" s="23"/>
      <c r="M2" s="23"/>
      <c r="N2" s="23"/>
      <c r="O2" s="23"/>
      <c r="P2" s="23"/>
      <c r="Q2" s="23"/>
      <c r="R2" s="23"/>
      <c r="S2" s="23"/>
      <c r="T2" s="23"/>
      <c r="U2" s="23"/>
      <c r="V2" s="23"/>
      <c r="W2" s="23"/>
      <c r="X2" s="23"/>
      <c r="Y2" s="23"/>
      <c r="Z2" s="23"/>
      <c r="AA2" s="23"/>
    </row>
    <row r="3" spans="1:43" ht="15">
      <c r="A3" s="9"/>
      <c r="B3" s="10"/>
      <c r="C3" s="24"/>
      <c r="D3" s="24"/>
      <c r="E3" s="24"/>
      <c r="F3" s="24"/>
      <c r="G3" s="24"/>
      <c r="H3" s="24"/>
      <c r="I3" s="24"/>
      <c r="J3" s="24"/>
      <c r="K3" s="24"/>
      <c r="L3" s="24"/>
      <c r="M3" s="24"/>
      <c r="N3" s="24"/>
      <c r="O3" s="24"/>
      <c r="P3" s="24"/>
      <c r="Q3" s="24"/>
      <c r="R3" s="24"/>
      <c r="S3" s="24"/>
      <c r="T3" s="24"/>
      <c r="U3" s="24"/>
      <c r="V3" s="24"/>
      <c r="W3" s="24"/>
      <c r="X3" s="24"/>
      <c r="Y3" s="24"/>
      <c r="Z3" s="24"/>
      <c r="AA3" s="25">
        <v>44972</v>
      </c>
    </row>
    <row r="4" spans="1:43" ht="15.75">
      <c r="A4" s="9"/>
      <c r="B4" s="11" t="s">
        <v>7</v>
      </c>
      <c r="C4" s="26"/>
      <c r="D4" s="24"/>
      <c r="E4" s="58" t="s">
        <v>99</v>
      </c>
      <c r="F4" s="24"/>
      <c r="G4" s="24"/>
      <c r="H4" s="24"/>
      <c r="I4" s="24"/>
      <c r="J4" s="24"/>
      <c r="K4" s="24"/>
      <c r="L4" s="24"/>
      <c r="M4" s="24"/>
      <c r="N4" s="24"/>
      <c r="O4" s="24"/>
      <c r="P4" s="24"/>
      <c r="Q4" s="24"/>
      <c r="R4" s="24"/>
      <c r="S4" s="24"/>
      <c r="T4" s="24"/>
      <c r="U4" s="24"/>
      <c r="V4" s="24"/>
      <c r="W4" s="24"/>
      <c r="X4" s="24"/>
      <c r="Y4" s="24"/>
      <c r="Z4" s="24"/>
      <c r="AA4" s="24"/>
    </row>
    <row r="5" spans="1:43" ht="15">
      <c r="A5" s="9"/>
      <c r="B5" s="10"/>
      <c r="C5" s="24"/>
      <c r="D5" s="24"/>
      <c r="E5" s="24"/>
      <c r="F5" s="24"/>
      <c r="G5" s="24"/>
      <c r="H5" s="24"/>
      <c r="I5" s="24"/>
      <c r="J5" s="24"/>
      <c r="K5" s="24"/>
      <c r="L5" s="24"/>
      <c r="M5" s="24"/>
      <c r="N5" s="24"/>
      <c r="O5" s="24"/>
      <c r="P5" s="24"/>
      <c r="Q5" s="24"/>
      <c r="R5" s="24"/>
      <c r="S5" s="24"/>
      <c r="T5" s="24"/>
      <c r="U5" s="24"/>
      <c r="V5" s="24"/>
      <c r="W5" s="24"/>
      <c r="X5" s="24"/>
      <c r="Y5" s="24"/>
      <c r="Z5" s="24"/>
      <c r="AA5" s="24"/>
    </row>
    <row r="6" spans="1:43" ht="15">
      <c r="A6" s="9"/>
      <c r="B6" s="10"/>
      <c r="C6" s="24"/>
      <c r="D6" s="24"/>
      <c r="E6" s="24"/>
      <c r="F6" s="24"/>
      <c r="G6" s="24"/>
      <c r="H6" s="24"/>
      <c r="I6" s="24"/>
      <c r="J6" s="24"/>
      <c r="K6" s="24"/>
      <c r="L6" s="24"/>
      <c r="M6" s="24"/>
      <c r="N6" s="24"/>
      <c r="O6" s="24"/>
      <c r="P6" s="24"/>
      <c r="Q6" s="24"/>
      <c r="R6" s="24"/>
      <c r="S6" s="24"/>
      <c r="T6" s="24"/>
      <c r="U6" s="24"/>
      <c r="V6" s="24"/>
      <c r="W6" s="24"/>
      <c r="X6" s="24"/>
      <c r="Y6" s="24"/>
      <c r="Z6" s="24"/>
      <c r="AA6" s="24"/>
    </row>
    <row r="7" spans="1:43" ht="15">
      <c r="A7" s="9"/>
      <c r="B7" s="10"/>
      <c r="C7" s="86" t="s">
        <v>62</v>
      </c>
      <c r="D7" s="24"/>
      <c r="E7" s="24"/>
      <c r="F7" s="24"/>
      <c r="G7" s="24"/>
      <c r="H7" s="24"/>
      <c r="I7" s="24"/>
      <c r="J7" s="24"/>
      <c r="K7" s="24"/>
      <c r="L7" s="24"/>
      <c r="M7" s="24"/>
      <c r="N7" s="24"/>
      <c r="O7" s="24"/>
      <c r="P7" s="24"/>
      <c r="Q7" s="24"/>
      <c r="R7" s="24"/>
      <c r="S7" s="24"/>
      <c r="T7" s="24"/>
      <c r="U7" s="24"/>
      <c r="V7" s="24"/>
      <c r="W7" s="24"/>
      <c r="X7" s="24"/>
      <c r="Y7" s="24"/>
      <c r="Z7" s="24"/>
      <c r="AA7" s="24"/>
    </row>
    <row r="8" spans="1:43" ht="15">
      <c r="A8" s="9"/>
      <c r="B8" s="10"/>
      <c r="C8" s="24"/>
      <c r="D8" s="24"/>
      <c r="E8" s="24"/>
      <c r="F8" s="24"/>
      <c r="G8" s="24"/>
      <c r="H8" s="24"/>
      <c r="I8" s="24"/>
      <c r="J8" s="24"/>
      <c r="K8" s="24"/>
      <c r="L8" s="24"/>
      <c r="M8" s="24"/>
      <c r="N8" s="24"/>
      <c r="O8" s="24"/>
      <c r="P8" s="24"/>
      <c r="Q8" s="24"/>
      <c r="R8" s="24"/>
      <c r="S8" s="24"/>
      <c r="T8" s="24"/>
      <c r="U8" s="24"/>
      <c r="V8" s="24"/>
      <c r="W8" s="24"/>
      <c r="X8" s="24"/>
      <c r="Y8" s="24"/>
      <c r="Z8" s="24"/>
      <c r="AA8" s="24"/>
    </row>
    <row r="9" spans="1:43" s="20" customFormat="1" ht="15">
      <c r="A9" s="9"/>
      <c r="B9"/>
      <c r="C9" s="27" t="s">
        <v>7</v>
      </c>
      <c r="D9" s="28"/>
      <c r="E9" s="28"/>
      <c r="F9" s="158" t="s">
        <v>33</v>
      </c>
      <c r="G9" s="158"/>
      <c r="H9" s="158"/>
      <c r="I9" s="158"/>
      <c r="J9" s="158"/>
      <c r="K9" s="158"/>
      <c r="L9" s="158"/>
      <c r="M9" s="158"/>
      <c r="N9" s="159"/>
      <c r="O9" s="157" t="s">
        <v>33</v>
      </c>
      <c r="P9" s="158"/>
      <c r="Q9" s="158"/>
      <c r="R9" s="158"/>
      <c r="S9" s="158"/>
      <c r="T9" s="158"/>
      <c r="U9" s="158"/>
      <c r="V9" s="158"/>
      <c r="W9" s="159"/>
      <c r="X9" s="157" t="s">
        <v>57</v>
      </c>
      <c r="Y9" s="158"/>
      <c r="Z9" s="158"/>
      <c r="AA9" s="160"/>
      <c r="AB9" s="9"/>
      <c r="AC9" s="19"/>
      <c r="AD9" s="19"/>
      <c r="AE9" s="19"/>
      <c r="AF9" s="19"/>
      <c r="AG9" s="19"/>
      <c r="AH9" s="19"/>
      <c r="AI9" s="19"/>
      <c r="AJ9" s="19"/>
      <c r="AK9" s="19"/>
      <c r="AL9" s="19"/>
      <c r="AM9" s="19"/>
      <c r="AN9" s="19"/>
      <c r="AO9" s="19"/>
      <c r="AP9" s="19"/>
      <c r="AQ9" s="19"/>
    </row>
    <row r="10" spans="1:43" ht="15.75">
      <c r="A10" s="9"/>
      <c r="B10" s="18"/>
      <c r="C10" s="29"/>
      <c r="D10" s="30"/>
      <c r="E10" s="30"/>
      <c r="F10" s="29"/>
      <c r="G10" s="30"/>
      <c r="H10" s="30"/>
      <c r="I10" s="30"/>
      <c r="J10" s="30"/>
      <c r="K10" s="30"/>
      <c r="L10" s="30"/>
      <c r="M10" s="30"/>
      <c r="N10" s="56"/>
      <c r="O10" s="30"/>
      <c r="P10" s="30"/>
      <c r="Q10" s="30"/>
      <c r="R10" s="30"/>
      <c r="S10" s="30"/>
      <c r="T10" s="30"/>
      <c r="U10" s="30"/>
      <c r="V10" s="30"/>
      <c r="W10" s="56"/>
      <c r="X10" s="30"/>
      <c r="Y10" s="30"/>
      <c r="Z10" s="30"/>
      <c r="AA10" s="56"/>
    </row>
    <row r="11" spans="1:43" s="54" customFormat="1" ht="27" customHeight="1">
      <c r="A11" s="48"/>
      <c r="B11" s="49"/>
      <c r="C11" s="59" t="s">
        <v>29</v>
      </c>
      <c r="D11" s="50"/>
      <c r="E11" s="51"/>
      <c r="F11" s="55">
        <v>2023</v>
      </c>
      <c r="G11" s="52">
        <v>2022</v>
      </c>
      <c r="H11" s="52">
        <v>2021</v>
      </c>
      <c r="I11" s="52">
        <v>2020</v>
      </c>
      <c r="J11" s="52">
        <v>2019</v>
      </c>
      <c r="K11" s="53" t="s">
        <v>66</v>
      </c>
      <c r="L11" s="53" t="s">
        <v>67</v>
      </c>
      <c r="M11" s="53" t="s">
        <v>68</v>
      </c>
      <c r="N11" s="57" t="s">
        <v>101</v>
      </c>
      <c r="O11" s="53">
        <v>2023</v>
      </c>
      <c r="P11" s="53">
        <v>2022</v>
      </c>
      <c r="Q11" s="52">
        <v>2021</v>
      </c>
      <c r="R11" s="52">
        <v>2020</v>
      </c>
      <c r="S11" s="52">
        <v>2019</v>
      </c>
      <c r="T11" s="53" t="s">
        <v>66</v>
      </c>
      <c r="U11" s="53" t="s">
        <v>67</v>
      </c>
      <c r="V11" s="53" t="s">
        <v>68</v>
      </c>
      <c r="W11" s="57" t="s">
        <v>101</v>
      </c>
      <c r="X11" s="53">
        <v>2022</v>
      </c>
      <c r="Y11" s="53">
        <v>2021</v>
      </c>
      <c r="Z11" s="52">
        <v>2020</v>
      </c>
      <c r="AA11" s="77">
        <v>2019</v>
      </c>
      <c r="AB11" s="48"/>
      <c r="AC11" s="48"/>
      <c r="AD11" s="48"/>
      <c r="AE11" s="48"/>
      <c r="AF11" s="48"/>
      <c r="AG11" s="48"/>
      <c r="AH11" s="48"/>
      <c r="AI11" s="48"/>
      <c r="AJ11" s="48"/>
      <c r="AK11" s="48"/>
      <c r="AL11" s="48"/>
      <c r="AM11" s="48"/>
      <c r="AN11" s="48"/>
      <c r="AO11" s="48"/>
      <c r="AP11" s="48"/>
      <c r="AQ11" s="48"/>
    </row>
    <row r="12" spans="1:43" ht="15">
      <c r="A12" s="9"/>
      <c r="B12" s="12"/>
      <c r="C12" s="31" t="s">
        <v>14</v>
      </c>
      <c r="D12" s="26"/>
      <c r="E12" s="32"/>
      <c r="F12" s="26"/>
      <c r="G12" s="26"/>
      <c r="H12" s="26"/>
      <c r="I12" s="26"/>
      <c r="J12" s="26"/>
      <c r="K12" s="26"/>
      <c r="L12" s="26"/>
      <c r="M12" s="26"/>
      <c r="N12" s="32"/>
      <c r="O12" s="26"/>
      <c r="P12" s="26"/>
      <c r="Q12" s="26"/>
      <c r="R12" s="26"/>
      <c r="S12" s="26"/>
      <c r="T12" s="26"/>
      <c r="U12" s="26"/>
      <c r="V12" s="26"/>
      <c r="W12" s="32"/>
      <c r="X12" s="26"/>
      <c r="Y12" s="26"/>
      <c r="Z12" s="26"/>
      <c r="AA12" s="32"/>
    </row>
    <row r="13" spans="1:43" ht="15">
      <c r="A13" s="9"/>
      <c r="B13" s="12"/>
      <c r="C13" s="33"/>
      <c r="D13" s="26" t="s">
        <v>5</v>
      </c>
      <c r="E13" s="32"/>
      <c r="F13" s="74">
        <v>68</v>
      </c>
      <c r="G13" s="71">
        <v>64</v>
      </c>
      <c r="H13" s="71">
        <v>0</v>
      </c>
      <c r="I13" s="71">
        <v>61</v>
      </c>
      <c r="J13" s="71">
        <v>76</v>
      </c>
      <c r="K13" s="64">
        <f>IFERROR(F13/G13-1,"n/a")</f>
        <v>6.25E-2</v>
      </c>
      <c r="L13" s="64" t="str">
        <f t="shared" ref="L13:L31" si="0">IFERROR(F13/H13-1,"n/a")</f>
        <v>n/a</v>
      </c>
      <c r="M13" s="64">
        <f>IFERROR(F13/I13-1,"n/a")</f>
        <v>0.11475409836065564</v>
      </c>
      <c r="N13" s="60">
        <f>IFERROR(F13/J13-1,"n/a")</f>
        <v>-0.10526315789473684</v>
      </c>
      <c r="O13" s="68">
        <f>F13</f>
        <v>68</v>
      </c>
      <c r="P13" s="68">
        <f t="shared" ref="P13:S14" si="1">G13</f>
        <v>64</v>
      </c>
      <c r="Q13" s="68">
        <f t="shared" si="1"/>
        <v>0</v>
      </c>
      <c r="R13" s="68">
        <f t="shared" si="1"/>
        <v>61</v>
      </c>
      <c r="S13" s="68">
        <f t="shared" si="1"/>
        <v>76</v>
      </c>
      <c r="T13" s="64">
        <f>IFERROR(O13/P13-1,"n/a")</f>
        <v>6.25E-2</v>
      </c>
      <c r="U13" s="64" t="str">
        <f>IFERROR(O13/Q13-1,"n/a")</f>
        <v>n/a</v>
      </c>
      <c r="V13" s="64">
        <f>IFERROR(O13/R13-1,"n/a")</f>
        <v>0.11475409836065564</v>
      </c>
      <c r="W13" s="60">
        <f>IFERROR(O13/S13-1,"n/a")</f>
        <v>-0.10526315789473684</v>
      </c>
      <c r="X13" s="68">
        <v>346</v>
      </c>
      <c r="Y13" s="68">
        <v>111</v>
      </c>
      <c r="Z13" s="70">
        <v>145</v>
      </c>
      <c r="AA13" s="78">
        <v>386</v>
      </c>
    </row>
    <row r="14" spans="1:43" ht="15">
      <c r="A14" s="9"/>
      <c r="B14" s="12"/>
      <c r="C14" s="33"/>
      <c r="D14" s="26" t="s">
        <v>11</v>
      </c>
      <c r="E14" s="32"/>
      <c r="F14" s="74">
        <v>115964</v>
      </c>
      <c r="G14" s="71">
        <v>50794</v>
      </c>
      <c r="H14" s="71">
        <v>0</v>
      </c>
      <c r="I14" s="71">
        <v>108796</v>
      </c>
      <c r="J14" s="71">
        <v>156866</v>
      </c>
      <c r="K14" s="64">
        <f>IFERROR(F14/G14-1,"n/a")</f>
        <v>1.2830255541993147</v>
      </c>
      <c r="L14" s="64" t="str">
        <f t="shared" si="0"/>
        <v>n/a</v>
      </c>
      <c r="M14" s="64">
        <f>IFERROR(F14/I14-1,"n/a")</f>
        <v>6.5884775175558019E-2</v>
      </c>
      <c r="N14" s="60">
        <f>IFERROR(F14/J14-1,"n/a")</f>
        <v>-0.2607448395445795</v>
      </c>
      <c r="O14" s="68">
        <f>F14</f>
        <v>115964</v>
      </c>
      <c r="P14" s="68">
        <f t="shared" si="1"/>
        <v>50794</v>
      </c>
      <c r="Q14" s="68">
        <f t="shared" si="1"/>
        <v>0</v>
      </c>
      <c r="R14" s="68">
        <f t="shared" si="1"/>
        <v>108796</v>
      </c>
      <c r="S14" s="68">
        <f t="shared" si="1"/>
        <v>156866</v>
      </c>
      <c r="T14" s="64">
        <f>IFERROR(O14/P14-1,"n/a")</f>
        <v>1.2830255541993147</v>
      </c>
      <c r="U14" s="64" t="str">
        <f>IFERROR(O14/Q14-1,"n/a")</f>
        <v>n/a</v>
      </c>
      <c r="V14" s="64">
        <f>IFERROR(O14/R14-1,"n/a")</f>
        <v>6.5884775175558019E-2</v>
      </c>
      <c r="W14" s="60">
        <f>IFERROR(O14/S14-1,"n/a")</f>
        <v>-0.2607448395445795</v>
      </c>
      <c r="X14" s="68">
        <v>380182</v>
      </c>
      <c r="Y14" s="68">
        <v>80863</v>
      </c>
      <c r="Z14" s="70">
        <v>258885</v>
      </c>
      <c r="AA14" s="78">
        <v>733296</v>
      </c>
    </row>
    <row r="15" spans="1:43" ht="15">
      <c r="A15" s="9"/>
      <c r="B15" s="12"/>
      <c r="C15" s="31" t="s">
        <v>74</v>
      </c>
      <c r="D15" s="26"/>
      <c r="E15" s="32"/>
      <c r="F15" s="97"/>
      <c r="G15" s="26"/>
      <c r="H15" s="26"/>
      <c r="I15" s="26"/>
      <c r="J15" s="26"/>
      <c r="K15" s="64"/>
      <c r="L15" s="64"/>
      <c r="M15" s="64"/>
      <c r="N15" s="61"/>
      <c r="O15" s="87"/>
      <c r="P15" s="87"/>
      <c r="Q15" s="87"/>
      <c r="R15" s="87"/>
      <c r="S15" s="87"/>
      <c r="T15" s="64"/>
      <c r="U15" s="64"/>
      <c r="V15" s="65"/>
      <c r="W15" s="61"/>
      <c r="X15" s="43"/>
      <c r="Y15" s="43"/>
      <c r="Z15" s="44"/>
      <c r="AA15" s="79"/>
    </row>
    <row r="16" spans="1:43" ht="15">
      <c r="A16" s="9"/>
      <c r="B16" s="12"/>
      <c r="C16" s="33"/>
      <c r="D16" s="26" t="s">
        <v>5</v>
      </c>
      <c r="E16" s="32"/>
      <c r="F16" s="74">
        <v>23</v>
      </c>
      <c r="G16" s="71">
        <v>16</v>
      </c>
      <c r="H16" s="71">
        <v>0</v>
      </c>
      <c r="I16" s="71">
        <v>19</v>
      </c>
      <c r="J16" s="71">
        <v>24</v>
      </c>
      <c r="K16" s="64">
        <f>IFERROR(F16/G16-1,"n/a")</f>
        <v>0.4375</v>
      </c>
      <c r="L16" s="64" t="str">
        <f t="shared" si="0"/>
        <v>n/a</v>
      </c>
      <c r="M16" s="64">
        <f>IFERROR(F16/I16-1,"n/a")</f>
        <v>0.21052631578947367</v>
      </c>
      <c r="N16" s="60">
        <f>IFERROR(F16/J16-1,"n/a")</f>
        <v>-4.166666666666663E-2</v>
      </c>
      <c r="O16" s="68">
        <f t="shared" ref="O16:S17" si="2">F16</f>
        <v>23</v>
      </c>
      <c r="P16" s="68">
        <f t="shared" si="2"/>
        <v>16</v>
      </c>
      <c r="Q16" s="68">
        <f t="shared" si="2"/>
        <v>0</v>
      </c>
      <c r="R16" s="68">
        <f t="shared" si="2"/>
        <v>19</v>
      </c>
      <c r="S16" s="68">
        <f t="shared" si="2"/>
        <v>24</v>
      </c>
      <c r="T16" s="64">
        <f>IFERROR(O16/P16-1,"n/a")</f>
        <v>0.4375</v>
      </c>
      <c r="U16" s="64" t="str">
        <f>IFERROR(O16/Q16-1,"n/a")</f>
        <v>n/a</v>
      </c>
      <c r="V16" s="64">
        <f>IFERROR(O16/R16-1,"n/a")</f>
        <v>0.21052631578947367</v>
      </c>
      <c r="W16" s="60">
        <f>IFERROR(O16/S16-1,"n/a")</f>
        <v>-4.166666666666663E-2</v>
      </c>
      <c r="X16" s="68">
        <v>778</v>
      </c>
      <c r="Y16" s="68">
        <v>283</v>
      </c>
      <c r="Z16" s="70">
        <v>43</v>
      </c>
      <c r="AA16" s="78">
        <v>827</v>
      </c>
    </row>
    <row r="17" spans="1:51" ht="15">
      <c r="A17" s="9"/>
      <c r="B17" s="12"/>
      <c r="C17" s="33"/>
      <c r="D17" s="26" t="s">
        <v>11</v>
      </c>
      <c r="E17" s="32"/>
      <c r="F17" s="74">
        <v>72958</v>
      </c>
      <c r="G17" s="71">
        <v>21828</v>
      </c>
      <c r="H17" s="71">
        <v>0</v>
      </c>
      <c r="I17" s="71">
        <v>64994</v>
      </c>
      <c r="J17" s="71">
        <v>74523</v>
      </c>
      <c r="K17" s="64">
        <f>IFERROR(F17/G17-1,"n/a")</f>
        <v>2.3424042514201942</v>
      </c>
      <c r="L17" s="64" t="str">
        <f t="shared" si="0"/>
        <v>n/a</v>
      </c>
      <c r="M17" s="64">
        <f>IFERROR(F17/I17-1,"n/a")</f>
        <v>0.1225343877896421</v>
      </c>
      <c r="N17" s="60">
        <f>IFERROR(F17/J17-1,"n/a")</f>
        <v>-2.1000228117493913E-2</v>
      </c>
      <c r="O17" s="68">
        <f t="shared" si="2"/>
        <v>72958</v>
      </c>
      <c r="P17" s="68">
        <f t="shared" si="2"/>
        <v>21828</v>
      </c>
      <c r="Q17" s="68">
        <f t="shared" si="2"/>
        <v>0</v>
      </c>
      <c r="R17" s="68">
        <f t="shared" si="2"/>
        <v>64994</v>
      </c>
      <c r="S17" s="68">
        <f t="shared" si="2"/>
        <v>74523</v>
      </c>
      <c r="T17" s="64">
        <f>IFERROR(O17/P17-1,"n/a")</f>
        <v>2.3424042514201942</v>
      </c>
      <c r="U17" s="64" t="str">
        <f>IFERROR(O17/Q17-1,"n/a")</f>
        <v>n/a</v>
      </c>
      <c r="V17" s="64">
        <f>IFERROR(O17/R17-1,"n/a")</f>
        <v>0.1225343877896421</v>
      </c>
      <c r="W17" s="60">
        <f>IFERROR(O17/S17-1,"n/a")</f>
        <v>-2.1000228117493913E-2</v>
      </c>
      <c r="X17" s="68">
        <v>1843624</v>
      </c>
      <c r="Y17" s="68">
        <v>465109</v>
      </c>
      <c r="Z17" s="70">
        <v>140552</v>
      </c>
      <c r="AA17" s="78">
        <v>2552942</v>
      </c>
    </row>
    <row r="18" spans="1:51" ht="15">
      <c r="A18" s="9"/>
      <c r="B18" s="12"/>
      <c r="C18" s="31" t="s">
        <v>15</v>
      </c>
      <c r="D18" s="26"/>
      <c r="E18" s="32"/>
      <c r="F18" s="72"/>
      <c r="G18" s="72"/>
      <c r="H18" s="72"/>
      <c r="I18" s="72"/>
      <c r="J18" s="72"/>
      <c r="K18" s="64"/>
      <c r="L18" s="64"/>
      <c r="M18" s="64"/>
      <c r="N18" s="60"/>
      <c r="O18" s="87"/>
      <c r="P18" s="87"/>
      <c r="Q18" s="87"/>
      <c r="R18" s="87"/>
      <c r="S18" s="87"/>
      <c r="T18" s="64"/>
      <c r="U18" s="64"/>
      <c r="V18" s="64"/>
      <c r="W18" s="60"/>
      <c r="X18" s="43"/>
      <c r="Y18" s="43"/>
      <c r="Z18" s="44"/>
      <c r="AA18" s="79"/>
    </row>
    <row r="19" spans="1:51" ht="15">
      <c r="A19" s="9"/>
      <c r="B19" s="12"/>
      <c r="C19" s="33"/>
      <c r="D19" s="26" t="s">
        <v>5</v>
      </c>
      <c r="E19" s="32"/>
      <c r="F19" s="74">
        <v>4</v>
      </c>
      <c r="G19" s="71">
        <v>3</v>
      </c>
      <c r="H19" s="71">
        <v>0</v>
      </c>
      <c r="I19" s="71">
        <v>1</v>
      </c>
      <c r="J19" s="71">
        <v>0</v>
      </c>
      <c r="K19" s="64">
        <f>IFERROR(F19/G19-1,"n/a")</f>
        <v>0.33333333333333326</v>
      </c>
      <c r="L19" s="64" t="str">
        <f t="shared" si="0"/>
        <v>n/a</v>
      </c>
      <c r="M19" s="64">
        <f>IFERROR(F19/I19-1,"n/a")</f>
        <v>3</v>
      </c>
      <c r="N19" s="60" t="str">
        <f>IFERROR(F19/J19-1,"n/a")</f>
        <v>n/a</v>
      </c>
      <c r="O19" s="68">
        <f>F19</f>
        <v>4</v>
      </c>
      <c r="P19" s="68">
        <f t="shared" ref="P19:S20" si="3">G19</f>
        <v>3</v>
      </c>
      <c r="Q19" s="68">
        <f t="shared" si="3"/>
        <v>0</v>
      </c>
      <c r="R19" s="68">
        <f t="shared" si="3"/>
        <v>1</v>
      </c>
      <c r="S19" s="68">
        <f t="shared" si="3"/>
        <v>0</v>
      </c>
      <c r="T19" s="64">
        <f>IFERROR(O19/P19-1,"n/a")</f>
        <v>0.33333333333333326</v>
      </c>
      <c r="U19" s="64" t="str">
        <f>IFERROR(O19/Q19-1,"n/a")</f>
        <v>n/a</v>
      </c>
      <c r="V19" s="64">
        <f>IFERROR(O19/R19-1,"n/a")</f>
        <v>3</v>
      </c>
      <c r="W19" s="60" t="str">
        <f>IFERROR(O19/S19-1,"n/a")</f>
        <v>n/a</v>
      </c>
      <c r="X19" s="68">
        <v>475</v>
      </c>
      <c r="Y19" s="68">
        <v>23</v>
      </c>
      <c r="Z19" s="70">
        <v>4</v>
      </c>
      <c r="AA19" s="78">
        <v>191</v>
      </c>
    </row>
    <row r="20" spans="1:51" ht="15">
      <c r="A20" s="9"/>
      <c r="B20" s="12"/>
      <c r="C20" s="33"/>
      <c r="D20" s="26" t="s">
        <v>11</v>
      </c>
      <c r="E20" s="32"/>
      <c r="F20" s="74">
        <v>3235</v>
      </c>
      <c r="G20" s="71">
        <v>814</v>
      </c>
      <c r="H20" s="71">
        <v>0</v>
      </c>
      <c r="I20" s="71">
        <v>823</v>
      </c>
      <c r="J20" s="71">
        <v>0</v>
      </c>
      <c r="K20" s="64">
        <f>IFERROR(F20/G20-1,"n/a")</f>
        <v>2.9742014742014744</v>
      </c>
      <c r="L20" s="64" t="str">
        <f t="shared" si="0"/>
        <v>n/a</v>
      </c>
      <c r="M20" s="64">
        <f>IFERROR(F20/I20-1,"n/a")</f>
        <v>2.9307411907654921</v>
      </c>
      <c r="N20" s="60" t="str">
        <f t="shared" ref="N20:N31" si="4">IFERROR(F20/J20-1,"n/a")</f>
        <v>n/a</v>
      </c>
      <c r="O20" s="68">
        <f>F20</f>
        <v>3235</v>
      </c>
      <c r="P20" s="68">
        <f t="shared" si="3"/>
        <v>814</v>
      </c>
      <c r="Q20" s="68">
        <f t="shared" si="3"/>
        <v>0</v>
      </c>
      <c r="R20" s="68">
        <f t="shared" si="3"/>
        <v>823</v>
      </c>
      <c r="S20" s="68">
        <f t="shared" si="3"/>
        <v>0</v>
      </c>
      <c r="T20" s="64">
        <f>IFERROR(O20/P20-1,"n/a")</f>
        <v>2.9742014742014744</v>
      </c>
      <c r="U20" s="64" t="str">
        <f>IFERROR(O20/Q20-1,"n/a")</f>
        <v>n/a</v>
      </c>
      <c r="V20" s="64">
        <f>IFERROR(O20/R20-1,"n/a")</f>
        <v>2.9307411907654921</v>
      </c>
      <c r="W20" s="60" t="str">
        <f>IFERROR(O20/S20-1,"n/a")</f>
        <v>n/a</v>
      </c>
      <c r="X20" s="68">
        <v>561984</v>
      </c>
      <c r="Y20" s="68">
        <v>8611</v>
      </c>
      <c r="Z20" s="70">
        <v>1753</v>
      </c>
      <c r="AA20" s="78">
        <v>254421</v>
      </c>
    </row>
    <row r="21" spans="1:51" ht="15">
      <c r="A21" s="9"/>
      <c r="B21" s="12"/>
      <c r="C21" s="31" t="s">
        <v>10</v>
      </c>
      <c r="D21" s="26"/>
      <c r="E21" s="34"/>
      <c r="F21" s="72"/>
      <c r="G21" s="72"/>
      <c r="H21" s="72"/>
      <c r="I21" s="72"/>
      <c r="J21" s="72"/>
      <c r="K21" s="64"/>
      <c r="L21" s="64"/>
      <c r="M21" s="64"/>
      <c r="N21" s="60"/>
      <c r="O21" s="87"/>
      <c r="P21" s="87"/>
      <c r="Q21" s="87"/>
      <c r="R21" s="87"/>
      <c r="S21" s="87"/>
      <c r="T21" s="64"/>
      <c r="U21" s="64"/>
      <c r="V21" s="64"/>
      <c r="W21" s="60"/>
      <c r="X21" s="43"/>
      <c r="Y21" s="43"/>
      <c r="Z21" s="44"/>
      <c r="AA21" s="79"/>
    </row>
    <row r="22" spans="1:51" ht="15">
      <c r="A22" s="9"/>
      <c r="B22" s="12"/>
      <c r="C22" s="33"/>
      <c r="D22" s="26" t="s">
        <v>5</v>
      </c>
      <c r="E22" s="34"/>
      <c r="F22" s="74">
        <v>120</v>
      </c>
      <c r="G22" s="71">
        <v>100</v>
      </c>
      <c r="H22" s="71">
        <v>0</v>
      </c>
      <c r="I22" s="71">
        <v>126</v>
      </c>
      <c r="J22" s="71">
        <v>113</v>
      </c>
      <c r="K22" s="64">
        <f>IFERROR(F22/G22-1,"n/a")</f>
        <v>0.19999999999999996</v>
      </c>
      <c r="L22" s="64" t="str">
        <f t="shared" si="0"/>
        <v>n/a</v>
      </c>
      <c r="M22" s="64">
        <f>IFERROR(F22/I22-1,"n/a")</f>
        <v>-4.7619047619047672E-2</v>
      </c>
      <c r="N22" s="60">
        <f t="shared" si="4"/>
        <v>6.1946902654867353E-2</v>
      </c>
      <c r="O22" s="68">
        <f>F22</f>
        <v>120</v>
      </c>
      <c r="P22" s="68">
        <f t="shared" ref="P22:S23" si="5">G22</f>
        <v>100</v>
      </c>
      <c r="Q22" s="68">
        <f t="shared" si="5"/>
        <v>0</v>
      </c>
      <c r="R22" s="68">
        <f t="shared" si="5"/>
        <v>126</v>
      </c>
      <c r="S22" s="68">
        <f t="shared" si="5"/>
        <v>113</v>
      </c>
      <c r="T22" s="64">
        <f>IFERROR(O22/P22-1,"n/a")</f>
        <v>0.19999999999999996</v>
      </c>
      <c r="U22" s="64" t="str">
        <f>IFERROR(O22/Q22-1,"n/a")</f>
        <v>n/a</v>
      </c>
      <c r="V22" s="64">
        <f>IFERROR(O22/R22-1,"n/a")</f>
        <v>-4.7619047619047672E-2</v>
      </c>
      <c r="W22" s="60">
        <f>IFERROR(O22/S22-1,"n/a")</f>
        <v>6.1946902654867353E-2</v>
      </c>
      <c r="X22" s="68">
        <v>1140</v>
      </c>
      <c r="Y22" s="68">
        <v>411</v>
      </c>
      <c r="Z22" s="70">
        <v>406</v>
      </c>
      <c r="AA22" s="78">
        <v>1205</v>
      </c>
    </row>
    <row r="23" spans="1:51" ht="15">
      <c r="A23" s="9"/>
      <c r="B23" s="12"/>
      <c r="C23" s="33"/>
      <c r="D23" s="26" t="s">
        <v>11</v>
      </c>
      <c r="E23" s="32"/>
      <c r="F23" s="74">
        <v>406985</v>
      </c>
      <c r="G23" s="71">
        <v>144818</v>
      </c>
      <c r="H23" s="71">
        <v>0</v>
      </c>
      <c r="I23" s="71">
        <v>357284</v>
      </c>
      <c r="J23" s="71">
        <v>368396</v>
      </c>
      <c r="K23" s="64">
        <f>IFERROR(F23/G23-1,"n/a")</f>
        <v>1.8103205402643319</v>
      </c>
      <c r="L23" s="64" t="str">
        <f t="shared" si="0"/>
        <v>n/a</v>
      </c>
      <c r="M23" s="64">
        <f>IFERROR(F23/I23-1,"n/a")</f>
        <v>0.13910782458772286</v>
      </c>
      <c r="N23" s="60">
        <f t="shared" si="4"/>
        <v>0.10474869433978662</v>
      </c>
      <c r="O23" s="68">
        <f>F23</f>
        <v>406985</v>
      </c>
      <c r="P23" s="68">
        <f t="shared" si="5"/>
        <v>144818</v>
      </c>
      <c r="Q23" s="68">
        <f t="shared" si="5"/>
        <v>0</v>
      </c>
      <c r="R23" s="68">
        <f t="shared" si="5"/>
        <v>357284</v>
      </c>
      <c r="S23" s="68">
        <f t="shared" si="5"/>
        <v>368396</v>
      </c>
      <c r="T23" s="64">
        <f>IFERROR(O23/P23-1,"n/a")</f>
        <v>1.8103205402643319</v>
      </c>
      <c r="U23" s="64" t="str">
        <f>IFERROR(O23/Q23-1,"n/a")</f>
        <v>n/a</v>
      </c>
      <c r="V23" s="64">
        <f>IFERROR(O23/R23-1,"n/a")</f>
        <v>0.13910782458772286</v>
      </c>
      <c r="W23" s="60">
        <f>IFERROR(O23/S23-1,"n/a")</f>
        <v>0.10474869433978662</v>
      </c>
      <c r="X23" s="68">
        <v>3212646</v>
      </c>
      <c r="Y23" s="68">
        <v>687449</v>
      </c>
      <c r="Z23" s="70">
        <v>833999</v>
      </c>
      <c r="AA23" s="78">
        <v>3859183</v>
      </c>
    </row>
    <row r="24" spans="1:51" ht="15">
      <c r="A24" s="9"/>
      <c r="B24" s="12"/>
      <c r="C24" s="31" t="s">
        <v>16</v>
      </c>
      <c r="D24" s="26"/>
      <c r="E24" s="32"/>
      <c r="F24" s="72"/>
      <c r="G24" s="72"/>
      <c r="H24" s="72"/>
      <c r="I24" s="72"/>
      <c r="J24" s="72"/>
      <c r="K24" s="64"/>
      <c r="L24" s="64"/>
      <c r="M24" s="64"/>
      <c r="N24" s="60"/>
      <c r="O24" s="87"/>
      <c r="P24" s="87"/>
      <c r="Q24" s="87"/>
      <c r="R24" s="87"/>
      <c r="S24" s="87"/>
      <c r="T24" s="64"/>
      <c r="U24" s="64"/>
      <c r="V24" s="64"/>
      <c r="W24" s="60"/>
      <c r="X24" s="43"/>
      <c r="Y24" s="43"/>
      <c r="Z24" s="44"/>
      <c r="AA24" s="79"/>
    </row>
    <row r="25" spans="1:51" ht="15">
      <c r="A25" s="9"/>
      <c r="B25" s="12"/>
      <c r="C25" s="33"/>
      <c r="D25" s="26" t="s">
        <v>5</v>
      </c>
      <c r="E25" s="32"/>
      <c r="F25" s="74">
        <v>4</v>
      </c>
      <c r="G25" s="71">
        <v>3</v>
      </c>
      <c r="H25" s="71">
        <v>1</v>
      </c>
      <c r="I25" s="71">
        <v>5</v>
      </c>
      <c r="J25" s="71">
        <v>4</v>
      </c>
      <c r="K25" s="64">
        <f>IFERROR(F25/G25-1,"n/a")</f>
        <v>0.33333333333333326</v>
      </c>
      <c r="L25" s="64">
        <f t="shared" si="0"/>
        <v>3</v>
      </c>
      <c r="M25" s="64">
        <f>IFERROR(F25/I25-1,"n/a")</f>
        <v>-0.19999999999999996</v>
      </c>
      <c r="N25" s="60">
        <f t="shared" si="4"/>
        <v>0</v>
      </c>
      <c r="O25" s="68">
        <f>F25</f>
        <v>4</v>
      </c>
      <c r="P25" s="68">
        <f t="shared" ref="P25:S26" si="6">G25</f>
        <v>3</v>
      </c>
      <c r="Q25" s="68">
        <f t="shared" si="6"/>
        <v>1</v>
      </c>
      <c r="R25" s="68">
        <f t="shared" si="6"/>
        <v>5</v>
      </c>
      <c r="S25" s="68">
        <f t="shared" si="6"/>
        <v>4</v>
      </c>
      <c r="T25" s="64">
        <f>IFERROR(O25/P25-1,"n/a")</f>
        <v>0.33333333333333326</v>
      </c>
      <c r="U25" s="64">
        <f>IFERROR(O25/Q25-1,"n/a")</f>
        <v>3</v>
      </c>
      <c r="V25" s="64">
        <f>IFERROR(O25/R25-1,"n/a")</f>
        <v>-0.19999999999999996</v>
      </c>
      <c r="W25" s="60">
        <f>IFERROR(O25/S25-1,"n/a")</f>
        <v>0</v>
      </c>
      <c r="X25" s="68">
        <v>283</v>
      </c>
      <c r="Y25" s="68">
        <v>107</v>
      </c>
      <c r="Z25" s="70">
        <v>32</v>
      </c>
      <c r="AA25" s="78">
        <v>372</v>
      </c>
    </row>
    <row r="26" spans="1:51" ht="15">
      <c r="A26" s="9"/>
      <c r="B26" s="12"/>
      <c r="C26" s="33"/>
      <c r="D26" s="26" t="s">
        <v>11</v>
      </c>
      <c r="E26" s="32"/>
      <c r="F26" s="74">
        <v>14845</v>
      </c>
      <c r="G26" s="71">
        <v>1702</v>
      </c>
      <c r="H26" s="71">
        <v>644</v>
      </c>
      <c r="I26" s="71">
        <v>23141</v>
      </c>
      <c r="J26" s="71">
        <v>19715</v>
      </c>
      <c r="K26" s="64">
        <f>IFERROR(F26/G26-1,"n/a")</f>
        <v>7.7220916568742659</v>
      </c>
      <c r="L26" s="64">
        <f t="shared" si="0"/>
        <v>22.051242236024844</v>
      </c>
      <c r="M26" s="64">
        <f>IFERROR(F26/I26-1,"n/a")</f>
        <v>-0.35849790415280236</v>
      </c>
      <c r="N26" s="60">
        <f t="shared" si="4"/>
        <v>-0.24702003550595997</v>
      </c>
      <c r="O26" s="68">
        <f>F26</f>
        <v>14845</v>
      </c>
      <c r="P26" s="68">
        <f t="shared" si="6"/>
        <v>1702</v>
      </c>
      <c r="Q26" s="68">
        <f t="shared" si="6"/>
        <v>644</v>
      </c>
      <c r="R26" s="68">
        <f t="shared" si="6"/>
        <v>23141</v>
      </c>
      <c r="S26" s="68">
        <f t="shared" si="6"/>
        <v>19715</v>
      </c>
      <c r="T26" s="64">
        <f>IFERROR(O26/P26-1,"n/a")</f>
        <v>7.7220916568742659</v>
      </c>
      <c r="U26" s="64">
        <f>IFERROR(O26/Q26-1,"n/a")</f>
        <v>22.051242236024844</v>
      </c>
      <c r="V26" s="64">
        <f>IFERROR(O26/R26-1,"n/a")</f>
        <v>-0.35849790415280236</v>
      </c>
      <c r="W26" s="60">
        <f>IFERROR(O26/S26-1,"n/a")</f>
        <v>-0.24702003550595997</v>
      </c>
      <c r="X26" s="68">
        <v>530405</v>
      </c>
      <c r="Y26" s="68">
        <v>147132</v>
      </c>
      <c r="Z26" s="70">
        <v>59180</v>
      </c>
      <c r="AA26" s="78">
        <v>902015</v>
      </c>
    </row>
    <row r="27" spans="1:51" ht="15">
      <c r="A27" s="9"/>
      <c r="B27" s="12"/>
      <c r="C27" s="31" t="s">
        <v>17</v>
      </c>
      <c r="D27" s="26"/>
      <c r="E27" s="32"/>
      <c r="F27" s="72"/>
      <c r="G27" s="72"/>
      <c r="H27" s="72"/>
      <c r="I27" s="72"/>
      <c r="J27" s="72"/>
      <c r="K27" s="64"/>
      <c r="L27" s="64"/>
      <c r="M27" s="64"/>
      <c r="N27" s="60"/>
      <c r="O27" s="87"/>
      <c r="P27" s="87"/>
      <c r="Q27" s="87"/>
      <c r="R27" s="87"/>
      <c r="S27" s="87"/>
      <c r="T27" s="64"/>
      <c r="U27" s="64"/>
      <c r="V27" s="64"/>
      <c r="W27" s="60"/>
      <c r="X27" s="43"/>
      <c r="Y27" s="43"/>
      <c r="Z27" s="44"/>
      <c r="AA27" s="79"/>
    </row>
    <row r="28" spans="1:51" ht="15">
      <c r="B28" s="12"/>
      <c r="C28" s="33"/>
      <c r="D28" s="26" t="s">
        <v>5</v>
      </c>
      <c r="E28" s="32"/>
      <c r="F28" s="74">
        <f>1+45+38</f>
        <v>84</v>
      </c>
      <c r="G28" s="71">
        <v>0</v>
      </c>
      <c r="H28" s="71">
        <v>1</v>
      </c>
      <c r="I28" s="71">
        <v>0</v>
      </c>
      <c r="J28" s="71">
        <v>1</v>
      </c>
      <c r="K28" s="64" t="str">
        <f>IFERROR(F28/G28-1,"n/a")</f>
        <v>n/a</v>
      </c>
      <c r="L28" s="64">
        <f t="shared" si="0"/>
        <v>83</v>
      </c>
      <c r="M28" s="64" t="str">
        <f>IFERROR(F28/I28-1,"n/a")</f>
        <v>n/a</v>
      </c>
      <c r="N28" s="60">
        <f t="shared" si="4"/>
        <v>83</v>
      </c>
      <c r="O28" s="68">
        <f>F28</f>
        <v>84</v>
      </c>
      <c r="P28" s="68">
        <f t="shared" ref="P28:S29" si="7">G28</f>
        <v>0</v>
      </c>
      <c r="Q28" s="68">
        <f t="shared" si="7"/>
        <v>1</v>
      </c>
      <c r="R28" s="68">
        <f t="shared" si="7"/>
        <v>0</v>
      </c>
      <c r="S28" s="68">
        <f t="shared" si="7"/>
        <v>1</v>
      </c>
      <c r="T28" s="64" t="str">
        <f>IFERROR(O28/P28-1,"n/a")</f>
        <v>n/a</v>
      </c>
      <c r="U28" s="64">
        <f>IFERROR(O28/Q28-1,"n/a")</f>
        <v>83</v>
      </c>
      <c r="V28" s="64" t="str">
        <f>IFERROR(O28/R28-1,"n/a")</f>
        <v>n/a</v>
      </c>
      <c r="W28" s="60">
        <f>IFERROR(O28/S28-1,"n/a")</f>
        <v>83</v>
      </c>
      <c r="X28" s="68">
        <v>605</v>
      </c>
      <c r="Y28" s="68">
        <v>127</v>
      </c>
      <c r="Z28" s="70">
        <v>37</v>
      </c>
      <c r="AA28" s="78">
        <f>282+81</f>
        <v>363</v>
      </c>
    </row>
    <row r="29" spans="1:51" ht="15">
      <c r="A29" s="9"/>
      <c r="B29" s="12"/>
      <c r="C29" s="33"/>
      <c r="D29" s="26" t="s">
        <v>11</v>
      </c>
      <c r="E29" s="32"/>
      <c r="F29" s="74">
        <f>954+148792+625+69047</f>
        <v>219418</v>
      </c>
      <c r="G29" s="71">
        <v>0</v>
      </c>
      <c r="H29" s="71">
        <v>644</v>
      </c>
      <c r="I29" s="71">
        <v>0</v>
      </c>
      <c r="J29" s="71">
        <v>1352</v>
      </c>
      <c r="K29" s="64" t="str">
        <f>IFERROR(F29/G29-1,"n/a")</f>
        <v>n/a</v>
      </c>
      <c r="L29" s="64">
        <f t="shared" si="0"/>
        <v>339.71118012422357</v>
      </c>
      <c r="M29" s="64" t="str">
        <f>IFERROR(F29/I29-1,"n/a")</f>
        <v>n/a</v>
      </c>
      <c r="N29" s="60">
        <f t="shared" si="4"/>
        <v>161.29142011834318</v>
      </c>
      <c r="O29" s="68">
        <f>F29</f>
        <v>219418</v>
      </c>
      <c r="P29" s="68">
        <f t="shared" si="7"/>
        <v>0</v>
      </c>
      <c r="Q29" s="68">
        <f t="shared" si="7"/>
        <v>644</v>
      </c>
      <c r="R29" s="68">
        <f t="shared" si="7"/>
        <v>0</v>
      </c>
      <c r="S29" s="68">
        <f t="shared" si="7"/>
        <v>1352</v>
      </c>
      <c r="T29" s="64" t="str">
        <f>IFERROR(O29/P29-1,"n/a")</f>
        <v>n/a</v>
      </c>
      <c r="U29" s="64">
        <f>IFERROR(O29/Q29-1,"n/a")</f>
        <v>339.71118012422357</v>
      </c>
      <c r="V29" s="64" t="str">
        <f>IFERROR(O29/R29-1,"n/a")</f>
        <v>n/a</v>
      </c>
      <c r="W29" s="60">
        <f>IFERROR(O29/S29-1,"n/a")</f>
        <v>161.29142011834318</v>
      </c>
      <c r="X29" s="68">
        <v>1098243</v>
      </c>
      <c r="Y29" s="68">
        <v>165083</v>
      </c>
      <c r="Z29" s="70">
        <f>20768+8294</f>
        <v>29062</v>
      </c>
      <c r="AA29" s="78">
        <f>659951+168729+38484</f>
        <v>867164</v>
      </c>
    </row>
    <row r="30" spans="1:51" ht="15" customHeight="1" thickBot="1">
      <c r="A30" s="9"/>
      <c r="B30" s="12"/>
      <c r="C30" s="35" t="s">
        <v>12</v>
      </c>
      <c r="D30" s="36"/>
      <c r="E30" s="37"/>
      <c r="F30" s="75">
        <f t="shared" ref="F30:J31" si="8">F13+F16+F19+F22+F25+F28</f>
        <v>303</v>
      </c>
      <c r="G30" s="75">
        <f>G13+G16+G19+G22+G25+G28</f>
        <v>186</v>
      </c>
      <c r="H30" s="75">
        <f>H13+H16+H19+H22+H25+H28</f>
        <v>2</v>
      </c>
      <c r="I30" s="75">
        <f t="shared" si="8"/>
        <v>212</v>
      </c>
      <c r="J30" s="75">
        <f t="shared" si="8"/>
        <v>218</v>
      </c>
      <c r="K30" s="66">
        <f>IFERROR(F30/G30-1,"n/a")</f>
        <v>0.62903225806451624</v>
      </c>
      <c r="L30" s="66">
        <f t="shared" si="0"/>
        <v>150.5</v>
      </c>
      <c r="M30" s="66">
        <f>IFERROR(F30/I30-1,"n/a")</f>
        <v>0.429245283018868</v>
      </c>
      <c r="N30" s="62">
        <f t="shared" si="4"/>
        <v>0.38990825688073394</v>
      </c>
      <c r="O30" s="46">
        <f t="shared" ref="O30:S31" si="9">O13+O16+O19+O22+O25+O28</f>
        <v>303</v>
      </c>
      <c r="P30" s="46">
        <f>P13+P16+P19+P22+P25+P28</f>
        <v>186</v>
      </c>
      <c r="Q30" s="46">
        <f t="shared" si="9"/>
        <v>2</v>
      </c>
      <c r="R30" s="46">
        <f t="shared" si="9"/>
        <v>212</v>
      </c>
      <c r="S30" s="46">
        <f t="shared" si="9"/>
        <v>218</v>
      </c>
      <c r="T30" s="66">
        <f>IFERROR(O30/P30-1,"n/a")</f>
        <v>0.62903225806451624</v>
      </c>
      <c r="U30" s="66">
        <f>IFERROR(O30/Q30-1,"n/a")</f>
        <v>150.5</v>
      </c>
      <c r="V30" s="66">
        <f>IFERROR(O30/R30-1,"n/a")</f>
        <v>0.429245283018868</v>
      </c>
      <c r="W30" s="62">
        <f>IFERROR(O30/S30-1,"n/a")</f>
        <v>0.38990825688073394</v>
      </c>
      <c r="X30" s="46">
        <f t="shared" ref="X30:AA31" si="10">X13+X16+X19+X22+X25+X28</f>
        <v>3627</v>
      </c>
      <c r="Y30" s="46">
        <f>Y13+Y16+Y19+Y22+Y25+Y28</f>
        <v>1062</v>
      </c>
      <c r="Z30" s="46">
        <f t="shared" si="10"/>
        <v>667</v>
      </c>
      <c r="AA30" s="80">
        <f t="shared" si="10"/>
        <v>3344</v>
      </c>
    </row>
    <row r="31" spans="1:51" s="22" customFormat="1" ht="15" customHeight="1" thickTop="1" thickBot="1">
      <c r="A31" s="9"/>
      <c r="B31" s="12"/>
      <c r="C31" s="38" t="s">
        <v>13</v>
      </c>
      <c r="D31" s="39"/>
      <c r="E31" s="40"/>
      <c r="F31" s="76">
        <f t="shared" si="8"/>
        <v>833405</v>
      </c>
      <c r="G31" s="76">
        <f>G14+G17+G20+G23+G26+G29</f>
        <v>219956</v>
      </c>
      <c r="H31" s="76">
        <f t="shared" si="8"/>
        <v>1288</v>
      </c>
      <c r="I31" s="76">
        <f t="shared" si="8"/>
        <v>555038</v>
      </c>
      <c r="J31" s="76">
        <f t="shared" si="8"/>
        <v>620852</v>
      </c>
      <c r="K31" s="67">
        <f>IFERROR(F31/G31-1,"n/a")</f>
        <v>2.78896233792213</v>
      </c>
      <c r="L31" s="67">
        <f t="shared" si="0"/>
        <v>646.05357142857144</v>
      </c>
      <c r="M31" s="67">
        <f>IFERROR(F31/I31-1,"n/a")</f>
        <v>0.50152782332020518</v>
      </c>
      <c r="N31" s="63">
        <f t="shared" si="4"/>
        <v>0.34235695463653171</v>
      </c>
      <c r="O31" s="47">
        <f t="shared" si="9"/>
        <v>833405</v>
      </c>
      <c r="P31" s="47">
        <f>P14+P17+P20+P23+P26+P29</f>
        <v>219956</v>
      </c>
      <c r="Q31" s="47">
        <f t="shared" si="9"/>
        <v>1288</v>
      </c>
      <c r="R31" s="47">
        <f t="shared" si="9"/>
        <v>555038</v>
      </c>
      <c r="S31" s="47">
        <f t="shared" si="9"/>
        <v>620852</v>
      </c>
      <c r="T31" s="67">
        <f>IFERROR(O31/P31-1,"n/a")</f>
        <v>2.78896233792213</v>
      </c>
      <c r="U31" s="67">
        <f>IFERROR(O31/Q31-1,"n/a")</f>
        <v>646.05357142857144</v>
      </c>
      <c r="V31" s="67">
        <f>IFERROR(O31/R31-1,"n/a")</f>
        <v>0.50152782332020518</v>
      </c>
      <c r="W31" s="63">
        <f>IFERROR(O31/S31-1,"n/a")</f>
        <v>0.34235695463653171</v>
      </c>
      <c r="X31" s="47">
        <f t="shared" si="10"/>
        <v>7627084</v>
      </c>
      <c r="Y31" s="47">
        <f>Y14+Y17+Y20+Y23+Y26+Y29</f>
        <v>1554247</v>
      </c>
      <c r="Z31" s="47">
        <f t="shared" si="10"/>
        <v>1323431</v>
      </c>
      <c r="AA31" s="81">
        <f t="shared" si="10"/>
        <v>9169021</v>
      </c>
      <c r="AB31" s="9"/>
      <c r="AC31" s="21"/>
      <c r="AD31" s="21"/>
      <c r="AE31" s="21"/>
      <c r="AF31" s="21"/>
      <c r="AG31" s="21"/>
      <c r="AH31" s="21"/>
      <c r="AI31" s="21"/>
      <c r="AJ31" s="21"/>
      <c r="AK31" s="21"/>
      <c r="AL31" s="21"/>
      <c r="AM31" s="21"/>
      <c r="AN31" s="21"/>
      <c r="AO31" s="21"/>
      <c r="AP31" s="21"/>
      <c r="AQ31" s="21"/>
    </row>
    <row r="32" spans="1:51" s="9" customFormat="1" ht="15" customHeight="1" thickTop="1">
      <c r="F32" s="41"/>
      <c r="G32" s="41"/>
      <c r="H32" s="41"/>
      <c r="I32" s="41"/>
      <c r="J32" s="41"/>
      <c r="K32" s="41"/>
      <c r="L32" s="41"/>
      <c r="M32" s="41"/>
      <c r="AR32"/>
      <c r="AS32"/>
      <c r="AT32"/>
      <c r="AU32"/>
      <c r="AV32"/>
      <c r="AW32"/>
      <c r="AX32"/>
      <c r="AY32"/>
    </row>
    <row r="33" spans="2:51" s="9" customFormat="1" ht="23.1" customHeight="1">
      <c r="F33" s="41"/>
      <c r="G33" s="41"/>
      <c r="H33" s="41"/>
      <c r="I33" s="41"/>
      <c r="J33" s="41"/>
      <c r="K33" s="41"/>
      <c r="L33" s="41"/>
      <c r="M33" s="41"/>
      <c r="AR33"/>
      <c r="AS33"/>
      <c r="AT33"/>
      <c r="AU33"/>
      <c r="AV33"/>
      <c r="AW33"/>
      <c r="AX33"/>
      <c r="AY33"/>
    </row>
    <row r="34" spans="2:51" s="9" customFormat="1" ht="15">
      <c r="B34" s="10"/>
      <c r="C34" s="86" t="s">
        <v>63</v>
      </c>
      <c r="D34" s="24"/>
      <c r="E34" s="24"/>
      <c r="F34" s="24"/>
      <c r="G34" s="24"/>
      <c r="H34" s="24"/>
      <c r="I34" s="24"/>
      <c r="J34" s="95"/>
      <c r="K34" s="95"/>
      <c r="L34" s="95"/>
      <c r="M34" s="95"/>
      <c r="N34" s="24"/>
      <c r="O34" s="24"/>
      <c r="P34" s="24"/>
      <c r="Q34" s="24"/>
      <c r="R34" s="24"/>
      <c r="S34" s="24"/>
      <c r="T34" s="24"/>
      <c r="U34" s="24"/>
      <c r="V34" s="24"/>
      <c r="W34" s="24"/>
      <c r="X34" s="24"/>
      <c r="Y34" s="24"/>
      <c r="Z34" s="24"/>
      <c r="AA34" s="24"/>
      <c r="AR34"/>
      <c r="AS34"/>
      <c r="AT34"/>
      <c r="AU34"/>
      <c r="AV34"/>
      <c r="AW34"/>
      <c r="AX34"/>
      <c r="AY34"/>
    </row>
    <row r="35" spans="2:51" s="9" customFormat="1" ht="15">
      <c r="B35" s="10"/>
      <c r="C35" s="24"/>
      <c r="D35" s="24"/>
      <c r="E35" s="24"/>
      <c r="F35" s="24"/>
      <c r="G35" s="24"/>
      <c r="H35" s="24"/>
      <c r="I35" s="24"/>
      <c r="J35" s="95"/>
      <c r="K35" s="95"/>
      <c r="L35" s="95"/>
      <c r="M35" s="95"/>
      <c r="N35" s="24"/>
      <c r="O35" s="24"/>
      <c r="P35" s="24"/>
      <c r="Q35" s="24"/>
      <c r="R35" s="24"/>
      <c r="S35" s="24"/>
      <c r="T35" s="24"/>
      <c r="U35" s="24"/>
      <c r="V35" s="24"/>
      <c r="W35" s="24"/>
      <c r="X35" s="24"/>
      <c r="Y35" s="24"/>
      <c r="Z35" s="24"/>
      <c r="AA35" s="24"/>
      <c r="AR35"/>
      <c r="AS35"/>
      <c r="AT35"/>
      <c r="AU35"/>
      <c r="AV35"/>
      <c r="AW35"/>
      <c r="AX35"/>
      <c r="AY35"/>
    </row>
    <row r="36" spans="2:51" s="9" customFormat="1" ht="15" customHeight="1">
      <c r="C36" s="27" t="s">
        <v>7</v>
      </c>
      <c r="D36" s="28"/>
      <c r="E36" s="28"/>
      <c r="F36" s="158" t="str">
        <f>F9</f>
        <v>January</v>
      </c>
      <c r="G36" s="158"/>
      <c r="H36" s="158"/>
      <c r="I36" s="158"/>
      <c r="J36" s="158"/>
      <c r="K36" s="158"/>
      <c r="L36" s="158"/>
      <c r="M36" s="158"/>
      <c r="N36" s="159"/>
      <c r="O36" s="157" t="s">
        <v>100</v>
      </c>
      <c r="P36" s="158"/>
      <c r="Q36" s="158"/>
      <c r="R36" s="158"/>
      <c r="S36" s="158"/>
      <c r="T36" s="158"/>
      <c r="U36" s="158"/>
      <c r="V36" s="158"/>
      <c r="W36" s="159"/>
      <c r="X36" s="157" t="s">
        <v>58</v>
      </c>
      <c r="Y36" s="158"/>
      <c r="Z36" s="158"/>
      <c r="AA36" s="160"/>
      <c r="AR36"/>
      <c r="AS36"/>
      <c r="AT36"/>
      <c r="AU36"/>
      <c r="AV36"/>
      <c r="AW36"/>
      <c r="AX36"/>
      <c r="AY36"/>
    </row>
    <row r="37" spans="2:51" s="9" customFormat="1" ht="15" customHeight="1">
      <c r="C37" s="29"/>
      <c r="D37" s="30"/>
      <c r="E37" s="30"/>
      <c r="F37" s="29"/>
      <c r="G37" s="30"/>
      <c r="H37" s="30"/>
      <c r="I37" s="30"/>
      <c r="J37" s="30"/>
      <c r="K37" s="30"/>
      <c r="L37" s="30"/>
      <c r="M37" s="30"/>
      <c r="N37" s="56"/>
      <c r="O37" s="30"/>
      <c r="P37" s="30"/>
      <c r="Q37" s="30"/>
      <c r="R37" s="30"/>
      <c r="S37" s="30"/>
      <c r="T37" s="30"/>
      <c r="U37" s="30"/>
      <c r="V37" s="30"/>
      <c r="W37" s="56"/>
      <c r="X37" s="30"/>
      <c r="Y37" s="30"/>
      <c r="Z37" s="30"/>
      <c r="AA37" s="56"/>
      <c r="AR37"/>
      <c r="AS37"/>
      <c r="AT37"/>
      <c r="AU37"/>
      <c r="AV37"/>
      <c r="AW37"/>
      <c r="AX37"/>
      <c r="AY37"/>
    </row>
    <row r="38" spans="2:51" s="9" customFormat="1" ht="33.6" customHeight="1">
      <c r="C38" s="59" t="s">
        <v>29</v>
      </c>
      <c r="D38" s="50"/>
      <c r="E38" s="51"/>
      <c r="F38" s="55">
        <v>2023</v>
      </c>
      <c r="G38" s="52">
        <v>2022</v>
      </c>
      <c r="H38" s="52">
        <v>2021</v>
      </c>
      <c r="I38" s="52">
        <v>2020</v>
      </c>
      <c r="J38" s="52">
        <v>2019</v>
      </c>
      <c r="K38" s="53" t="s">
        <v>66</v>
      </c>
      <c r="L38" s="53" t="s">
        <v>67</v>
      </c>
      <c r="M38" s="53" t="s">
        <v>68</v>
      </c>
      <c r="N38" s="57" t="s">
        <v>101</v>
      </c>
      <c r="O38" s="53"/>
      <c r="P38" s="53" t="s">
        <v>53</v>
      </c>
      <c r="Q38" s="52" t="s">
        <v>54</v>
      </c>
      <c r="R38" s="52" t="s">
        <v>59</v>
      </c>
      <c r="S38" s="52" t="s">
        <v>64</v>
      </c>
      <c r="T38" s="52"/>
      <c r="U38" s="53" t="s">
        <v>66</v>
      </c>
      <c r="V38" s="53" t="s">
        <v>67</v>
      </c>
      <c r="W38" s="57" t="s">
        <v>68</v>
      </c>
      <c r="X38" s="53"/>
      <c r="Y38" s="53" t="s">
        <v>54</v>
      </c>
      <c r="Z38" s="53" t="s">
        <v>65</v>
      </c>
      <c r="AA38" s="57" t="s">
        <v>73</v>
      </c>
    </row>
    <row r="39" spans="2:51" s="9" customFormat="1" ht="15" customHeight="1">
      <c r="C39" s="31" t="s">
        <v>14</v>
      </c>
      <c r="D39" s="26"/>
      <c r="E39" s="32"/>
      <c r="F39" s="26"/>
      <c r="G39" s="26"/>
      <c r="H39" s="26"/>
      <c r="I39" s="26"/>
      <c r="J39" s="26"/>
      <c r="K39" s="26"/>
      <c r="L39" s="26"/>
      <c r="M39" s="26"/>
      <c r="N39" s="32"/>
      <c r="O39" s="26"/>
      <c r="P39" s="26"/>
      <c r="Q39" s="26"/>
      <c r="R39" s="26"/>
      <c r="T39" s="26"/>
      <c r="V39" s="26"/>
      <c r="W39" s="32"/>
      <c r="X39" s="33"/>
      <c r="Y39" s="26"/>
      <c r="Z39" s="88"/>
      <c r="AA39" s="85"/>
    </row>
    <row r="40" spans="2:51" s="9" customFormat="1" ht="15" customHeight="1">
      <c r="C40" s="33"/>
      <c r="D40" s="26" t="s">
        <v>5</v>
      </c>
      <c r="E40" s="32"/>
      <c r="F40" s="74">
        <f t="shared" ref="F40:J41" si="11">F13</f>
        <v>68</v>
      </c>
      <c r="G40" s="74">
        <f>G13</f>
        <v>64</v>
      </c>
      <c r="H40" s="74">
        <f t="shared" si="11"/>
        <v>0</v>
      </c>
      <c r="I40" s="74">
        <f t="shared" si="11"/>
        <v>61</v>
      </c>
      <c r="J40" s="74">
        <f t="shared" si="11"/>
        <v>76</v>
      </c>
      <c r="K40" s="64">
        <f>IFERROR(F40/G40-1,"n/a")</f>
        <v>6.25E-2</v>
      </c>
      <c r="L40" s="64" t="str">
        <f>IFERROR(F40/H40-1,"n/a")</f>
        <v>n/a</v>
      </c>
      <c r="M40" s="64">
        <f>IFERROR(F40/I40-1,"n/a")</f>
        <v>0.11475409836065564</v>
      </c>
      <c r="N40" s="60">
        <f>IFERROR(F40/J40-1,"n/a")</f>
        <v>-0.10526315789473684</v>
      </c>
      <c r="O40" s="108"/>
      <c r="P40" s="70">
        <f>+O13-'Mar-22'!M10+'Dec-22'!M13</f>
        <v>217</v>
      </c>
      <c r="Q40" s="70">
        <f>+P13-'Mar-22'!N10+'Dec-22'!N13</f>
        <v>175</v>
      </c>
      <c r="R40" s="82">
        <f>+Q13-'Mar-22'!O10+'Dec-22'!O13</f>
        <v>0</v>
      </c>
      <c r="S40" s="70">
        <f>+R13-'Mar-22'!P10+'Dec-22'!P13</f>
        <v>247</v>
      </c>
      <c r="T40" s="108"/>
      <c r="U40" s="64">
        <f>IFERROR(P40/Q40-1,"n/a")</f>
        <v>0.24</v>
      </c>
      <c r="V40" s="64" t="str">
        <f>IFERROR(P40/R40-1,"n/a")</f>
        <v>n/a</v>
      </c>
      <c r="W40" s="60">
        <f>IFERROR(P40/S40-1,"n/a")</f>
        <v>-0.12145748987854255</v>
      </c>
      <c r="X40" s="89"/>
      <c r="Y40" s="89">
        <v>308</v>
      </c>
      <c r="Z40" s="70">
        <v>145</v>
      </c>
      <c r="AA40" s="78">
        <v>331</v>
      </c>
    </row>
    <row r="41" spans="2:51" s="9" customFormat="1" ht="15" customHeight="1">
      <c r="C41" s="33"/>
      <c r="D41" s="26" t="s">
        <v>11</v>
      </c>
      <c r="E41" s="32"/>
      <c r="F41" s="74">
        <f t="shared" si="11"/>
        <v>115964</v>
      </c>
      <c r="G41" s="74">
        <f>G14</f>
        <v>50794</v>
      </c>
      <c r="H41" s="74">
        <f t="shared" si="11"/>
        <v>0</v>
      </c>
      <c r="I41" s="74">
        <f t="shared" si="11"/>
        <v>108796</v>
      </c>
      <c r="J41" s="74">
        <f t="shared" si="11"/>
        <v>156866</v>
      </c>
      <c r="K41" s="64">
        <f>IFERROR(F41/G41-1,"n/a")</f>
        <v>1.2830255541993147</v>
      </c>
      <c r="L41" s="64" t="str">
        <f>IFERROR(F41/H41-1,"n/a")</f>
        <v>n/a</v>
      </c>
      <c r="M41" s="64">
        <f>IFERROR(F41/I41-1,"n/a")</f>
        <v>6.5884775175558019E-2</v>
      </c>
      <c r="N41" s="60">
        <f>IFERROR(F41/J41-1,"n/a")</f>
        <v>-0.2607448395445795</v>
      </c>
      <c r="O41" s="109"/>
      <c r="P41" s="70">
        <f>+O14-'Mar-22'!M11+'Dec-22'!M14</f>
        <v>339818</v>
      </c>
      <c r="Q41" s="82">
        <f>+P14-'Mar-22'!N11+'Dec-22'!N14</f>
        <v>131657</v>
      </c>
      <c r="R41" s="82">
        <f>+Q14-'Mar-22'!O11+'Dec-22'!O14</f>
        <v>0</v>
      </c>
      <c r="S41" s="82">
        <f>+R14-'Mar-22'!P11+'Dec-22'!P14</f>
        <v>456712</v>
      </c>
      <c r="T41" s="109"/>
      <c r="U41" s="64">
        <f>IFERROR(P41/Q41-1,"n/a")</f>
        <v>1.5810856999627823</v>
      </c>
      <c r="V41" s="64" t="str">
        <f>IFERROR(P41/R41-1,"n/a")</f>
        <v>n/a</v>
      </c>
      <c r="W41" s="60">
        <f>IFERROR(P41/S41-1,"n/a")</f>
        <v>-0.25594685491075342</v>
      </c>
      <c r="X41" s="89"/>
      <c r="Y41" s="89">
        <v>237191</v>
      </c>
      <c r="Z41" s="84">
        <v>258885</v>
      </c>
      <c r="AA41" s="78">
        <v>606801</v>
      </c>
    </row>
    <row r="42" spans="2:51" s="9" customFormat="1" ht="15" customHeight="1">
      <c r="C42" s="31" t="s">
        <v>74</v>
      </c>
      <c r="D42" s="26"/>
      <c r="E42" s="32"/>
      <c r="F42" s="26"/>
      <c r="G42" s="26"/>
      <c r="H42" s="26"/>
      <c r="I42" s="26"/>
      <c r="J42" s="26"/>
      <c r="K42" s="64"/>
      <c r="L42" s="64"/>
      <c r="M42" s="64"/>
      <c r="N42" s="61"/>
      <c r="O42" s="110"/>
      <c r="P42" s="87"/>
      <c r="Q42" s="87"/>
      <c r="R42" s="87"/>
      <c r="S42" s="87"/>
      <c r="T42" s="110"/>
      <c r="U42" s="65"/>
      <c r="V42" s="65"/>
      <c r="W42" s="61"/>
      <c r="X42" s="90"/>
      <c r="Y42" s="90"/>
      <c r="Z42" s="44"/>
      <c r="AA42" s="79"/>
    </row>
    <row r="43" spans="2:51" s="9" customFormat="1" ht="15" customHeight="1">
      <c r="C43" s="33"/>
      <c r="D43" s="26" t="s">
        <v>5</v>
      </c>
      <c r="E43" s="32"/>
      <c r="F43" s="74">
        <f t="shared" ref="F43:J44" si="12">F16</f>
        <v>23</v>
      </c>
      <c r="G43" s="74">
        <f>G16</f>
        <v>16</v>
      </c>
      <c r="H43" s="74">
        <f t="shared" si="12"/>
        <v>0</v>
      </c>
      <c r="I43" s="74">
        <f t="shared" si="12"/>
        <v>19</v>
      </c>
      <c r="J43" s="74">
        <f t="shared" si="12"/>
        <v>24</v>
      </c>
      <c r="K43" s="64">
        <f>IFERROR(F43/G43-1,"n/a")</f>
        <v>0.4375</v>
      </c>
      <c r="L43" s="64" t="str">
        <f>IFERROR(F43/H43-1,"n/a")</f>
        <v>n/a</v>
      </c>
      <c r="M43" s="64">
        <f>IFERROR(F43/I43-1,"n/a")</f>
        <v>0.21052631578947367</v>
      </c>
      <c r="N43" s="60">
        <f>IFERROR(F43/J43-1,"n/a")</f>
        <v>-4.166666666666663E-2</v>
      </c>
      <c r="O43" s="108"/>
      <c r="P43" s="70">
        <f>+O16-'Mar-22'!M13+'Dec-22'!M16</f>
        <v>748</v>
      </c>
      <c r="Q43" s="70">
        <f>+P16-'Mar-22'!N13+'Dec-22'!N16</f>
        <v>299</v>
      </c>
      <c r="R43" s="70">
        <f>+Q16-'Mar-22'!O13+'Dec-22'!O16</f>
        <v>0</v>
      </c>
      <c r="S43" s="70">
        <f>+R16-'Mar-22'!P13+'Dec-22'!P16</f>
        <v>757</v>
      </c>
      <c r="T43" s="108"/>
      <c r="U43" s="64">
        <f>IFERROR(P43/Q43-1,"n/a")</f>
        <v>1.5016722408026757</v>
      </c>
      <c r="V43" s="64" t="str">
        <f>IFERROR(P43/R43-1,"n/a")</f>
        <v>n/a</v>
      </c>
      <c r="W43" s="60">
        <f>IFERROR(P43/S43-1,"n/a")</f>
        <v>-1.1889035667106973E-2</v>
      </c>
      <c r="X43" s="89"/>
      <c r="Y43" s="89">
        <v>336</v>
      </c>
      <c r="Z43" s="70">
        <v>43</v>
      </c>
      <c r="AA43" s="78">
        <v>781</v>
      </c>
    </row>
    <row r="44" spans="2:51" s="9" customFormat="1" ht="15" customHeight="1">
      <c r="C44" s="33"/>
      <c r="D44" s="26" t="s">
        <v>11</v>
      </c>
      <c r="E44" s="32"/>
      <c r="F44" s="74">
        <f t="shared" si="12"/>
        <v>72958</v>
      </c>
      <c r="G44" s="74">
        <f>G17</f>
        <v>21828</v>
      </c>
      <c r="H44" s="74">
        <f t="shared" si="12"/>
        <v>0</v>
      </c>
      <c r="I44" s="74">
        <f t="shared" si="12"/>
        <v>64994</v>
      </c>
      <c r="J44" s="74">
        <f t="shared" si="12"/>
        <v>74523</v>
      </c>
      <c r="K44" s="64">
        <f>IFERROR(F44/G44-1,"n/a")</f>
        <v>2.3424042514201942</v>
      </c>
      <c r="L44" s="64" t="str">
        <f>IFERROR(F44/H44-1,"n/a")</f>
        <v>n/a</v>
      </c>
      <c r="M44" s="64">
        <f>IFERROR(F44/I44-1,"n/a")</f>
        <v>0.1225343877896421</v>
      </c>
      <c r="N44" s="60">
        <f>IFERROR(F44/J44-1,"n/a")</f>
        <v>-2.1000228117493913E-2</v>
      </c>
      <c r="O44" s="109"/>
      <c r="P44" s="70">
        <f>+O17-'Mar-22'!M14+'Dec-22'!M17</f>
        <v>1848128</v>
      </c>
      <c r="Q44" s="70">
        <f>+P17-'Mar-22'!N14+'Dec-22'!N17</f>
        <v>486937</v>
      </c>
      <c r="R44" s="70">
        <f>+Q17-'Mar-22'!O14+'Dec-22'!O17</f>
        <v>0</v>
      </c>
      <c r="S44" s="70">
        <f>+R17-'Mar-22'!P14+'Dec-22'!P17</f>
        <v>2366036</v>
      </c>
      <c r="T44" s="108"/>
      <c r="U44" s="64">
        <f>IFERROR(P44/Q44-1,"n/a")</f>
        <v>2.7954150126197024</v>
      </c>
      <c r="V44" s="64" t="str">
        <f>IFERROR(P44/R44-1,"n/a")</f>
        <v>n/a</v>
      </c>
      <c r="W44" s="60">
        <f>IFERROR(P44/S44-1,"n/a")</f>
        <v>-0.2188926964763005</v>
      </c>
      <c r="X44" s="89"/>
      <c r="Y44" s="89">
        <v>533563</v>
      </c>
      <c r="Z44" s="84">
        <v>140552</v>
      </c>
      <c r="AA44" s="78">
        <v>2441594</v>
      </c>
    </row>
    <row r="45" spans="2:51" s="9" customFormat="1" ht="15" customHeight="1">
      <c r="C45" s="31" t="s">
        <v>15</v>
      </c>
      <c r="D45" s="26"/>
      <c r="E45" s="32"/>
      <c r="F45" s="87"/>
      <c r="G45" s="87"/>
      <c r="H45" s="87"/>
      <c r="I45" s="87"/>
      <c r="J45" s="72"/>
      <c r="K45" s="64"/>
      <c r="L45" s="64"/>
      <c r="M45" s="64"/>
      <c r="N45" s="60"/>
      <c r="O45" s="110"/>
      <c r="P45" s="87"/>
      <c r="Q45" s="87"/>
      <c r="R45" s="87"/>
      <c r="S45" s="87"/>
      <c r="T45" s="110"/>
      <c r="U45" s="64"/>
      <c r="V45" s="64"/>
      <c r="W45" s="60"/>
      <c r="X45" s="90"/>
      <c r="Y45" s="90"/>
      <c r="Z45" s="44"/>
      <c r="AA45" s="79"/>
    </row>
    <row r="46" spans="2:51" s="9" customFormat="1" ht="15" customHeight="1">
      <c r="C46" s="33"/>
      <c r="D46" s="26" t="s">
        <v>5</v>
      </c>
      <c r="E46" s="32"/>
      <c r="F46" s="74">
        <f t="shared" ref="F46:J47" si="13">F19</f>
        <v>4</v>
      </c>
      <c r="G46" s="74">
        <f>G19</f>
        <v>3</v>
      </c>
      <c r="H46" s="74">
        <f t="shared" si="13"/>
        <v>0</v>
      </c>
      <c r="I46" s="74">
        <f t="shared" si="13"/>
        <v>1</v>
      </c>
      <c r="J46" s="74">
        <f t="shared" si="13"/>
        <v>0</v>
      </c>
      <c r="K46" s="64">
        <f>IFERROR(F46/G46-1,"n/a")</f>
        <v>0.33333333333333326</v>
      </c>
      <c r="L46" s="64" t="str">
        <f>IFERROR(F46/H46-1,"n/a")</f>
        <v>n/a</v>
      </c>
      <c r="M46" s="64">
        <f>IFERROR(F46/I46-1,"n/a")</f>
        <v>3</v>
      </c>
      <c r="N46" s="60" t="str">
        <f>IFERROR(F46/J46-1,"n/a")</f>
        <v>n/a</v>
      </c>
      <c r="O46" s="108"/>
      <c r="P46" s="70">
        <f>+O19-'Mar-22'!M16+'Dec-22'!M19</f>
        <v>469</v>
      </c>
      <c r="Q46" s="70">
        <f>+P19-'Mar-22'!N16+'Dec-22'!N19</f>
        <v>26</v>
      </c>
      <c r="R46" s="70">
        <f>+Q19-'Mar-22'!O16+'Dec-22'!O19</f>
        <v>1</v>
      </c>
      <c r="S46" s="70">
        <f>+R19-'Mar-22'!P16+'Dec-22'!P19</f>
        <v>186</v>
      </c>
      <c r="T46" s="108"/>
      <c r="U46" s="64">
        <f>IFERROR(P46/Q46-1,"n/a")</f>
        <v>17.03846153846154</v>
      </c>
      <c r="V46" s="64">
        <f>IFERROR(P46/R46-1,"n/a")</f>
        <v>468</v>
      </c>
      <c r="W46" s="60">
        <f>IFERROR(P46/S46-1,"n/a")</f>
        <v>1.521505376344086</v>
      </c>
      <c r="X46" s="89"/>
      <c r="Y46" s="89">
        <v>33</v>
      </c>
      <c r="Z46" s="70">
        <v>4</v>
      </c>
      <c r="AA46" s="78">
        <v>188</v>
      </c>
    </row>
    <row r="47" spans="2:51" s="9" customFormat="1" ht="15" customHeight="1">
      <c r="C47" s="33"/>
      <c r="D47" s="26" t="s">
        <v>11</v>
      </c>
      <c r="E47" s="32"/>
      <c r="F47" s="74">
        <f t="shared" si="13"/>
        <v>3235</v>
      </c>
      <c r="G47" s="74">
        <f>G20</f>
        <v>814</v>
      </c>
      <c r="H47" s="74">
        <f t="shared" si="13"/>
        <v>0</v>
      </c>
      <c r="I47" s="74">
        <f t="shared" si="13"/>
        <v>823</v>
      </c>
      <c r="J47" s="74">
        <f t="shared" si="13"/>
        <v>0</v>
      </c>
      <c r="K47" s="64">
        <f>IFERROR(F47/G47-1,"n/a")</f>
        <v>2.9742014742014744</v>
      </c>
      <c r="L47" s="64" t="str">
        <f>IFERROR(F47/H47-1,"n/a")</f>
        <v>n/a</v>
      </c>
      <c r="M47" s="64">
        <f>IFERROR(F47/I47-1,"n/a")</f>
        <v>2.9307411907654921</v>
      </c>
      <c r="N47" s="60" t="str">
        <f>IFERROR(F47/J47-1,"n/a")</f>
        <v>n/a</v>
      </c>
      <c r="O47" s="109"/>
      <c r="P47" s="70">
        <f>+O20-'Mar-22'!M17+'Dec-22'!M20</f>
        <v>563747</v>
      </c>
      <c r="Q47" s="70">
        <f>+P20-'Mar-22'!N17+'Dec-22'!N20</f>
        <v>9425</v>
      </c>
      <c r="R47" s="70">
        <f>+Q20-'Mar-22'!O17+'Dec-22'!O20</f>
        <v>111</v>
      </c>
      <c r="S47" s="70">
        <f>+R20-'Mar-22'!P17+'Dec-22'!P20</f>
        <v>250106</v>
      </c>
      <c r="T47" s="108"/>
      <c r="U47" s="64">
        <f>IFERROR(P47/Q47-1,"n/a")</f>
        <v>58.814005305039785</v>
      </c>
      <c r="V47" s="64">
        <f>IFERROR(P47/R47-1,"n/a")</f>
        <v>5077.801801801802</v>
      </c>
      <c r="W47" s="60">
        <f>IFERROR(P47/S47-1,"n/a")</f>
        <v>1.2540322903089089</v>
      </c>
      <c r="X47" s="82"/>
      <c r="Y47" s="82">
        <v>10083</v>
      </c>
      <c r="Z47" s="84">
        <v>1753</v>
      </c>
      <c r="AA47" s="78">
        <f>176097+74816</f>
        <v>250913</v>
      </c>
    </row>
    <row r="48" spans="2:51" s="9" customFormat="1" ht="15" customHeight="1">
      <c r="C48" s="31" t="s">
        <v>10</v>
      </c>
      <c r="D48" s="26"/>
      <c r="E48" s="34"/>
      <c r="F48" s="72"/>
      <c r="G48" s="72"/>
      <c r="H48" s="72"/>
      <c r="I48" s="72"/>
      <c r="J48" s="72"/>
      <c r="K48" s="64"/>
      <c r="L48" s="64"/>
      <c r="M48" s="64"/>
      <c r="N48" s="60"/>
      <c r="O48" s="110"/>
      <c r="P48" s="87"/>
      <c r="Q48" s="87"/>
      <c r="R48" s="87"/>
      <c r="S48" s="87"/>
      <c r="T48" s="110"/>
      <c r="U48" s="64"/>
      <c r="V48" s="64"/>
      <c r="W48" s="60"/>
      <c r="X48" s="90"/>
      <c r="Y48" s="90"/>
      <c r="Z48" s="44"/>
      <c r="AA48" s="79"/>
    </row>
    <row r="49" spans="1:51" s="9" customFormat="1" ht="15" customHeight="1">
      <c r="C49" s="33"/>
      <c r="D49" s="26" t="s">
        <v>5</v>
      </c>
      <c r="E49" s="34"/>
      <c r="F49" s="74">
        <f t="shared" ref="F49:J50" si="14">F22</f>
        <v>120</v>
      </c>
      <c r="G49" s="74">
        <f>G22</f>
        <v>100</v>
      </c>
      <c r="H49" s="74">
        <f t="shared" si="14"/>
        <v>0</v>
      </c>
      <c r="I49" s="74">
        <f t="shared" si="14"/>
        <v>126</v>
      </c>
      <c r="J49" s="74">
        <f t="shared" si="14"/>
        <v>113</v>
      </c>
      <c r="K49" s="64">
        <f>IFERROR(F49/G49-1,"n/a")</f>
        <v>0.19999999999999996</v>
      </c>
      <c r="L49" s="64" t="str">
        <f>IFERROR(F49/H49-1,"n/a")</f>
        <v>n/a</v>
      </c>
      <c r="M49" s="64">
        <f>IFERROR(F49/I49-1,"n/a")</f>
        <v>-4.7619047619047672E-2</v>
      </c>
      <c r="N49" s="60">
        <f>IFERROR(F49/J49-1,"n/a")</f>
        <v>6.1946902654867353E-2</v>
      </c>
      <c r="O49" s="108"/>
      <c r="P49" s="70">
        <f>+O22-'Mar-22'!M19+'Dec-22'!M22</f>
        <v>927</v>
      </c>
      <c r="Q49" s="70">
        <f>+P22-'Mar-22'!N19+'Dec-22'!N22</f>
        <v>511</v>
      </c>
      <c r="R49" s="70">
        <f>+Q22-'Mar-22'!O19+'Dec-22'!O22</f>
        <v>42</v>
      </c>
      <c r="S49" s="70">
        <f>+R22-'Mar-22'!P19+'Dec-22'!P22</f>
        <v>1015</v>
      </c>
      <c r="T49" s="108"/>
      <c r="U49" s="64">
        <f>IFERROR(P49/Q49-1,"n/a")</f>
        <v>0.81409001956947158</v>
      </c>
      <c r="V49" s="64">
        <f>IFERROR(P49/R49-1,"n/a")</f>
        <v>21.071428571428573</v>
      </c>
      <c r="W49" s="60">
        <f>IFERROR(P49/S49-1,"n/a")</f>
        <v>-8.6699507389162545E-2</v>
      </c>
      <c r="X49" s="89"/>
      <c r="Y49" s="89">
        <v>744</v>
      </c>
      <c r="Z49" s="84">
        <v>406</v>
      </c>
      <c r="AA49" s="78">
        <v>1253</v>
      </c>
    </row>
    <row r="50" spans="1:51" s="9" customFormat="1" ht="15" customHeight="1">
      <c r="C50" s="33"/>
      <c r="D50" s="26" t="s">
        <v>11</v>
      </c>
      <c r="E50" s="32"/>
      <c r="F50" s="74">
        <f t="shared" si="14"/>
        <v>406985</v>
      </c>
      <c r="G50" s="74">
        <f>G23</f>
        <v>144818</v>
      </c>
      <c r="H50" s="74">
        <f t="shared" si="14"/>
        <v>0</v>
      </c>
      <c r="I50" s="74">
        <f t="shared" si="14"/>
        <v>357284</v>
      </c>
      <c r="J50" s="74">
        <f t="shared" si="14"/>
        <v>368396</v>
      </c>
      <c r="K50" s="64">
        <f>IFERROR(F50/G50-1,"n/a")</f>
        <v>1.8103205402643319</v>
      </c>
      <c r="L50" s="64" t="str">
        <f>IFERROR(F50/H50-1,"n/a")</f>
        <v>n/a</v>
      </c>
      <c r="M50" s="64">
        <f>IFERROR(F50/I50-1,"n/a")</f>
        <v>0.13910782458772286</v>
      </c>
      <c r="N50" s="60">
        <f>IFERROR(F50/J50-1,"n/a")</f>
        <v>0.10474869433978662</v>
      </c>
      <c r="O50" s="109"/>
      <c r="P50" s="70">
        <f>+O23-'Mar-22'!M20+'Dec-22'!M23</f>
        <v>3016301</v>
      </c>
      <c r="Q50" s="70">
        <f>+P23-'Mar-22'!N20+'Dec-22'!N23</f>
        <v>832267</v>
      </c>
      <c r="R50" s="70">
        <f>+Q23-'Mar-22'!O20+'Dec-22'!O23</f>
        <v>0</v>
      </c>
      <c r="S50" s="70">
        <f>+R23-'Mar-22'!P20+'Dec-22'!P23</f>
        <v>3150743</v>
      </c>
      <c r="T50" s="108"/>
      <c r="U50" s="64">
        <f>IFERROR(P50/Q50-1,"n/a")</f>
        <v>2.6241987246881111</v>
      </c>
      <c r="V50" s="64" t="str">
        <f>IFERROR(P50/R50-1,"n/a")</f>
        <v>n/a</v>
      </c>
      <c r="W50" s="60">
        <f>IFERROR(P50/S50-1,"n/a")</f>
        <v>-4.2669935313670471E-2</v>
      </c>
      <c r="X50" s="82"/>
      <c r="Y50" s="82">
        <v>1290779</v>
      </c>
      <c r="Z50" s="84">
        <v>833999</v>
      </c>
      <c r="AA50" s="78">
        <v>3627458</v>
      </c>
    </row>
    <row r="51" spans="1:51" s="9" customFormat="1" ht="15" customHeight="1">
      <c r="C51" s="31" t="s">
        <v>16</v>
      </c>
      <c r="D51" s="26"/>
      <c r="E51" s="32"/>
      <c r="F51" s="72"/>
      <c r="G51" s="72"/>
      <c r="H51" s="72"/>
      <c r="I51" s="72"/>
      <c r="J51" s="72"/>
      <c r="K51" s="64"/>
      <c r="L51" s="64"/>
      <c r="M51" s="64"/>
      <c r="N51" s="60"/>
      <c r="O51" s="110"/>
      <c r="P51" s="87"/>
      <c r="Q51" s="87"/>
      <c r="R51" s="87"/>
      <c r="S51" s="87"/>
      <c r="T51" s="110"/>
      <c r="U51" s="64"/>
      <c r="V51" s="64"/>
      <c r="W51" s="60"/>
      <c r="X51" s="90"/>
      <c r="Y51" s="90"/>
      <c r="Z51" s="44"/>
      <c r="AA51" s="79"/>
    </row>
    <row r="52" spans="1:51" s="9" customFormat="1" ht="15" customHeight="1">
      <c r="C52" s="33"/>
      <c r="D52" s="26" t="s">
        <v>5</v>
      </c>
      <c r="E52" s="32"/>
      <c r="F52" s="74">
        <f t="shared" ref="F52:J53" si="15">F25</f>
        <v>4</v>
      </c>
      <c r="G52" s="74">
        <f>G25</f>
        <v>3</v>
      </c>
      <c r="H52" s="74">
        <f t="shared" si="15"/>
        <v>1</v>
      </c>
      <c r="I52" s="74">
        <f t="shared" si="15"/>
        <v>5</v>
      </c>
      <c r="J52" s="74">
        <f t="shared" si="15"/>
        <v>4</v>
      </c>
      <c r="K52" s="64">
        <f>IFERROR(F52/G52-1,"n/a")</f>
        <v>0.33333333333333326</v>
      </c>
      <c r="L52" s="64">
        <f>IFERROR(F52/H52-1,"n/a")</f>
        <v>3</v>
      </c>
      <c r="M52" s="64">
        <f>IFERROR(F52/I52-1,"n/a")</f>
        <v>-0.19999999999999996</v>
      </c>
      <c r="N52" s="60">
        <f>IFERROR(F52/J52-1,"n/a")</f>
        <v>0</v>
      </c>
      <c r="O52" s="108"/>
      <c r="P52" s="70">
        <f>+O25-'Mar-22'!M22+'Dec-22'!M25</f>
        <v>264</v>
      </c>
      <c r="Q52" s="70">
        <f>+P25-'Mar-22'!N22+'Dec-22'!N25</f>
        <v>101</v>
      </c>
      <c r="R52" s="70">
        <f>+Q25-'Mar-22'!O22+'Dec-22'!O25</f>
        <v>24</v>
      </c>
      <c r="S52" s="70">
        <f>+R25-'Mar-22'!P22+'Dec-22'!P25</f>
        <v>357</v>
      </c>
      <c r="T52" s="108"/>
      <c r="U52" s="64">
        <f>IFERROR(P52/Q52-1,"n/a")</f>
        <v>1.613861386138614</v>
      </c>
      <c r="V52" s="64">
        <f>IFERROR(P52/R52-1,"n/a")</f>
        <v>10</v>
      </c>
      <c r="W52" s="60">
        <f>IFERROR(P52/S52-1,"n/a")</f>
        <v>-0.26050420168067223</v>
      </c>
      <c r="X52" s="89"/>
      <c r="Y52" s="89">
        <v>121</v>
      </c>
      <c r="Z52" s="70">
        <v>41</v>
      </c>
      <c r="AA52" s="78">
        <v>361</v>
      </c>
    </row>
    <row r="53" spans="1:51" s="9" customFormat="1" ht="15" customHeight="1">
      <c r="C53" s="33"/>
      <c r="D53" s="26" t="s">
        <v>11</v>
      </c>
      <c r="E53" s="32"/>
      <c r="F53" s="74">
        <f t="shared" si="15"/>
        <v>14845</v>
      </c>
      <c r="G53" s="74">
        <f>G26</f>
        <v>1702</v>
      </c>
      <c r="H53" s="74">
        <f t="shared" si="15"/>
        <v>644</v>
      </c>
      <c r="I53" s="74">
        <f t="shared" si="15"/>
        <v>23141</v>
      </c>
      <c r="J53" s="74">
        <f t="shared" si="15"/>
        <v>19715</v>
      </c>
      <c r="K53" s="64">
        <f>IFERROR(F53/G53-1,"n/a")</f>
        <v>7.7220916568742659</v>
      </c>
      <c r="L53" s="64">
        <f>IFERROR(F53/H53-1,"n/a")</f>
        <v>22.051242236024844</v>
      </c>
      <c r="M53" s="64">
        <f>IFERROR(F53/I53-1,"n/a")</f>
        <v>-0.35849790415280236</v>
      </c>
      <c r="N53" s="60">
        <f>IFERROR(F53/J53-1,"n/a")</f>
        <v>-0.24702003550595997</v>
      </c>
      <c r="O53" s="109"/>
      <c r="P53" s="70">
        <f>+O26-'Mar-22'!M23+'Dec-22'!M26</f>
        <v>518729</v>
      </c>
      <c r="Q53" s="70">
        <f>+P26-'Mar-22'!N23+'Dec-22'!N26</f>
        <v>140870</v>
      </c>
      <c r="R53" s="70">
        <f>+Q26-'Mar-22'!O23+'Dec-22'!O26</f>
        <v>19603</v>
      </c>
      <c r="S53" s="70">
        <f>+R26-'Mar-22'!P23+'Dec-22'!P26</f>
        <v>848881</v>
      </c>
      <c r="T53" s="108"/>
      <c r="U53" s="64">
        <f>IFERROR(P53/Q53-1,"n/a")</f>
        <v>2.6823241286292325</v>
      </c>
      <c r="V53" s="64">
        <f>IFERROR(P53/R53-1,"n/a")</f>
        <v>25.461715043615772</v>
      </c>
      <c r="W53" s="60">
        <f>IFERROR(P53/S53-1,"n/a")</f>
        <v>-0.38892612745484934</v>
      </c>
      <c r="X53" s="82"/>
      <c r="Y53" s="82">
        <v>165689</v>
      </c>
      <c r="Z53" s="84">
        <v>67144</v>
      </c>
      <c r="AA53" s="78">
        <v>865961</v>
      </c>
    </row>
    <row r="54" spans="1:51" s="9" customFormat="1" ht="15" customHeight="1">
      <c r="A54"/>
      <c r="B54"/>
      <c r="C54" s="31" t="s">
        <v>17</v>
      </c>
      <c r="D54" s="26"/>
      <c r="E54" s="32"/>
      <c r="F54" s="72"/>
      <c r="G54" s="72"/>
      <c r="H54" s="72"/>
      <c r="I54" s="72"/>
      <c r="J54" s="72"/>
      <c r="K54" s="64"/>
      <c r="L54" s="64"/>
      <c r="M54" s="64"/>
      <c r="N54" s="60"/>
      <c r="O54" s="110"/>
      <c r="P54" s="87"/>
      <c r="Q54" s="87"/>
      <c r="R54" s="87"/>
      <c r="S54" s="87"/>
      <c r="T54" s="110"/>
      <c r="U54" s="64"/>
      <c r="V54" s="64"/>
      <c r="W54" s="60"/>
      <c r="X54" s="90"/>
      <c r="Y54" s="90"/>
      <c r="Z54" s="44"/>
      <c r="AA54" s="79"/>
      <c r="AR54"/>
      <c r="AS54"/>
      <c r="AT54"/>
      <c r="AU54"/>
      <c r="AV54"/>
      <c r="AW54"/>
      <c r="AX54"/>
      <c r="AY54"/>
    </row>
    <row r="55" spans="1:51" s="9" customFormat="1" ht="15.6" customHeight="1">
      <c r="A55"/>
      <c r="B55"/>
      <c r="C55" s="33"/>
      <c r="D55" s="26" t="s">
        <v>5</v>
      </c>
      <c r="E55" s="32"/>
      <c r="F55" s="74">
        <f t="shared" ref="F55:J56" si="16">F28</f>
        <v>84</v>
      </c>
      <c r="G55" s="74">
        <f>G28</f>
        <v>0</v>
      </c>
      <c r="H55" s="74">
        <f t="shared" si="16"/>
        <v>1</v>
      </c>
      <c r="I55" s="74">
        <f t="shared" si="16"/>
        <v>0</v>
      </c>
      <c r="J55" s="74">
        <f t="shared" si="16"/>
        <v>1</v>
      </c>
      <c r="K55" s="64" t="str">
        <f>IFERROR(F55/G55-1,"n/a")</f>
        <v>n/a</v>
      </c>
      <c r="L55" s="64">
        <f>IFERROR(F55/H55-1,"n/a")</f>
        <v>83</v>
      </c>
      <c r="M55" s="64" t="str">
        <f>IFERROR(F55/I55-1,"n/a")</f>
        <v>n/a</v>
      </c>
      <c r="N55" s="60">
        <f>IFERROR(F55/J55-1,"n/a")</f>
        <v>83</v>
      </c>
      <c r="O55" s="108"/>
      <c r="P55" s="70">
        <f>+O28-'Mar-22'!M25+'Dec-22'!M28</f>
        <v>673</v>
      </c>
      <c r="Q55" s="70">
        <f>+P28-'Mar-22'!N25+'Dec-22'!N28</f>
        <v>124</v>
      </c>
      <c r="R55" s="70">
        <f>+Q28-'Mar-22'!O25+'Dec-22'!O28</f>
        <v>37</v>
      </c>
      <c r="S55" s="70">
        <f>+R28-'Mar-22'!P25+'Dec-22'!P28</f>
        <v>359</v>
      </c>
      <c r="T55" s="108"/>
      <c r="U55" s="64">
        <f>IFERROR(P55/Q55-1,"n/a")</f>
        <v>4.42741935483871</v>
      </c>
      <c r="V55" s="64">
        <f>IFERROR(P55/R55-1,"n/a")</f>
        <v>17.189189189189189</v>
      </c>
      <c r="W55" s="60">
        <f>IFERROR(P55/S55-1,"n/a")</f>
        <v>0.87465181058495811</v>
      </c>
      <c r="X55" s="89"/>
      <c r="Y55" s="89">
        <v>140</v>
      </c>
      <c r="Z55" s="70">
        <v>40</v>
      </c>
      <c r="AA55" s="78">
        <v>360</v>
      </c>
      <c r="AR55"/>
      <c r="AS55"/>
      <c r="AT55"/>
      <c r="AU55"/>
      <c r="AV55"/>
      <c r="AW55"/>
      <c r="AX55"/>
      <c r="AY55"/>
    </row>
    <row r="56" spans="1:51" s="9" customFormat="1" ht="15.6" customHeight="1">
      <c r="A56"/>
      <c r="B56"/>
      <c r="C56" s="33"/>
      <c r="D56" s="26" t="s">
        <v>11</v>
      </c>
      <c r="E56" s="32"/>
      <c r="F56" s="74">
        <f t="shared" si="16"/>
        <v>219418</v>
      </c>
      <c r="G56" s="74">
        <f>G29</f>
        <v>0</v>
      </c>
      <c r="H56" s="74">
        <f t="shared" si="16"/>
        <v>644</v>
      </c>
      <c r="I56" s="74">
        <f t="shared" si="16"/>
        <v>0</v>
      </c>
      <c r="J56" s="74">
        <f t="shared" si="16"/>
        <v>1352</v>
      </c>
      <c r="K56" s="64" t="str">
        <f>IFERROR(F56/G56-1,"n/a")</f>
        <v>n/a</v>
      </c>
      <c r="L56" s="64">
        <f>IFERROR(F56/H56-1,"n/a")</f>
        <v>339.71118012422357</v>
      </c>
      <c r="M56" s="64" t="str">
        <f>IFERROR(F56/I56-1,"n/a")</f>
        <v>n/a</v>
      </c>
      <c r="N56" s="60">
        <f>IFERROR(F56/J56-1,"n/a")</f>
        <v>161.29142011834318</v>
      </c>
      <c r="O56" s="109"/>
      <c r="P56" s="82">
        <f>+O29-'Mar-22'!M26+'Dec-22'!M29</f>
        <v>1306061</v>
      </c>
      <c r="Q56" s="82">
        <f>+P29-'Mar-22'!N26+'Dec-22'!N29</f>
        <v>162944</v>
      </c>
      <c r="R56" s="82">
        <f>+Q29-'Mar-22'!O26+'Dec-22'!O29</f>
        <v>28814</v>
      </c>
      <c r="S56" s="82">
        <f>+R29-'Mar-22'!P26+'Dec-22'!P29</f>
        <v>861055</v>
      </c>
      <c r="T56" s="109"/>
      <c r="U56" s="64">
        <f>IFERROR(P56/Q56-1,"n/a")</f>
        <v>7.015397928122546</v>
      </c>
      <c r="V56" s="64">
        <f>IFERROR(P56/R56-1,"n/a")</f>
        <v>44.327306170611507</v>
      </c>
      <c r="W56" s="60">
        <f>IFERROR(P56/S56-1,"n/a")</f>
        <v>0.5168148376119992</v>
      </c>
      <c r="X56" s="82"/>
      <c r="Y56" s="82">
        <v>174336</v>
      </c>
      <c r="Z56" s="84">
        <v>21928</v>
      </c>
      <c r="AA56" s="78">
        <f>706948+155011</f>
        <v>861959</v>
      </c>
      <c r="AR56"/>
      <c r="AS56"/>
      <c r="AT56"/>
      <c r="AU56"/>
      <c r="AV56"/>
      <c r="AW56"/>
      <c r="AX56"/>
      <c r="AY56"/>
    </row>
    <row r="57" spans="1:51" s="9" customFormat="1" ht="26.85" customHeight="1" thickBot="1">
      <c r="A57"/>
      <c r="B57"/>
      <c r="C57" s="35" t="s">
        <v>12</v>
      </c>
      <c r="D57" s="36"/>
      <c r="E57" s="37"/>
      <c r="F57" s="75">
        <f t="shared" ref="F57:J58" si="17">F40+F43+F46+F49+F52+F55</f>
        <v>303</v>
      </c>
      <c r="G57" s="75">
        <f>G40+G43+G46+G49+G52+G55</f>
        <v>186</v>
      </c>
      <c r="H57" s="75">
        <f t="shared" si="17"/>
        <v>2</v>
      </c>
      <c r="I57" s="75">
        <f t="shared" si="17"/>
        <v>212</v>
      </c>
      <c r="J57" s="75">
        <f t="shared" si="17"/>
        <v>218</v>
      </c>
      <c r="K57" s="66">
        <f>IFERROR(F57/G57-1,"n/a")</f>
        <v>0.62903225806451624</v>
      </c>
      <c r="L57" s="66">
        <f>IFERROR(F57/H57-1,"n/a")</f>
        <v>150.5</v>
      </c>
      <c r="M57" s="66">
        <f>IFERROR(F57/I57-1,"n/a")</f>
        <v>0.429245283018868</v>
      </c>
      <c r="N57" s="62">
        <f>IFERROR(F57/J57-1,"n/a")</f>
        <v>0.38990825688073394</v>
      </c>
      <c r="O57" s="46"/>
      <c r="P57" s="46">
        <f>P40+P43+P46+P49+P52+P55</f>
        <v>3298</v>
      </c>
      <c r="Q57" s="46">
        <f t="shared" ref="Q57:S58" si="18">Q40+Q43+Q46+Q49+Q52+Q55</f>
        <v>1236</v>
      </c>
      <c r="R57" s="46">
        <f t="shared" si="18"/>
        <v>104</v>
      </c>
      <c r="S57" s="46">
        <f t="shared" si="18"/>
        <v>2921</v>
      </c>
      <c r="T57" s="46"/>
      <c r="U57" s="66">
        <f>IFERROR(P57/Q57-1,"n/a")</f>
        <v>1.6682847896440132</v>
      </c>
      <c r="V57" s="66">
        <f>IFERROR(P57/R57-1,"n/a")</f>
        <v>30.71153846153846</v>
      </c>
      <c r="W57" s="62">
        <f>IFERROR(P57/S57-1,"n/a")</f>
        <v>0.12906538856555971</v>
      </c>
      <c r="X57" s="46"/>
      <c r="Y57" s="46">
        <f t="shared" ref="Y57:AA58" si="19">Y40+Y43+Y46+Y49+Y52+Y55</f>
        <v>1682</v>
      </c>
      <c r="Z57" s="46">
        <f t="shared" si="19"/>
        <v>679</v>
      </c>
      <c r="AA57" s="80">
        <f t="shared" si="19"/>
        <v>3274</v>
      </c>
      <c r="AR57"/>
      <c r="AS57"/>
      <c r="AT57"/>
      <c r="AU57"/>
      <c r="AV57"/>
      <c r="AW57"/>
      <c r="AX57"/>
      <c r="AY57"/>
    </row>
    <row r="58" spans="1:51" s="9" customFormat="1" ht="26.85" customHeight="1" thickTop="1" thickBot="1">
      <c r="A58"/>
      <c r="B58"/>
      <c r="C58" s="38" t="s">
        <v>13</v>
      </c>
      <c r="D58" s="39"/>
      <c r="E58" s="40"/>
      <c r="F58" s="76">
        <f t="shared" si="17"/>
        <v>833405</v>
      </c>
      <c r="G58" s="76">
        <f>G41+G44+G47+G50+G53+G56</f>
        <v>219956</v>
      </c>
      <c r="H58" s="76">
        <f t="shared" si="17"/>
        <v>1288</v>
      </c>
      <c r="I58" s="76">
        <f t="shared" si="17"/>
        <v>555038</v>
      </c>
      <c r="J58" s="76">
        <f t="shared" si="17"/>
        <v>620852</v>
      </c>
      <c r="K58" s="67">
        <f>IFERROR(F58/G58-1,"n/a")</f>
        <v>2.78896233792213</v>
      </c>
      <c r="L58" s="67">
        <f>IFERROR(F58/H58-1,"n/a")</f>
        <v>646.05357142857144</v>
      </c>
      <c r="M58" s="67">
        <f>IFERROR(F58/I58-1,"n/a")</f>
        <v>0.50152782332020518</v>
      </c>
      <c r="N58" s="63">
        <f>IFERROR(F58/J58-1,"n/a")</f>
        <v>0.34235695463653171</v>
      </c>
      <c r="O58" s="47"/>
      <c r="P58" s="47">
        <f>P41+P44+P47+P50+P53+P56</f>
        <v>7592784</v>
      </c>
      <c r="Q58" s="47">
        <f t="shared" si="18"/>
        <v>1764100</v>
      </c>
      <c r="R58" s="47">
        <f t="shared" si="18"/>
        <v>48528</v>
      </c>
      <c r="S58" s="47">
        <f t="shared" si="18"/>
        <v>7933533</v>
      </c>
      <c r="T58" s="47"/>
      <c r="U58" s="67">
        <f>IFERROR(P58/Q58-1,"n/a")</f>
        <v>3.3040553256618104</v>
      </c>
      <c r="V58" s="67">
        <f>IFERROR(P58/R58-1,"n/a")</f>
        <v>155.46191889218596</v>
      </c>
      <c r="W58" s="63">
        <f>IFERROR(P58/S58-1,"n/a")</f>
        <v>-4.2950473641440667E-2</v>
      </c>
      <c r="X58" s="47"/>
      <c r="Y58" s="47">
        <f t="shared" si="19"/>
        <v>2411641</v>
      </c>
      <c r="Z58" s="47">
        <f t="shared" si="19"/>
        <v>1324261</v>
      </c>
      <c r="AA58" s="81">
        <f t="shared" si="19"/>
        <v>8654686</v>
      </c>
      <c r="AR58"/>
      <c r="AS58"/>
      <c r="AT58"/>
      <c r="AU58"/>
      <c r="AV58"/>
      <c r="AW58"/>
      <c r="AX58"/>
      <c r="AY58"/>
    </row>
    <row r="59" spans="1:51" s="9" customFormat="1" ht="12" customHeight="1" thickTop="1">
      <c r="A59"/>
      <c r="B59"/>
      <c r="C59"/>
      <c r="D59"/>
      <c r="E59"/>
      <c r="F59"/>
      <c r="G59"/>
      <c r="H59"/>
      <c r="I59"/>
      <c r="J59"/>
      <c r="K59"/>
      <c r="L59"/>
      <c r="M59"/>
      <c r="N59"/>
      <c r="O59"/>
      <c r="P59"/>
      <c r="Q59"/>
      <c r="R59"/>
      <c r="S59"/>
      <c r="T59"/>
      <c r="U59"/>
      <c r="V59"/>
      <c r="W59"/>
      <c r="X59"/>
      <c r="Y59"/>
      <c r="Z59"/>
      <c r="AA59"/>
      <c r="AR59"/>
      <c r="AS59"/>
      <c r="AT59"/>
      <c r="AU59"/>
      <c r="AV59"/>
      <c r="AW59"/>
      <c r="AX59"/>
      <c r="AY59"/>
    </row>
    <row r="60" spans="1:51" ht="26.85" customHeight="1">
      <c r="P60" s="111"/>
      <c r="Q60" s="111"/>
      <c r="R60" s="111"/>
      <c r="S60" s="111"/>
    </row>
    <row r="61" spans="1:51" ht="26.85" customHeight="1">
      <c r="P61" s="111"/>
      <c r="Q61" s="111"/>
      <c r="R61" s="111"/>
      <c r="S61" s="111"/>
    </row>
    <row r="62" spans="1:51" ht="26.85" customHeight="1">
      <c r="P62" s="111"/>
      <c r="Q62" s="111"/>
      <c r="R62" s="111"/>
      <c r="S62" s="111"/>
    </row>
    <row r="63" spans="1:51" ht="26.85" customHeight="1">
      <c r="P63" s="111"/>
      <c r="Q63" s="111"/>
      <c r="R63" s="111"/>
      <c r="S63" s="111"/>
    </row>
    <row r="64" spans="1:51" ht="26.85" customHeight="1"/>
    <row r="65" ht="26.85" customHeight="1"/>
    <row r="66" ht="26.85" customHeight="1"/>
    <row r="67" ht="26.85" customHeight="1"/>
    <row r="68" ht="26.85" customHeight="1"/>
  </sheetData>
  <mergeCells count="6">
    <mergeCell ref="F9:N9"/>
    <mergeCell ref="O9:W9"/>
    <mergeCell ref="X9:AA9"/>
    <mergeCell ref="F36:N36"/>
    <mergeCell ref="O36:W36"/>
    <mergeCell ref="X36:AA36"/>
  </mergeCells>
  <pageMargins left="0.7" right="0.7" top="0.75" bottom="0.75" header="0.3" footer="0.3"/>
  <pageSetup paperSize="9" scale="45" orientation="landscape" horizontalDpi="4294967293" verticalDpi="4294967293" r:id="rId1"/>
  <colBreaks count="2" manualBreakCount="2">
    <brk id="3" max="1048575" man="1"/>
    <brk id="5" max="1048575" man="1"/>
  </colBreaks>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AT68"/>
  <sheetViews>
    <sheetView showGridLines="0" zoomScaleNormal="100" zoomScalePageLayoutView="40" workbookViewId="0"/>
  </sheetViews>
  <sheetFormatPr defaultColWidth="0" defaultRowHeight="26.85" customHeight="1" zeroHeight="1"/>
  <cols>
    <col min="1" max="3" width="2.5703125" customWidth="1"/>
    <col min="4" max="4" width="9.140625" customWidth="1"/>
    <col min="5" max="6" width="15.42578125" customWidth="1"/>
    <col min="7" max="8" width="11.140625" bestFit="1" customWidth="1"/>
    <col min="9" max="9" width="10.5703125" bestFit="1" customWidth="1"/>
    <col min="10" max="10" width="9" bestFit="1" customWidth="1"/>
    <col min="11" max="12" width="9.140625" customWidth="1"/>
    <col min="13" max="13" width="11" bestFit="1" customWidth="1"/>
    <col min="14" max="14" width="10.140625" bestFit="1" customWidth="1"/>
    <col min="15" max="15" width="12.140625" bestFit="1" customWidth="1"/>
    <col min="16" max="16" width="11.42578125" customWidth="1"/>
    <col min="17" max="17" width="8.85546875" customWidth="1"/>
    <col min="18" max="18" width="9.140625" bestFit="1" customWidth="1"/>
    <col min="19" max="19" width="8.85546875" customWidth="1"/>
    <col min="20" max="21" width="10.42578125" bestFit="1" customWidth="1"/>
    <col min="22" max="22" width="11.140625" bestFit="1" customWidth="1"/>
    <col min="23" max="23" width="3.140625" style="9" customWidth="1"/>
    <col min="24" max="38" width="0" style="9" hidden="1" customWidth="1"/>
    <col min="39" max="46" width="0" hidden="1" customWidth="1"/>
    <col min="47" max="16384" width="9.140625" hidden="1"/>
  </cols>
  <sheetData>
    <row r="1" spans="1:38" ht="15">
      <c r="A1" s="9"/>
      <c r="B1" s="9"/>
      <c r="C1" s="9"/>
      <c r="D1" s="9"/>
      <c r="E1" s="9"/>
      <c r="F1" s="9"/>
      <c r="G1" s="9"/>
      <c r="H1" s="9"/>
      <c r="I1" s="9"/>
      <c r="J1" s="9"/>
      <c r="K1" s="9"/>
      <c r="L1" s="9"/>
      <c r="M1" s="9"/>
      <c r="N1" s="9"/>
      <c r="O1" s="9"/>
      <c r="P1" s="9"/>
      <c r="Q1" s="9"/>
      <c r="R1" s="9"/>
      <c r="S1" s="9"/>
      <c r="T1" s="9"/>
      <c r="U1" s="9"/>
      <c r="V1" s="9"/>
    </row>
    <row r="2" spans="1:38" ht="19.5" thickBot="1">
      <c r="A2" s="9"/>
      <c r="B2" s="8" t="s">
        <v>6</v>
      </c>
      <c r="C2" s="23"/>
      <c r="D2" s="23"/>
      <c r="E2" s="23"/>
      <c r="F2" s="23"/>
      <c r="G2" s="23"/>
      <c r="H2" s="23"/>
      <c r="I2" s="23"/>
      <c r="J2" s="23"/>
      <c r="K2" s="23"/>
      <c r="L2" s="23"/>
      <c r="M2" s="23"/>
      <c r="N2" s="23"/>
      <c r="O2" s="23"/>
      <c r="P2" s="23"/>
      <c r="Q2" s="23"/>
      <c r="R2" s="23"/>
      <c r="S2" s="23"/>
      <c r="T2" s="23"/>
      <c r="U2" s="23"/>
      <c r="V2" s="23"/>
    </row>
    <row r="3" spans="1:38" ht="15">
      <c r="A3" s="9"/>
      <c r="B3" s="10"/>
      <c r="C3" s="24"/>
      <c r="D3" s="24"/>
      <c r="E3" s="24"/>
      <c r="F3" s="24"/>
      <c r="G3" s="24"/>
      <c r="H3" s="24"/>
      <c r="I3" s="24"/>
      <c r="J3" s="24"/>
      <c r="K3" s="24"/>
      <c r="L3" s="24"/>
      <c r="M3" s="24"/>
      <c r="N3" s="24"/>
      <c r="O3" s="24"/>
      <c r="P3" s="24"/>
      <c r="Q3" s="24"/>
      <c r="R3" s="24"/>
      <c r="S3" s="24"/>
      <c r="T3" s="24"/>
      <c r="U3" s="24"/>
      <c r="V3" s="25">
        <v>44941</v>
      </c>
    </row>
    <row r="4" spans="1:38" ht="15.75">
      <c r="A4" s="9"/>
      <c r="B4" s="11" t="s">
        <v>7</v>
      </c>
      <c r="C4" s="26"/>
      <c r="D4" s="24"/>
      <c r="E4" s="58" t="s">
        <v>94</v>
      </c>
      <c r="F4" s="24"/>
      <c r="G4" s="24"/>
      <c r="H4" s="24"/>
      <c r="I4" s="24"/>
      <c r="J4" s="24"/>
      <c r="K4" s="24"/>
      <c r="L4" s="24"/>
      <c r="M4" s="24"/>
      <c r="N4" s="24"/>
      <c r="O4" s="24"/>
      <c r="P4" s="24"/>
      <c r="Q4" s="24"/>
      <c r="R4" s="24"/>
      <c r="S4" s="24"/>
      <c r="T4" s="24"/>
      <c r="U4" s="24"/>
      <c r="V4" s="24"/>
    </row>
    <row r="5" spans="1:38" ht="15">
      <c r="A5" s="9"/>
      <c r="B5" s="10"/>
      <c r="C5" s="24"/>
      <c r="D5" s="24"/>
      <c r="E5" s="24"/>
      <c r="F5" s="24"/>
      <c r="G5" s="24"/>
      <c r="H5" s="24"/>
      <c r="I5" s="24"/>
      <c r="J5" s="24"/>
      <c r="K5" s="24"/>
      <c r="L5" s="24"/>
      <c r="M5" s="24"/>
      <c r="N5" s="24"/>
      <c r="O5" s="24"/>
      <c r="P5" s="24"/>
      <c r="Q5" s="24"/>
      <c r="R5" s="24"/>
      <c r="S5" s="24"/>
      <c r="T5" s="24"/>
      <c r="U5" s="24"/>
      <c r="V5" s="24"/>
    </row>
    <row r="6" spans="1:38" ht="15">
      <c r="A6" s="9"/>
      <c r="B6" s="10"/>
      <c r="C6" s="24"/>
      <c r="D6" s="24"/>
      <c r="E6" s="24"/>
      <c r="F6" s="24"/>
      <c r="G6" s="24"/>
      <c r="H6" s="24"/>
      <c r="I6" s="24"/>
      <c r="J6" s="24"/>
      <c r="K6" s="24"/>
      <c r="L6" s="24"/>
      <c r="M6" s="24"/>
      <c r="N6" s="24"/>
      <c r="O6" s="24"/>
      <c r="P6" s="24"/>
      <c r="Q6" s="24"/>
      <c r="R6" s="24"/>
      <c r="S6" s="24"/>
      <c r="T6" s="24"/>
      <c r="U6" s="24"/>
      <c r="V6" s="24"/>
    </row>
    <row r="7" spans="1:38" ht="15">
      <c r="A7" s="9"/>
      <c r="B7" s="10"/>
      <c r="C7" s="86" t="s">
        <v>62</v>
      </c>
      <c r="D7" s="24"/>
      <c r="E7" s="24"/>
      <c r="F7" s="24"/>
      <c r="G7" s="24"/>
      <c r="H7" s="24"/>
      <c r="I7" s="24"/>
      <c r="J7" s="24"/>
      <c r="K7" s="24"/>
      <c r="L7" s="24"/>
      <c r="M7" s="24"/>
      <c r="N7" s="24"/>
      <c r="O7" s="24"/>
      <c r="P7" s="24"/>
      <c r="Q7" s="24"/>
      <c r="R7" s="24"/>
      <c r="S7" s="24"/>
      <c r="T7" s="24"/>
      <c r="U7" s="24"/>
      <c r="V7" s="24"/>
    </row>
    <row r="8" spans="1:38" ht="15">
      <c r="A8" s="9"/>
      <c r="B8" s="10"/>
      <c r="C8" s="24"/>
      <c r="D8" s="24"/>
      <c r="E8" s="24"/>
      <c r="F8" s="24"/>
      <c r="G8" s="24"/>
      <c r="H8" s="24"/>
      <c r="I8" s="24"/>
      <c r="J8" s="24"/>
      <c r="K8" s="24"/>
      <c r="L8" s="24"/>
      <c r="M8" s="24"/>
      <c r="N8" s="24"/>
      <c r="O8" s="24"/>
      <c r="P8" s="24"/>
      <c r="Q8" s="24"/>
      <c r="R8" s="24"/>
      <c r="S8" s="24"/>
      <c r="T8" s="24"/>
      <c r="U8" s="24"/>
      <c r="V8" s="24"/>
    </row>
    <row r="9" spans="1:38" s="20" customFormat="1" ht="15">
      <c r="A9" s="9"/>
      <c r="B9"/>
      <c r="C9" s="27" t="s">
        <v>7</v>
      </c>
      <c r="D9" s="28"/>
      <c r="E9" s="28"/>
      <c r="F9" s="158" t="s">
        <v>31</v>
      </c>
      <c r="G9" s="158"/>
      <c r="H9" s="158"/>
      <c r="I9" s="158"/>
      <c r="J9" s="158"/>
      <c r="K9" s="158"/>
      <c r="L9" s="159"/>
      <c r="M9" s="157" t="s">
        <v>95</v>
      </c>
      <c r="N9" s="158"/>
      <c r="O9" s="158"/>
      <c r="P9" s="158"/>
      <c r="Q9" s="158"/>
      <c r="R9" s="158"/>
      <c r="S9" s="159"/>
      <c r="T9" s="157" t="s">
        <v>57</v>
      </c>
      <c r="U9" s="158"/>
      <c r="V9" s="160"/>
      <c r="W9" s="9"/>
      <c r="X9" s="19"/>
      <c r="Y9" s="19"/>
      <c r="Z9" s="19"/>
      <c r="AA9" s="19"/>
      <c r="AB9" s="19"/>
      <c r="AC9" s="19"/>
      <c r="AD9" s="19"/>
      <c r="AE9" s="19"/>
      <c r="AF9" s="19"/>
      <c r="AG9" s="19"/>
      <c r="AH9" s="19"/>
      <c r="AI9" s="19"/>
      <c r="AJ9" s="19"/>
      <c r="AK9" s="19"/>
      <c r="AL9" s="19"/>
    </row>
    <row r="10" spans="1:38" ht="15.75">
      <c r="A10" s="9"/>
      <c r="B10" s="18"/>
      <c r="C10" s="29"/>
      <c r="D10" s="30"/>
      <c r="E10" s="30"/>
      <c r="F10" s="29"/>
      <c r="G10" s="30"/>
      <c r="H10" s="30"/>
      <c r="I10" s="30"/>
      <c r="J10" s="30"/>
      <c r="K10" s="30"/>
      <c r="L10" s="56"/>
      <c r="M10" s="30"/>
      <c r="N10" s="30"/>
      <c r="O10" s="30"/>
      <c r="P10" s="30"/>
      <c r="Q10" s="30"/>
      <c r="R10" s="30"/>
      <c r="S10" s="56"/>
      <c r="T10" s="30"/>
      <c r="U10" s="30"/>
      <c r="V10" s="56"/>
    </row>
    <row r="11" spans="1:38" s="54" customFormat="1" ht="27" customHeight="1">
      <c r="A11" s="48"/>
      <c r="B11" s="49"/>
      <c r="C11" s="59" t="s">
        <v>29</v>
      </c>
      <c r="D11" s="50"/>
      <c r="E11" s="51"/>
      <c r="F11" s="55">
        <v>2022</v>
      </c>
      <c r="G11" s="52">
        <v>2021</v>
      </c>
      <c r="H11" s="52">
        <v>2020</v>
      </c>
      <c r="I11" s="52">
        <v>2019</v>
      </c>
      <c r="J11" s="53" t="s">
        <v>36</v>
      </c>
      <c r="K11" s="53" t="s">
        <v>34</v>
      </c>
      <c r="L11" s="57" t="s">
        <v>35</v>
      </c>
      <c r="M11" s="53">
        <v>2022</v>
      </c>
      <c r="N11" s="52">
        <v>2021</v>
      </c>
      <c r="O11" s="52">
        <v>2020</v>
      </c>
      <c r="P11" s="52">
        <v>2019</v>
      </c>
      <c r="Q11" s="53" t="s">
        <v>36</v>
      </c>
      <c r="R11" s="53" t="s">
        <v>34</v>
      </c>
      <c r="S11" s="57" t="s">
        <v>35</v>
      </c>
      <c r="T11" s="53">
        <v>2021</v>
      </c>
      <c r="U11" s="52">
        <v>2020</v>
      </c>
      <c r="V11" s="77">
        <v>2019</v>
      </c>
      <c r="W11" s="48"/>
      <c r="X11" s="48"/>
      <c r="Y11" s="48"/>
      <c r="Z11" s="48"/>
      <c r="AA11" s="48"/>
      <c r="AB11" s="48"/>
      <c r="AC11" s="48"/>
      <c r="AD11" s="48"/>
      <c r="AE11" s="48"/>
      <c r="AF11" s="48"/>
      <c r="AG11" s="48"/>
      <c r="AH11" s="48"/>
      <c r="AI11" s="48"/>
      <c r="AJ11" s="48"/>
      <c r="AK11" s="48"/>
      <c r="AL11" s="48"/>
    </row>
    <row r="12" spans="1:38" ht="15">
      <c r="A12" s="9"/>
      <c r="B12" s="12"/>
      <c r="C12" s="31" t="s">
        <v>14</v>
      </c>
      <c r="D12" s="26"/>
      <c r="E12" s="32"/>
      <c r="F12" s="26"/>
      <c r="G12" s="26"/>
      <c r="H12" s="26"/>
      <c r="I12" s="26"/>
      <c r="J12" s="26"/>
      <c r="K12" s="26"/>
      <c r="L12" s="32"/>
      <c r="M12" s="26"/>
      <c r="N12" s="26"/>
      <c r="O12" s="26"/>
      <c r="P12" s="26"/>
      <c r="Q12" s="26"/>
      <c r="R12" s="26"/>
      <c r="S12" s="32"/>
      <c r="T12" s="26"/>
      <c r="U12" s="26"/>
      <c r="V12" s="32"/>
    </row>
    <row r="13" spans="1:38" ht="15">
      <c r="A13" s="9"/>
      <c r="B13" s="12"/>
      <c r="C13" s="33"/>
      <c r="D13" s="26" t="s">
        <v>5</v>
      </c>
      <c r="E13" s="32"/>
      <c r="F13" s="96">
        <v>73</v>
      </c>
      <c r="G13" s="96">
        <v>70</v>
      </c>
      <c r="H13" s="96">
        <v>0</v>
      </c>
      <c r="I13" s="96">
        <v>69</v>
      </c>
      <c r="J13" s="64">
        <f t="shared" ref="J13:J31" si="0">IFERROR(F13/G13-1,"n/a")</f>
        <v>4.2857142857142927E-2</v>
      </c>
      <c r="K13" s="64" t="str">
        <f>IFERROR(F13/H13-1,"n/a")</f>
        <v>n/a</v>
      </c>
      <c r="L13" s="60">
        <f>IFERROR(F13/I13-1,"n/a")</f>
        <v>5.7971014492753659E-2</v>
      </c>
      <c r="M13" s="68">
        <f>F13+'Nov-22'!M13</f>
        <v>346</v>
      </c>
      <c r="N13" s="68">
        <f>G13+'Nov-22'!N13</f>
        <v>111</v>
      </c>
      <c r="O13" s="68">
        <f>H13+'Nov-22'!O13</f>
        <v>145</v>
      </c>
      <c r="P13" s="68">
        <f>I13+'Nov-22'!P13</f>
        <v>386</v>
      </c>
      <c r="Q13" s="64">
        <f>IFERROR(M13/N13-1,"n/a")</f>
        <v>2.1171171171171173</v>
      </c>
      <c r="R13" s="64">
        <f>IFERROR(M13/O13-1,"n/a")</f>
        <v>1.386206896551724</v>
      </c>
      <c r="S13" s="60">
        <f>IFERROR(M13/P13-1,"n/a")</f>
        <v>-0.10362694300518138</v>
      </c>
      <c r="T13" s="68">
        <v>111</v>
      </c>
      <c r="U13" s="70">
        <v>145</v>
      </c>
      <c r="V13" s="78">
        <v>386</v>
      </c>
    </row>
    <row r="14" spans="1:38" ht="15">
      <c r="A14" s="9"/>
      <c r="B14" s="12"/>
      <c r="C14" s="33"/>
      <c r="D14" s="26" t="s">
        <v>11</v>
      </c>
      <c r="E14" s="32"/>
      <c r="F14" s="96">
        <f>108803+415</f>
        <v>109218</v>
      </c>
      <c r="G14" s="96">
        <v>52767</v>
      </c>
      <c r="H14" s="96">
        <v>0</v>
      </c>
      <c r="I14" s="96">
        <v>120203</v>
      </c>
      <c r="J14" s="64">
        <f t="shared" si="0"/>
        <v>1.0698163624992891</v>
      </c>
      <c r="K14" s="64" t="str">
        <f>IFERROR(F14/H14-1,"n/a")</f>
        <v>n/a</v>
      </c>
      <c r="L14" s="60">
        <f>IFERROR(F14/I14-1,"n/a")</f>
        <v>-9.1387070206234489E-2</v>
      </c>
      <c r="M14" s="68">
        <f>F14+'Nov-22'!M14</f>
        <v>380182</v>
      </c>
      <c r="N14" s="68">
        <f>G14+'Nov-22'!N14</f>
        <v>80863</v>
      </c>
      <c r="O14" s="68">
        <f>H14+'Nov-22'!O14</f>
        <v>258885</v>
      </c>
      <c r="P14" s="68">
        <f>I14+'Nov-22'!P14</f>
        <v>733296</v>
      </c>
      <c r="Q14" s="64">
        <f>IFERROR(M14/N14-1,"n/a")</f>
        <v>3.7015569543548965</v>
      </c>
      <c r="R14" s="64">
        <f>IFERROR(M14/O14-1,"n/a")</f>
        <v>0.46853622264712125</v>
      </c>
      <c r="S14" s="60">
        <f>IFERROR(M14/P14-1,"n/a")</f>
        <v>-0.48154360585629818</v>
      </c>
      <c r="T14" s="68">
        <v>80863</v>
      </c>
      <c r="U14" s="70">
        <v>258885</v>
      </c>
      <c r="V14" s="78">
        <v>733296</v>
      </c>
    </row>
    <row r="15" spans="1:38" ht="15">
      <c r="A15" s="9"/>
      <c r="B15" s="12"/>
      <c r="C15" s="31" t="s">
        <v>74</v>
      </c>
      <c r="D15" s="26"/>
      <c r="E15" s="32"/>
      <c r="F15" s="97"/>
      <c r="G15" s="97"/>
      <c r="H15" s="97"/>
      <c r="I15" s="97"/>
      <c r="J15" s="64"/>
      <c r="K15" s="64"/>
      <c r="L15" s="61"/>
      <c r="M15" s="87"/>
      <c r="N15" s="87"/>
      <c r="O15" s="87"/>
      <c r="P15" s="87"/>
      <c r="Q15" s="64"/>
      <c r="R15" s="65"/>
      <c r="S15" s="61"/>
      <c r="T15" s="43"/>
      <c r="U15" s="44"/>
      <c r="V15" s="79"/>
    </row>
    <row r="16" spans="1:38" ht="15">
      <c r="A16" s="9"/>
      <c r="B16" s="12"/>
      <c r="C16" s="33"/>
      <c r="D16" s="26" t="s">
        <v>5</v>
      </c>
      <c r="E16" s="32"/>
      <c r="F16" s="96">
        <v>31</v>
      </c>
      <c r="G16" s="96">
        <v>25</v>
      </c>
      <c r="H16" s="96">
        <v>0</v>
      </c>
      <c r="I16" s="96">
        <v>20</v>
      </c>
      <c r="J16" s="64">
        <f t="shared" si="0"/>
        <v>0.24</v>
      </c>
      <c r="K16" s="64" t="str">
        <f>IFERROR(F16/H16-1,"n/a")</f>
        <v>n/a</v>
      </c>
      <c r="L16" s="60">
        <f>IFERROR(F16/I16-1,"n/a")</f>
        <v>0.55000000000000004</v>
      </c>
      <c r="M16" s="68">
        <f>F16+'Nov-22'!M16</f>
        <v>778</v>
      </c>
      <c r="N16" s="68">
        <f>G16+'Nov-22'!N16</f>
        <v>283</v>
      </c>
      <c r="O16" s="68">
        <f>H16+'Nov-22'!O16</f>
        <v>43</v>
      </c>
      <c r="P16" s="68">
        <f>I16+'Nov-22'!P16</f>
        <v>827</v>
      </c>
      <c r="Q16" s="64">
        <f>IFERROR(M16/N16-1,"n/a")</f>
        <v>1.7491166077738516</v>
      </c>
      <c r="R16" s="64">
        <f>IFERROR(M16/O16-1,"n/a")</f>
        <v>17.093023255813954</v>
      </c>
      <c r="S16" s="60">
        <f>IFERROR(M16/P16-1,"n/a")</f>
        <v>-5.9250302297460755E-2</v>
      </c>
      <c r="T16" s="68">
        <v>283</v>
      </c>
      <c r="U16" s="70">
        <v>43</v>
      </c>
      <c r="V16" s="78">
        <v>827</v>
      </c>
    </row>
    <row r="17" spans="1:46" ht="15">
      <c r="A17" s="9"/>
      <c r="B17" s="12"/>
      <c r="C17" s="33"/>
      <c r="D17" s="26" t="s">
        <v>11</v>
      </c>
      <c r="E17" s="32"/>
      <c r="F17" s="96">
        <v>88390</v>
      </c>
      <c r="G17" s="96">
        <v>39214</v>
      </c>
      <c r="H17" s="96">
        <v>0</v>
      </c>
      <c r="I17" s="96">
        <v>58943</v>
      </c>
      <c r="J17" s="64">
        <f t="shared" si="0"/>
        <v>1.2540419238027236</v>
      </c>
      <c r="K17" s="64" t="str">
        <f>IFERROR(F17/H17-1,"n/a")</f>
        <v>n/a</v>
      </c>
      <c r="L17" s="60">
        <f>IFERROR(F17/I17-1,"n/a")</f>
        <v>0.49958434419693609</v>
      </c>
      <c r="M17" s="68">
        <f>F17+'Nov-22'!M17</f>
        <v>1843624</v>
      </c>
      <c r="N17" s="68">
        <f>G17+'Nov-22'!N17</f>
        <v>465109</v>
      </c>
      <c r="O17" s="68">
        <f>H17+'Nov-22'!O17</f>
        <v>140552</v>
      </c>
      <c r="P17" s="68">
        <f>I17+'Nov-22'!P17</f>
        <v>2552942</v>
      </c>
      <c r="Q17" s="64">
        <f>IFERROR(M17/N17-1,"n/a")</f>
        <v>2.9638536343093769</v>
      </c>
      <c r="R17" s="64">
        <f>IFERROR(M17/O17-1,"n/a")</f>
        <v>12.117024304172121</v>
      </c>
      <c r="S17" s="60">
        <f>IFERROR(M17/P17-1,"n/a")</f>
        <v>-0.27784336659430575</v>
      </c>
      <c r="T17" s="68">
        <v>465109</v>
      </c>
      <c r="U17" s="70">
        <v>140552</v>
      </c>
      <c r="V17" s="78">
        <v>2552942</v>
      </c>
    </row>
    <row r="18" spans="1:46" ht="15">
      <c r="A18" s="9"/>
      <c r="B18" s="12"/>
      <c r="C18" s="31" t="s">
        <v>15</v>
      </c>
      <c r="D18" s="26"/>
      <c r="E18" s="32"/>
      <c r="F18" s="72"/>
      <c r="G18" s="98"/>
      <c r="H18" s="98"/>
      <c r="I18" s="98"/>
      <c r="J18" s="64"/>
      <c r="K18" s="64"/>
      <c r="L18" s="60"/>
      <c r="M18" s="87"/>
      <c r="N18" s="87"/>
      <c r="O18" s="87"/>
      <c r="P18" s="87"/>
      <c r="Q18" s="64"/>
      <c r="R18" s="64"/>
      <c r="S18" s="60"/>
      <c r="T18" s="43"/>
      <c r="U18" s="44"/>
      <c r="V18" s="79"/>
    </row>
    <row r="19" spans="1:46" ht="15">
      <c r="A19" s="9"/>
      <c r="B19" s="12"/>
      <c r="C19" s="33"/>
      <c r="D19" s="26" t="s">
        <v>5</v>
      </c>
      <c r="E19" s="32"/>
      <c r="F19" s="74">
        <v>9</v>
      </c>
      <c r="G19" s="96">
        <v>3</v>
      </c>
      <c r="H19" s="96">
        <v>0</v>
      </c>
      <c r="I19" s="96">
        <v>9</v>
      </c>
      <c r="J19" s="64">
        <f t="shared" si="0"/>
        <v>2</v>
      </c>
      <c r="K19" s="64" t="str">
        <f>IFERROR(F19/H19-1,"n/a")</f>
        <v>n/a</v>
      </c>
      <c r="L19" s="60">
        <f>IFERROR(F19/I19-1,"n/a")</f>
        <v>0</v>
      </c>
      <c r="M19" s="68">
        <f>F19+'Nov-22'!M19</f>
        <v>475</v>
      </c>
      <c r="N19" s="68">
        <f>G19+'Nov-22'!N19</f>
        <v>23</v>
      </c>
      <c r="O19" s="68">
        <f>H19+'Nov-22'!O19</f>
        <v>4</v>
      </c>
      <c r="P19" s="68">
        <f>I19+'Nov-22'!P19</f>
        <v>191</v>
      </c>
      <c r="Q19" s="64">
        <f>IFERROR(M19/N19-1,"n/a")</f>
        <v>19.652173913043477</v>
      </c>
      <c r="R19" s="64">
        <f>IFERROR(M19/O19-1,"n/a")</f>
        <v>117.75</v>
      </c>
      <c r="S19" s="60">
        <f>IFERROR(M19/P19-1,"n/a")</f>
        <v>1.4869109947643979</v>
      </c>
      <c r="T19" s="68">
        <v>23</v>
      </c>
      <c r="U19" s="70">
        <v>4</v>
      </c>
      <c r="V19" s="78">
        <v>191</v>
      </c>
    </row>
    <row r="20" spans="1:46" ht="15">
      <c r="A20" s="9"/>
      <c r="B20" s="12"/>
      <c r="C20" s="33"/>
      <c r="D20" s="26" t="s">
        <v>11</v>
      </c>
      <c r="E20" s="32"/>
      <c r="F20" s="74">
        <v>6157</v>
      </c>
      <c r="G20" s="96">
        <v>864</v>
      </c>
      <c r="H20" s="96">
        <v>0</v>
      </c>
      <c r="I20" s="96">
        <v>9825</v>
      </c>
      <c r="J20" s="64">
        <f t="shared" si="0"/>
        <v>6.1261574074074074</v>
      </c>
      <c r="K20" s="64" t="str">
        <f>IFERROR(F20/H20-1,"n/a")</f>
        <v>n/a</v>
      </c>
      <c r="L20" s="60">
        <f t="shared" ref="L20:L31" si="1">IFERROR(F20/I20-1,"n/a")</f>
        <v>-0.37333333333333329</v>
      </c>
      <c r="M20" s="68">
        <f>F20+'Nov-22'!M20</f>
        <v>561984</v>
      </c>
      <c r="N20" s="68">
        <f>G20+'Nov-22'!N20</f>
        <v>8611</v>
      </c>
      <c r="O20" s="68">
        <f>H20+'Nov-22'!O20</f>
        <v>1753</v>
      </c>
      <c r="P20" s="68">
        <f>I20+'Nov-22'!P20</f>
        <v>254421</v>
      </c>
      <c r="Q20" s="64">
        <f>IFERROR(M20/N20-1,"n/a")</f>
        <v>64.263500174195798</v>
      </c>
      <c r="R20" s="64">
        <f>IFERROR(M20/O20-1,"n/a")</f>
        <v>319.58414147176268</v>
      </c>
      <c r="S20" s="60">
        <f>IFERROR(M20/P20-1,"n/a")</f>
        <v>1.2088742674543376</v>
      </c>
      <c r="T20" s="68">
        <v>8611</v>
      </c>
      <c r="U20" s="70">
        <v>1753</v>
      </c>
      <c r="V20" s="78">
        <v>254421</v>
      </c>
    </row>
    <row r="21" spans="1:46" ht="15">
      <c r="A21" s="9"/>
      <c r="B21" s="12"/>
      <c r="C21" s="31" t="s">
        <v>10</v>
      </c>
      <c r="D21" s="26"/>
      <c r="E21" s="34"/>
      <c r="F21" s="72"/>
      <c r="G21" s="98"/>
      <c r="H21" s="98"/>
      <c r="I21" s="98"/>
      <c r="J21" s="64"/>
      <c r="K21" s="64"/>
      <c r="L21" s="60"/>
      <c r="M21" s="87"/>
      <c r="N21" s="87"/>
      <c r="O21" s="87"/>
      <c r="P21" s="87"/>
      <c r="Q21" s="64"/>
      <c r="R21" s="64"/>
      <c r="S21" s="60"/>
      <c r="T21" s="43"/>
      <c r="U21" s="44"/>
      <c r="V21" s="79"/>
    </row>
    <row r="22" spans="1:46" ht="15">
      <c r="A22" s="9"/>
      <c r="B22" s="12"/>
      <c r="C22" s="33"/>
      <c r="D22" s="26" t="s">
        <v>5</v>
      </c>
      <c r="E22" s="34"/>
      <c r="F22" s="74">
        <v>118</v>
      </c>
      <c r="G22" s="96">
        <v>102</v>
      </c>
      <c r="H22" s="96">
        <v>0</v>
      </c>
      <c r="I22" s="96">
        <v>131</v>
      </c>
      <c r="J22" s="64">
        <f t="shared" si="0"/>
        <v>0.15686274509803932</v>
      </c>
      <c r="K22" s="64" t="str">
        <f>IFERROR(F22/H22-1,"n/a")</f>
        <v>n/a</v>
      </c>
      <c r="L22" s="60">
        <f t="shared" si="1"/>
        <v>-9.92366412213741E-2</v>
      </c>
      <c r="M22" s="68">
        <f>F22+'Nov-22'!M22</f>
        <v>1140</v>
      </c>
      <c r="N22" s="68">
        <f>G22+'Nov-22'!N22</f>
        <v>411</v>
      </c>
      <c r="O22" s="68">
        <f>H22+'Nov-22'!O22</f>
        <v>406</v>
      </c>
      <c r="P22" s="68">
        <f>I22+'Nov-22'!P22</f>
        <v>1205</v>
      </c>
      <c r="Q22" s="64">
        <f>IFERROR(M22/N22-1,"n/a")</f>
        <v>1.7737226277372264</v>
      </c>
      <c r="R22" s="64">
        <f>IFERROR(M22/O22-1,"n/a")</f>
        <v>1.8078817733990147</v>
      </c>
      <c r="S22" s="60">
        <f>IFERROR(M22/P22-1,"n/a")</f>
        <v>-5.3941908713692976E-2</v>
      </c>
      <c r="T22" s="68">
        <v>411</v>
      </c>
      <c r="U22" s="70">
        <v>406</v>
      </c>
      <c r="V22" s="78">
        <v>1205</v>
      </c>
    </row>
    <row r="23" spans="1:46" ht="15">
      <c r="A23" s="9"/>
      <c r="B23" s="12"/>
      <c r="C23" s="33"/>
      <c r="D23" s="26" t="s">
        <v>11</v>
      </c>
      <c r="E23" s="32"/>
      <c r="F23" s="74">
        <v>409516</v>
      </c>
      <c r="G23" s="96">
        <v>200450</v>
      </c>
      <c r="H23" s="96">
        <v>0</v>
      </c>
      <c r="I23" s="96">
        <v>386408</v>
      </c>
      <c r="J23" s="64">
        <f t="shared" si="0"/>
        <v>1.0429832876028935</v>
      </c>
      <c r="K23" s="64" t="str">
        <f>IFERROR(F23/H23-1,"n/a")</f>
        <v>n/a</v>
      </c>
      <c r="L23" s="60">
        <f t="shared" si="1"/>
        <v>5.9802074491211332E-2</v>
      </c>
      <c r="M23" s="68">
        <f>F23+'Nov-22'!M23</f>
        <v>3212646</v>
      </c>
      <c r="N23" s="68">
        <f>G23+'Nov-22'!N23</f>
        <v>687449</v>
      </c>
      <c r="O23" s="68">
        <f>H23+'Nov-22'!O23</f>
        <v>833999</v>
      </c>
      <c r="P23" s="68">
        <f>I23+'Nov-22'!P23</f>
        <v>3859183</v>
      </c>
      <c r="Q23" s="64">
        <f>IFERROR(M23/N23-1,"n/a")</f>
        <v>3.6732863092389403</v>
      </c>
      <c r="R23" s="64">
        <f>IFERROR(M23/O23-1,"n/a")</f>
        <v>2.8520981440025706</v>
      </c>
      <c r="S23" s="60">
        <f>IFERROR(M23/P23-1,"n/a")</f>
        <v>-0.16753209163701233</v>
      </c>
      <c r="T23" s="68">
        <v>687449</v>
      </c>
      <c r="U23" s="70">
        <v>833999</v>
      </c>
      <c r="V23" s="78">
        <v>3859183</v>
      </c>
    </row>
    <row r="24" spans="1:46" ht="15">
      <c r="A24" s="9"/>
      <c r="B24" s="12"/>
      <c r="C24" s="31" t="s">
        <v>16</v>
      </c>
      <c r="D24" s="26"/>
      <c r="E24" s="32"/>
      <c r="F24" s="72"/>
      <c r="G24" s="98"/>
      <c r="H24" s="98"/>
      <c r="I24" s="98"/>
      <c r="J24" s="64"/>
      <c r="K24" s="64"/>
      <c r="L24" s="60"/>
      <c r="M24" s="87"/>
      <c r="N24" s="87"/>
      <c r="O24" s="87"/>
      <c r="P24" s="87"/>
      <c r="Q24" s="64"/>
      <c r="R24" s="64"/>
      <c r="S24" s="60"/>
      <c r="T24" s="43"/>
      <c r="U24" s="44"/>
      <c r="V24" s="79"/>
    </row>
    <row r="25" spans="1:46" ht="15">
      <c r="A25" s="9"/>
      <c r="B25" s="12"/>
      <c r="C25" s="33"/>
      <c r="D25" s="26" t="s">
        <v>5</v>
      </c>
      <c r="E25" s="32"/>
      <c r="F25" s="74">
        <v>5</v>
      </c>
      <c r="G25" s="96">
        <v>7</v>
      </c>
      <c r="H25" s="96">
        <v>3</v>
      </c>
      <c r="I25" s="96">
        <v>44</v>
      </c>
      <c r="J25" s="64">
        <f t="shared" si="0"/>
        <v>-0.2857142857142857</v>
      </c>
      <c r="K25" s="64">
        <f>IFERROR(F25/H25-1,"n/a")</f>
        <v>0.66666666666666674</v>
      </c>
      <c r="L25" s="60">
        <f t="shared" si="1"/>
        <v>-0.88636363636363635</v>
      </c>
      <c r="M25" s="68">
        <f>F25+'Nov-22'!M25</f>
        <v>283</v>
      </c>
      <c r="N25" s="68">
        <f>G25+'Nov-22'!N25</f>
        <v>107</v>
      </c>
      <c r="O25" s="68">
        <f>H25+'Nov-22'!O25</f>
        <v>32</v>
      </c>
      <c r="P25" s="68">
        <f>I25+'Nov-22'!P25</f>
        <v>372</v>
      </c>
      <c r="Q25" s="64">
        <f>IFERROR(M25/N25-1,"n/a")</f>
        <v>1.6448598130841123</v>
      </c>
      <c r="R25" s="64">
        <f>IFERROR(M25/O25-1,"n/a")</f>
        <v>7.84375</v>
      </c>
      <c r="S25" s="60">
        <f>IFERROR(M25/P25-1,"n/a")</f>
        <v>-0.239247311827957</v>
      </c>
      <c r="T25" s="68">
        <v>107</v>
      </c>
      <c r="U25" s="70">
        <v>32</v>
      </c>
      <c r="V25" s="78">
        <v>372</v>
      </c>
    </row>
    <row r="26" spans="1:46" ht="15">
      <c r="A26" s="9"/>
      <c r="B26" s="12"/>
      <c r="C26" s="33"/>
      <c r="D26" s="26" t="s">
        <v>11</v>
      </c>
      <c r="E26" s="32"/>
      <c r="F26" s="74">
        <v>20252</v>
      </c>
      <c r="G26" s="96">
        <v>13748</v>
      </c>
      <c r="H26" s="96">
        <v>1045</v>
      </c>
      <c r="I26" s="96">
        <v>52611</v>
      </c>
      <c r="J26" s="64">
        <f t="shared" si="0"/>
        <v>0.47308699447192315</v>
      </c>
      <c r="K26" s="64">
        <f>IFERROR(F26/H26-1,"n/a")</f>
        <v>18.379904306220094</v>
      </c>
      <c r="L26" s="60">
        <f t="shared" si="1"/>
        <v>-0.61506148904221547</v>
      </c>
      <c r="M26" s="68">
        <f>F26+'Nov-22'!M26</f>
        <v>530405</v>
      </c>
      <c r="N26" s="68">
        <f>G26+'Nov-22'!N26</f>
        <v>147132</v>
      </c>
      <c r="O26" s="68">
        <f>H26+'Nov-22'!O26</f>
        <v>59180</v>
      </c>
      <c r="P26" s="68">
        <f>I26+'Nov-22'!P26</f>
        <v>902015</v>
      </c>
      <c r="Q26" s="64">
        <f>IFERROR(M26/N26-1,"n/a")</f>
        <v>2.6049601718185031</v>
      </c>
      <c r="R26" s="64">
        <f>IFERROR(M26/O26-1,"n/a")</f>
        <v>7.9625718148022973</v>
      </c>
      <c r="S26" s="60">
        <f>IFERROR(M26/P26-1,"n/a")</f>
        <v>-0.41197762786649894</v>
      </c>
      <c r="T26" s="68">
        <v>147132</v>
      </c>
      <c r="U26" s="70">
        <v>59180</v>
      </c>
      <c r="V26" s="78">
        <v>902015</v>
      </c>
    </row>
    <row r="27" spans="1:46" ht="15">
      <c r="A27" s="9"/>
      <c r="B27" s="12"/>
      <c r="C27" s="31" t="s">
        <v>17</v>
      </c>
      <c r="D27" s="26"/>
      <c r="E27" s="32"/>
      <c r="F27" s="72"/>
      <c r="G27" s="98"/>
      <c r="H27" s="98"/>
      <c r="I27" s="98"/>
      <c r="J27" s="64"/>
      <c r="K27" s="64"/>
      <c r="L27" s="60"/>
      <c r="M27" s="87"/>
      <c r="N27" s="87"/>
      <c r="O27" s="87"/>
      <c r="P27" s="87"/>
      <c r="Q27" s="64"/>
      <c r="R27" s="64"/>
      <c r="S27" s="60"/>
      <c r="T27" s="43"/>
      <c r="U27" s="44"/>
      <c r="V27" s="79"/>
    </row>
    <row r="28" spans="1:46" ht="15">
      <c r="B28" s="12"/>
      <c r="C28" s="33"/>
      <c r="D28" s="26" t="s">
        <v>5</v>
      </c>
      <c r="E28" s="32"/>
      <c r="F28" s="74">
        <f>1+36</f>
        <v>37</v>
      </c>
      <c r="G28" s="96">
        <v>0</v>
      </c>
      <c r="H28" s="96">
        <v>5</v>
      </c>
      <c r="I28" s="96">
        <v>18</v>
      </c>
      <c r="J28" s="64" t="str">
        <f t="shared" si="0"/>
        <v>n/a</v>
      </c>
      <c r="K28" s="64">
        <f>IFERROR(F28/H28-1,"n/a")</f>
        <v>6.4</v>
      </c>
      <c r="L28" s="60">
        <f t="shared" si="1"/>
        <v>1.0555555555555554</v>
      </c>
      <c r="M28" s="68">
        <f>F28+'Nov-22'!M28</f>
        <v>605</v>
      </c>
      <c r="N28" s="68">
        <f>G28+'Nov-22'!N28</f>
        <v>127</v>
      </c>
      <c r="O28" s="68">
        <f>H28+'Nov-22'!O28</f>
        <v>37</v>
      </c>
      <c r="P28" s="68">
        <f>I28+'Nov-22'!P28</f>
        <v>363</v>
      </c>
      <c r="Q28" s="64">
        <f>IFERROR(M28/N28-1,"n/a")</f>
        <v>3.7637795275590555</v>
      </c>
      <c r="R28" s="64">
        <f>IFERROR(M28/O28-1,"n/a")</f>
        <v>15.351351351351351</v>
      </c>
      <c r="S28" s="60">
        <f>IFERROR(M28/P28-1,"n/a")</f>
        <v>0.66666666666666674</v>
      </c>
      <c r="T28" s="68">
        <v>127</v>
      </c>
      <c r="U28" s="70">
        <v>37</v>
      </c>
      <c r="V28" s="78">
        <f>282+81</f>
        <v>363</v>
      </c>
    </row>
    <row r="29" spans="1:46" ht="15">
      <c r="A29" s="9"/>
      <c r="B29" s="12"/>
      <c r="C29" s="33"/>
      <c r="D29" s="26" t="s">
        <v>11</v>
      </c>
      <c r="E29" s="32"/>
      <c r="F29" s="74">
        <f>2108+606+127100</f>
        <v>129814</v>
      </c>
      <c r="G29" s="96">
        <v>0</v>
      </c>
      <c r="H29" s="96">
        <v>10369</v>
      </c>
      <c r="I29" s="96">
        <v>10666</v>
      </c>
      <c r="J29" s="64" t="str">
        <f t="shared" si="0"/>
        <v>n/a</v>
      </c>
      <c r="K29" s="64">
        <f>IFERROR(F29/H29-1,"n/a")</f>
        <v>11.519432925065098</v>
      </c>
      <c r="L29" s="60">
        <f t="shared" si="1"/>
        <v>11.170823176448527</v>
      </c>
      <c r="M29" s="68">
        <f>F29+'Nov-22'!M29</f>
        <v>1098243</v>
      </c>
      <c r="N29" s="68">
        <f>G29+'Nov-22'!N29</f>
        <v>165083</v>
      </c>
      <c r="O29" s="68">
        <f>H29+'Nov-22'!O29</f>
        <v>29062</v>
      </c>
      <c r="P29" s="68">
        <f>I29+'Nov-22'!P29</f>
        <v>867164</v>
      </c>
      <c r="Q29" s="64">
        <f>IFERROR(M29/N29-1,"n/a")</f>
        <v>5.6526716863638287</v>
      </c>
      <c r="R29" s="64">
        <f>IFERROR(M29/O29-1,"n/a")</f>
        <v>36.789656596242516</v>
      </c>
      <c r="S29" s="60">
        <f>IFERROR(M29/P29-1,"n/a")</f>
        <v>0.2664766987559446</v>
      </c>
      <c r="T29" s="68">
        <v>165083</v>
      </c>
      <c r="U29" s="70">
        <f>20768+8294</f>
        <v>29062</v>
      </c>
      <c r="V29" s="78">
        <f>659951+168729+38484</f>
        <v>867164</v>
      </c>
    </row>
    <row r="30" spans="1:46" ht="15" customHeight="1" thickBot="1">
      <c r="A30" s="9"/>
      <c r="B30" s="12"/>
      <c r="C30" s="35" t="s">
        <v>12</v>
      </c>
      <c r="D30" s="36"/>
      <c r="E30" s="37"/>
      <c r="F30" s="75">
        <f t="shared" ref="F30:I31" si="2">F13+F16+F19+F22+F25+F28</f>
        <v>273</v>
      </c>
      <c r="G30" s="75">
        <f>G13+G16+G19+G22+G25+G28</f>
        <v>207</v>
      </c>
      <c r="H30" s="75">
        <f t="shared" si="2"/>
        <v>8</v>
      </c>
      <c r="I30" s="75">
        <f t="shared" si="2"/>
        <v>291</v>
      </c>
      <c r="J30" s="66">
        <f t="shared" si="0"/>
        <v>0.31884057971014501</v>
      </c>
      <c r="K30" s="66">
        <f>IFERROR(F30/H30-1,"n/a")</f>
        <v>33.125</v>
      </c>
      <c r="L30" s="62">
        <f t="shared" si="1"/>
        <v>-6.1855670103092786E-2</v>
      </c>
      <c r="M30" s="46">
        <f t="shared" ref="M30:P31" si="3">M13+M16+M19+M22+M25+M28</f>
        <v>3627</v>
      </c>
      <c r="N30" s="46">
        <f t="shared" si="3"/>
        <v>1062</v>
      </c>
      <c r="O30" s="46">
        <f t="shared" si="3"/>
        <v>667</v>
      </c>
      <c r="P30" s="46">
        <f t="shared" si="3"/>
        <v>3344</v>
      </c>
      <c r="Q30" s="66">
        <f>IFERROR(M30/N30-1,"n/a")</f>
        <v>2.4152542372881354</v>
      </c>
      <c r="R30" s="66">
        <f>IFERROR(M30/O30-1,"n/a")</f>
        <v>4.437781109445277</v>
      </c>
      <c r="S30" s="62">
        <f>IFERROR(M30/P30-1,"n/a")</f>
        <v>8.4629186602870776E-2</v>
      </c>
      <c r="T30" s="46">
        <f t="shared" ref="T30:V31" si="4">T13+T16+T19+T22+T25+T28</f>
        <v>1062</v>
      </c>
      <c r="U30" s="46">
        <f t="shared" si="4"/>
        <v>667</v>
      </c>
      <c r="V30" s="80">
        <f t="shared" si="4"/>
        <v>3344</v>
      </c>
    </row>
    <row r="31" spans="1:46" s="22" customFormat="1" ht="15" customHeight="1" thickTop="1" thickBot="1">
      <c r="A31" s="9"/>
      <c r="B31" s="12"/>
      <c r="C31" s="38" t="s">
        <v>13</v>
      </c>
      <c r="D31" s="39"/>
      <c r="E31" s="40"/>
      <c r="F31" s="76">
        <f t="shared" si="2"/>
        <v>763347</v>
      </c>
      <c r="G31" s="76">
        <f t="shared" si="2"/>
        <v>307043</v>
      </c>
      <c r="H31" s="76">
        <f t="shared" si="2"/>
        <v>11414</v>
      </c>
      <c r="I31" s="76">
        <f t="shared" si="2"/>
        <v>638656</v>
      </c>
      <c r="J31" s="67">
        <f t="shared" si="0"/>
        <v>1.48612409336803</v>
      </c>
      <c r="K31" s="67">
        <f>IFERROR(F31/H31-1,"n/a")</f>
        <v>65.87813211845102</v>
      </c>
      <c r="L31" s="63">
        <f t="shared" si="1"/>
        <v>0.19523969085078674</v>
      </c>
      <c r="M31" s="47">
        <f t="shared" si="3"/>
        <v>7627084</v>
      </c>
      <c r="N31" s="47">
        <f t="shared" si="3"/>
        <v>1554247</v>
      </c>
      <c r="O31" s="47">
        <f t="shared" si="3"/>
        <v>1323431</v>
      </c>
      <c r="P31" s="47">
        <f t="shared" si="3"/>
        <v>9169021</v>
      </c>
      <c r="Q31" s="67">
        <f>IFERROR(M31/N31-1,"n/a")</f>
        <v>3.9072534803026802</v>
      </c>
      <c r="R31" s="67">
        <f>IFERROR(M31/O31-1,"n/a")</f>
        <v>4.7631142084475879</v>
      </c>
      <c r="S31" s="63">
        <f>IFERROR(M31/P31-1,"n/a")</f>
        <v>-0.16816811740315574</v>
      </c>
      <c r="T31" s="47">
        <f t="shared" si="4"/>
        <v>1554247</v>
      </c>
      <c r="U31" s="47">
        <f t="shared" si="4"/>
        <v>1323431</v>
      </c>
      <c r="V31" s="81">
        <f t="shared" si="4"/>
        <v>9169021</v>
      </c>
      <c r="W31" s="9"/>
      <c r="X31" s="21"/>
      <c r="Y31" s="21"/>
      <c r="Z31" s="21"/>
      <c r="AA31" s="21"/>
      <c r="AB31" s="21"/>
      <c r="AC31" s="21"/>
      <c r="AD31" s="21"/>
      <c r="AE31" s="21"/>
      <c r="AF31" s="21"/>
      <c r="AG31" s="21"/>
      <c r="AH31" s="21"/>
      <c r="AI31" s="21"/>
      <c r="AJ31" s="21"/>
      <c r="AK31" s="21"/>
      <c r="AL31" s="21"/>
    </row>
    <row r="32" spans="1:46" s="9" customFormat="1" ht="15" customHeight="1" thickTop="1">
      <c r="F32" s="41"/>
      <c r="G32" s="41"/>
      <c r="H32" s="41"/>
      <c r="I32" s="41"/>
      <c r="J32" s="41"/>
      <c r="K32" s="41"/>
      <c r="AM32"/>
      <c r="AN32"/>
      <c r="AO32"/>
      <c r="AP32"/>
      <c r="AQ32"/>
      <c r="AR32"/>
      <c r="AS32"/>
      <c r="AT32"/>
    </row>
    <row r="33" spans="2:46" s="9" customFormat="1" ht="23.1" customHeight="1">
      <c r="F33" s="41"/>
      <c r="G33" s="41"/>
      <c r="H33" s="41"/>
      <c r="I33" s="41"/>
      <c r="J33" s="41"/>
      <c r="K33" s="41"/>
      <c r="AM33"/>
      <c r="AN33"/>
      <c r="AO33"/>
      <c r="AP33"/>
      <c r="AQ33"/>
      <c r="AR33"/>
      <c r="AS33"/>
      <c r="AT33"/>
    </row>
    <row r="34" spans="2:46" s="9" customFormat="1" ht="15">
      <c r="B34" s="10"/>
      <c r="C34" s="86" t="s">
        <v>63</v>
      </c>
      <c r="D34" s="24"/>
      <c r="E34" s="24"/>
      <c r="F34" s="24"/>
      <c r="G34" s="24"/>
      <c r="H34" s="24"/>
      <c r="I34" s="95"/>
      <c r="J34" s="95"/>
      <c r="K34" s="95"/>
      <c r="L34" s="24"/>
      <c r="M34" s="24"/>
      <c r="N34" s="24"/>
      <c r="O34" s="24"/>
      <c r="P34" s="24"/>
      <c r="Q34" s="24"/>
      <c r="R34" s="24"/>
      <c r="S34" s="24"/>
      <c r="T34" s="24"/>
      <c r="U34" s="24"/>
      <c r="V34" s="24"/>
      <c r="AM34"/>
      <c r="AN34"/>
      <c r="AO34"/>
      <c r="AP34"/>
      <c r="AQ34"/>
      <c r="AR34"/>
      <c r="AS34"/>
      <c r="AT34"/>
    </row>
    <row r="35" spans="2:46" s="9" customFormat="1" ht="15">
      <c r="B35" s="10"/>
      <c r="C35" s="24"/>
      <c r="D35" s="24"/>
      <c r="E35" s="24"/>
      <c r="F35" s="24"/>
      <c r="G35" s="24"/>
      <c r="H35" s="24"/>
      <c r="I35" s="95"/>
      <c r="J35" s="95"/>
      <c r="K35" s="95"/>
      <c r="L35" s="24"/>
      <c r="M35" s="24"/>
      <c r="N35" s="24"/>
      <c r="O35" s="24"/>
      <c r="P35" s="24"/>
      <c r="Q35" s="24"/>
      <c r="R35" s="24"/>
      <c r="S35" s="24"/>
      <c r="T35" s="24"/>
      <c r="U35" s="24"/>
      <c r="V35" s="24"/>
      <c r="AM35"/>
      <c r="AN35"/>
      <c r="AO35"/>
      <c r="AP35"/>
      <c r="AQ35"/>
      <c r="AR35"/>
      <c r="AS35"/>
      <c r="AT35"/>
    </row>
    <row r="36" spans="2:46" s="9" customFormat="1" ht="15" customHeight="1">
      <c r="C36" s="27" t="s">
        <v>7</v>
      </c>
      <c r="D36" s="28"/>
      <c r="E36" s="28"/>
      <c r="F36" s="158" t="str">
        <f>F9</f>
        <v>December</v>
      </c>
      <c r="G36" s="158"/>
      <c r="H36" s="158"/>
      <c r="I36" s="158"/>
      <c r="J36" s="158"/>
      <c r="K36" s="158"/>
      <c r="L36" s="159"/>
      <c r="M36" s="157" t="s">
        <v>96</v>
      </c>
      <c r="N36" s="158"/>
      <c r="O36" s="158"/>
      <c r="P36" s="158"/>
      <c r="Q36" s="158"/>
      <c r="R36" s="158"/>
      <c r="S36" s="159"/>
      <c r="T36" s="157" t="s">
        <v>58</v>
      </c>
      <c r="U36" s="158"/>
      <c r="V36" s="160"/>
      <c r="AM36"/>
      <c r="AN36"/>
      <c r="AO36"/>
      <c r="AP36"/>
      <c r="AQ36"/>
      <c r="AR36"/>
      <c r="AS36"/>
      <c r="AT36"/>
    </row>
    <row r="37" spans="2:46" s="9" customFormat="1" ht="15" customHeight="1">
      <c r="C37" s="29"/>
      <c r="D37" s="30"/>
      <c r="E37" s="30"/>
      <c r="F37" s="29"/>
      <c r="G37" s="30"/>
      <c r="H37" s="30"/>
      <c r="I37" s="30"/>
      <c r="J37" s="30"/>
      <c r="K37" s="30"/>
      <c r="L37" s="56"/>
      <c r="M37" s="30"/>
      <c r="N37" s="30"/>
      <c r="O37" s="30"/>
      <c r="P37" s="30"/>
      <c r="Q37" s="30"/>
      <c r="R37" s="30"/>
      <c r="S37" s="56"/>
      <c r="T37" s="30"/>
      <c r="U37" s="30"/>
      <c r="V37" s="56"/>
      <c r="AM37"/>
      <c r="AN37"/>
      <c r="AO37"/>
      <c r="AP37"/>
      <c r="AQ37"/>
      <c r="AR37"/>
      <c r="AS37"/>
      <c r="AT37"/>
    </row>
    <row r="38" spans="2:46" s="9" customFormat="1" ht="33.6" customHeight="1">
      <c r="C38" s="59" t="s">
        <v>29</v>
      </c>
      <c r="D38" s="50"/>
      <c r="E38" s="51"/>
      <c r="F38" s="55">
        <v>2022</v>
      </c>
      <c r="G38" s="52">
        <v>2021</v>
      </c>
      <c r="H38" s="52">
        <v>2020</v>
      </c>
      <c r="I38" s="52">
        <v>2019</v>
      </c>
      <c r="J38" s="53" t="s">
        <v>36</v>
      </c>
      <c r="K38" s="53" t="s">
        <v>34</v>
      </c>
      <c r="L38" s="57" t="s">
        <v>35</v>
      </c>
      <c r="M38" s="53" t="s">
        <v>53</v>
      </c>
      <c r="N38" s="52" t="s">
        <v>54</v>
      </c>
      <c r="O38" s="52" t="s">
        <v>59</v>
      </c>
      <c r="P38" s="52" t="s">
        <v>64</v>
      </c>
      <c r="Q38" s="53" t="s">
        <v>66</v>
      </c>
      <c r="R38" s="53" t="s">
        <v>67</v>
      </c>
      <c r="S38" s="57" t="s">
        <v>68</v>
      </c>
      <c r="T38" s="53" t="s">
        <v>54</v>
      </c>
      <c r="U38" s="53" t="s">
        <v>65</v>
      </c>
      <c r="V38" s="57" t="s">
        <v>73</v>
      </c>
    </row>
    <row r="39" spans="2:46" s="9" customFormat="1" ht="15" customHeight="1">
      <c r="C39" s="31" t="s">
        <v>14</v>
      </c>
      <c r="D39" s="26"/>
      <c r="E39" s="32"/>
      <c r="F39" s="26"/>
      <c r="G39" s="26"/>
      <c r="H39" s="26"/>
      <c r="I39" s="26"/>
      <c r="J39" s="26"/>
      <c r="K39" s="26"/>
      <c r="L39" s="32"/>
      <c r="M39" s="26"/>
      <c r="N39" s="26"/>
      <c r="O39" s="26"/>
      <c r="Q39" s="26"/>
      <c r="R39" s="26"/>
      <c r="S39" s="32"/>
      <c r="T39" s="33"/>
      <c r="U39" s="88"/>
      <c r="V39" s="85"/>
    </row>
    <row r="40" spans="2:46" s="9" customFormat="1" ht="15" customHeight="1">
      <c r="C40" s="33"/>
      <c r="D40" s="26" t="s">
        <v>5</v>
      </c>
      <c r="E40" s="32"/>
      <c r="F40" s="74">
        <f t="shared" ref="F40:I41" si="5">F13</f>
        <v>73</v>
      </c>
      <c r="G40" s="74">
        <f t="shared" si="5"/>
        <v>70</v>
      </c>
      <c r="H40" s="74">
        <f t="shared" si="5"/>
        <v>0</v>
      </c>
      <c r="I40" s="74">
        <f t="shared" si="5"/>
        <v>69</v>
      </c>
      <c r="J40" s="64">
        <f>IFERROR(F40/G40-1,"n/a")</f>
        <v>4.2857142857142927E-2</v>
      </c>
      <c r="K40" s="64" t="str">
        <f>IFERROR(F40/H40-1,"n/a")</f>
        <v>n/a</v>
      </c>
      <c r="L40" s="60">
        <f>IFERROR(F40/I40-1,"n/a")</f>
        <v>5.7971014492753659E-2</v>
      </c>
      <c r="M40" s="70">
        <f>+M13-'Mar-22'!M10</f>
        <v>149</v>
      </c>
      <c r="N40" s="70">
        <f>+N13-'Mar-22'!N10</f>
        <v>111</v>
      </c>
      <c r="O40" s="82">
        <f>+O13-'Mar-22'!O10</f>
        <v>0</v>
      </c>
      <c r="P40" s="70">
        <f>+P13-'Mar-22'!P10</f>
        <v>186</v>
      </c>
      <c r="Q40" s="64">
        <f>IFERROR(M40/N40-1,"n/a")</f>
        <v>0.3423423423423424</v>
      </c>
      <c r="R40" s="64" t="str">
        <f>IFERROR(M40/O40-1,"n/a")</f>
        <v>n/a</v>
      </c>
      <c r="S40" s="60">
        <f>IFERROR(M40/P40-1,"n/a")</f>
        <v>-0.19892473118279574</v>
      </c>
      <c r="T40" s="89">
        <v>308</v>
      </c>
      <c r="U40" s="70">
        <v>145</v>
      </c>
      <c r="V40" s="78">
        <v>331</v>
      </c>
    </row>
    <row r="41" spans="2:46" s="9" customFormat="1" ht="15" customHeight="1">
      <c r="C41" s="33"/>
      <c r="D41" s="26" t="s">
        <v>11</v>
      </c>
      <c r="E41" s="32"/>
      <c r="F41" s="74">
        <f t="shared" si="5"/>
        <v>109218</v>
      </c>
      <c r="G41" s="74">
        <f t="shared" si="5"/>
        <v>52767</v>
      </c>
      <c r="H41" s="74">
        <f t="shared" si="5"/>
        <v>0</v>
      </c>
      <c r="I41" s="74">
        <f t="shared" si="5"/>
        <v>120203</v>
      </c>
      <c r="J41" s="64">
        <f>IFERROR(F41/G41-1,"n/a")</f>
        <v>1.0698163624992891</v>
      </c>
      <c r="K41" s="64" t="str">
        <f>IFERROR(F41/H41-1,"n/a")</f>
        <v>n/a</v>
      </c>
      <c r="L41" s="60">
        <f>IFERROR(F41/I41-1,"n/a")</f>
        <v>-9.1387070206234489E-2</v>
      </c>
      <c r="M41" s="82">
        <f>+M14-'Mar-22'!M11</f>
        <v>223854</v>
      </c>
      <c r="N41" s="82">
        <f>+N14-'Mar-22'!N11</f>
        <v>80863</v>
      </c>
      <c r="O41" s="82">
        <f>+O14-'Mar-22'!O11</f>
        <v>0</v>
      </c>
      <c r="P41" s="82">
        <f>+P14-'Mar-22'!P11</f>
        <v>347916</v>
      </c>
      <c r="Q41" s="64">
        <f>IFERROR(M41/N41-1,"n/a")</f>
        <v>1.768311836068412</v>
      </c>
      <c r="R41" s="64" t="str">
        <f>IFERROR(M41/O41-1,"n/a")</f>
        <v>n/a</v>
      </c>
      <c r="S41" s="60">
        <f>IFERROR(M41/P41-1,"n/a")</f>
        <v>-0.35658607250025864</v>
      </c>
      <c r="T41" s="89">
        <v>237191</v>
      </c>
      <c r="U41" s="84">
        <v>258885</v>
      </c>
      <c r="V41" s="78">
        <v>606801</v>
      </c>
    </row>
    <row r="42" spans="2:46" s="9" customFormat="1" ht="15" customHeight="1">
      <c r="C42" s="31" t="s">
        <v>20</v>
      </c>
      <c r="D42" s="26"/>
      <c r="E42" s="32"/>
      <c r="F42" s="26"/>
      <c r="G42" s="26"/>
      <c r="H42" s="26"/>
      <c r="I42" s="26"/>
      <c r="J42" s="64"/>
      <c r="K42" s="64"/>
      <c r="L42" s="61"/>
      <c r="M42" s="87"/>
      <c r="N42" s="87"/>
      <c r="O42" s="87"/>
      <c r="P42" s="87"/>
      <c r="Q42" s="65"/>
      <c r="R42" s="65"/>
      <c r="S42" s="61"/>
      <c r="T42" s="90"/>
      <c r="U42" s="44"/>
      <c r="V42" s="79"/>
    </row>
    <row r="43" spans="2:46" s="9" customFormat="1" ht="15" customHeight="1">
      <c r="C43" s="33"/>
      <c r="D43" s="26" t="s">
        <v>5</v>
      </c>
      <c r="E43" s="32"/>
      <c r="F43" s="74">
        <f t="shared" ref="F43:I44" si="6">F16</f>
        <v>31</v>
      </c>
      <c r="G43" s="74">
        <f t="shared" si="6"/>
        <v>25</v>
      </c>
      <c r="H43" s="74">
        <f t="shared" si="6"/>
        <v>0</v>
      </c>
      <c r="I43" s="74">
        <f t="shared" si="6"/>
        <v>20</v>
      </c>
      <c r="J43" s="64">
        <f>IFERROR(F43/G43-1,"n/a")</f>
        <v>0.24</v>
      </c>
      <c r="K43" s="64" t="str">
        <f>IFERROR(F43/H43-1,"n/a")</f>
        <v>n/a</v>
      </c>
      <c r="L43" s="60">
        <f>IFERROR(F43/I43-1,"n/a")</f>
        <v>0.55000000000000004</v>
      </c>
      <c r="M43" s="70">
        <f>+M16-'Mar-22'!M13</f>
        <v>725</v>
      </c>
      <c r="N43" s="70">
        <f>+N16-'Mar-22'!N13</f>
        <v>283</v>
      </c>
      <c r="O43" s="82">
        <f>+O16-'Mar-22'!O13</f>
        <v>0</v>
      </c>
      <c r="P43" s="70">
        <f>+P16-'Mar-22'!P13</f>
        <v>738</v>
      </c>
      <c r="Q43" s="64">
        <f>IFERROR(M43/N43-1,"n/a")</f>
        <v>1.5618374558303887</v>
      </c>
      <c r="R43" s="64" t="str">
        <f>IFERROR(M43/O43-1,"n/a")</f>
        <v>n/a</v>
      </c>
      <c r="S43" s="60">
        <f>IFERROR(M43/P43-1,"n/a")</f>
        <v>-1.7615176151761558E-2</v>
      </c>
      <c r="T43" s="89">
        <v>336</v>
      </c>
      <c r="U43" s="70">
        <v>43</v>
      </c>
      <c r="V43" s="78">
        <v>781</v>
      </c>
    </row>
    <row r="44" spans="2:46" s="9" customFormat="1" ht="15" customHeight="1">
      <c r="C44" s="33"/>
      <c r="D44" s="26" t="s">
        <v>11</v>
      </c>
      <c r="E44" s="32"/>
      <c r="F44" s="74">
        <f t="shared" si="6"/>
        <v>88390</v>
      </c>
      <c r="G44" s="74">
        <f t="shared" si="6"/>
        <v>39214</v>
      </c>
      <c r="H44" s="74">
        <f t="shared" si="6"/>
        <v>0</v>
      </c>
      <c r="I44" s="74">
        <f t="shared" si="6"/>
        <v>58943</v>
      </c>
      <c r="J44" s="64">
        <f>IFERROR(F44/G44-1,"n/a")</f>
        <v>1.2540419238027236</v>
      </c>
      <c r="K44" s="64" t="str">
        <f>IFERROR(F44/H44-1,"n/a")</f>
        <v>n/a</v>
      </c>
      <c r="L44" s="60">
        <f>IFERROR(F44/I44-1,"n/a")</f>
        <v>0.49958434419693609</v>
      </c>
      <c r="M44" s="82">
        <f>+M17-'Mar-22'!M14</f>
        <v>1775170</v>
      </c>
      <c r="N44" s="82">
        <f>+N17-'Mar-22'!N14</f>
        <v>465109</v>
      </c>
      <c r="O44" s="82">
        <f>+O17-'Mar-22'!O14</f>
        <v>0</v>
      </c>
      <c r="P44" s="82">
        <f>+P17-'Mar-22'!P14</f>
        <v>2301042</v>
      </c>
      <c r="Q44" s="64">
        <f>IFERROR(M44/N44-1,"n/a")</f>
        <v>2.8166752309673648</v>
      </c>
      <c r="R44" s="64" t="str">
        <f>IFERROR(M44/O44-1,"n/a")</f>
        <v>n/a</v>
      </c>
      <c r="S44" s="60">
        <f>IFERROR(M44/P44-1,"n/a")</f>
        <v>-0.22853646304587227</v>
      </c>
      <c r="T44" s="89">
        <v>533563</v>
      </c>
      <c r="U44" s="84">
        <v>140552</v>
      </c>
      <c r="V44" s="78">
        <v>2441594</v>
      </c>
    </row>
    <row r="45" spans="2:46" s="9" customFormat="1" ht="15" customHeight="1">
      <c r="C45" s="31" t="s">
        <v>15</v>
      </c>
      <c r="D45" s="26"/>
      <c r="E45" s="32"/>
      <c r="F45" s="87"/>
      <c r="G45" s="87"/>
      <c r="H45" s="87"/>
      <c r="I45" s="72"/>
      <c r="J45" s="64"/>
      <c r="K45" s="64"/>
      <c r="L45" s="60"/>
      <c r="M45" s="87"/>
      <c r="N45" s="87"/>
      <c r="O45" s="87"/>
      <c r="P45" s="87"/>
      <c r="Q45" s="64"/>
      <c r="R45" s="64"/>
      <c r="S45" s="60"/>
      <c r="T45" s="90"/>
      <c r="U45" s="44"/>
      <c r="V45" s="79"/>
    </row>
    <row r="46" spans="2:46" s="9" customFormat="1" ht="15" customHeight="1">
      <c r="C46" s="33"/>
      <c r="D46" s="26" t="s">
        <v>5</v>
      </c>
      <c r="E46" s="32"/>
      <c r="F46" s="74">
        <f t="shared" ref="F46:I47" si="7">F19</f>
        <v>9</v>
      </c>
      <c r="G46" s="74">
        <f t="shared" si="7"/>
        <v>3</v>
      </c>
      <c r="H46" s="74">
        <f t="shared" si="7"/>
        <v>0</v>
      </c>
      <c r="I46" s="74">
        <f t="shared" si="7"/>
        <v>9</v>
      </c>
      <c r="J46" s="64">
        <f>IFERROR(F46/G46-1,"n/a")</f>
        <v>2</v>
      </c>
      <c r="K46" s="64" t="str">
        <f>IFERROR(F46/H46-1,"n/a")</f>
        <v>n/a</v>
      </c>
      <c r="L46" s="60">
        <f>IFERROR(F46/I46-1,"n/a")</f>
        <v>0</v>
      </c>
      <c r="M46" s="70">
        <f>+M19-'Mar-22'!M16</f>
        <v>465</v>
      </c>
      <c r="N46" s="82">
        <f>+N19-'Mar-22'!N16</f>
        <v>23</v>
      </c>
      <c r="O46" s="82">
        <f>+O19-'Mar-22'!O16</f>
        <v>1</v>
      </c>
      <c r="P46" s="82">
        <f>+P19-'Mar-22'!P16</f>
        <v>185</v>
      </c>
      <c r="Q46" s="64">
        <f>IFERROR(M46/N46-1,"n/a")</f>
        <v>19.217391304347824</v>
      </c>
      <c r="R46" s="64">
        <f>IFERROR(M46/O46-1,"n/a")</f>
        <v>464</v>
      </c>
      <c r="S46" s="60">
        <f>IFERROR(M46/P46-1,"n/a")</f>
        <v>1.5135135135135136</v>
      </c>
      <c r="T46" s="89">
        <v>33</v>
      </c>
      <c r="U46" s="70">
        <v>4</v>
      </c>
      <c r="V46" s="78">
        <v>188</v>
      </c>
    </row>
    <row r="47" spans="2:46" s="9" customFormat="1" ht="15" customHeight="1">
      <c r="C47" s="33"/>
      <c r="D47" s="26" t="s">
        <v>11</v>
      </c>
      <c r="E47" s="32"/>
      <c r="F47" s="74">
        <f t="shared" si="7"/>
        <v>6157</v>
      </c>
      <c r="G47" s="74">
        <f t="shared" si="7"/>
        <v>864</v>
      </c>
      <c r="H47" s="74">
        <f t="shared" si="7"/>
        <v>0</v>
      </c>
      <c r="I47" s="74">
        <f t="shared" si="7"/>
        <v>9825</v>
      </c>
      <c r="J47" s="64">
        <f>IFERROR(F47/G47-1,"n/a")</f>
        <v>6.1261574074074074</v>
      </c>
      <c r="K47" s="64" t="str">
        <f>IFERROR(F47/H47-1,"n/a")</f>
        <v>n/a</v>
      </c>
      <c r="L47" s="60">
        <f>IFERROR(F47/I47-1,"n/a")</f>
        <v>-0.37333333333333329</v>
      </c>
      <c r="M47" s="82">
        <f>+M20-'Mar-22'!M17</f>
        <v>560512</v>
      </c>
      <c r="N47" s="82">
        <f>+N20-'Mar-22'!N17</f>
        <v>8611</v>
      </c>
      <c r="O47" s="82">
        <f>+O20-'Mar-22'!O17</f>
        <v>111</v>
      </c>
      <c r="P47" s="82">
        <f>+P20-'Mar-22'!P17</f>
        <v>249283</v>
      </c>
      <c r="Q47" s="64">
        <f>IFERROR(M47/N47-1,"n/a")</f>
        <v>64.092556032981065</v>
      </c>
      <c r="R47" s="64">
        <f>IFERROR(M47/O47-1,"n/a")</f>
        <v>5048.6576576576581</v>
      </c>
      <c r="S47" s="60">
        <f>IFERROR(M47/P47-1,"n/a")</f>
        <v>1.2484966885026254</v>
      </c>
      <c r="T47" s="82">
        <v>10083</v>
      </c>
      <c r="U47" s="84">
        <v>1753</v>
      </c>
      <c r="V47" s="78">
        <f>176097+74816</f>
        <v>250913</v>
      </c>
    </row>
    <row r="48" spans="2:46" s="9" customFormat="1" ht="15" customHeight="1">
      <c r="C48" s="31" t="s">
        <v>10</v>
      </c>
      <c r="D48" s="26"/>
      <c r="E48" s="34"/>
      <c r="F48" s="72"/>
      <c r="G48" s="72"/>
      <c r="H48" s="72"/>
      <c r="I48" s="72"/>
      <c r="J48" s="64"/>
      <c r="K48" s="64"/>
      <c r="L48" s="60"/>
      <c r="M48" s="87"/>
      <c r="N48" s="87"/>
      <c r="O48" s="87"/>
      <c r="P48" s="87"/>
      <c r="Q48" s="64"/>
      <c r="R48" s="64"/>
      <c r="S48" s="60"/>
      <c r="T48" s="90"/>
      <c r="U48" s="44"/>
      <c r="V48" s="79"/>
    </row>
    <row r="49" spans="1:46" s="9" customFormat="1" ht="15" customHeight="1">
      <c r="C49" s="33"/>
      <c r="D49" s="26" t="s">
        <v>5</v>
      </c>
      <c r="E49" s="34"/>
      <c r="F49" s="74">
        <f t="shared" ref="F49:I50" si="8">F22</f>
        <v>118</v>
      </c>
      <c r="G49" s="74">
        <f t="shared" si="8"/>
        <v>102</v>
      </c>
      <c r="H49" s="74">
        <f t="shared" si="8"/>
        <v>0</v>
      </c>
      <c r="I49" s="74">
        <f t="shared" si="8"/>
        <v>131</v>
      </c>
      <c r="J49" s="64">
        <f>IFERROR(F49/G49-1,"n/a")</f>
        <v>0.15686274509803932</v>
      </c>
      <c r="K49" s="64" t="str">
        <f>IFERROR(F49/H49-1,"n/a")</f>
        <v>n/a</v>
      </c>
      <c r="L49" s="60">
        <f>IFERROR(F49/I49-1,"n/a")</f>
        <v>-9.92366412213741E-2</v>
      </c>
      <c r="M49" s="70">
        <f>+M22-'Mar-22'!M19</f>
        <v>807</v>
      </c>
      <c r="N49" s="70">
        <f>+N22-'Mar-22'!N19</f>
        <v>411</v>
      </c>
      <c r="O49" s="70">
        <f>+O22-'Mar-22'!O19</f>
        <v>42</v>
      </c>
      <c r="P49" s="70">
        <f>+P22-'Mar-22'!P19</f>
        <v>889</v>
      </c>
      <c r="Q49" s="64">
        <f>IFERROR(M49/N49-1,"n/a")</f>
        <v>0.96350364963503643</v>
      </c>
      <c r="R49" s="64">
        <f>IFERROR(M49/O49-1,"n/a")</f>
        <v>18.214285714285715</v>
      </c>
      <c r="S49" s="60">
        <f>IFERROR(M49/P49-1,"n/a")</f>
        <v>-9.2238470191226107E-2</v>
      </c>
      <c r="T49" s="89">
        <v>744</v>
      </c>
      <c r="U49" s="84">
        <v>406</v>
      </c>
      <c r="V49" s="78">
        <v>1253</v>
      </c>
    </row>
    <row r="50" spans="1:46" s="9" customFormat="1" ht="15" customHeight="1">
      <c r="C50" s="33"/>
      <c r="D50" s="26" t="s">
        <v>11</v>
      </c>
      <c r="E50" s="32"/>
      <c r="F50" s="74">
        <f t="shared" si="8"/>
        <v>409516</v>
      </c>
      <c r="G50" s="74">
        <f t="shared" si="8"/>
        <v>200450</v>
      </c>
      <c r="H50" s="74">
        <f t="shared" si="8"/>
        <v>0</v>
      </c>
      <c r="I50" s="74">
        <f t="shared" si="8"/>
        <v>386408</v>
      </c>
      <c r="J50" s="64">
        <f>IFERROR(F50/G50-1,"n/a")</f>
        <v>1.0429832876028935</v>
      </c>
      <c r="K50" s="64" t="str">
        <f>IFERROR(F50/H50-1,"n/a")</f>
        <v>n/a</v>
      </c>
      <c r="L50" s="60">
        <f>IFERROR(F50/I50-1,"n/a")</f>
        <v>5.9802074491211332E-2</v>
      </c>
      <c r="M50" s="82">
        <f>+M23-'Mar-22'!M20</f>
        <v>2609316</v>
      </c>
      <c r="N50" s="82">
        <f>+N23-'Mar-22'!N20</f>
        <v>687449</v>
      </c>
      <c r="O50" s="82">
        <f>+O23-'Mar-22'!O20</f>
        <v>0</v>
      </c>
      <c r="P50" s="82">
        <f>+P23-'Mar-22'!P20</f>
        <v>2793459</v>
      </c>
      <c r="Q50" s="64">
        <f>IFERROR(M50/N50-1,"n/a")</f>
        <v>2.7956502955128308</v>
      </c>
      <c r="R50" s="64" t="str">
        <f>IFERROR(M50/O50-1,"n/a")</f>
        <v>n/a</v>
      </c>
      <c r="S50" s="60">
        <f>IFERROR(M50/P50-1,"n/a")</f>
        <v>-6.5919349451701303E-2</v>
      </c>
      <c r="T50" s="82">
        <v>1290779</v>
      </c>
      <c r="U50" s="84">
        <v>833999</v>
      </c>
      <c r="V50" s="78">
        <v>3627458</v>
      </c>
    </row>
    <row r="51" spans="1:46" s="9" customFormat="1" ht="15" customHeight="1">
      <c r="C51" s="31" t="s">
        <v>16</v>
      </c>
      <c r="D51" s="26"/>
      <c r="E51" s="32"/>
      <c r="F51" s="72"/>
      <c r="G51" s="72"/>
      <c r="H51" s="72"/>
      <c r="I51" s="72"/>
      <c r="J51" s="64"/>
      <c r="K51" s="64"/>
      <c r="L51" s="60"/>
      <c r="M51" s="87"/>
      <c r="N51" s="87"/>
      <c r="O51" s="87"/>
      <c r="P51" s="87"/>
      <c r="Q51" s="64"/>
      <c r="R51" s="64"/>
      <c r="S51" s="60"/>
      <c r="T51" s="90"/>
      <c r="U51" s="44"/>
      <c r="V51" s="79"/>
    </row>
    <row r="52" spans="1:46" s="9" customFormat="1" ht="15" customHeight="1">
      <c r="C52" s="33"/>
      <c r="D52" s="26" t="s">
        <v>5</v>
      </c>
      <c r="E52" s="32"/>
      <c r="F52" s="74">
        <f t="shared" ref="F52:I53" si="9">F25</f>
        <v>5</v>
      </c>
      <c r="G52" s="74">
        <f t="shared" si="9"/>
        <v>7</v>
      </c>
      <c r="H52" s="74">
        <f t="shared" si="9"/>
        <v>3</v>
      </c>
      <c r="I52" s="74">
        <f t="shared" si="9"/>
        <v>44</v>
      </c>
      <c r="J52" s="64">
        <f>IFERROR(F52/G52-1,"n/a")</f>
        <v>-0.2857142857142857</v>
      </c>
      <c r="K52" s="64">
        <f>IFERROR(F52/H52-1,"n/a")</f>
        <v>0.66666666666666674</v>
      </c>
      <c r="L52" s="60">
        <f>IFERROR(F52/I52-1,"n/a")</f>
        <v>-0.88636363636363635</v>
      </c>
      <c r="M52" s="70">
        <f>+M25-'Mar-22'!M22</f>
        <v>260</v>
      </c>
      <c r="N52" s="70">
        <f>+N25-'Mar-22'!N22</f>
        <v>98</v>
      </c>
      <c r="O52" s="82">
        <f>+O25-'Mar-22'!O22</f>
        <v>23</v>
      </c>
      <c r="P52" s="70">
        <f>+P25-'Mar-22'!P22</f>
        <v>352</v>
      </c>
      <c r="Q52" s="64">
        <f>IFERROR(M52/N52-1,"n/a")</f>
        <v>1.6530612244897958</v>
      </c>
      <c r="R52" s="64">
        <f>IFERROR(M52/O52-1,"n/a")</f>
        <v>10.304347826086957</v>
      </c>
      <c r="S52" s="60">
        <f>IFERROR(M52/P52-1,"n/a")</f>
        <v>-0.26136363636363635</v>
      </c>
      <c r="T52" s="89">
        <v>121</v>
      </c>
      <c r="U52" s="70">
        <v>41</v>
      </c>
      <c r="V52" s="78">
        <v>361</v>
      </c>
    </row>
    <row r="53" spans="1:46" s="9" customFormat="1" ht="15" customHeight="1">
      <c r="C53" s="33"/>
      <c r="D53" s="26" t="s">
        <v>11</v>
      </c>
      <c r="E53" s="32"/>
      <c r="F53" s="74">
        <f t="shared" si="9"/>
        <v>20252</v>
      </c>
      <c r="G53" s="74">
        <f t="shared" si="9"/>
        <v>13748</v>
      </c>
      <c r="H53" s="74">
        <f t="shared" si="9"/>
        <v>1045</v>
      </c>
      <c r="I53" s="74">
        <f t="shared" si="9"/>
        <v>52611</v>
      </c>
      <c r="J53" s="64">
        <f>IFERROR(F53/G53-1,"n/a")</f>
        <v>0.47308699447192315</v>
      </c>
      <c r="K53" s="64">
        <f>IFERROR(F53/H53-1,"n/a")</f>
        <v>18.379904306220094</v>
      </c>
      <c r="L53" s="60">
        <f>IFERROR(F53/I53-1,"n/a")</f>
        <v>-0.61506148904221547</v>
      </c>
      <c r="M53" s="82">
        <f>+M26-'Mar-22'!M23</f>
        <v>503884</v>
      </c>
      <c r="N53" s="82">
        <f>+N26-'Mar-22'!N23</f>
        <v>139168</v>
      </c>
      <c r="O53" s="82">
        <f>+O26-'Mar-22'!O23</f>
        <v>18959</v>
      </c>
      <c r="P53" s="82">
        <f>+P26-'Mar-22'!P23</f>
        <v>825740</v>
      </c>
      <c r="Q53" s="64">
        <f>IFERROR(M53/N53-1,"n/a")</f>
        <v>2.6206886640607037</v>
      </c>
      <c r="R53" s="64">
        <f>IFERROR(M53/O53-1,"n/a")</f>
        <v>25.577562107706104</v>
      </c>
      <c r="S53" s="60">
        <f>IFERROR(M53/P53-1,"n/a")</f>
        <v>-0.38977886501804437</v>
      </c>
      <c r="T53" s="82">
        <v>165689</v>
      </c>
      <c r="U53" s="84">
        <v>67144</v>
      </c>
      <c r="V53" s="78">
        <v>865961</v>
      </c>
    </row>
    <row r="54" spans="1:46" s="9" customFormat="1" ht="15" customHeight="1">
      <c r="A54"/>
      <c r="B54"/>
      <c r="C54" s="31" t="s">
        <v>17</v>
      </c>
      <c r="D54" s="26"/>
      <c r="E54" s="32"/>
      <c r="F54" s="72"/>
      <c r="G54" s="72"/>
      <c r="H54" s="72"/>
      <c r="I54" s="72"/>
      <c r="J54" s="64"/>
      <c r="K54" s="64"/>
      <c r="L54" s="60"/>
      <c r="M54" s="87"/>
      <c r="N54" s="87"/>
      <c r="O54" s="87"/>
      <c r="P54" s="87"/>
      <c r="Q54" s="64"/>
      <c r="R54" s="64"/>
      <c r="S54" s="60"/>
      <c r="T54" s="90"/>
      <c r="U54" s="44"/>
      <c r="V54" s="79"/>
      <c r="AM54"/>
      <c r="AN54"/>
      <c r="AO54"/>
      <c r="AP54"/>
      <c r="AQ54"/>
      <c r="AR54"/>
      <c r="AS54"/>
      <c r="AT54"/>
    </row>
    <row r="55" spans="1:46" s="9" customFormat="1" ht="15.6" customHeight="1">
      <c r="A55"/>
      <c r="B55"/>
      <c r="C55" s="33"/>
      <c r="D55" s="26" t="s">
        <v>5</v>
      </c>
      <c r="E55" s="32"/>
      <c r="F55" s="74">
        <f t="shared" ref="F55:I56" si="10">F28</f>
        <v>37</v>
      </c>
      <c r="G55" s="74">
        <f t="shared" si="10"/>
        <v>0</v>
      </c>
      <c r="H55" s="74">
        <f t="shared" si="10"/>
        <v>5</v>
      </c>
      <c r="I55" s="74">
        <f t="shared" si="10"/>
        <v>18</v>
      </c>
      <c r="J55" s="64" t="str">
        <f>IFERROR(F55/G55-1,"n/a")</f>
        <v>n/a</v>
      </c>
      <c r="K55" s="64">
        <f>IFERROR(F55/H55-1,"n/a")</f>
        <v>6.4</v>
      </c>
      <c r="L55" s="60">
        <f>IFERROR(F55/I55-1,"n/a")</f>
        <v>1.0555555555555554</v>
      </c>
      <c r="M55" s="70">
        <f>+M28-'Mar-22'!M25</f>
        <v>589</v>
      </c>
      <c r="N55" s="70">
        <f>+N28-'Mar-22'!N25</f>
        <v>124</v>
      </c>
      <c r="O55" s="70">
        <f>+O28-'Mar-22'!O25</f>
        <v>36</v>
      </c>
      <c r="P55" s="70">
        <f>+P28-'Mar-22'!P25</f>
        <v>359</v>
      </c>
      <c r="Q55" s="64">
        <f>IFERROR(M55/N55-1,"n/a")</f>
        <v>3.75</v>
      </c>
      <c r="R55" s="64">
        <f>IFERROR(M55/O55-1,"n/a")</f>
        <v>15.361111111111111</v>
      </c>
      <c r="S55" s="60">
        <f>IFERROR(M55/P55-1,"n/a")</f>
        <v>0.64066852367688032</v>
      </c>
      <c r="T55" s="89">
        <v>140</v>
      </c>
      <c r="U55" s="70">
        <v>40</v>
      </c>
      <c r="V55" s="78">
        <v>360</v>
      </c>
      <c r="AM55"/>
      <c r="AN55"/>
      <c r="AO55"/>
      <c r="AP55"/>
      <c r="AQ55"/>
      <c r="AR55"/>
      <c r="AS55"/>
      <c r="AT55"/>
    </row>
    <row r="56" spans="1:46" s="9" customFormat="1" ht="15.6" customHeight="1">
      <c r="A56"/>
      <c r="B56"/>
      <c r="C56" s="33"/>
      <c r="D56" s="26" t="s">
        <v>11</v>
      </c>
      <c r="E56" s="32"/>
      <c r="F56" s="74">
        <f t="shared" si="10"/>
        <v>129814</v>
      </c>
      <c r="G56" s="74">
        <f t="shared" si="10"/>
        <v>0</v>
      </c>
      <c r="H56" s="74">
        <f t="shared" si="10"/>
        <v>10369</v>
      </c>
      <c r="I56" s="74">
        <f t="shared" si="10"/>
        <v>10666</v>
      </c>
      <c r="J56" s="64" t="str">
        <f>IFERROR(F56/G56-1,"n/a")</f>
        <v>n/a</v>
      </c>
      <c r="K56" s="64">
        <f>IFERROR(F56/H56-1,"n/a")</f>
        <v>11.519432925065098</v>
      </c>
      <c r="L56" s="60">
        <f>IFERROR(F56/I56-1,"n/a")</f>
        <v>11.170823176448527</v>
      </c>
      <c r="M56" s="82">
        <f>+M29-'Mar-22'!M26</f>
        <v>1086643</v>
      </c>
      <c r="N56" s="82">
        <f>+N29-'Mar-22'!N26</f>
        <v>162944</v>
      </c>
      <c r="O56" s="82">
        <f>+O29-'Mar-22'!O26</f>
        <v>28170</v>
      </c>
      <c r="P56" s="82">
        <f>+P29-'Mar-22'!P26</f>
        <v>861055</v>
      </c>
      <c r="Q56" s="64">
        <f>IFERROR(M56/N56-1,"n/a")</f>
        <v>5.6688125981932442</v>
      </c>
      <c r="R56" s="64">
        <f>IFERROR(M56/O56-1,"n/a")</f>
        <v>37.574476393326236</v>
      </c>
      <c r="S56" s="60">
        <f>IFERROR(M56/P56-1,"n/a")</f>
        <v>0.261990232911951</v>
      </c>
      <c r="T56" s="82">
        <v>174336</v>
      </c>
      <c r="U56" s="84">
        <v>21928</v>
      </c>
      <c r="V56" s="78">
        <f>706948+155011</f>
        <v>861959</v>
      </c>
      <c r="AM56"/>
      <c r="AN56"/>
      <c r="AO56"/>
      <c r="AP56"/>
      <c r="AQ56"/>
      <c r="AR56"/>
      <c r="AS56"/>
      <c r="AT56"/>
    </row>
    <row r="57" spans="1:46" s="9" customFormat="1" ht="26.85" customHeight="1" thickBot="1">
      <c r="A57"/>
      <c r="B57"/>
      <c r="C57" s="35" t="s">
        <v>12</v>
      </c>
      <c r="D57" s="36"/>
      <c r="E57" s="37"/>
      <c r="F57" s="75">
        <f t="shared" ref="F57:I58" si="11">F40+F43+F46+F49+F52+F55</f>
        <v>273</v>
      </c>
      <c r="G57" s="75">
        <f t="shared" si="11"/>
        <v>207</v>
      </c>
      <c r="H57" s="75">
        <f t="shared" si="11"/>
        <v>8</v>
      </c>
      <c r="I57" s="75">
        <f t="shared" si="11"/>
        <v>291</v>
      </c>
      <c r="J57" s="66">
        <f>IFERROR(F57/G57-1,"n/a")</f>
        <v>0.31884057971014501</v>
      </c>
      <c r="K57" s="66">
        <f>IFERROR(F57/H57-1,"n/a")</f>
        <v>33.125</v>
      </c>
      <c r="L57" s="62">
        <f>IFERROR(F57/I57-1,"n/a")</f>
        <v>-6.1855670103092786E-2</v>
      </c>
      <c r="M57" s="46">
        <f t="shared" ref="M57:P58" si="12">M40+M43+M46+M49+M52+M55</f>
        <v>2995</v>
      </c>
      <c r="N57" s="46">
        <f t="shared" si="12"/>
        <v>1050</v>
      </c>
      <c r="O57" s="46">
        <f t="shared" si="12"/>
        <v>102</v>
      </c>
      <c r="P57" s="46">
        <f t="shared" si="12"/>
        <v>2709</v>
      </c>
      <c r="Q57" s="66">
        <f>IFERROR(M57/N57-1,"n/a")</f>
        <v>1.8523809523809525</v>
      </c>
      <c r="R57" s="66">
        <f>IFERROR(M57/O57-1,"n/a")</f>
        <v>28.362745098039216</v>
      </c>
      <c r="S57" s="62">
        <f>IFERROR(M57/P57-1,"n/a")</f>
        <v>0.10557401255075671</v>
      </c>
      <c r="T57" s="46">
        <f t="shared" ref="T57:V58" si="13">T40+T43+T46+T49+T52+T55</f>
        <v>1682</v>
      </c>
      <c r="U57" s="46">
        <f t="shared" si="13"/>
        <v>679</v>
      </c>
      <c r="V57" s="80">
        <f t="shared" si="13"/>
        <v>3274</v>
      </c>
      <c r="AM57"/>
      <c r="AN57"/>
      <c r="AO57"/>
      <c r="AP57"/>
      <c r="AQ57"/>
      <c r="AR57"/>
      <c r="AS57"/>
      <c r="AT57"/>
    </row>
    <row r="58" spans="1:46" s="9" customFormat="1" ht="26.85" customHeight="1" thickTop="1" thickBot="1">
      <c r="A58"/>
      <c r="B58"/>
      <c r="C58" s="38" t="s">
        <v>13</v>
      </c>
      <c r="D58" s="39"/>
      <c r="E58" s="40"/>
      <c r="F58" s="76">
        <f t="shared" si="11"/>
        <v>763347</v>
      </c>
      <c r="G58" s="76">
        <f t="shared" si="11"/>
        <v>307043</v>
      </c>
      <c r="H58" s="76">
        <f t="shared" si="11"/>
        <v>11414</v>
      </c>
      <c r="I58" s="76">
        <f t="shared" si="11"/>
        <v>638656</v>
      </c>
      <c r="J58" s="67">
        <f>IFERROR(F58/G58-1,"n/a")</f>
        <v>1.48612409336803</v>
      </c>
      <c r="K58" s="67">
        <f>IFERROR(F58/H58-1,"n/a")</f>
        <v>65.87813211845102</v>
      </c>
      <c r="L58" s="63">
        <f>IFERROR(F58/I58-1,"n/a")</f>
        <v>0.19523969085078674</v>
      </c>
      <c r="M58" s="47">
        <f t="shared" si="12"/>
        <v>6759379</v>
      </c>
      <c r="N58" s="47">
        <f t="shared" si="12"/>
        <v>1544144</v>
      </c>
      <c r="O58" s="47">
        <f t="shared" si="12"/>
        <v>47240</v>
      </c>
      <c r="P58" s="47">
        <f t="shared" si="12"/>
        <v>7378495</v>
      </c>
      <c r="Q58" s="67">
        <f>IFERROR(M58/N58-1,"n/a")</f>
        <v>3.3774278823736648</v>
      </c>
      <c r="R58" s="67">
        <f>IFERROR(M58/O58-1,"n/a")</f>
        <v>142.08592294665539</v>
      </c>
      <c r="S58" s="63">
        <f>IFERROR(M58/P58-1,"n/a")</f>
        <v>-8.3908168264666405E-2</v>
      </c>
      <c r="T58" s="47">
        <f t="shared" si="13"/>
        <v>2411641</v>
      </c>
      <c r="U58" s="47">
        <f t="shared" si="13"/>
        <v>1324261</v>
      </c>
      <c r="V58" s="81">
        <f t="shared" si="13"/>
        <v>8654686</v>
      </c>
      <c r="AM58"/>
      <c r="AN58"/>
      <c r="AO58"/>
      <c r="AP58"/>
      <c r="AQ58"/>
      <c r="AR58"/>
      <c r="AS58"/>
      <c r="AT58"/>
    </row>
    <row r="59" spans="1:46" s="9" customFormat="1" ht="12" customHeight="1" thickTop="1">
      <c r="A59"/>
      <c r="B59"/>
      <c r="C59"/>
      <c r="D59"/>
      <c r="E59"/>
      <c r="F59"/>
      <c r="G59"/>
      <c r="H59"/>
      <c r="I59"/>
      <c r="J59"/>
      <c r="K59"/>
      <c r="L59"/>
      <c r="M59"/>
      <c r="N59"/>
      <c r="O59"/>
      <c r="P59"/>
      <c r="Q59"/>
      <c r="R59"/>
      <c r="S59"/>
      <c r="T59"/>
      <c r="U59"/>
      <c r="V59"/>
      <c r="AM59"/>
      <c r="AN59"/>
      <c r="AO59"/>
      <c r="AP59"/>
      <c r="AQ59"/>
      <c r="AR59"/>
      <c r="AS59"/>
      <c r="AT59"/>
    </row>
    <row r="60" spans="1:46" ht="26.85" customHeight="1"/>
    <row r="61" spans="1:46" ht="26.85" customHeight="1"/>
    <row r="62" spans="1:46" ht="26.85" customHeight="1"/>
    <row r="63" spans="1:46" ht="26.85" customHeight="1"/>
    <row r="64" spans="1:46" ht="26.85" customHeight="1"/>
    <row r="65" ht="26.85" customHeight="1"/>
    <row r="66" ht="26.85" customHeight="1"/>
    <row r="67" ht="26.85" customHeight="1"/>
    <row r="68" ht="26.85" customHeight="1"/>
  </sheetData>
  <mergeCells count="6">
    <mergeCell ref="F9:L9"/>
    <mergeCell ref="M9:S9"/>
    <mergeCell ref="T9:V9"/>
    <mergeCell ref="F36:L36"/>
    <mergeCell ref="M36:S36"/>
    <mergeCell ref="T36:V36"/>
  </mergeCells>
  <pageMargins left="0.7" right="0.7" top="0.75" bottom="0.75" header="0.3" footer="0.3"/>
  <pageSetup paperSize="9" scale="52" orientation="landscape" horizontalDpi="4294967293" verticalDpi="4294967293" r:id="rId1"/>
  <colBreaks count="2" manualBreakCount="2">
    <brk id="3" max="1048575" man="1"/>
    <brk id="5"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0" tint="-0.14999847407452621"/>
    <pageSetUpPr fitToPage="1"/>
  </sheetPr>
  <dimension ref="A1:AH55"/>
  <sheetViews>
    <sheetView showGridLines="0" topLeftCell="A21" zoomScale="85" zoomScaleNormal="85" workbookViewId="0"/>
  </sheetViews>
  <sheetFormatPr defaultColWidth="0" defaultRowHeight="0" customHeight="1" zeroHeight="1"/>
  <cols>
    <col min="1" max="2" width="2.5703125" style="2" customWidth="1"/>
    <col min="3" max="3" width="20.85546875" style="2" customWidth="1"/>
    <col min="4" max="4" width="10.5703125" style="2" bestFit="1" customWidth="1"/>
    <col min="5" max="8" width="9.140625" style="2" customWidth="1"/>
    <col min="9" max="9" width="14.140625" style="2" customWidth="1"/>
    <col min="10" max="10" width="5" style="2" customWidth="1"/>
    <col min="11" max="11" width="9.140625" style="2" customWidth="1"/>
    <col min="12" max="12" width="4.85546875" style="2" customWidth="1"/>
    <col min="13" max="16" width="9.140625" style="2" customWidth="1"/>
    <col min="17" max="17" width="3.5703125" style="2" customWidth="1"/>
    <col min="18" max="18" width="10.140625" style="2" customWidth="1"/>
    <col min="19" max="33" width="10.140625" style="2" hidden="1" customWidth="1"/>
    <col min="34" max="34" width="4.85546875" style="2" hidden="1" customWidth="1"/>
    <col min="35" max="16384" width="10.140625" style="2" hidden="1"/>
  </cols>
  <sheetData>
    <row r="1" spans="2:34" ht="23.25">
      <c r="B1" s="13"/>
      <c r="C1" s="14"/>
      <c r="D1" s="14"/>
      <c r="E1" s="14"/>
      <c r="F1" s="14"/>
      <c r="G1" s="14"/>
      <c r="H1" s="14"/>
      <c r="I1" s="13"/>
      <c r="J1" s="13"/>
      <c r="K1" s="13"/>
      <c r="L1" s="13"/>
      <c r="M1" s="13"/>
      <c r="N1" s="13"/>
      <c r="O1" s="13"/>
      <c r="P1" s="13"/>
      <c r="Q1" s="13"/>
      <c r="R1" s="13"/>
      <c r="S1" s="13"/>
      <c r="T1" s="13"/>
      <c r="U1" s="13"/>
      <c r="V1" s="13"/>
      <c r="W1" s="13"/>
      <c r="X1" s="13"/>
      <c r="Y1" s="13"/>
      <c r="Z1" s="13"/>
      <c r="AA1" s="13"/>
      <c r="AB1" s="13"/>
      <c r="AC1" s="13"/>
      <c r="AD1" s="13"/>
      <c r="AE1" s="13"/>
      <c r="AF1" s="13"/>
      <c r="AG1" s="13"/>
      <c r="AH1" s="13"/>
    </row>
    <row r="2" spans="2:34" ht="28.5" thickBot="1">
      <c r="B2" s="13"/>
      <c r="C2" s="15" t="s">
        <v>4</v>
      </c>
      <c r="D2" s="16"/>
      <c r="E2" s="16"/>
      <c r="F2" s="16"/>
      <c r="G2" s="16"/>
      <c r="H2" s="16"/>
      <c r="I2" s="16"/>
      <c r="J2" s="16"/>
      <c r="K2" s="16"/>
      <c r="L2" s="16"/>
      <c r="M2" s="16"/>
      <c r="N2" s="16"/>
      <c r="O2" s="16"/>
      <c r="P2" s="16"/>
      <c r="Q2" s="16"/>
      <c r="R2" s="16"/>
      <c r="S2" s="16"/>
      <c r="T2" s="16"/>
      <c r="U2" s="16"/>
      <c r="V2" s="16"/>
      <c r="W2" s="16"/>
      <c r="X2" s="16"/>
      <c r="Y2" s="16"/>
      <c r="Z2" s="16"/>
      <c r="AA2" s="16"/>
      <c r="AB2" s="16"/>
      <c r="AC2" s="16"/>
      <c r="AD2" s="16"/>
      <c r="AE2" s="16"/>
      <c r="AF2" s="16"/>
      <c r="AG2" s="16"/>
      <c r="AH2" s="13"/>
    </row>
    <row r="3" spans="2:34" ht="13.5">
      <c r="B3" s="13"/>
      <c r="C3" s="13"/>
      <c r="D3" s="13"/>
      <c r="E3" s="13"/>
      <c r="F3" s="13"/>
      <c r="G3" s="13"/>
      <c r="H3" s="13"/>
      <c r="I3" s="13"/>
      <c r="J3" s="13"/>
      <c r="K3" s="13"/>
      <c r="L3" s="13"/>
      <c r="M3" s="13"/>
      <c r="N3" s="13"/>
      <c r="O3" s="13"/>
      <c r="P3" s="13"/>
      <c r="Q3" s="13"/>
      <c r="R3" s="13"/>
      <c r="S3" s="13"/>
      <c r="T3" s="13"/>
      <c r="U3" s="13"/>
      <c r="V3" s="13"/>
      <c r="W3" s="13"/>
      <c r="X3" s="13"/>
      <c r="Y3" s="13"/>
      <c r="Z3" s="13"/>
      <c r="AA3" s="13"/>
      <c r="AB3" s="13"/>
      <c r="AC3" s="13"/>
      <c r="AD3" s="13"/>
      <c r="AE3" s="13"/>
      <c r="AF3" s="13"/>
      <c r="AG3" s="13"/>
      <c r="AH3" s="13"/>
    </row>
    <row r="4" spans="2:34" ht="17.25" customHeight="1">
      <c r="B4" s="13"/>
      <c r="C4" s="17"/>
      <c r="E4" s="13"/>
      <c r="F4" s="13"/>
      <c r="G4" s="13"/>
      <c r="H4" s="13"/>
      <c r="I4" s="13"/>
      <c r="J4" s="13"/>
      <c r="K4" s="13"/>
      <c r="L4" s="13"/>
      <c r="M4" s="13"/>
      <c r="N4" s="13"/>
      <c r="O4" s="13"/>
      <c r="P4" s="13"/>
      <c r="Q4" s="13"/>
      <c r="R4" s="13"/>
      <c r="S4" s="13"/>
      <c r="T4" s="13"/>
      <c r="U4" s="13"/>
      <c r="V4" s="13"/>
      <c r="W4" s="13"/>
      <c r="X4" s="13"/>
      <c r="Y4" s="13"/>
      <c r="Z4" s="13"/>
      <c r="AA4" s="13"/>
      <c r="AB4" s="13"/>
      <c r="AC4" s="13"/>
      <c r="AD4" s="13"/>
      <c r="AE4" s="13"/>
      <c r="AF4" s="13"/>
      <c r="AG4" s="13"/>
      <c r="AH4" s="13"/>
    </row>
    <row r="5" spans="2:34" ht="17.25" customHeight="1">
      <c r="B5" s="13"/>
      <c r="C5" s="13"/>
      <c r="D5" s="13"/>
      <c r="E5" s="13"/>
      <c r="F5" s="13"/>
      <c r="G5" s="13"/>
      <c r="H5" s="13"/>
      <c r="I5" s="13"/>
      <c r="J5" s="13"/>
      <c r="K5" s="13"/>
      <c r="L5" s="13"/>
      <c r="M5" s="13"/>
      <c r="N5" s="13"/>
      <c r="O5" s="13"/>
      <c r="P5" s="13"/>
      <c r="Q5" s="13"/>
      <c r="R5" s="13"/>
      <c r="S5" s="13"/>
      <c r="T5" s="13"/>
      <c r="U5" s="13"/>
      <c r="V5" s="13"/>
      <c r="W5" s="13"/>
      <c r="X5" s="13"/>
      <c r="Y5" s="13"/>
      <c r="Z5" s="13"/>
      <c r="AA5" s="13"/>
      <c r="AB5" s="13"/>
      <c r="AC5" s="13"/>
      <c r="AD5" s="13"/>
      <c r="AE5" s="13"/>
      <c r="AF5" s="13"/>
      <c r="AG5" s="13"/>
      <c r="AH5" s="13"/>
    </row>
    <row r="6" spans="2:34" ht="17.25" customHeight="1">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row>
    <row r="7" spans="2:34" ht="17.25" customHeight="1">
      <c r="B7" s="13"/>
      <c r="C7" s="17"/>
      <c r="D7" s="13"/>
      <c r="E7" s="13"/>
      <c r="F7" s="13"/>
      <c r="G7" s="13"/>
      <c r="H7" s="13"/>
      <c r="I7" s="13"/>
      <c r="J7" s="13"/>
      <c r="K7" s="13"/>
      <c r="L7" s="13"/>
      <c r="M7" s="13"/>
      <c r="N7" s="13"/>
      <c r="O7" s="13"/>
      <c r="P7" s="13"/>
      <c r="Q7" s="13"/>
      <c r="R7" s="13"/>
      <c r="S7" s="13"/>
      <c r="T7" s="13"/>
      <c r="U7" s="13"/>
      <c r="V7" s="13"/>
      <c r="W7" s="13"/>
      <c r="X7" s="13"/>
      <c r="Y7" s="13"/>
      <c r="Z7" s="13"/>
      <c r="AA7" s="13"/>
      <c r="AB7" s="13"/>
      <c r="AC7" s="13"/>
      <c r="AD7" s="13"/>
      <c r="AE7" s="13"/>
      <c r="AF7" s="13"/>
      <c r="AG7" s="13"/>
      <c r="AH7" s="13"/>
    </row>
    <row r="8" spans="2:34" ht="17.25" customHeight="1">
      <c r="B8" s="13"/>
      <c r="C8" s="13"/>
      <c r="D8" s="13"/>
      <c r="F8" s="13"/>
      <c r="G8" s="13"/>
      <c r="H8" s="13"/>
      <c r="I8" s="13"/>
      <c r="J8" s="13"/>
      <c r="K8" s="13"/>
      <c r="L8" s="13"/>
      <c r="M8" s="13"/>
      <c r="N8" s="13"/>
      <c r="O8" s="13"/>
      <c r="P8" s="13"/>
      <c r="Q8" s="13"/>
      <c r="R8" s="13"/>
      <c r="S8" s="13"/>
      <c r="T8" s="13"/>
      <c r="U8" s="13"/>
      <c r="V8" s="13"/>
      <c r="W8" s="13"/>
      <c r="X8" s="13"/>
      <c r="Y8" s="13"/>
      <c r="Z8" s="13"/>
      <c r="AA8" s="13"/>
      <c r="AB8" s="13"/>
      <c r="AC8" s="13"/>
      <c r="AD8" s="13"/>
      <c r="AE8" s="13"/>
      <c r="AF8" s="13"/>
      <c r="AG8" s="13"/>
      <c r="AH8" s="13"/>
    </row>
    <row r="9" spans="2:34" ht="17.25" customHeight="1">
      <c r="B9" s="13"/>
      <c r="C9" s="13"/>
      <c r="D9" s="13"/>
      <c r="F9" s="13"/>
      <c r="G9" s="13"/>
      <c r="H9" s="13"/>
      <c r="I9" s="13"/>
      <c r="J9" s="13"/>
      <c r="K9" s="13"/>
      <c r="L9" s="13"/>
      <c r="M9" s="13"/>
      <c r="N9" s="13"/>
      <c r="O9" s="13"/>
      <c r="P9" s="13"/>
      <c r="Q9" s="13"/>
      <c r="R9" s="13"/>
      <c r="S9" s="13"/>
      <c r="T9" s="13"/>
      <c r="U9" s="13"/>
      <c r="V9" s="13"/>
      <c r="W9" s="13"/>
      <c r="X9" s="13"/>
      <c r="Y9" s="13"/>
      <c r="Z9" s="13"/>
      <c r="AA9" s="13"/>
      <c r="AB9" s="13"/>
      <c r="AC9" s="13"/>
      <c r="AD9" s="13"/>
      <c r="AE9" s="13"/>
      <c r="AF9" s="13"/>
      <c r="AG9" s="13"/>
      <c r="AH9" s="13"/>
    </row>
    <row r="10" spans="2:34" ht="17.25" customHeight="1">
      <c r="B10" s="13"/>
      <c r="C10" s="13"/>
      <c r="D10" s="13"/>
      <c r="E10" s="13"/>
      <c r="F10" s="13"/>
      <c r="G10" s="13"/>
      <c r="H10" s="13"/>
      <c r="I10" s="13"/>
      <c r="J10" s="13"/>
      <c r="K10" s="13"/>
      <c r="L10" s="13"/>
      <c r="M10" s="13"/>
      <c r="N10" s="13"/>
      <c r="O10" s="13"/>
      <c r="P10" s="13"/>
      <c r="Q10" s="13"/>
      <c r="R10" s="13"/>
      <c r="S10" s="13"/>
      <c r="T10" s="13"/>
      <c r="U10" s="13"/>
      <c r="V10" s="13"/>
      <c r="W10" s="13"/>
      <c r="X10" s="13"/>
      <c r="Y10" s="13"/>
      <c r="Z10" s="13"/>
      <c r="AA10" s="13"/>
      <c r="AB10" s="13"/>
      <c r="AC10" s="13"/>
      <c r="AD10" s="13"/>
      <c r="AE10" s="13"/>
      <c r="AF10" s="13"/>
      <c r="AG10" s="13"/>
      <c r="AH10" s="13"/>
    </row>
    <row r="11" spans="2:34" ht="17.25" customHeight="1">
      <c r="B11" s="13"/>
      <c r="C11" s="13"/>
      <c r="D11" s="13"/>
      <c r="E11" s="13"/>
      <c r="F11" s="13"/>
      <c r="G11" s="13"/>
      <c r="H11" s="13"/>
      <c r="I11" s="13"/>
      <c r="J11" s="13"/>
      <c r="K11" s="13"/>
      <c r="L11" s="13"/>
      <c r="M11" s="13"/>
      <c r="N11" s="13"/>
      <c r="O11" s="13"/>
      <c r="P11" s="13"/>
      <c r="Q11" s="13"/>
      <c r="R11" s="13"/>
      <c r="S11" s="13"/>
      <c r="T11" s="13"/>
      <c r="U11" s="13"/>
      <c r="V11" s="13"/>
      <c r="W11" s="13"/>
      <c r="X11" s="13"/>
      <c r="Y11" s="13"/>
      <c r="Z11" s="13"/>
      <c r="AA11" s="13"/>
      <c r="AB11" s="13"/>
      <c r="AC11" s="13"/>
      <c r="AD11" s="13"/>
      <c r="AE11" s="13"/>
      <c r="AF11" s="13"/>
      <c r="AG11" s="13"/>
      <c r="AH11" s="13"/>
    </row>
    <row r="12" spans="2:34" ht="17.25" customHeight="1">
      <c r="B12" s="13"/>
      <c r="C12" s="17"/>
      <c r="E12" s="13"/>
      <c r="F12" s="13"/>
      <c r="G12" s="13"/>
      <c r="H12" s="13"/>
      <c r="I12" s="13"/>
      <c r="J12" s="13"/>
      <c r="K12" s="13"/>
      <c r="L12" s="13"/>
      <c r="M12" s="13"/>
      <c r="N12" s="13"/>
      <c r="O12" s="13"/>
      <c r="P12" s="13"/>
      <c r="Q12" s="13"/>
      <c r="R12" s="13"/>
      <c r="S12" s="13"/>
      <c r="T12" s="13"/>
      <c r="U12" s="13"/>
      <c r="V12" s="13"/>
      <c r="W12" s="13"/>
      <c r="X12" s="13"/>
      <c r="Y12" s="13"/>
      <c r="Z12" s="13"/>
      <c r="AA12" s="13"/>
      <c r="AB12" s="13"/>
      <c r="AC12" s="13"/>
      <c r="AD12" s="13"/>
      <c r="AE12" s="13"/>
      <c r="AF12" s="13"/>
      <c r="AG12" s="13"/>
      <c r="AH12" s="13"/>
    </row>
    <row r="13" spans="2:34" ht="17.25" customHeight="1">
      <c r="B13" s="13"/>
      <c r="C13" s="42"/>
      <c r="D13" s="13"/>
      <c r="E13" s="13"/>
      <c r="F13" s="13"/>
      <c r="G13" s="13"/>
      <c r="H13" s="13"/>
      <c r="I13" s="13"/>
      <c r="J13" s="13"/>
      <c r="K13" s="13"/>
      <c r="L13" s="13"/>
      <c r="M13" s="13"/>
      <c r="N13" s="13"/>
      <c r="O13" s="13"/>
      <c r="P13" s="13"/>
      <c r="Q13" s="13"/>
      <c r="R13" s="13"/>
      <c r="S13" s="13"/>
      <c r="T13" s="13"/>
      <c r="U13" s="13"/>
      <c r="V13" s="13"/>
      <c r="W13" s="13"/>
      <c r="X13" s="13"/>
      <c r="Y13" s="13"/>
      <c r="Z13" s="13"/>
      <c r="AA13" s="13"/>
      <c r="AB13" s="13"/>
      <c r="AC13" s="13"/>
      <c r="AD13" s="13"/>
      <c r="AE13" s="13"/>
      <c r="AF13" s="13"/>
      <c r="AG13" s="13"/>
      <c r="AH13" s="13"/>
    </row>
    <row r="14" spans="2:34" ht="17.25" customHeight="1">
      <c r="B14" s="13"/>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row>
    <row r="15" spans="2:34" ht="17.25" customHeight="1">
      <c r="B15" s="13"/>
      <c r="C15" s="13"/>
      <c r="D15" s="13"/>
      <c r="E15" s="13"/>
      <c r="F15" s="13"/>
      <c r="G15" s="13"/>
      <c r="H15" s="13"/>
      <c r="I15" s="13"/>
      <c r="J15" s="13"/>
      <c r="K15" s="13"/>
      <c r="L15" s="13"/>
      <c r="M15" s="13"/>
      <c r="N15" s="13"/>
      <c r="O15" s="13"/>
      <c r="P15" s="13"/>
      <c r="Q15" s="13"/>
      <c r="R15" s="13"/>
      <c r="S15" s="13"/>
      <c r="T15" s="13"/>
      <c r="U15" s="13"/>
      <c r="V15" s="13"/>
      <c r="W15" s="13"/>
      <c r="X15" s="13"/>
      <c r="Y15" s="13"/>
      <c r="Z15" s="13"/>
      <c r="AA15" s="13"/>
      <c r="AB15" s="13"/>
      <c r="AC15" s="13"/>
      <c r="AD15" s="13"/>
      <c r="AE15" s="13"/>
      <c r="AF15" s="13"/>
      <c r="AG15" s="13"/>
      <c r="AH15" s="13"/>
    </row>
    <row r="16" spans="2:34" ht="17.25" customHeight="1">
      <c r="B16" s="13"/>
      <c r="C16" s="13"/>
      <c r="D16" s="13"/>
      <c r="E16" s="13"/>
      <c r="F16" s="13"/>
      <c r="G16" s="13"/>
      <c r="H16" s="13"/>
      <c r="I16" s="13"/>
      <c r="J16" s="13"/>
      <c r="K16" s="13"/>
      <c r="L16" s="13"/>
      <c r="M16" s="13"/>
      <c r="N16" s="13"/>
      <c r="O16" s="13"/>
      <c r="P16" s="13"/>
      <c r="Q16" s="13"/>
      <c r="R16" s="13"/>
      <c r="S16" s="13"/>
      <c r="T16" s="13"/>
      <c r="U16" s="13"/>
      <c r="V16" s="13"/>
      <c r="W16" s="13"/>
      <c r="X16" s="13"/>
      <c r="Y16" s="13"/>
      <c r="Z16" s="13"/>
      <c r="AA16" s="13"/>
      <c r="AB16" s="13"/>
      <c r="AC16" s="13"/>
      <c r="AD16" s="13"/>
      <c r="AE16" s="13"/>
      <c r="AF16" s="13"/>
      <c r="AG16" s="13"/>
      <c r="AH16" s="13"/>
    </row>
    <row r="17" spans="2:34" ht="17.25" customHeight="1">
      <c r="B17" s="13"/>
      <c r="C17" s="13"/>
      <c r="D17" s="13"/>
      <c r="E17" s="13"/>
      <c r="F17" s="13"/>
      <c r="G17" s="13"/>
      <c r="H17" s="13"/>
      <c r="I17" s="13"/>
      <c r="J17" s="13"/>
      <c r="K17" s="13"/>
      <c r="L17" s="13"/>
      <c r="M17" s="13"/>
      <c r="N17" s="13"/>
      <c r="O17" s="13"/>
      <c r="P17" s="13"/>
      <c r="Q17" s="13"/>
      <c r="R17" s="13"/>
      <c r="S17" s="13"/>
      <c r="T17" s="13"/>
      <c r="U17" s="13"/>
      <c r="V17" s="13"/>
      <c r="W17" s="13"/>
      <c r="X17" s="13"/>
      <c r="Y17" s="13"/>
      <c r="Z17" s="13"/>
      <c r="AA17" s="13"/>
      <c r="AB17" s="13"/>
      <c r="AC17" s="13"/>
      <c r="AD17" s="13"/>
      <c r="AE17" s="13"/>
      <c r="AF17" s="13"/>
      <c r="AG17" s="13"/>
      <c r="AH17" s="13"/>
    </row>
    <row r="18" spans="2:34" ht="17.25" customHeight="1">
      <c r="B18" s="13"/>
      <c r="C18" s="13"/>
      <c r="D18" s="13"/>
      <c r="E18" s="13"/>
      <c r="F18" s="13"/>
      <c r="G18" s="13"/>
      <c r="H18" s="13"/>
      <c r="I18" s="13"/>
      <c r="J18" s="13"/>
      <c r="K18" s="13"/>
      <c r="L18" s="13"/>
      <c r="M18" s="13"/>
      <c r="N18" s="13"/>
      <c r="O18" s="13"/>
      <c r="P18" s="13"/>
      <c r="Q18" s="13"/>
      <c r="R18" s="13"/>
      <c r="S18" s="13"/>
      <c r="T18" s="13"/>
      <c r="U18" s="13"/>
      <c r="V18" s="13"/>
      <c r="W18" s="13"/>
      <c r="X18" s="13"/>
      <c r="Y18" s="13"/>
      <c r="Z18" s="13"/>
      <c r="AA18" s="13"/>
      <c r="AB18" s="13"/>
      <c r="AC18" s="13"/>
      <c r="AD18" s="13"/>
      <c r="AE18" s="13"/>
      <c r="AF18" s="13"/>
      <c r="AG18" s="13"/>
      <c r="AH18" s="13"/>
    </row>
    <row r="19" spans="2:34" ht="17.25" customHeight="1">
      <c r="B19" s="13"/>
      <c r="C19" s="13"/>
      <c r="D19" s="13"/>
      <c r="E19" s="13"/>
      <c r="F19" s="13"/>
      <c r="G19" s="13"/>
      <c r="H19" s="13"/>
      <c r="I19" s="13"/>
      <c r="J19" s="13"/>
      <c r="K19" s="13"/>
      <c r="L19" s="13"/>
      <c r="M19" s="13"/>
      <c r="N19" s="13"/>
      <c r="O19" s="13"/>
      <c r="P19" s="13"/>
      <c r="Q19" s="13"/>
      <c r="R19" s="13"/>
      <c r="S19" s="13"/>
      <c r="T19" s="13"/>
      <c r="U19" s="13"/>
      <c r="V19" s="13"/>
      <c r="W19" s="13"/>
      <c r="X19" s="13"/>
      <c r="Y19" s="13"/>
      <c r="Z19" s="13"/>
      <c r="AA19" s="13"/>
      <c r="AB19" s="13"/>
      <c r="AC19" s="13"/>
      <c r="AD19" s="13"/>
      <c r="AE19" s="13"/>
      <c r="AF19" s="13"/>
      <c r="AG19" s="13"/>
      <c r="AH19" s="13"/>
    </row>
    <row r="20" spans="2:34" ht="17.25" customHeight="1">
      <c r="B20" s="13"/>
      <c r="C20" s="13"/>
      <c r="D20" s="13"/>
      <c r="E20" s="13"/>
      <c r="F20" s="13"/>
      <c r="G20" s="13"/>
      <c r="H20" s="13"/>
      <c r="I20" s="13"/>
      <c r="J20" s="13"/>
      <c r="K20" s="13"/>
      <c r="L20" s="13"/>
      <c r="M20" s="13"/>
      <c r="N20" s="13"/>
      <c r="O20" s="13"/>
      <c r="P20" s="13"/>
      <c r="Q20" s="13"/>
      <c r="R20" s="13"/>
      <c r="S20" s="13"/>
      <c r="T20" s="13"/>
      <c r="U20" s="13"/>
      <c r="V20" s="13"/>
      <c r="W20" s="13"/>
      <c r="X20" s="13"/>
      <c r="Y20" s="13"/>
      <c r="Z20" s="13"/>
      <c r="AA20" s="13"/>
      <c r="AB20" s="13"/>
      <c r="AC20" s="13"/>
      <c r="AD20" s="13"/>
      <c r="AE20" s="13"/>
      <c r="AF20" s="13"/>
      <c r="AG20" s="13"/>
      <c r="AH20" s="13"/>
    </row>
    <row r="21" spans="2:34" ht="17.25" customHeight="1">
      <c r="B21" s="13"/>
      <c r="C21" s="13"/>
      <c r="D21" s="13"/>
      <c r="E21" s="13"/>
      <c r="F21" s="13"/>
      <c r="G21" s="13"/>
      <c r="H21" s="13"/>
      <c r="I21" s="13"/>
      <c r="J21" s="13"/>
      <c r="K21" s="13"/>
      <c r="L21" s="13"/>
      <c r="M21" s="13"/>
      <c r="N21" s="13"/>
      <c r="O21" s="13"/>
      <c r="P21" s="13"/>
      <c r="Q21" s="13"/>
      <c r="R21" s="13"/>
      <c r="S21" s="13"/>
      <c r="T21" s="13"/>
      <c r="U21" s="13"/>
      <c r="V21" s="13"/>
      <c r="W21" s="13"/>
      <c r="X21" s="13"/>
      <c r="Y21" s="13"/>
      <c r="Z21" s="13"/>
      <c r="AA21" s="13"/>
      <c r="AB21" s="13"/>
      <c r="AC21" s="13"/>
      <c r="AD21" s="13"/>
      <c r="AE21" s="13"/>
      <c r="AF21" s="13"/>
      <c r="AG21" s="13"/>
      <c r="AH21" s="13"/>
    </row>
    <row r="22" spans="2:34" ht="17.25" customHeight="1">
      <c r="B22" s="13"/>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3"/>
    </row>
    <row r="23" spans="2:34" ht="17.25" customHeight="1">
      <c r="B23" s="13"/>
      <c r="C23" s="13"/>
      <c r="D23" s="13"/>
      <c r="E23" s="13"/>
      <c r="F23" s="13"/>
      <c r="G23" s="13"/>
      <c r="H23" s="13"/>
      <c r="I23" s="13"/>
      <c r="J23" s="13"/>
      <c r="K23" s="13"/>
      <c r="L23" s="13"/>
      <c r="M23" s="13"/>
      <c r="N23" s="13"/>
      <c r="O23" s="13"/>
      <c r="P23" s="13"/>
      <c r="Q23" s="13"/>
      <c r="R23" s="13"/>
      <c r="S23" s="13"/>
      <c r="T23" s="13"/>
      <c r="U23" s="13"/>
      <c r="V23" s="13"/>
      <c r="W23" s="13"/>
      <c r="X23" s="13"/>
      <c r="Y23" s="13"/>
      <c r="Z23" s="13"/>
      <c r="AA23" s="13"/>
      <c r="AB23" s="13"/>
      <c r="AC23" s="13"/>
      <c r="AD23" s="13"/>
      <c r="AE23" s="13"/>
      <c r="AF23" s="13"/>
      <c r="AG23" s="13"/>
      <c r="AH23" s="13"/>
    </row>
    <row r="24" spans="2:34" ht="17.25" customHeight="1">
      <c r="B24" s="13"/>
      <c r="C24" s="13"/>
      <c r="D24" s="13"/>
      <c r="E24" s="13"/>
      <c r="F24" s="13"/>
      <c r="G24" s="13"/>
      <c r="H24" s="13"/>
      <c r="I24" s="13"/>
      <c r="J24" s="13"/>
      <c r="K24" s="13"/>
      <c r="L24" s="13"/>
      <c r="M24" s="13"/>
      <c r="N24" s="13"/>
      <c r="O24" s="13"/>
      <c r="P24" s="13"/>
      <c r="Q24" s="13"/>
      <c r="R24" s="13"/>
      <c r="S24" s="13"/>
      <c r="T24" s="13"/>
      <c r="U24" s="13"/>
      <c r="V24" s="13"/>
      <c r="W24" s="13"/>
      <c r="X24" s="13"/>
      <c r="Y24" s="13"/>
      <c r="Z24" s="13"/>
      <c r="AA24" s="13"/>
      <c r="AB24" s="13"/>
      <c r="AC24" s="13"/>
      <c r="AD24" s="13"/>
      <c r="AE24" s="13"/>
      <c r="AF24" s="13"/>
      <c r="AG24" s="13"/>
      <c r="AH24" s="13"/>
    </row>
    <row r="25" spans="2:34" ht="17.25" customHeight="1">
      <c r="B25" s="13"/>
      <c r="C25" s="13"/>
      <c r="D25" s="13"/>
      <c r="E25" s="13"/>
      <c r="F25" s="13"/>
      <c r="G25" s="13"/>
      <c r="H25" s="13"/>
      <c r="I25" s="13"/>
      <c r="J25" s="13"/>
      <c r="K25" s="13"/>
      <c r="L25" s="13"/>
      <c r="M25" s="13"/>
      <c r="N25" s="13"/>
      <c r="O25" s="13"/>
      <c r="P25" s="13"/>
      <c r="Q25" s="13"/>
      <c r="R25" s="13"/>
      <c r="S25" s="13"/>
      <c r="T25" s="13"/>
      <c r="U25" s="13"/>
      <c r="V25" s="13"/>
      <c r="W25" s="13"/>
      <c r="X25" s="13"/>
      <c r="Y25" s="13"/>
      <c r="Z25" s="13"/>
      <c r="AA25" s="13"/>
      <c r="AB25" s="13"/>
      <c r="AC25" s="13"/>
      <c r="AD25" s="13"/>
      <c r="AE25" s="13"/>
      <c r="AF25" s="13"/>
      <c r="AG25" s="13"/>
      <c r="AH25" s="13"/>
    </row>
    <row r="26" spans="2:34" ht="17.25" customHeight="1">
      <c r="B26" s="13"/>
      <c r="C26" s="13"/>
      <c r="D26" s="13"/>
      <c r="E26" s="13"/>
      <c r="F26" s="13"/>
      <c r="G26" s="13"/>
      <c r="H26" s="13"/>
      <c r="I26" s="13"/>
      <c r="J26" s="13"/>
      <c r="K26" s="13"/>
      <c r="L26" s="13"/>
      <c r="M26" s="13"/>
      <c r="N26" s="13"/>
      <c r="O26" s="13"/>
      <c r="P26" s="13"/>
      <c r="Q26" s="13"/>
      <c r="R26" s="13"/>
      <c r="S26" s="13"/>
      <c r="T26" s="13"/>
      <c r="U26" s="13"/>
      <c r="V26" s="13"/>
      <c r="W26" s="13"/>
      <c r="X26" s="13"/>
      <c r="Y26" s="13"/>
      <c r="Z26" s="13"/>
      <c r="AA26" s="13"/>
      <c r="AB26" s="13"/>
      <c r="AC26" s="13"/>
      <c r="AD26" s="13"/>
      <c r="AE26" s="13"/>
      <c r="AF26" s="13"/>
      <c r="AG26" s="13"/>
      <c r="AH26" s="13"/>
    </row>
    <row r="27" spans="2:34" ht="17.25" customHeight="1">
      <c r="B27" s="13"/>
      <c r="C27" s="13"/>
      <c r="D27" s="13"/>
      <c r="E27" s="13"/>
      <c r="F27" s="13"/>
      <c r="G27" s="13"/>
      <c r="H27" s="13"/>
      <c r="I27" s="13"/>
      <c r="J27" s="13"/>
      <c r="K27" s="13"/>
      <c r="L27" s="13"/>
      <c r="M27" s="13"/>
      <c r="N27" s="13"/>
      <c r="O27" s="13"/>
      <c r="P27" s="13"/>
      <c r="Q27" s="13"/>
      <c r="R27" s="13"/>
      <c r="S27" s="13"/>
      <c r="T27" s="13"/>
      <c r="U27" s="13"/>
      <c r="V27" s="13"/>
      <c r="W27" s="13"/>
      <c r="X27" s="13"/>
      <c r="Y27" s="13"/>
      <c r="Z27" s="13"/>
      <c r="AA27" s="13"/>
      <c r="AB27" s="13"/>
      <c r="AC27" s="13"/>
      <c r="AD27" s="13"/>
      <c r="AE27" s="13"/>
      <c r="AF27" s="13"/>
      <c r="AG27" s="13"/>
      <c r="AH27" s="13"/>
    </row>
    <row r="28" spans="2:34" ht="17.25" customHeight="1">
      <c r="B28" s="13"/>
      <c r="C28" s="13"/>
      <c r="D28" s="13"/>
      <c r="E28" s="13"/>
      <c r="F28" s="13"/>
      <c r="G28" s="13"/>
      <c r="H28" s="13"/>
      <c r="I28" s="13"/>
      <c r="J28" s="13"/>
      <c r="K28" s="13"/>
      <c r="L28" s="13"/>
      <c r="M28" s="13"/>
      <c r="N28" s="13"/>
      <c r="O28" s="13"/>
      <c r="P28" s="13"/>
      <c r="Q28" s="13"/>
      <c r="R28" s="13"/>
      <c r="S28" s="13"/>
      <c r="T28" s="13"/>
      <c r="U28" s="13"/>
      <c r="V28" s="13"/>
      <c r="W28" s="13"/>
      <c r="X28" s="13"/>
      <c r="Y28" s="13"/>
      <c r="Z28" s="13"/>
      <c r="AA28" s="13"/>
      <c r="AB28" s="13"/>
      <c r="AC28" s="13"/>
      <c r="AD28" s="13"/>
      <c r="AE28" s="13"/>
      <c r="AF28" s="13"/>
      <c r="AG28" s="13"/>
      <c r="AH28" s="13"/>
    </row>
    <row r="29" spans="2:34" ht="17.25" customHeight="1">
      <c r="B29" s="13"/>
      <c r="C29" s="13"/>
      <c r="D29" s="13"/>
      <c r="E29" s="13"/>
      <c r="F29" s="13"/>
      <c r="G29" s="13"/>
      <c r="H29" s="13"/>
      <c r="I29" s="13"/>
      <c r="J29" s="13"/>
      <c r="K29" s="13"/>
      <c r="L29" s="13"/>
      <c r="M29" s="13"/>
      <c r="N29" s="13"/>
      <c r="O29" s="13"/>
      <c r="P29" s="13"/>
      <c r="Q29" s="13"/>
      <c r="R29" s="13"/>
      <c r="S29" s="13"/>
      <c r="T29" s="13"/>
      <c r="U29" s="13"/>
      <c r="V29" s="13"/>
      <c r="W29" s="13"/>
      <c r="X29" s="13"/>
      <c r="Y29" s="13"/>
      <c r="Z29" s="13"/>
      <c r="AA29" s="13"/>
      <c r="AB29" s="13"/>
      <c r="AC29" s="13"/>
      <c r="AD29" s="13"/>
      <c r="AE29" s="13"/>
      <c r="AF29" s="13"/>
      <c r="AG29" s="13"/>
      <c r="AH29" s="13"/>
    </row>
    <row r="30" spans="2:34" ht="17.25" customHeight="1">
      <c r="B30" s="13"/>
      <c r="C30" s="13"/>
      <c r="D30" s="13"/>
      <c r="E30" s="13"/>
      <c r="F30" s="13"/>
      <c r="G30" s="13"/>
      <c r="H30" s="13"/>
      <c r="I30" s="13"/>
      <c r="J30" s="13"/>
      <c r="K30" s="13"/>
      <c r="L30" s="13"/>
      <c r="M30" s="13"/>
      <c r="N30" s="13"/>
      <c r="O30" s="13"/>
      <c r="P30" s="13"/>
      <c r="Q30" s="13"/>
      <c r="R30" s="13"/>
      <c r="S30" s="13"/>
      <c r="T30" s="13"/>
      <c r="U30" s="13"/>
      <c r="V30" s="13"/>
      <c r="W30" s="13"/>
      <c r="X30" s="13"/>
      <c r="Y30" s="13"/>
      <c r="Z30" s="13"/>
      <c r="AA30" s="13"/>
      <c r="AB30" s="13"/>
      <c r="AC30" s="13"/>
      <c r="AD30" s="13"/>
      <c r="AE30" s="13"/>
      <c r="AF30" s="13"/>
      <c r="AG30" s="13"/>
      <c r="AH30" s="13"/>
    </row>
    <row r="31" spans="2:34" ht="17.25" customHeight="1">
      <c r="B31" s="13"/>
      <c r="C31" s="13"/>
      <c r="D31" s="13"/>
      <c r="E31" s="13"/>
      <c r="F31" s="13"/>
      <c r="G31" s="13"/>
      <c r="H31" s="13"/>
      <c r="I31" s="13"/>
      <c r="J31" s="13"/>
      <c r="K31" s="13"/>
      <c r="L31" s="13"/>
      <c r="M31" s="13"/>
      <c r="N31" s="13"/>
      <c r="O31" s="13"/>
      <c r="P31" s="13"/>
      <c r="Q31" s="13"/>
      <c r="R31" s="13"/>
      <c r="S31" s="13"/>
      <c r="T31" s="13"/>
      <c r="U31" s="13"/>
      <c r="V31" s="13"/>
      <c r="W31" s="13"/>
      <c r="X31" s="13"/>
      <c r="Y31" s="13"/>
      <c r="Z31" s="13"/>
      <c r="AA31" s="13"/>
      <c r="AB31" s="13"/>
      <c r="AC31" s="13"/>
      <c r="AD31" s="13"/>
      <c r="AE31" s="13"/>
      <c r="AF31" s="13"/>
      <c r="AG31" s="13"/>
      <c r="AH31" s="13"/>
    </row>
    <row r="32" spans="2:34" ht="17.25" hidden="1" customHeight="1">
      <c r="B32" s="13"/>
      <c r="C32" s="13"/>
      <c r="D32" s="13"/>
      <c r="E32" s="13"/>
      <c r="F32" s="13"/>
      <c r="G32" s="13"/>
      <c r="H32" s="13"/>
      <c r="I32" s="13"/>
      <c r="J32" s="13"/>
      <c r="K32" s="13"/>
      <c r="L32" s="13"/>
      <c r="M32" s="13"/>
      <c r="N32" s="13"/>
      <c r="O32" s="13"/>
      <c r="P32" s="13"/>
      <c r="Q32" s="13"/>
      <c r="R32" s="13"/>
      <c r="S32" s="13"/>
      <c r="T32" s="13"/>
      <c r="U32" s="13"/>
      <c r="V32" s="13"/>
      <c r="W32" s="13"/>
      <c r="X32" s="13"/>
      <c r="Y32" s="13"/>
      <c r="Z32" s="13"/>
      <c r="AA32" s="13"/>
      <c r="AB32" s="13"/>
      <c r="AC32" s="13"/>
      <c r="AD32" s="13"/>
      <c r="AE32" s="13"/>
      <c r="AF32" s="13"/>
      <c r="AG32" s="13"/>
      <c r="AH32" s="13"/>
    </row>
    <row r="33" spans="2:34" ht="17.25" hidden="1" customHeight="1">
      <c r="B33" s="13"/>
      <c r="C33" s="13"/>
      <c r="D33" s="13"/>
      <c r="E33" s="13"/>
      <c r="F33" s="13"/>
      <c r="G33" s="13"/>
      <c r="H33" s="13"/>
      <c r="I33" s="13"/>
      <c r="J33" s="13"/>
      <c r="K33" s="13"/>
      <c r="L33" s="13"/>
      <c r="M33" s="13"/>
      <c r="N33" s="13"/>
      <c r="O33" s="13"/>
      <c r="P33" s="13"/>
      <c r="Q33" s="13"/>
      <c r="R33" s="13"/>
      <c r="S33" s="13"/>
      <c r="T33" s="13"/>
      <c r="U33" s="13"/>
      <c r="V33" s="13"/>
      <c r="W33" s="13"/>
      <c r="X33" s="13"/>
      <c r="Y33" s="13"/>
      <c r="Z33" s="13"/>
      <c r="AA33" s="13"/>
      <c r="AB33" s="13"/>
      <c r="AC33" s="13"/>
      <c r="AD33" s="13"/>
      <c r="AE33" s="13"/>
      <c r="AF33" s="13"/>
      <c r="AG33" s="13"/>
      <c r="AH33" s="13"/>
    </row>
    <row r="34" spans="2:34" ht="17.25" hidden="1" customHeight="1">
      <c r="B34" s="13"/>
      <c r="C34" s="13"/>
      <c r="D34" s="13"/>
      <c r="E34" s="13"/>
      <c r="F34" s="13"/>
      <c r="G34" s="13"/>
      <c r="H34" s="13"/>
      <c r="I34" s="13"/>
      <c r="J34" s="13"/>
      <c r="K34" s="13"/>
      <c r="L34" s="13"/>
      <c r="M34" s="13"/>
      <c r="N34" s="13"/>
      <c r="O34" s="13"/>
      <c r="P34" s="13"/>
      <c r="Q34" s="13"/>
      <c r="R34" s="13"/>
      <c r="S34" s="13"/>
      <c r="T34" s="13"/>
      <c r="U34" s="13"/>
      <c r="V34" s="13"/>
      <c r="W34" s="13"/>
      <c r="X34" s="13"/>
      <c r="Y34" s="13"/>
      <c r="Z34" s="13"/>
      <c r="AA34" s="13"/>
      <c r="AB34" s="13"/>
      <c r="AC34" s="13"/>
      <c r="AD34" s="13"/>
      <c r="AE34" s="13"/>
      <c r="AF34" s="13"/>
      <c r="AG34" s="13"/>
      <c r="AH34" s="13"/>
    </row>
    <row r="35" spans="2:34" ht="13.5" hidden="1" customHeight="1"/>
    <row r="36" spans="2:34" ht="13.5" hidden="1" customHeight="1"/>
    <row r="37" spans="2:34" ht="13.5" hidden="1"/>
    <row r="38" spans="2:34" ht="13.5" hidden="1"/>
    <row r="39" spans="2:34" ht="13.5" hidden="1"/>
    <row r="40" spans="2:34" ht="13.5" hidden="1"/>
    <row r="41" spans="2:34" ht="13.5" hidden="1"/>
    <row r="42" spans="2:34" ht="13.5" hidden="1"/>
    <row r="43" spans="2:34" ht="13.5" hidden="1"/>
    <row r="44" spans="2:34" ht="12.6" hidden="1" customHeight="1"/>
    <row r="45" spans="2:34" ht="12.6" hidden="1" customHeight="1"/>
    <row r="46" spans="2:34" ht="12.6" hidden="1" customHeight="1"/>
    <row r="47" spans="2:34" ht="12.6" hidden="1" customHeight="1"/>
    <row r="48" spans="2:34" ht="12.6" hidden="1" customHeight="1"/>
    <row r="49" ht="12.6" hidden="1" customHeight="1"/>
    <row r="50" ht="0" hidden="1" customHeight="1"/>
    <row r="51" ht="0" hidden="1" customHeight="1"/>
    <row r="52" ht="0" hidden="1" customHeight="1"/>
    <row r="53" ht="0" hidden="1" customHeight="1"/>
    <row r="54" ht="0" hidden="1" customHeight="1"/>
    <row r="55" ht="0" hidden="1" customHeight="1"/>
  </sheetData>
  <customSheetViews>
    <customSheetView guid="{5F6D01E3-9E6F-4D7F-980F-63899AF95899}" scale="85" showGridLines="0" fitToPage="1" hiddenRows="1" hiddenColumns="1" topLeftCell="B1">
      <selection activeCell="B1" sqref="B1"/>
      <pageMargins left="0.7" right="0.7" top="0.75" bottom="0.75" header="0.3" footer="0.3"/>
      <pageSetup paperSize="9" scale="62" orientation="landscape" r:id="rId1"/>
    </customSheetView>
  </customSheetViews>
  <pageMargins left="0.7" right="0.7" top="0.75" bottom="0.75" header="0.3" footer="0.3"/>
  <pageSetup paperSize="9" scale="62" orientation="landscape" r:id="rId2"/>
  <drawing r:id="rId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AT68"/>
  <sheetViews>
    <sheetView showGridLines="0" zoomScale="87" zoomScaleNormal="110" zoomScalePageLayoutView="40" workbookViewId="0">
      <selection activeCell="F28" sqref="F28"/>
    </sheetView>
  </sheetViews>
  <sheetFormatPr defaultColWidth="0" defaultRowHeight="26.85" customHeight="1" zeroHeight="1"/>
  <cols>
    <col min="1" max="3" width="2.5703125" customWidth="1"/>
    <col min="4" max="4" width="9.140625" customWidth="1"/>
    <col min="5" max="6" width="15.42578125" customWidth="1"/>
    <col min="7" max="8" width="11.140625" bestFit="1" customWidth="1"/>
    <col min="9" max="9" width="10.5703125" bestFit="1" customWidth="1"/>
    <col min="10" max="10" width="9" bestFit="1" customWidth="1"/>
    <col min="11" max="12" width="9.140625" customWidth="1"/>
    <col min="13" max="13" width="11" bestFit="1" customWidth="1"/>
    <col min="14" max="14" width="10.140625" bestFit="1" customWidth="1"/>
    <col min="15" max="15" width="12.140625" bestFit="1" customWidth="1"/>
    <col min="16" max="16" width="11.42578125" customWidth="1"/>
    <col min="17" max="17" width="8.85546875" customWidth="1"/>
    <col min="18" max="18" width="9.140625" bestFit="1" customWidth="1"/>
    <col min="19" max="19" width="8.85546875" customWidth="1"/>
    <col min="20" max="21" width="10.42578125" bestFit="1" customWidth="1"/>
    <col min="22" max="22" width="11.140625" bestFit="1" customWidth="1"/>
    <col min="23" max="23" width="3.140625" style="9" customWidth="1"/>
    <col min="24" max="38" width="0" style="9" hidden="1" customWidth="1"/>
    <col min="39" max="46" width="0" hidden="1" customWidth="1"/>
    <col min="47" max="16384" width="9.140625" hidden="1"/>
  </cols>
  <sheetData>
    <row r="1" spans="1:38" ht="15">
      <c r="A1" s="9"/>
      <c r="B1" s="9"/>
      <c r="C1" s="9"/>
      <c r="D1" s="9"/>
      <c r="E1" s="9"/>
      <c r="F1" s="9"/>
      <c r="G1" s="9"/>
      <c r="H1" s="9"/>
      <c r="I1" s="9"/>
      <c r="J1" s="9"/>
      <c r="K1" s="9"/>
      <c r="L1" s="9"/>
      <c r="M1" s="9"/>
      <c r="N1" s="9"/>
      <c r="O1" s="9"/>
      <c r="P1" s="9"/>
      <c r="Q1" s="9"/>
      <c r="R1" s="9"/>
      <c r="S1" s="9"/>
      <c r="T1" s="9"/>
      <c r="U1" s="9"/>
      <c r="V1" s="9"/>
    </row>
    <row r="2" spans="1:38" ht="19.5" thickBot="1">
      <c r="A2" s="9"/>
      <c r="B2" s="8" t="s">
        <v>6</v>
      </c>
      <c r="C2" s="23"/>
      <c r="D2" s="23"/>
      <c r="E2" s="23"/>
      <c r="F2" s="23"/>
      <c r="G2" s="23"/>
      <c r="H2" s="23"/>
      <c r="I2" s="23"/>
      <c r="J2" s="23"/>
      <c r="K2" s="23"/>
      <c r="L2" s="23"/>
      <c r="M2" s="23"/>
      <c r="N2" s="23"/>
      <c r="O2" s="23"/>
      <c r="P2" s="23"/>
      <c r="Q2" s="23"/>
      <c r="R2" s="23"/>
      <c r="S2" s="23"/>
      <c r="T2" s="23"/>
      <c r="U2" s="23"/>
      <c r="V2" s="23"/>
    </row>
    <row r="3" spans="1:38" ht="15">
      <c r="A3" s="9"/>
      <c r="B3" s="10"/>
      <c r="C3" s="24"/>
      <c r="D3" s="24"/>
      <c r="E3" s="24"/>
      <c r="F3" s="24"/>
      <c r="G3" s="24"/>
      <c r="H3" s="24"/>
      <c r="I3" s="24"/>
      <c r="J3" s="24"/>
      <c r="K3" s="24"/>
      <c r="L3" s="24"/>
      <c r="M3" s="24"/>
      <c r="N3" s="24"/>
      <c r="O3" s="24"/>
      <c r="P3" s="24"/>
      <c r="Q3" s="24"/>
      <c r="R3" s="24"/>
      <c r="S3" s="24"/>
      <c r="T3" s="24"/>
      <c r="U3" s="24"/>
      <c r="V3" s="25">
        <v>44910</v>
      </c>
    </row>
    <row r="4" spans="1:38" ht="15.75">
      <c r="A4" s="9"/>
      <c r="B4" s="11" t="s">
        <v>7</v>
      </c>
      <c r="C4" s="26"/>
      <c r="D4" s="24"/>
      <c r="E4" s="58" t="s">
        <v>91</v>
      </c>
      <c r="F4" s="24"/>
      <c r="G4" s="24"/>
      <c r="H4" s="24"/>
      <c r="I4" s="24"/>
      <c r="J4" s="24"/>
      <c r="K4" s="24"/>
      <c r="L4" s="24"/>
      <c r="M4" s="24"/>
      <c r="N4" s="24"/>
      <c r="O4" s="24"/>
      <c r="P4" s="24"/>
      <c r="Q4" s="24"/>
      <c r="R4" s="24"/>
      <c r="S4" s="24"/>
      <c r="T4" s="24"/>
      <c r="U4" s="24"/>
      <c r="V4" s="24"/>
    </row>
    <row r="5" spans="1:38" ht="15">
      <c r="A5" s="9"/>
      <c r="B5" s="10"/>
      <c r="C5" s="24"/>
      <c r="D5" s="24"/>
      <c r="E5" s="24"/>
      <c r="F5" s="24"/>
      <c r="G5" s="24"/>
      <c r="H5" s="24"/>
      <c r="I5" s="24"/>
      <c r="J5" s="24"/>
      <c r="K5" s="24"/>
      <c r="L5" s="24"/>
      <c r="M5" s="24"/>
      <c r="N5" s="24"/>
      <c r="O5" s="24"/>
      <c r="P5" s="24"/>
      <c r="Q5" s="24"/>
      <c r="R5" s="24"/>
      <c r="S5" s="24"/>
      <c r="T5" s="24"/>
      <c r="U5" s="24"/>
      <c r="V5" s="24"/>
    </row>
    <row r="6" spans="1:38" ht="15">
      <c r="A6" s="9"/>
      <c r="B6" s="10"/>
      <c r="C6" s="24"/>
      <c r="D6" s="24"/>
      <c r="E6" s="24"/>
      <c r="F6" s="24"/>
      <c r="G6" s="24"/>
      <c r="H6" s="24"/>
      <c r="I6" s="24"/>
      <c r="J6" s="24"/>
      <c r="K6" s="24"/>
      <c r="L6" s="24"/>
      <c r="M6" s="24"/>
      <c r="N6" s="24"/>
      <c r="O6" s="24"/>
      <c r="P6" s="24"/>
      <c r="Q6" s="24"/>
      <c r="R6" s="24"/>
      <c r="S6" s="24"/>
      <c r="T6" s="24"/>
      <c r="U6" s="24"/>
      <c r="V6" s="24"/>
    </row>
    <row r="7" spans="1:38" ht="15">
      <c r="A7" s="9"/>
      <c r="B7" s="10"/>
      <c r="C7" s="86" t="s">
        <v>62</v>
      </c>
      <c r="D7" s="24"/>
      <c r="E7" s="24"/>
      <c r="F7" s="24"/>
      <c r="G7" s="24"/>
      <c r="H7" s="24"/>
      <c r="I7" s="24"/>
      <c r="J7" s="24"/>
      <c r="K7" s="24"/>
      <c r="L7" s="24"/>
      <c r="M7" s="24"/>
      <c r="N7" s="24"/>
      <c r="O7" s="24"/>
      <c r="P7" s="24"/>
      <c r="Q7" s="24"/>
      <c r="R7" s="24"/>
      <c r="S7" s="24"/>
      <c r="T7" s="24"/>
      <c r="U7" s="24"/>
      <c r="V7" s="24"/>
    </row>
    <row r="8" spans="1:38" ht="15">
      <c r="A8" s="9"/>
      <c r="B8" s="10"/>
      <c r="C8" s="24"/>
      <c r="D8" s="24"/>
      <c r="E8" s="24"/>
      <c r="F8" s="24"/>
      <c r="G8" s="24"/>
      <c r="H8" s="24"/>
      <c r="I8" s="24"/>
      <c r="J8" s="24"/>
      <c r="K8" s="24"/>
      <c r="L8" s="24"/>
      <c r="M8" s="24"/>
      <c r="N8" s="24"/>
      <c r="O8" s="24"/>
      <c r="P8" s="24"/>
      <c r="Q8" s="24"/>
      <c r="R8" s="24"/>
      <c r="S8" s="24"/>
      <c r="T8" s="24"/>
      <c r="U8" s="24"/>
      <c r="V8" s="24"/>
    </row>
    <row r="9" spans="1:38" s="20" customFormat="1" ht="15">
      <c r="A9" s="9"/>
      <c r="B9"/>
      <c r="C9" s="27" t="s">
        <v>7</v>
      </c>
      <c r="D9" s="28"/>
      <c r="E9" s="28"/>
      <c r="F9" s="158" t="s">
        <v>27</v>
      </c>
      <c r="G9" s="158"/>
      <c r="H9" s="158"/>
      <c r="I9" s="158"/>
      <c r="J9" s="158"/>
      <c r="K9" s="158"/>
      <c r="L9" s="159"/>
      <c r="M9" s="157" t="s">
        <v>92</v>
      </c>
      <c r="N9" s="158"/>
      <c r="O9" s="158"/>
      <c r="P9" s="158"/>
      <c r="Q9" s="158"/>
      <c r="R9" s="158"/>
      <c r="S9" s="159"/>
      <c r="T9" s="157" t="s">
        <v>57</v>
      </c>
      <c r="U9" s="158"/>
      <c r="V9" s="160"/>
      <c r="W9" s="9"/>
      <c r="X9" s="19"/>
      <c r="Y9" s="19"/>
      <c r="Z9" s="19"/>
      <c r="AA9" s="19"/>
      <c r="AB9" s="19"/>
      <c r="AC9" s="19"/>
      <c r="AD9" s="19"/>
      <c r="AE9" s="19"/>
      <c r="AF9" s="19"/>
      <c r="AG9" s="19"/>
      <c r="AH9" s="19"/>
      <c r="AI9" s="19"/>
      <c r="AJ9" s="19"/>
      <c r="AK9" s="19"/>
      <c r="AL9" s="19"/>
    </row>
    <row r="10" spans="1:38" ht="15.75">
      <c r="A10" s="9"/>
      <c r="B10" s="18"/>
      <c r="C10" s="29"/>
      <c r="D10" s="30"/>
      <c r="E10" s="30"/>
      <c r="F10" s="29"/>
      <c r="G10" s="30"/>
      <c r="H10" s="30"/>
      <c r="I10" s="30"/>
      <c r="J10" s="30"/>
      <c r="K10" s="30"/>
      <c r="L10" s="56"/>
      <c r="M10" s="30"/>
      <c r="N10" s="30"/>
      <c r="O10" s="30"/>
      <c r="P10" s="30"/>
      <c r="Q10" s="30"/>
      <c r="R10" s="30"/>
      <c r="S10" s="56"/>
      <c r="T10" s="30"/>
      <c r="U10" s="30"/>
      <c r="V10" s="56"/>
    </row>
    <row r="11" spans="1:38" s="54" customFormat="1" ht="27" customHeight="1">
      <c r="A11" s="48"/>
      <c r="B11" s="49"/>
      <c r="C11" s="59" t="s">
        <v>29</v>
      </c>
      <c r="D11" s="50"/>
      <c r="E11" s="51"/>
      <c r="F11" s="55">
        <v>2022</v>
      </c>
      <c r="G11" s="52">
        <v>2021</v>
      </c>
      <c r="H11" s="52">
        <v>2020</v>
      </c>
      <c r="I11" s="52">
        <v>2019</v>
      </c>
      <c r="J11" s="53" t="s">
        <v>36</v>
      </c>
      <c r="K11" s="53" t="s">
        <v>34</v>
      </c>
      <c r="L11" s="57" t="s">
        <v>35</v>
      </c>
      <c r="M11" s="53">
        <v>2022</v>
      </c>
      <c r="N11" s="52">
        <v>2021</v>
      </c>
      <c r="O11" s="52">
        <v>2020</v>
      </c>
      <c r="P11" s="52">
        <v>2019</v>
      </c>
      <c r="Q11" s="53" t="s">
        <v>36</v>
      </c>
      <c r="R11" s="53" t="s">
        <v>34</v>
      </c>
      <c r="S11" s="57" t="s">
        <v>35</v>
      </c>
      <c r="T11" s="53">
        <v>2021</v>
      </c>
      <c r="U11" s="52">
        <v>2020</v>
      </c>
      <c r="V11" s="77">
        <v>2019</v>
      </c>
      <c r="W11" s="48"/>
      <c r="X11" s="48"/>
      <c r="Y11" s="48"/>
      <c r="Z11" s="48"/>
      <c r="AA11" s="48"/>
      <c r="AB11" s="48"/>
      <c r="AC11" s="48"/>
      <c r="AD11" s="48"/>
      <c r="AE11" s="48"/>
      <c r="AF11" s="48"/>
      <c r="AG11" s="48"/>
      <c r="AH11" s="48"/>
      <c r="AI11" s="48"/>
      <c r="AJ11" s="48"/>
      <c r="AK11" s="48"/>
      <c r="AL11" s="48"/>
    </row>
    <row r="12" spans="1:38" ht="15">
      <c r="A12" s="9"/>
      <c r="B12" s="12"/>
      <c r="C12" s="31" t="s">
        <v>14</v>
      </c>
      <c r="D12" s="26"/>
      <c r="E12" s="32"/>
      <c r="F12" s="26"/>
      <c r="G12" s="26"/>
      <c r="H12" s="26"/>
      <c r="I12" s="26"/>
      <c r="J12" s="26"/>
      <c r="K12" s="26"/>
      <c r="L12" s="32"/>
      <c r="M12" s="26"/>
      <c r="N12" s="26"/>
      <c r="O12" s="26"/>
      <c r="P12" s="26"/>
      <c r="Q12" s="26"/>
      <c r="R12" s="26"/>
      <c r="S12" s="32"/>
      <c r="T12" s="26"/>
      <c r="U12" s="26"/>
      <c r="V12" s="32"/>
    </row>
    <row r="13" spans="1:38" ht="15">
      <c r="A13" s="9"/>
      <c r="B13" s="12"/>
      <c r="C13" s="33"/>
      <c r="D13" s="26" t="s">
        <v>5</v>
      </c>
      <c r="E13" s="32"/>
      <c r="F13" s="73">
        <v>40</v>
      </c>
      <c r="G13" s="71">
        <v>21</v>
      </c>
      <c r="H13" s="71">
        <v>0</v>
      </c>
      <c r="I13" s="71">
        <v>51</v>
      </c>
      <c r="J13" s="64">
        <f t="shared" ref="J13:J31" si="0">IFERROR(F13/G13-1,"n/a")</f>
        <v>0.90476190476190466</v>
      </c>
      <c r="K13" s="64" t="str">
        <f>IFERROR(F13/H13-1,"n/a")</f>
        <v>n/a</v>
      </c>
      <c r="L13" s="60">
        <f>IFERROR(F13/I13-1,"n/a")</f>
        <v>-0.21568627450980393</v>
      </c>
      <c r="M13" s="68">
        <f>F13+'Oct-22'!M13</f>
        <v>273</v>
      </c>
      <c r="N13" s="68">
        <f>G13+'Oct-22'!N13</f>
        <v>41</v>
      </c>
      <c r="O13" s="68">
        <f>H13+'Oct-22'!O13</f>
        <v>145</v>
      </c>
      <c r="P13" s="68">
        <f>I13+'Oct-22'!P13</f>
        <v>317</v>
      </c>
      <c r="Q13" s="64">
        <f>IFERROR(M13/N13-1,"n/a")</f>
        <v>5.6585365853658534</v>
      </c>
      <c r="R13" s="64">
        <f>IFERROR(M13/O13-1,"n/a")</f>
        <v>0.88275862068965516</v>
      </c>
      <c r="S13" s="60">
        <f>IFERROR(M13/P13-1,"n/a")</f>
        <v>-0.13880126182965302</v>
      </c>
      <c r="T13" s="68">
        <v>111</v>
      </c>
      <c r="U13" s="70">
        <v>145</v>
      </c>
      <c r="V13" s="78">
        <v>386</v>
      </c>
    </row>
    <row r="14" spans="1:38" ht="15">
      <c r="A14" s="9"/>
      <c r="B14" s="12"/>
      <c r="C14" s="33"/>
      <c r="D14" s="26" t="s">
        <v>11</v>
      </c>
      <c r="E14" s="32"/>
      <c r="F14" s="73">
        <v>64272</v>
      </c>
      <c r="G14" s="71">
        <v>23175</v>
      </c>
      <c r="H14" s="71">
        <v>0</v>
      </c>
      <c r="I14" s="71">
        <v>89764</v>
      </c>
      <c r="J14" s="64">
        <f t="shared" si="0"/>
        <v>1.7733333333333334</v>
      </c>
      <c r="K14" s="64" t="str">
        <f>IFERROR(F14/H14-1,"n/a")</f>
        <v>n/a</v>
      </c>
      <c r="L14" s="60">
        <f>IFERROR(F14/I14-1,"n/a")</f>
        <v>-0.28398912704424939</v>
      </c>
      <c r="M14" s="68">
        <f>F14+'Oct-22'!M14</f>
        <v>270964</v>
      </c>
      <c r="N14" s="68">
        <f>G14+'Oct-22'!N14</f>
        <v>28096</v>
      </c>
      <c r="O14" s="68">
        <f>H14+'Oct-22'!O14</f>
        <v>258885</v>
      </c>
      <c r="P14" s="68">
        <f>I14+'Oct-22'!P14</f>
        <v>613093</v>
      </c>
      <c r="Q14" s="64">
        <f>IFERROR(M14/N14-1,"n/a")</f>
        <v>8.6442198177676541</v>
      </c>
      <c r="R14" s="64">
        <f>IFERROR(M14/O14-1,"n/a")</f>
        <v>4.6657782413040527E-2</v>
      </c>
      <c r="S14" s="60">
        <f>IFERROR(M14/P14-1,"n/a")</f>
        <v>-0.55803768759388861</v>
      </c>
      <c r="T14" s="68">
        <v>80863</v>
      </c>
      <c r="U14" s="70">
        <v>258885</v>
      </c>
      <c r="V14" s="78">
        <v>733296</v>
      </c>
    </row>
    <row r="15" spans="1:38" ht="15">
      <c r="A15" s="9"/>
      <c r="B15" s="12"/>
      <c r="C15" s="31" t="s">
        <v>74</v>
      </c>
      <c r="D15" s="26"/>
      <c r="E15" s="32"/>
      <c r="F15" s="26"/>
      <c r="G15" s="26"/>
      <c r="H15" s="26"/>
      <c r="I15" s="26"/>
      <c r="J15" s="64"/>
      <c r="K15" s="64"/>
      <c r="L15" s="61"/>
      <c r="M15" s="87"/>
      <c r="N15" s="87"/>
      <c r="O15" s="87"/>
      <c r="P15" s="87"/>
      <c r="Q15" s="64"/>
      <c r="R15" s="65"/>
      <c r="S15" s="61"/>
      <c r="T15" s="43"/>
      <c r="U15" s="44"/>
      <c r="V15" s="79"/>
    </row>
    <row r="16" spans="1:38" ht="15">
      <c r="A16" s="9"/>
      <c r="B16" s="12"/>
      <c r="C16" s="33"/>
      <c r="D16" s="26" t="s">
        <v>5</v>
      </c>
      <c r="E16" s="32"/>
      <c r="F16" s="74">
        <v>91</v>
      </c>
      <c r="G16" s="71">
        <v>67</v>
      </c>
      <c r="H16" s="71">
        <v>0</v>
      </c>
      <c r="I16" s="71">
        <v>95</v>
      </c>
      <c r="J16" s="64">
        <f t="shared" si="0"/>
        <v>0.35820895522388052</v>
      </c>
      <c r="K16" s="64" t="str">
        <f>IFERROR(F16/H16-1,"n/a")</f>
        <v>n/a</v>
      </c>
      <c r="L16" s="60">
        <f>IFERROR(F16/I16-1,"n/a")</f>
        <v>-4.2105263157894757E-2</v>
      </c>
      <c r="M16" s="68">
        <f>F16+'Oct-22'!M16</f>
        <v>747</v>
      </c>
      <c r="N16" s="68">
        <f>G16+'Oct-22'!N16</f>
        <v>258</v>
      </c>
      <c r="O16" s="68">
        <f>H16+'Oct-22'!O16</f>
        <v>43</v>
      </c>
      <c r="P16" s="68">
        <f>I16+'Oct-22'!P16</f>
        <v>807</v>
      </c>
      <c r="Q16" s="64">
        <f>IFERROR(M16/N16-1,"n/a")</f>
        <v>1.8953488372093021</v>
      </c>
      <c r="R16" s="64">
        <f>IFERROR(M16/O16-1,"n/a")</f>
        <v>16.372093023255815</v>
      </c>
      <c r="S16" s="60">
        <f>IFERROR(M16/P16-1,"n/a")</f>
        <v>-7.4349442379182173E-2</v>
      </c>
      <c r="T16" s="68">
        <v>283</v>
      </c>
      <c r="U16" s="70">
        <v>43</v>
      </c>
      <c r="V16" s="78">
        <v>827</v>
      </c>
    </row>
    <row r="17" spans="1:46" ht="15">
      <c r="A17" s="9"/>
      <c r="B17" s="12"/>
      <c r="C17" s="33"/>
      <c r="D17" s="26" t="s">
        <v>11</v>
      </c>
      <c r="E17" s="32"/>
      <c r="F17" s="74">
        <v>175248</v>
      </c>
      <c r="G17" s="71">
        <v>83507</v>
      </c>
      <c r="H17" s="71">
        <v>0</v>
      </c>
      <c r="I17" s="71">
        <v>263747</v>
      </c>
      <c r="J17" s="64">
        <f t="shared" si="0"/>
        <v>1.0986025123642329</v>
      </c>
      <c r="K17" s="64" t="str">
        <f>IFERROR(F17/H17-1,"n/a")</f>
        <v>n/a</v>
      </c>
      <c r="L17" s="60">
        <f>IFERROR(F17/I17-1,"n/a")</f>
        <v>-0.33554504885363623</v>
      </c>
      <c r="M17" s="68">
        <f>F17+'Oct-22'!M17</f>
        <v>1755234</v>
      </c>
      <c r="N17" s="68">
        <f>G17+'Oct-22'!N17</f>
        <v>425895</v>
      </c>
      <c r="O17" s="68">
        <f>H17+'Oct-22'!O17</f>
        <v>140552</v>
      </c>
      <c r="P17" s="68">
        <f>I17+'Oct-22'!P17</f>
        <v>2493999</v>
      </c>
      <c r="Q17" s="64">
        <f>IFERROR(M17/N17-1,"n/a")</f>
        <v>3.1212834149262143</v>
      </c>
      <c r="R17" s="64">
        <f>IFERROR(M17/O17-1,"n/a")</f>
        <v>11.488146735727701</v>
      </c>
      <c r="S17" s="60">
        <f>IFERROR(M17/P17-1,"n/a")</f>
        <v>-0.29621703938133093</v>
      </c>
      <c r="T17" s="68">
        <v>465109</v>
      </c>
      <c r="U17" s="70">
        <v>140552</v>
      </c>
      <c r="V17" s="78">
        <v>2552942</v>
      </c>
    </row>
    <row r="18" spans="1:46" ht="15">
      <c r="A18" s="9"/>
      <c r="B18" s="12"/>
      <c r="C18" s="31" t="s">
        <v>15</v>
      </c>
      <c r="D18" s="26"/>
      <c r="E18" s="32"/>
      <c r="F18" s="72"/>
      <c r="G18" s="72"/>
      <c r="H18" s="72"/>
      <c r="I18" s="72"/>
      <c r="J18" s="64"/>
      <c r="K18" s="64"/>
      <c r="L18" s="60"/>
      <c r="M18" s="87"/>
      <c r="N18" s="87"/>
      <c r="O18" s="87"/>
      <c r="P18" s="87"/>
      <c r="Q18" s="64"/>
      <c r="R18" s="64"/>
      <c r="S18" s="60"/>
      <c r="T18" s="43"/>
      <c r="U18" s="44"/>
      <c r="V18" s="79"/>
    </row>
    <row r="19" spans="1:46" ht="15">
      <c r="A19" s="9"/>
      <c r="B19" s="12"/>
      <c r="C19" s="33"/>
      <c r="D19" s="26" t="s">
        <v>5</v>
      </c>
      <c r="E19" s="32"/>
      <c r="F19" s="74">
        <v>32</v>
      </c>
      <c r="G19" s="71">
        <v>9</v>
      </c>
      <c r="H19" s="71">
        <v>0</v>
      </c>
      <c r="I19" s="71">
        <v>10</v>
      </c>
      <c r="J19" s="64">
        <f t="shared" si="0"/>
        <v>2.5555555555555554</v>
      </c>
      <c r="K19" s="64" t="str">
        <f>IFERROR(F19/H19-1,"n/a")</f>
        <v>n/a</v>
      </c>
      <c r="L19" s="60">
        <f>IFERROR(F19/I19-1,"n/a")</f>
        <v>2.2000000000000002</v>
      </c>
      <c r="M19" s="68">
        <f>F19+'Oct-22'!M19</f>
        <v>466</v>
      </c>
      <c r="N19" s="68">
        <f>G19+'Oct-22'!N19</f>
        <v>20</v>
      </c>
      <c r="O19" s="68">
        <f>H19+'Oct-22'!O19</f>
        <v>4</v>
      </c>
      <c r="P19" s="68">
        <f>I19+'Oct-22'!P19</f>
        <v>182</v>
      </c>
      <c r="Q19" s="64">
        <f>IFERROR(M19/N19-1,"n/a")</f>
        <v>22.3</v>
      </c>
      <c r="R19" s="64">
        <f>IFERROR(M19/O19-1,"n/a")</f>
        <v>115.5</v>
      </c>
      <c r="S19" s="60">
        <f>IFERROR(M19/P19-1,"n/a")</f>
        <v>1.5604395604395602</v>
      </c>
      <c r="T19" s="68">
        <v>23</v>
      </c>
      <c r="U19" s="70">
        <v>4</v>
      </c>
      <c r="V19" s="78">
        <v>191</v>
      </c>
    </row>
    <row r="20" spans="1:46" ht="15">
      <c r="A20" s="9"/>
      <c r="B20" s="12"/>
      <c r="C20" s="33"/>
      <c r="D20" s="26" t="s">
        <v>11</v>
      </c>
      <c r="E20" s="32"/>
      <c r="F20" s="74">
        <f>31191+116</f>
        <v>31307</v>
      </c>
      <c r="G20" s="71">
        <v>4212</v>
      </c>
      <c r="H20" s="71">
        <v>0</v>
      </c>
      <c r="I20" s="71">
        <v>13055</v>
      </c>
      <c r="J20" s="64">
        <f t="shared" si="0"/>
        <v>6.4328110161443499</v>
      </c>
      <c r="K20" s="64" t="str">
        <f>IFERROR(F20/H20-1,"n/a")</f>
        <v>n/a</v>
      </c>
      <c r="L20" s="60">
        <f t="shared" ref="L20:L31" si="1">IFERROR(F20/I20-1,"n/a")</f>
        <v>1.3980850248946766</v>
      </c>
      <c r="M20" s="68">
        <f>F20+'Oct-22'!M20</f>
        <v>555827</v>
      </c>
      <c r="N20" s="68">
        <f>G20+'Oct-22'!N20</f>
        <v>7747</v>
      </c>
      <c r="O20" s="68">
        <f>H20+'Oct-22'!O20</f>
        <v>1753</v>
      </c>
      <c r="P20" s="68">
        <f>I20+'Oct-22'!P20</f>
        <v>244596</v>
      </c>
      <c r="Q20" s="64">
        <f>IFERROR(M20/N20-1,"n/a")</f>
        <v>70.74738608493611</v>
      </c>
      <c r="R20" s="64">
        <f>IFERROR(M20/O20-1,"n/a")</f>
        <v>316.07187678265831</v>
      </c>
      <c r="S20" s="60">
        <f>IFERROR(M20/P20-1,"n/a")</f>
        <v>1.2724288214034569</v>
      </c>
      <c r="T20" s="68">
        <v>8611</v>
      </c>
      <c r="U20" s="70">
        <v>1753</v>
      </c>
      <c r="V20" s="78">
        <v>254421</v>
      </c>
    </row>
    <row r="21" spans="1:46" ht="15">
      <c r="A21" s="9"/>
      <c r="B21" s="12"/>
      <c r="C21" s="31" t="s">
        <v>10</v>
      </c>
      <c r="D21" s="26"/>
      <c r="E21" s="34"/>
      <c r="F21" s="72"/>
      <c r="G21" s="72"/>
      <c r="H21" s="72"/>
      <c r="I21" s="72"/>
      <c r="J21" s="64"/>
      <c r="K21" s="64"/>
      <c r="L21" s="60"/>
      <c r="M21" s="87"/>
      <c r="N21" s="87"/>
      <c r="O21" s="87"/>
      <c r="P21" s="87"/>
      <c r="Q21" s="64"/>
      <c r="R21" s="64"/>
      <c r="S21" s="60"/>
      <c r="T21" s="43"/>
      <c r="U21" s="44"/>
      <c r="V21" s="79"/>
    </row>
    <row r="22" spans="1:46" ht="15">
      <c r="A22" s="9"/>
      <c r="B22" s="12"/>
      <c r="C22" s="33"/>
      <c r="D22" s="26" t="s">
        <v>5</v>
      </c>
      <c r="E22" s="34"/>
      <c r="F22" s="74">
        <v>104</v>
      </c>
      <c r="G22" s="71">
        <v>94</v>
      </c>
      <c r="H22" s="71">
        <v>0</v>
      </c>
      <c r="I22" s="71">
        <v>121</v>
      </c>
      <c r="J22" s="64">
        <f t="shared" si="0"/>
        <v>0.1063829787234043</v>
      </c>
      <c r="K22" s="64" t="str">
        <f>IFERROR(F22/H22-1,"n/a")</f>
        <v>n/a</v>
      </c>
      <c r="L22" s="60">
        <f t="shared" si="1"/>
        <v>-0.14049586776859502</v>
      </c>
      <c r="M22" s="68">
        <f>F22+'Oct-22'!M22</f>
        <v>1022</v>
      </c>
      <c r="N22" s="68">
        <f>G22+'Oct-22'!N22</f>
        <v>309</v>
      </c>
      <c r="O22" s="68">
        <f>H22+'Oct-22'!O22</f>
        <v>406</v>
      </c>
      <c r="P22" s="68">
        <f>I22+'Oct-22'!P22</f>
        <v>1074</v>
      </c>
      <c r="Q22" s="64">
        <f>IFERROR(M22/N22-1,"n/a")</f>
        <v>2.3074433656957929</v>
      </c>
      <c r="R22" s="64">
        <f>IFERROR(M22/O22-1,"n/a")</f>
        <v>1.5172413793103448</v>
      </c>
      <c r="S22" s="60">
        <f>IFERROR(M22/P22-1,"n/a")</f>
        <v>-4.8417132216014847E-2</v>
      </c>
      <c r="T22" s="68">
        <v>411</v>
      </c>
      <c r="U22" s="70">
        <v>406</v>
      </c>
      <c r="V22" s="78">
        <v>1205</v>
      </c>
    </row>
    <row r="23" spans="1:46" ht="15">
      <c r="A23" s="9"/>
      <c r="B23" s="12"/>
      <c r="C23" s="33"/>
      <c r="D23" s="26" t="s">
        <v>11</v>
      </c>
      <c r="E23" s="32"/>
      <c r="F23" s="74">
        <v>345933</v>
      </c>
      <c r="G23" s="71">
        <v>162789</v>
      </c>
      <c r="H23" s="71">
        <v>0</v>
      </c>
      <c r="I23" s="71">
        <v>331420</v>
      </c>
      <c r="J23" s="64">
        <f t="shared" si="0"/>
        <v>1.1250391611226802</v>
      </c>
      <c r="K23" s="64" t="str">
        <f>IFERROR(F23/H23-1,"n/a")</f>
        <v>n/a</v>
      </c>
      <c r="L23" s="60">
        <f t="shared" si="1"/>
        <v>4.3790356647154693E-2</v>
      </c>
      <c r="M23" s="68">
        <f>F23+'Oct-22'!M23</f>
        <v>2803130</v>
      </c>
      <c r="N23" s="68">
        <f>G23+'Oct-22'!N23</f>
        <v>486999</v>
      </c>
      <c r="O23" s="68">
        <f>H23+'Oct-22'!O23</f>
        <v>833999</v>
      </c>
      <c r="P23" s="68">
        <f>I23+'Oct-22'!P23</f>
        <v>3472775</v>
      </c>
      <c r="Q23" s="64">
        <f>IFERROR(M23/N23-1,"n/a")</f>
        <v>4.7559255768492337</v>
      </c>
      <c r="R23" s="64">
        <f>IFERROR(M23/O23-1,"n/a")</f>
        <v>2.3610711763443359</v>
      </c>
      <c r="S23" s="60">
        <f>IFERROR(M23/P23-1,"n/a")</f>
        <v>-0.19282706193174048</v>
      </c>
      <c r="T23" s="68">
        <v>687449</v>
      </c>
      <c r="U23" s="70">
        <v>833999</v>
      </c>
      <c r="V23" s="78">
        <v>3859183</v>
      </c>
    </row>
    <row r="24" spans="1:46" ht="15">
      <c r="A24" s="9"/>
      <c r="B24" s="12"/>
      <c r="C24" s="31" t="s">
        <v>16</v>
      </c>
      <c r="D24" s="26"/>
      <c r="E24" s="32"/>
      <c r="F24" s="72"/>
      <c r="G24" s="72"/>
      <c r="H24" s="72"/>
      <c r="I24" s="72"/>
      <c r="J24" s="64"/>
      <c r="K24" s="64"/>
      <c r="L24" s="60"/>
      <c r="M24" s="87"/>
      <c r="N24" s="87"/>
      <c r="O24" s="87"/>
      <c r="P24" s="87"/>
      <c r="Q24" s="64"/>
      <c r="R24" s="64"/>
      <c r="S24" s="60"/>
      <c r="T24" s="43"/>
      <c r="U24" s="44"/>
      <c r="V24" s="79"/>
    </row>
    <row r="25" spans="1:46" ht="15">
      <c r="A25" s="9"/>
      <c r="B25" s="12"/>
      <c r="C25" s="33"/>
      <c r="D25" s="26" t="s">
        <v>5</v>
      </c>
      <c r="E25" s="32"/>
      <c r="F25" s="74">
        <v>11</v>
      </c>
      <c r="G25" s="71">
        <v>13</v>
      </c>
      <c r="H25" s="71">
        <v>5</v>
      </c>
      <c r="I25" s="71">
        <v>20</v>
      </c>
      <c r="J25" s="64">
        <f t="shared" si="0"/>
        <v>-0.15384615384615385</v>
      </c>
      <c r="K25" s="64">
        <f>IFERROR(F25/H25-1,"n/a")</f>
        <v>1.2000000000000002</v>
      </c>
      <c r="L25" s="60">
        <f t="shared" si="1"/>
        <v>-0.44999999999999996</v>
      </c>
      <c r="M25" s="68">
        <f>F25+'Oct-22'!M25</f>
        <v>278</v>
      </c>
      <c r="N25" s="68">
        <f>G25+'Oct-22'!N25</f>
        <v>100</v>
      </c>
      <c r="O25" s="68">
        <f>H25+'Oct-22'!O25</f>
        <v>29</v>
      </c>
      <c r="P25" s="68">
        <f>I25+'Oct-22'!P25</f>
        <v>328</v>
      </c>
      <c r="Q25" s="64">
        <f>IFERROR(M25/N25-1,"n/a")</f>
        <v>1.7799999999999998</v>
      </c>
      <c r="R25" s="64">
        <f>IFERROR(M25/O25-1,"n/a")</f>
        <v>8.5862068965517242</v>
      </c>
      <c r="S25" s="60">
        <f>IFERROR(M25/P25-1,"n/a")</f>
        <v>-0.15243902439024393</v>
      </c>
      <c r="T25" s="68">
        <v>107</v>
      </c>
      <c r="U25" s="70">
        <v>32</v>
      </c>
      <c r="V25" s="78">
        <v>372</v>
      </c>
    </row>
    <row r="26" spans="1:46" ht="15">
      <c r="A26" s="9"/>
      <c r="B26" s="12"/>
      <c r="C26" s="33"/>
      <c r="D26" s="26" t="s">
        <v>11</v>
      </c>
      <c r="E26" s="32"/>
      <c r="F26" s="74">
        <v>26816</v>
      </c>
      <c r="G26" s="71">
        <v>16166</v>
      </c>
      <c r="H26" s="71">
        <v>2473</v>
      </c>
      <c r="I26" s="71">
        <v>30720</v>
      </c>
      <c r="J26" s="64">
        <f t="shared" si="0"/>
        <v>0.65879005319806994</v>
      </c>
      <c r="K26" s="64">
        <f>IFERROR(F26/H26-1,"n/a")</f>
        <v>9.8435099069955516</v>
      </c>
      <c r="L26" s="60">
        <f t="shared" si="1"/>
        <v>-0.12708333333333333</v>
      </c>
      <c r="M26" s="68">
        <f>F26+'Oct-22'!M26</f>
        <v>510153</v>
      </c>
      <c r="N26" s="68">
        <f>G26+'Oct-22'!N26</f>
        <v>133384</v>
      </c>
      <c r="O26" s="68">
        <f>H26+'Oct-22'!O26</f>
        <v>58135</v>
      </c>
      <c r="P26" s="68">
        <f>I26+'Oct-22'!P26</f>
        <v>849404</v>
      </c>
      <c r="Q26" s="64">
        <f>IFERROR(M26/N26-1,"n/a")</f>
        <v>2.8246941162358303</v>
      </c>
      <c r="R26" s="64">
        <f>IFERROR(M26/O26-1,"n/a")</f>
        <v>7.7753160746538228</v>
      </c>
      <c r="S26" s="60">
        <f>IFERROR(M26/P26-1,"n/a")</f>
        <v>-0.39939887262127327</v>
      </c>
      <c r="T26" s="68">
        <v>147132</v>
      </c>
      <c r="U26" s="70">
        <v>59180</v>
      </c>
      <c r="V26" s="78">
        <v>902015</v>
      </c>
    </row>
    <row r="27" spans="1:46" ht="15">
      <c r="A27" s="9"/>
      <c r="B27" s="12"/>
      <c r="C27" s="31" t="s">
        <v>17</v>
      </c>
      <c r="D27" s="26"/>
      <c r="E27" s="32"/>
      <c r="F27" s="72"/>
      <c r="G27" s="72"/>
      <c r="H27" s="72"/>
      <c r="I27" s="72"/>
      <c r="J27" s="64"/>
      <c r="K27" s="64"/>
      <c r="L27" s="60"/>
      <c r="M27" s="87"/>
      <c r="N27" s="87"/>
      <c r="O27" s="87"/>
      <c r="P27" s="87"/>
      <c r="Q27" s="64"/>
      <c r="R27" s="64"/>
      <c r="S27" s="60"/>
      <c r="T27" s="43"/>
      <c r="U27" s="44"/>
      <c r="V27" s="79"/>
    </row>
    <row r="28" spans="1:46" ht="15">
      <c r="B28" s="12"/>
      <c r="C28" s="33"/>
      <c r="D28" s="26" t="s">
        <v>5</v>
      </c>
      <c r="E28" s="32"/>
      <c r="F28" s="74">
        <f>24+38</f>
        <v>62</v>
      </c>
      <c r="G28" s="71">
        <v>20</v>
      </c>
      <c r="H28" s="71">
        <v>8</v>
      </c>
      <c r="I28" s="71">
        <v>17</v>
      </c>
      <c r="J28" s="64">
        <f t="shared" si="0"/>
        <v>2.1</v>
      </c>
      <c r="K28" s="64">
        <f>IFERROR(F28/H28-1,"n/a")</f>
        <v>6.75</v>
      </c>
      <c r="L28" s="60">
        <f t="shared" si="1"/>
        <v>2.6470588235294117</v>
      </c>
      <c r="M28" s="68">
        <f>F28+'Oct-22'!M28</f>
        <v>568</v>
      </c>
      <c r="N28" s="68">
        <f>G28+'Oct-22'!N28</f>
        <v>127</v>
      </c>
      <c r="O28" s="68">
        <f>H28+'Oct-22'!O28</f>
        <v>32</v>
      </c>
      <c r="P28" s="68">
        <f>I28+'Oct-22'!P28</f>
        <v>345</v>
      </c>
      <c r="Q28" s="64">
        <f>IFERROR(M28/N28-1,"n/a")</f>
        <v>3.4724409448818898</v>
      </c>
      <c r="R28" s="64">
        <f>IFERROR(M28/O28-1,"n/a")</f>
        <v>16.75</v>
      </c>
      <c r="S28" s="60">
        <f>IFERROR(M28/P28-1,"n/a")</f>
        <v>0.64637681159420279</v>
      </c>
      <c r="T28" s="68">
        <v>127</v>
      </c>
      <c r="U28" s="70">
        <v>37</v>
      </c>
      <c r="V28" s="78">
        <f>282+81</f>
        <v>363</v>
      </c>
    </row>
    <row r="29" spans="1:46" ht="15">
      <c r="A29" s="9"/>
      <c r="B29" s="12"/>
      <c r="C29" s="33"/>
      <c r="D29" s="26" t="s">
        <v>11</v>
      </c>
      <c r="E29" s="32"/>
      <c r="F29" s="74">
        <f>35743+775+99553</f>
        <v>136071</v>
      </c>
      <c r="G29" s="71">
        <v>14810</v>
      </c>
      <c r="H29" s="71">
        <v>2381</v>
      </c>
      <c r="I29" s="71">
        <v>16811</v>
      </c>
      <c r="J29" s="64">
        <f t="shared" si="0"/>
        <v>8.1877785280216067</v>
      </c>
      <c r="K29" s="64">
        <f>IFERROR(F29/H29-1,"n/a")</f>
        <v>56.148677026459474</v>
      </c>
      <c r="L29" s="60">
        <f t="shared" si="1"/>
        <v>7.0941645351258114</v>
      </c>
      <c r="M29" s="68">
        <f>F29+'Oct-22'!M29</f>
        <v>968429</v>
      </c>
      <c r="N29" s="68">
        <f>G29+'Oct-22'!N29</f>
        <v>165083</v>
      </c>
      <c r="O29" s="68">
        <f>H29+'Oct-22'!O29</f>
        <v>18693</v>
      </c>
      <c r="P29" s="68">
        <f>I29+'Oct-22'!P29</f>
        <v>856498</v>
      </c>
      <c r="Q29" s="64">
        <f>IFERROR(M29/N29-1,"n/a")</f>
        <v>4.8663157320862842</v>
      </c>
      <c r="R29" s="64">
        <f>IFERROR(M29/O29-1,"n/a")</f>
        <v>50.807040068474834</v>
      </c>
      <c r="S29" s="60">
        <f>IFERROR(M29/P29-1,"n/a")</f>
        <v>0.13068448496085217</v>
      </c>
      <c r="T29" s="68">
        <v>165083</v>
      </c>
      <c r="U29" s="70">
        <f>20768+8294</f>
        <v>29062</v>
      </c>
      <c r="V29" s="78">
        <f>659951+168729+38484</f>
        <v>867164</v>
      </c>
    </row>
    <row r="30" spans="1:46" ht="15" customHeight="1" thickBot="1">
      <c r="A30" s="9"/>
      <c r="B30" s="12"/>
      <c r="C30" s="35" t="s">
        <v>12</v>
      </c>
      <c r="D30" s="36"/>
      <c r="E30" s="37"/>
      <c r="F30" s="75">
        <f t="shared" ref="F30:I31" si="2">F13+F16+F19+F22+F25+F28</f>
        <v>340</v>
      </c>
      <c r="G30" s="75">
        <f>G13+G16+G19+G22+G25+G28</f>
        <v>224</v>
      </c>
      <c r="H30" s="75">
        <f t="shared" si="2"/>
        <v>13</v>
      </c>
      <c r="I30" s="75">
        <f t="shared" si="2"/>
        <v>314</v>
      </c>
      <c r="J30" s="66">
        <f t="shared" si="0"/>
        <v>0.51785714285714279</v>
      </c>
      <c r="K30" s="66">
        <f>IFERROR(F30/H30-1,"n/a")</f>
        <v>25.153846153846153</v>
      </c>
      <c r="L30" s="62">
        <f t="shared" si="1"/>
        <v>8.2802547770700619E-2</v>
      </c>
      <c r="M30" s="46">
        <f t="shared" ref="M30:P31" si="3">M13+M16+M19+M22+M25+M28</f>
        <v>3354</v>
      </c>
      <c r="N30" s="46">
        <f t="shared" si="3"/>
        <v>855</v>
      </c>
      <c r="O30" s="46">
        <f t="shared" si="3"/>
        <v>659</v>
      </c>
      <c r="P30" s="46">
        <f t="shared" si="3"/>
        <v>3053</v>
      </c>
      <c r="Q30" s="66">
        <f>IFERROR(M30/N30-1,"n/a")</f>
        <v>2.9228070175438599</v>
      </c>
      <c r="R30" s="66">
        <f>IFERROR(M30/O30-1,"n/a")</f>
        <v>4.0895295902883158</v>
      </c>
      <c r="S30" s="62">
        <f>IFERROR(M30/P30-1,"n/a")</f>
        <v>9.8591549295774739E-2</v>
      </c>
      <c r="T30" s="46">
        <f t="shared" ref="T30:V31" si="4">T13+T16+T19+T22+T25+T28</f>
        <v>1062</v>
      </c>
      <c r="U30" s="46">
        <f t="shared" si="4"/>
        <v>667</v>
      </c>
      <c r="V30" s="80">
        <f t="shared" si="4"/>
        <v>3344</v>
      </c>
    </row>
    <row r="31" spans="1:46" s="22" customFormat="1" ht="15" customHeight="1" thickTop="1" thickBot="1">
      <c r="A31" s="9"/>
      <c r="B31" s="12"/>
      <c r="C31" s="38" t="s">
        <v>13</v>
      </c>
      <c r="D31" s="39"/>
      <c r="E31" s="40"/>
      <c r="F31" s="76">
        <f t="shared" si="2"/>
        <v>779647</v>
      </c>
      <c r="G31" s="76">
        <f t="shared" si="2"/>
        <v>304659</v>
      </c>
      <c r="H31" s="76">
        <f t="shared" si="2"/>
        <v>4854</v>
      </c>
      <c r="I31" s="76">
        <f t="shared" si="2"/>
        <v>745517</v>
      </c>
      <c r="J31" s="67">
        <f t="shared" si="0"/>
        <v>1.5590808083792043</v>
      </c>
      <c r="K31" s="67">
        <f>IFERROR(F31/H31-1,"n/a")</f>
        <v>159.61948908117017</v>
      </c>
      <c r="L31" s="63">
        <f t="shared" si="1"/>
        <v>4.5780310844689032E-2</v>
      </c>
      <c r="M31" s="47">
        <f t="shared" si="3"/>
        <v>6863737</v>
      </c>
      <c r="N31" s="47">
        <f t="shared" si="3"/>
        <v>1247204</v>
      </c>
      <c r="O31" s="47">
        <f t="shared" si="3"/>
        <v>1312017</v>
      </c>
      <c r="P31" s="47">
        <f t="shared" si="3"/>
        <v>8530365</v>
      </c>
      <c r="Q31" s="67">
        <f>IFERROR(M31/N31-1,"n/a")</f>
        <v>4.5032993800533037</v>
      </c>
      <c r="R31" s="67">
        <f>IFERROR(M31/O31-1,"n/a")</f>
        <v>4.231439074341262</v>
      </c>
      <c r="S31" s="63">
        <f>IFERROR(M31/P31-1,"n/a")</f>
        <v>-0.19537593057272462</v>
      </c>
      <c r="T31" s="47">
        <f t="shared" si="4"/>
        <v>1554247</v>
      </c>
      <c r="U31" s="47">
        <f t="shared" si="4"/>
        <v>1323431</v>
      </c>
      <c r="V31" s="81">
        <f t="shared" si="4"/>
        <v>9169021</v>
      </c>
      <c r="W31" s="9"/>
      <c r="X31" s="21"/>
      <c r="Y31" s="21"/>
      <c r="Z31" s="21"/>
      <c r="AA31" s="21"/>
      <c r="AB31" s="21"/>
      <c r="AC31" s="21"/>
      <c r="AD31" s="21"/>
      <c r="AE31" s="21"/>
      <c r="AF31" s="21"/>
      <c r="AG31" s="21"/>
      <c r="AH31" s="21"/>
      <c r="AI31" s="21"/>
      <c r="AJ31" s="21"/>
      <c r="AK31" s="21"/>
      <c r="AL31" s="21"/>
    </row>
    <row r="32" spans="1:46" s="9" customFormat="1" ht="15" customHeight="1" thickTop="1">
      <c r="F32" s="41"/>
      <c r="G32" s="41"/>
      <c r="H32" s="41"/>
      <c r="I32" s="41"/>
      <c r="J32" s="41"/>
      <c r="K32" s="41"/>
      <c r="AM32"/>
      <c r="AN32"/>
      <c r="AO32"/>
      <c r="AP32"/>
      <c r="AQ32"/>
      <c r="AR32"/>
      <c r="AS32"/>
      <c r="AT32"/>
    </row>
    <row r="33" spans="2:46" s="9" customFormat="1" ht="23.1" customHeight="1">
      <c r="F33" s="41"/>
      <c r="G33" s="41"/>
      <c r="H33" s="41"/>
      <c r="I33" s="41"/>
      <c r="J33" s="41"/>
      <c r="K33" s="41"/>
      <c r="AM33"/>
      <c r="AN33"/>
      <c r="AO33"/>
      <c r="AP33"/>
      <c r="AQ33"/>
      <c r="AR33"/>
      <c r="AS33"/>
      <c r="AT33"/>
    </row>
    <row r="34" spans="2:46" s="9" customFormat="1" ht="15">
      <c r="B34" s="10"/>
      <c r="C34" s="86" t="s">
        <v>63</v>
      </c>
      <c r="D34" s="24"/>
      <c r="E34" s="24"/>
      <c r="F34" s="24"/>
      <c r="G34" s="24"/>
      <c r="H34" s="24"/>
      <c r="I34" s="95"/>
      <c r="J34" s="95"/>
      <c r="K34" s="95"/>
      <c r="L34" s="24"/>
      <c r="M34" s="24"/>
      <c r="N34" s="24"/>
      <c r="O34" s="24"/>
      <c r="P34" s="24"/>
      <c r="Q34" s="24"/>
      <c r="R34" s="24"/>
      <c r="S34" s="24"/>
      <c r="T34" s="24"/>
      <c r="U34" s="24"/>
      <c r="V34" s="24"/>
      <c r="AM34"/>
      <c r="AN34"/>
      <c r="AO34"/>
      <c r="AP34"/>
      <c r="AQ34"/>
      <c r="AR34"/>
      <c r="AS34"/>
      <c r="AT34"/>
    </row>
    <row r="35" spans="2:46" s="9" customFormat="1" ht="15">
      <c r="B35" s="10"/>
      <c r="C35" s="24"/>
      <c r="D35" s="24"/>
      <c r="E35" s="24"/>
      <c r="F35" s="24"/>
      <c r="G35" s="24"/>
      <c r="H35" s="24"/>
      <c r="I35" s="95"/>
      <c r="J35" s="95"/>
      <c r="K35" s="95"/>
      <c r="L35" s="24"/>
      <c r="M35" s="24"/>
      <c r="N35" s="24"/>
      <c r="O35" s="24"/>
      <c r="P35" s="24"/>
      <c r="Q35" s="24"/>
      <c r="R35" s="24"/>
      <c r="S35" s="24"/>
      <c r="T35" s="24"/>
      <c r="U35" s="24"/>
      <c r="V35" s="24"/>
      <c r="AM35"/>
      <c r="AN35"/>
      <c r="AO35"/>
      <c r="AP35"/>
      <c r="AQ35"/>
      <c r="AR35"/>
      <c r="AS35"/>
      <c r="AT35"/>
    </row>
    <row r="36" spans="2:46" s="9" customFormat="1" ht="15" customHeight="1">
      <c r="C36" s="27" t="s">
        <v>7</v>
      </c>
      <c r="D36" s="28"/>
      <c r="E36" s="28"/>
      <c r="F36" s="158" t="str">
        <f>F9</f>
        <v>November</v>
      </c>
      <c r="G36" s="158"/>
      <c r="H36" s="158"/>
      <c r="I36" s="158"/>
      <c r="J36" s="158"/>
      <c r="K36" s="158"/>
      <c r="L36" s="159"/>
      <c r="M36" s="157" t="s">
        <v>93</v>
      </c>
      <c r="N36" s="158"/>
      <c r="O36" s="158"/>
      <c r="P36" s="158"/>
      <c r="Q36" s="158"/>
      <c r="R36" s="158"/>
      <c r="S36" s="159"/>
      <c r="T36" s="157" t="s">
        <v>58</v>
      </c>
      <c r="U36" s="158"/>
      <c r="V36" s="160"/>
      <c r="AM36"/>
      <c r="AN36"/>
      <c r="AO36"/>
      <c r="AP36"/>
      <c r="AQ36"/>
      <c r="AR36"/>
      <c r="AS36"/>
      <c r="AT36"/>
    </row>
    <row r="37" spans="2:46" s="9" customFormat="1" ht="15" customHeight="1">
      <c r="C37" s="29"/>
      <c r="D37" s="30"/>
      <c r="E37" s="30"/>
      <c r="F37" s="29"/>
      <c r="G37" s="30"/>
      <c r="H37" s="30"/>
      <c r="I37" s="30"/>
      <c r="J37" s="30"/>
      <c r="K37" s="30"/>
      <c r="L37" s="56"/>
      <c r="M37" s="30"/>
      <c r="N37" s="30"/>
      <c r="O37" s="30"/>
      <c r="P37" s="30"/>
      <c r="Q37" s="30"/>
      <c r="R37" s="30"/>
      <c r="S37" s="56"/>
      <c r="T37" s="30"/>
      <c r="U37" s="30"/>
      <c r="V37" s="56"/>
      <c r="AM37"/>
      <c r="AN37"/>
      <c r="AO37"/>
      <c r="AP37"/>
      <c r="AQ37"/>
      <c r="AR37"/>
      <c r="AS37"/>
      <c r="AT37"/>
    </row>
    <row r="38" spans="2:46" s="9" customFormat="1" ht="33.6" customHeight="1">
      <c r="C38" s="59" t="s">
        <v>29</v>
      </c>
      <c r="D38" s="50"/>
      <c r="E38" s="51"/>
      <c r="F38" s="55">
        <v>2022</v>
      </c>
      <c r="G38" s="52">
        <v>2021</v>
      </c>
      <c r="H38" s="52">
        <v>2020</v>
      </c>
      <c r="I38" s="52">
        <v>2019</v>
      </c>
      <c r="J38" s="53" t="s">
        <v>36</v>
      </c>
      <c r="K38" s="53" t="s">
        <v>34</v>
      </c>
      <c r="L38" s="57" t="s">
        <v>35</v>
      </c>
      <c r="M38" s="53" t="s">
        <v>53</v>
      </c>
      <c r="N38" s="52" t="s">
        <v>54</v>
      </c>
      <c r="O38" s="52" t="s">
        <v>59</v>
      </c>
      <c r="P38" s="52" t="s">
        <v>64</v>
      </c>
      <c r="Q38" s="53" t="s">
        <v>66</v>
      </c>
      <c r="R38" s="53" t="s">
        <v>67</v>
      </c>
      <c r="S38" s="57" t="s">
        <v>68</v>
      </c>
      <c r="T38" s="53" t="s">
        <v>54</v>
      </c>
      <c r="U38" s="53" t="s">
        <v>65</v>
      </c>
      <c r="V38" s="57" t="s">
        <v>73</v>
      </c>
    </row>
    <row r="39" spans="2:46" s="9" customFormat="1" ht="15" customHeight="1">
      <c r="C39" s="31" t="s">
        <v>14</v>
      </c>
      <c r="D39" s="26"/>
      <c r="E39" s="32"/>
      <c r="F39" s="26"/>
      <c r="G39" s="26"/>
      <c r="H39" s="26"/>
      <c r="I39" s="26"/>
      <c r="J39" s="26"/>
      <c r="K39" s="26"/>
      <c r="L39" s="32"/>
      <c r="M39" s="26"/>
      <c r="N39" s="26"/>
      <c r="O39" s="26"/>
      <c r="Q39" s="26"/>
      <c r="R39" s="26"/>
      <c r="S39" s="32"/>
      <c r="T39" s="33"/>
      <c r="U39" s="88"/>
      <c r="V39" s="85"/>
    </row>
    <row r="40" spans="2:46" s="9" customFormat="1" ht="15" customHeight="1">
      <c r="C40" s="33"/>
      <c r="D40" s="26" t="s">
        <v>5</v>
      </c>
      <c r="E40" s="32"/>
      <c r="F40" s="74">
        <f t="shared" ref="F40:I41" si="5">F13</f>
        <v>40</v>
      </c>
      <c r="G40" s="74">
        <f t="shared" si="5"/>
        <v>21</v>
      </c>
      <c r="H40" s="74">
        <f t="shared" si="5"/>
        <v>0</v>
      </c>
      <c r="I40" s="74">
        <f t="shared" si="5"/>
        <v>51</v>
      </c>
      <c r="J40" s="64">
        <f>IFERROR(F40/G40-1,"n/a")</f>
        <v>0.90476190476190466</v>
      </c>
      <c r="K40" s="64" t="str">
        <f>IFERROR(F40/H40-1,"n/a")</f>
        <v>n/a</v>
      </c>
      <c r="L40" s="60">
        <f>IFERROR(F40/I40-1,"n/a")</f>
        <v>-0.21568627450980393</v>
      </c>
      <c r="M40" s="70">
        <f>+M13-'Mar-22'!M10</f>
        <v>76</v>
      </c>
      <c r="N40" s="70">
        <f>+N13-'Mar-22'!N10</f>
        <v>41</v>
      </c>
      <c r="O40" s="82">
        <f>+O13-'Mar-22'!O10</f>
        <v>0</v>
      </c>
      <c r="P40" s="70">
        <f>+P13-'Mar-22'!P10</f>
        <v>117</v>
      </c>
      <c r="Q40" s="64">
        <f>IFERROR(M40/N40-1,"n/a")</f>
        <v>0.85365853658536595</v>
      </c>
      <c r="R40" s="64" t="str">
        <f>IFERROR(M40/O40-1,"n/a")</f>
        <v>n/a</v>
      </c>
      <c r="S40" s="60">
        <f>IFERROR(M40/P40-1,"n/a")</f>
        <v>-0.3504273504273504</v>
      </c>
      <c r="T40" s="89">
        <v>308</v>
      </c>
      <c r="U40" s="70">
        <v>145</v>
      </c>
      <c r="V40" s="78">
        <v>331</v>
      </c>
    </row>
    <row r="41" spans="2:46" s="9" customFormat="1" ht="15" customHeight="1">
      <c r="C41" s="33"/>
      <c r="D41" s="26" t="s">
        <v>11</v>
      </c>
      <c r="E41" s="32"/>
      <c r="F41" s="74">
        <f t="shared" si="5"/>
        <v>64272</v>
      </c>
      <c r="G41" s="74">
        <f t="shared" si="5"/>
        <v>23175</v>
      </c>
      <c r="H41" s="74">
        <f t="shared" si="5"/>
        <v>0</v>
      </c>
      <c r="I41" s="74">
        <f t="shared" si="5"/>
        <v>89764</v>
      </c>
      <c r="J41" s="64">
        <f>IFERROR(F41/G41-1,"n/a")</f>
        <v>1.7733333333333334</v>
      </c>
      <c r="K41" s="64" t="str">
        <f>IFERROR(F41/H41-1,"n/a")</f>
        <v>n/a</v>
      </c>
      <c r="L41" s="60">
        <f>IFERROR(F41/I41-1,"n/a")</f>
        <v>-0.28398912704424939</v>
      </c>
      <c r="M41" s="82">
        <f>+M14-'Mar-22'!M11</f>
        <v>114636</v>
      </c>
      <c r="N41" s="82">
        <f>+N14-'Mar-22'!N11</f>
        <v>28096</v>
      </c>
      <c r="O41" s="82">
        <f>+O14-'Mar-22'!O11</f>
        <v>0</v>
      </c>
      <c r="P41" s="82">
        <f>+P14-'Mar-22'!P11</f>
        <v>227713</v>
      </c>
      <c r="Q41" s="64">
        <f>IFERROR(M41/N41-1,"n/a")</f>
        <v>3.0801537585421412</v>
      </c>
      <c r="R41" s="64" t="str">
        <f>IFERROR(M41/O41-1,"n/a")</f>
        <v>n/a</v>
      </c>
      <c r="S41" s="60">
        <f>IFERROR(M41/P41-1,"n/a")</f>
        <v>-0.49657683136228503</v>
      </c>
      <c r="T41" s="89">
        <v>237191</v>
      </c>
      <c r="U41" s="84">
        <v>258885</v>
      </c>
      <c r="V41" s="78">
        <v>606801</v>
      </c>
    </row>
    <row r="42" spans="2:46" s="9" customFormat="1" ht="15" customHeight="1">
      <c r="C42" s="31" t="s">
        <v>20</v>
      </c>
      <c r="D42" s="26"/>
      <c r="E42" s="32"/>
      <c r="F42" s="26"/>
      <c r="G42" s="26"/>
      <c r="H42" s="26"/>
      <c r="I42" s="26"/>
      <c r="J42" s="64"/>
      <c r="K42" s="64"/>
      <c r="L42" s="61"/>
      <c r="M42" s="87"/>
      <c r="N42" s="87"/>
      <c r="O42" s="87"/>
      <c r="P42" s="87"/>
      <c r="Q42" s="65"/>
      <c r="R42" s="65"/>
      <c r="S42" s="61"/>
      <c r="T42" s="90"/>
      <c r="U42" s="44"/>
      <c r="V42" s="79"/>
    </row>
    <row r="43" spans="2:46" s="9" customFormat="1" ht="15" customHeight="1">
      <c r="C43" s="33"/>
      <c r="D43" s="26" t="s">
        <v>5</v>
      </c>
      <c r="E43" s="32"/>
      <c r="F43" s="74">
        <f t="shared" ref="F43:I44" si="6">F16</f>
        <v>91</v>
      </c>
      <c r="G43" s="74">
        <f t="shared" si="6"/>
        <v>67</v>
      </c>
      <c r="H43" s="74">
        <f t="shared" si="6"/>
        <v>0</v>
      </c>
      <c r="I43" s="74">
        <f t="shared" si="6"/>
        <v>95</v>
      </c>
      <c r="J43" s="64">
        <f>IFERROR(F43/G43-1,"n/a")</f>
        <v>0.35820895522388052</v>
      </c>
      <c r="K43" s="64" t="str">
        <f>IFERROR(F43/H43-1,"n/a")</f>
        <v>n/a</v>
      </c>
      <c r="L43" s="60">
        <f>IFERROR(F43/I43-1,"n/a")</f>
        <v>-4.2105263157894757E-2</v>
      </c>
      <c r="M43" s="70">
        <f>+M16-'Mar-22'!M13</f>
        <v>694</v>
      </c>
      <c r="N43" s="70">
        <f>+N16-'Mar-22'!N13</f>
        <v>258</v>
      </c>
      <c r="O43" s="82">
        <f>+O16-'Mar-22'!O13</f>
        <v>0</v>
      </c>
      <c r="P43" s="70">
        <f>+P16-'Mar-22'!P13</f>
        <v>718</v>
      </c>
      <c r="Q43" s="64">
        <f>IFERROR(M43/N43-1,"n/a")</f>
        <v>1.6899224806201549</v>
      </c>
      <c r="R43" s="64" t="str">
        <f>IFERROR(M43/O43-1,"n/a")</f>
        <v>n/a</v>
      </c>
      <c r="S43" s="60">
        <f>IFERROR(M43/P43-1,"n/a")</f>
        <v>-3.3426183844011192E-2</v>
      </c>
      <c r="T43" s="89">
        <v>336</v>
      </c>
      <c r="U43" s="70">
        <v>43</v>
      </c>
      <c r="V43" s="78">
        <v>781</v>
      </c>
    </row>
    <row r="44" spans="2:46" s="9" customFormat="1" ht="15" customHeight="1">
      <c r="C44" s="33"/>
      <c r="D44" s="26" t="s">
        <v>11</v>
      </c>
      <c r="E44" s="32"/>
      <c r="F44" s="74">
        <f t="shared" si="6"/>
        <v>175248</v>
      </c>
      <c r="G44" s="74">
        <f t="shared" si="6"/>
        <v>83507</v>
      </c>
      <c r="H44" s="74">
        <f t="shared" si="6"/>
        <v>0</v>
      </c>
      <c r="I44" s="74">
        <f t="shared" si="6"/>
        <v>263747</v>
      </c>
      <c r="J44" s="64">
        <f>IFERROR(F44/G44-1,"n/a")</f>
        <v>1.0986025123642329</v>
      </c>
      <c r="K44" s="64" t="str">
        <f>IFERROR(F44/H44-1,"n/a")</f>
        <v>n/a</v>
      </c>
      <c r="L44" s="60">
        <f>IFERROR(F44/I44-1,"n/a")</f>
        <v>-0.33554504885363623</v>
      </c>
      <c r="M44" s="82">
        <f>+M17-'Mar-22'!M14</f>
        <v>1686780</v>
      </c>
      <c r="N44" s="82">
        <f>+N17-'Mar-22'!N14</f>
        <v>425895</v>
      </c>
      <c r="O44" s="82">
        <f>+O17-'Mar-22'!O14</f>
        <v>0</v>
      </c>
      <c r="P44" s="82">
        <f>+P17-'Mar-22'!P14</f>
        <v>2242099</v>
      </c>
      <c r="Q44" s="64">
        <f>IFERROR(M44/N44-1,"n/a")</f>
        <v>2.9605536575916598</v>
      </c>
      <c r="R44" s="64" t="str">
        <f>IFERROR(M44/O44-1,"n/a")</f>
        <v>n/a</v>
      </c>
      <c r="S44" s="60">
        <f>IFERROR(M44/P44-1,"n/a")</f>
        <v>-0.24767818013388343</v>
      </c>
      <c r="T44" s="89">
        <v>533563</v>
      </c>
      <c r="U44" s="84">
        <v>140552</v>
      </c>
      <c r="V44" s="78">
        <v>2441594</v>
      </c>
    </row>
    <row r="45" spans="2:46" s="9" customFormat="1" ht="15" customHeight="1">
      <c r="C45" s="31" t="s">
        <v>15</v>
      </c>
      <c r="D45" s="26"/>
      <c r="E45" s="32"/>
      <c r="F45" s="87"/>
      <c r="G45" s="87"/>
      <c r="H45" s="87"/>
      <c r="I45" s="72"/>
      <c r="J45" s="64"/>
      <c r="K45" s="64"/>
      <c r="L45" s="60"/>
      <c r="M45" s="87"/>
      <c r="N45" s="87"/>
      <c r="O45" s="87"/>
      <c r="P45" s="87"/>
      <c r="Q45" s="64"/>
      <c r="R45" s="64"/>
      <c r="S45" s="60"/>
      <c r="T45" s="90"/>
      <c r="U45" s="44"/>
      <c r="V45" s="79"/>
    </row>
    <row r="46" spans="2:46" s="9" customFormat="1" ht="15" customHeight="1">
      <c r="C46" s="33"/>
      <c r="D46" s="26" t="s">
        <v>5</v>
      </c>
      <c r="E46" s="32"/>
      <c r="F46" s="74">
        <f t="shared" ref="F46:I47" si="7">F19</f>
        <v>32</v>
      </c>
      <c r="G46" s="74">
        <f t="shared" si="7"/>
        <v>9</v>
      </c>
      <c r="H46" s="74">
        <f t="shared" si="7"/>
        <v>0</v>
      </c>
      <c r="I46" s="74">
        <f t="shared" si="7"/>
        <v>10</v>
      </c>
      <c r="J46" s="64">
        <f>IFERROR(F46/G46-1,"n/a")</f>
        <v>2.5555555555555554</v>
      </c>
      <c r="K46" s="64" t="str">
        <f>IFERROR(F46/H46-1,"n/a")</f>
        <v>n/a</v>
      </c>
      <c r="L46" s="60">
        <f>IFERROR(F46/I46-1,"n/a")</f>
        <v>2.2000000000000002</v>
      </c>
      <c r="M46" s="70">
        <f>+M19-'Mar-22'!M16</f>
        <v>456</v>
      </c>
      <c r="N46" s="82">
        <f>+N19-'Mar-22'!N16</f>
        <v>20</v>
      </c>
      <c r="O46" s="82">
        <f>+O19-'Mar-22'!O16</f>
        <v>1</v>
      </c>
      <c r="P46" s="82">
        <f>+P19-'Mar-22'!P16</f>
        <v>176</v>
      </c>
      <c r="Q46" s="64">
        <f>IFERROR(M46/N46-1,"n/a")</f>
        <v>21.8</v>
      </c>
      <c r="R46" s="64">
        <f>IFERROR(M46/O46-1,"n/a")</f>
        <v>455</v>
      </c>
      <c r="S46" s="60">
        <f>IFERROR(M46/P46-1,"n/a")</f>
        <v>1.5909090909090908</v>
      </c>
      <c r="T46" s="89">
        <v>33</v>
      </c>
      <c r="U46" s="70">
        <v>4</v>
      </c>
      <c r="V46" s="78">
        <v>188</v>
      </c>
    </row>
    <row r="47" spans="2:46" s="9" customFormat="1" ht="15" customHeight="1">
      <c r="C47" s="33"/>
      <c r="D47" s="26" t="s">
        <v>11</v>
      </c>
      <c r="E47" s="32"/>
      <c r="F47" s="74">
        <f t="shared" si="7"/>
        <v>31307</v>
      </c>
      <c r="G47" s="74">
        <f t="shared" si="7"/>
        <v>4212</v>
      </c>
      <c r="H47" s="74">
        <f t="shared" si="7"/>
        <v>0</v>
      </c>
      <c r="I47" s="74">
        <f t="shared" si="7"/>
        <v>13055</v>
      </c>
      <c r="J47" s="64">
        <f>IFERROR(F47/G47-1,"n/a")</f>
        <v>6.4328110161443499</v>
      </c>
      <c r="K47" s="64" t="str">
        <f>IFERROR(F47/H47-1,"n/a")</f>
        <v>n/a</v>
      </c>
      <c r="L47" s="60">
        <f>IFERROR(F47/I47-1,"n/a")</f>
        <v>1.3980850248946766</v>
      </c>
      <c r="M47" s="82">
        <f>+M20-'Mar-22'!M17</f>
        <v>554355</v>
      </c>
      <c r="N47" s="82">
        <f>+N20-'Mar-22'!N17</f>
        <v>7747</v>
      </c>
      <c r="O47" s="82">
        <f>+O20-'Mar-22'!O17</f>
        <v>111</v>
      </c>
      <c r="P47" s="82">
        <f>+P20-'Mar-22'!P17</f>
        <v>239458</v>
      </c>
      <c r="Q47" s="64">
        <f>IFERROR(M47/N47-1,"n/a")</f>
        <v>70.557377049180332</v>
      </c>
      <c r="R47" s="64">
        <f>IFERROR(M47/O47-1,"n/a")</f>
        <v>4993.1891891891892</v>
      </c>
      <c r="S47" s="60">
        <f>IFERROR(M47/P47-1,"n/a")</f>
        <v>1.3150406334304972</v>
      </c>
      <c r="T47" s="82">
        <v>10083</v>
      </c>
      <c r="U47" s="84">
        <v>1753</v>
      </c>
      <c r="V47" s="78">
        <f>176097+74816</f>
        <v>250913</v>
      </c>
    </row>
    <row r="48" spans="2:46" s="9" customFormat="1" ht="15" customHeight="1">
      <c r="C48" s="31" t="s">
        <v>10</v>
      </c>
      <c r="D48" s="26"/>
      <c r="E48" s="34"/>
      <c r="F48" s="72"/>
      <c r="G48" s="72"/>
      <c r="H48" s="72"/>
      <c r="I48" s="72"/>
      <c r="J48" s="64"/>
      <c r="K48" s="64"/>
      <c r="L48" s="60"/>
      <c r="M48" s="87"/>
      <c r="N48" s="87"/>
      <c r="O48" s="87"/>
      <c r="P48" s="87"/>
      <c r="Q48" s="64"/>
      <c r="R48" s="64"/>
      <c r="S48" s="60"/>
      <c r="T48" s="90"/>
      <c r="U48" s="44"/>
      <c r="V48" s="79"/>
    </row>
    <row r="49" spans="1:46" s="9" customFormat="1" ht="15" customHeight="1">
      <c r="C49" s="33"/>
      <c r="D49" s="26" t="s">
        <v>5</v>
      </c>
      <c r="E49" s="34"/>
      <c r="F49" s="74">
        <f t="shared" ref="F49:I50" si="8">F22</f>
        <v>104</v>
      </c>
      <c r="G49" s="74">
        <f t="shared" si="8"/>
        <v>94</v>
      </c>
      <c r="H49" s="74">
        <f t="shared" si="8"/>
        <v>0</v>
      </c>
      <c r="I49" s="74">
        <f t="shared" si="8"/>
        <v>121</v>
      </c>
      <c r="J49" s="64">
        <f>IFERROR(F49/G49-1,"n/a")</f>
        <v>0.1063829787234043</v>
      </c>
      <c r="K49" s="64" t="str">
        <f>IFERROR(F49/H49-1,"n/a")</f>
        <v>n/a</v>
      </c>
      <c r="L49" s="60">
        <f>IFERROR(F49/I49-1,"n/a")</f>
        <v>-0.14049586776859502</v>
      </c>
      <c r="M49" s="70">
        <f>+M22-'Mar-22'!M19</f>
        <v>689</v>
      </c>
      <c r="N49" s="70">
        <f>+N22-'Mar-22'!N19</f>
        <v>309</v>
      </c>
      <c r="O49" s="70">
        <f>+O22-'Mar-22'!O19</f>
        <v>42</v>
      </c>
      <c r="P49" s="70">
        <f>+P22-'Mar-22'!P19</f>
        <v>758</v>
      </c>
      <c r="Q49" s="64">
        <f>IFERROR(M49/N49-1,"n/a")</f>
        <v>1.2297734627831716</v>
      </c>
      <c r="R49" s="64">
        <f>IFERROR(M49/O49-1,"n/a")</f>
        <v>15.404761904761905</v>
      </c>
      <c r="S49" s="60">
        <f>IFERROR(M49/P49-1,"n/a")</f>
        <v>-9.1029023746701854E-2</v>
      </c>
      <c r="T49" s="89">
        <v>744</v>
      </c>
      <c r="U49" s="84">
        <v>406</v>
      </c>
      <c r="V49" s="78">
        <v>1253</v>
      </c>
    </row>
    <row r="50" spans="1:46" s="9" customFormat="1" ht="15" customHeight="1">
      <c r="C50" s="33"/>
      <c r="D50" s="26" t="s">
        <v>11</v>
      </c>
      <c r="E50" s="32"/>
      <c r="F50" s="74">
        <f t="shared" si="8"/>
        <v>345933</v>
      </c>
      <c r="G50" s="74">
        <f t="shared" si="8"/>
        <v>162789</v>
      </c>
      <c r="H50" s="74">
        <f t="shared" si="8"/>
        <v>0</v>
      </c>
      <c r="I50" s="74">
        <f t="shared" si="8"/>
        <v>331420</v>
      </c>
      <c r="J50" s="64">
        <f>IFERROR(F50/G50-1,"n/a")</f>
        <v>1.1250391611226802</v>
      </c>
      <c r="K50" s="64" t="str">
        <f>IFERROR(F50/H50-1,"n/a")</f>
        <v>n/a</v>
      </c>
      <c r="L50" s="60">
        <f>IFERROR(F50/I50-1,"n/a")</f>
        <v>4.3790356647154693E-2</v>
      </c>
      <c r="M50" s="82">
        <f>+M23-'Mar-22'!M20</f>
        <v>2199800</v>
      </c>
      <c r="N50" s="82">
        <f>+N23-'Mar-22'!N20</f>
        <v>486999</v>
      </c>
      <c r="O50" s="82">
        <f>+O23-'Mar-22'!O20</f>
        <v>0</v>
      </c>
      <c r="P50" s="82">
        <f>+P23-'Mar-22'!P20</f>
        <v>2407051</v>
      </c>
      <c r="Q50" s="64">
        <f>IFERROR(M50/N50-1,"n/a")</f>
        <v>3.5170523964114917</v>
      </c>
      <c r="R50" s="64" t="str">
        <f>IFERROR(M50/O50-1,"n/a")</f>
        <v>n/a</v>
      </c>
      <c r="S50" s="60">
        <f>IFERROR(M50/P50-1,"n/a")</f>
        <v>-8.6101623937340777E-2</v>
      </c>
      <c r="T50" s="82">
        <v>1290779</v>
      </c>
      <c r="U50" s="84">
        <v>833999</v>
      </c>
      <c r="V50" s="78">
        <v>3627458</v>
      </c>
    </row>
    <row r="51" spans="1:46" s="9" customFormat="1" ht="15" customHeight="1">
      <c r="C51" s="31" t="s">
        <v>16</v>
      </c>
      <c r="D51" s="26"/>
      <c r="E51" s="32"/>
      <c r="F51" s="72"/>
      <c r="G51" s="72"/>
      <c r="H51" s="72"/>
      <c r="I51" s="72"/>
      <c r="J51" s="64"/>
      <c r="K51" s="64"/>
      <c r="L51" s="60"/>
      <c r="M51" s="87"/>
      <c r="N51" s="87"/>
      <c r="O51" s="87"/>
      <c r="P51" s="87"/>
      <c r="Q51" s="64"/>
      <c r="R51" s="64"/>
      <c r="S51" s="60"/>
      <c r="T51" s="90"/>
      <c r="U51" s="44"/>
      <c r="V51" s="79"/>
    </row>
    <row r="52" spans="1:46" s="9" customFormat="1" ht="15" customHeight="1">
      <c r="C52" s="33"/>
      <c r="D52" s="26" t="s">
        <v>5</v>
      </c>
      <c r="E52" s="32"/>
      <c r="F52" s="74">
        <f t="shared" ref="F52:I53" si="9">F25</f>
        <v>11</v>
      </c>
      <c r="G52" s="74">
        <f t="shared" si="9"/>
        <v>13</v>
      </c>
      <c r="H52" s="74">
        <f t="shared" si="9"/>
        <v>5</v>
      </c>
      <c r="I52" s="74">
        <f t="shared" si="9"/>
        <v>20</v>
      </c>
      <c r="J52" s="64">
        <f>IFERROR(F52/G52-1,"n/a")</f>
        <v>-0.15384615384615385</v>
      </c>
      <c r="K52" s="64">
        <f>IFERROR(F52/H52-1,"n/a")</f>
        <v>1.2000000000000002</v>
      </c>
      <c r="L52" s="60">
        <f>IFERROR(F52/I52-1,"n/a")</f>
        <v>-0.44999999999999996</v>
      </c>
      <c r="M52" s="70">
        <f>+M25-'Mar-22'!M22</f>
        <v>255</v>
      </c>
      <c r="N52" s="70">
        <f>+N25-'Mar-22'!N22</f>
        <v>91</v>
      </c>
      <c r="O52" s="82">
        <f>+O25-'Mar-22'!O22</f>
        <v>20</v>
      </c>
      <c r="P52" s="70">
        <f>+P25-'Mar-22'!P22</f>
        <v>308</v>
      </c>
      <c r="Q52" s="64">
        <f>IFERROR(M52/N52-1,"n/a")</f>
        <v>1.802197802197802</v>
      </c>
      <c r="R52" s="64">
        <f>IFERROR(M52/O52-1,"n/a")</f>
        <v>11.75</v>
      </c>
      <c r="S52" s="60">
        <f>IFERROR(M52/P52-1,"n/a")</f>
        <v>-0.17207792207792205</v>
      </c>
      <c r="T52" s="89">
        <v>121</v>
      </c>
      <c r="U52" s="70">
        <v>41</v>
      </c>
      <c r="V52" s="78">
        <v>361</v>
      </c>
    </row>
    <row r="53" spans="1:46" s="9" customFormat="1" ht="15" customHeight="1">
      <c r="C53" s="33"/>
      <c r="D53" s="26" t="s">
        <v>11</v>
      </c>
      <c r="E53" s="32"/>
      <c r="F53" s="74">
        <f t="shared" si="9"/>
        <v>26816</v>
      </c>
      <c r="G53" s="74">
        <f t="shared" si="9"/>
        <v>16166</v>
      </c>
      <c r="H53" s="74">
        <f t="shared" si="9"/>
        <v>2473</v>
      </c>
      <c r="I53" s="74">
        <f t="shared" si="9"/>
        <v>30720</v>
      </c>
      <c r="J53" s="64">
        <f>IFERROR(F53/G53-1,"n/a")</f>
        <v>0.65879005319806994</v>
      </c>
      <c r="K53" s="64">
        <f>IFERROR(F53/H53-1,"n/a")</f>
        <v>9.8435099069955516</v>
      </c>
      <c r="L53" s="60">
        <f>IFERROR(F53/I53-1,"n/a")</f>
        <v>-0.12708333333333333</v>
      </c>
      <c r="M53" s="82">
        <f>+M26-'Mar-22'!M23</f>
        <v>483632</v>
      </c>
      <c r="N53" s="82">
        <f>+N26-'Mar-22'!N23</f>
        <v>125420</v>
      </c>
      <c r="O53" s="82">
        <f>+O26-'Mar-22'!O23</f>
        <v>17914</v>
      </c>
      <c r="P53" s="82">
        <f>+P26-'Mar-22'!P23</f>
        <v>773129</v>
      </c>
      <c r="Q53" s="64">
        <f>IFERROR(M53/N53-1,"n/a")</f>
        <v>2.8560995056609793</v>
      </c>
      <c r="R53" s="64">
        <f>IFERROR(M53/O53-1,"n/a")</f>
        <v>25.997432175951769</v>
      </c>
      <c r="S53" s="60">
        <f>IFERROR(M53/P53-1,"n/a")</f>
        <v>-0.37444850729955803</v>
      </c>
      <c r="T53" s="82">
        <v>165689</v>
      </c>
      <c r="U53" s="84">
        <v>67144</v>
      </c>
      <c r="V53" s="78">
        <v>865961</v>
      </c>
    </row>
    <row r="54" spans="1:46" s="9" customFormat="1" ht="15" customHeight="1">
      <c r="A54"/>
      <c r="B54"/>
      <c r="C54" s="31" t="s">
        <v>17</v>
      </c>
      <c r="D54" s="26"/>
      <c r="E54" s="32"/>
      <c r="F54" s="72"/>
      <c r="G54" s="72"/>
      <c r="H54" s="72"/>
      <c r="I54" s="72"/>
      <c r="J54" s="64"/>
      <c r="K54" s="64"/>
      <c r="L54" s="60"/>
      <c r="M54" s="87"/>
      <c r="N54" s="87"/>
      <c r="O54" s="87"/>
      <c r="P54" s="87"/>
      <c r="Q54" s="64"/>
      <c r="R54" s="64"/>
      <c r="S54" s="60"/>
      <c r="T54" s="90"/>
      <c r="U54" s="44"/>
      <c r="V54" s="79"/>
      <c r="AM54"/>
      <c r="AN54"/>
      <c r="AO54"/>
      <c r="AP54"/>
      <c r="AQ54"/>
      <c r="AR54"/>
      <c r="AS54"/>
      <c r="AT54"/>
    </row>
    <row r="55" spans="1:46" s="9" customFormat="1" ht="15.6" customHeight="1">
      <c r="A55"/>
      <c r="B55"/>
      <c r="C55" s="33"/>
      <c r="D55" s="26" t="s">
        <v>5</v>
      </c>
      <c r="E55" s="32"/>
      <c r="F55" s="74">
        <f t="shared" ref="F55:I56" si="10">F28</f>
        <v>62</v>
      </c>
      <c r="G55" s="74">
        <f t="shared" si="10"/>
        <v>20</v>
      </c>
      <c r="H55" s="74">
        <f t="shared" si="10"/>
        <v>8</v>
      </c>
      <c r="I55" s="74">
        <f t="shared" si="10"/>
        <v>17</v>
      </c>
      <c r="J55" s="64">
        <f>IFERROR(F55/G55-1,"n/a")</f>
        <v>2.1</v>
      </c>
      <c r="K55" s="64">
        <f>IFERROR(F55/H55-1,"n/a")</f>
        <v>6.75</v>
      </c>
      <c r="L55" s="60">
        <f>IFERROR(F55/I55-1,"n/a")</f>
        <v>2.6470588235294117</v>
      </c>
      <c r="M55" s="70">
        <f>+M28-'Mar-22'!M25</f>
        <v>552</v>
      </c>
      <c r="N55" s="70">
        <f>+N28-'Mar-22'!N25</f>
        <v>124</v>
      </c>
      <c r="O55" s="70">
        <f>+O28-'Mar-22'!O25</f>
        <v>31</v>
      </c>
      <c r="P55" s="70">
        <f>+P28-'Mar-22'!P25</f>
        <v>341</v>
      </c>
      <c r="Q55" s="64">
        <f>IFERROR(M55/N55-1,"n/a")</f>
        <v>3.4516129032258061</v>
      </c>
      <c r="R55" s="64">
        <f>IFERROR(M55/O55-1,"n/a")</f>
        <v>16.806451612903224</v>
      </c>
      <c r="S55" s="60">
        <f>IFERROR(M55/P55-1,"n/a")</f>
        <v>0.6187683284457477</v>
      </c>
      <c r="T55" s="89">
        <v>140</v>
      </c>
      <c r="U55" s="70">
        <v>40</v>
      </c>
      <c r="V55" s="78">
        <v>360</v>
      </c>
      <c r="AM55"/>
      <c r="AN55"/>
      <c r="AO55"/>
      <c r="AP55"/>
      <c r="AQ55"/>
      <c r="AR55"/>
      <c r="AS55"/>
      <c r="AT55"/>
    </row>
    <row r="56" spans="1:46" s="9" customFormat="1" ht="15.6" customHeight="1">
      <c r="A56"/>
      <c r="B56"/>
      <c r="C56" s="33"/>
      <c r="D56" s="26" t="s">
        <v>11</v>
      </c>
      <c r="E56" s="32"/>
      <c r="F56" s="74">
        <f t="shared" si="10"/>
        <v>136071</v>
      </c>
      <c r="G56" s="74">
        <f t="shared" si="10"/>
        <v>14810</v>
      </c>
      <c r="H56" s="74">
        <f t="shared" si="10"/>
        <v>2381</v>
      </c>
      <c r="I56" s="74">
        <f t="shared" si="10"/>
        <v>16811</v>
      </c>
      <c r="J56" s="64">
        <f>IFERROR(F56/G56-1,"n/a")</f>
        <v>8.1877785280216067</v>
      </c>
      <c r="K56" s="64">
        <f>IFERROR(F56/H56-1,"n/a")</f>
        <v>56.148677026459474</v>
      </c>
      <c r="L56" s="60">
        <f>IFERROR(F56/I56-1,"n/a")</f>
        <v>7.0941645351258114</v>
      </c>
      <c r="M56" s="82">
        <f>+M29-'Mar-22'!M26</f>
        <v>956829</v>
      </c>
      <c r="N56" s="82">
        <f>+N29-'Mar-22'!N26</f>
        <v>162944</v>
      </c>
      <c r="O56" s="82">
        <f>+O29-'Mar-22'!O26</f>
        <v>17801</v>
      </c>
      <c r="P56" s="82">
        <f>+P29-'Mar-22'!P26</f>
        <v>850389</v>
      </c>
      <c r="Q56" s="64">
        <f>IFERROR(M56/N56-1,"n/a")</f>
        <v>4.8721339846818541</v>
      </c>
      <c r="R56" s="64">
        <f>IFERROR(M56/O56-1,"n/a")</f>
        <v>52.751418459637101</v>
      </c>
      <c r="S56" s="60">
        <f>IFERROR(M56/P56-1,"n/a")</f>
        <v>0.12516624744675675</v>
      </c>
      <c r="T56" s="82">
        <v>174336</v>
      </c>
      <c r="U56" s="84">
        <v>21928</v>
      </c>
      <c r="V56" s="78">
        <f>706948+155011</f>
        <v>861959</v>
      </c>
      <c r="AM56"/>
      <c r="AN56"/>
      <c r="AO56"/>
      <c r="AP56"/>
      <c r="AQ56"/>
      <c r="AR56"/>
      <c r="AS56"/>
      <c r="AT56"/>
    </row>
    <row r="57" spans="1:46" s="9" customFormat="1" ht="26.85" customHeight="1" thickBot="1">
      <c r="A57"/>
      <c r="B57"/>
      <c r="C57" s="35" t="s">
        <v>12</v>
      </c>
      <c r="D57" s="36"/>
      <c r="E57" s="37"/>
      <c r="F57" s="75">
        <f t="shared" ref="F57:I58" si="11">F40+F43+F46+F49+F52+F55</f>
        <v>340</v>
      </c>
      <c r="G57" s="75">
        <f t="shared" si="11"/>
        <v>224</v>
      </c>
      <c r="H57" s="75">
        <f t="shared" si="11"/>
        <v>13</v>
      </c>
      <c r="I57" s="75">
        <f t="shared" si="11"/>
        <v>314</v>
      </c>
      <c r="J57" s="66">
        <f>IFERROR(F57/G57-1,"n/a")</f>
        <v>0.51785714285714279</v>
      </c>
      <c r="K57" s="66">
        <f>IFERROR(F57/H57-1,"n/a")</f>
        <v>25.153846153846153</v>
      </c>
      <c r="L57" s="62">
        <f>IFERROR(F57/I57-1,"n/a")</f>
        <v>8.2802547770700619E-2</v>
      </c>
      <c r="M57" s="46">
        <f t="shared" ref="M57:P58" si="12">M40+M43+M46+M49+M52+M55</f>
        <v>2722</v>
      </c>
      <c r="N57" s="46">
        <f t="shared" si="12"/>
        <v>843</v>
      </c>
      <c r="O57" s="46">
        <f t="shared" si="12"/>
        <v>94</v>
      </c>
      <c r="P57" s="46">
        <f t="shared" si="12"/>
        <v>2418</v>
      </c>
      <c r="Q57" s="66">
        <f>IFERROR(M57/N57-1,"n/a")</f>
        <v>2.2289442467378411</v>
      </c>
      <c r="R57" s="66">
        <f>IFERROR(M57/O57-1,"n/a")</f>
        <v>27.957446808510639</v>
      </c>
      <c r="S57" s="62">
        <f>IFERROR(M57/P57-1,"n/a")</f>
        <v>0.12572373862696451</v>
      </c>
      <c r="T57" s="46">
        <f t="shared" ref="T57:V58" si="13">T40+T43+T46+T49+T52+T55</f>
        <v>1682</v>
      </c>
      <c r="U57" s="46">
        <f t="shared" si="13"/>
        <v>679</v>
      </c>
      <c r="V57" s="80">
        <f t="shared" si="13"/>
        <v>3274</v>
      </c>
      <c r="AM57"/>
      <c r="AN57"/>
      <c r="AO57"/>
      <c r="AP57"/>
      <c r="AQ57"/>
      <c r="AR57"/>
      <c r="AS57"/>
      <c r="AT57"/>
    </row>
    <row r="58" spans="1:46" s="9" customFormat="1" ht="26.85" customHeight="1" thickTop="1" thickBot="1">
      <c r="A58"/>
      <c r="B58"/>
      <c r="C58" s="38" t="s">
        <v>13</v>
      </c>
      <c r="D58" s="39"/>
      <c r="E58" s="40"/>
      <c r="F58" s="76">
        <f t="shared" si="11"/>
        <v>779647</v>
      </c>
      <c r="G58" s="76">
        <f t="shared" si="11"/>
        <v>304659</v>
      </c>
      <c r="H58" s="76">
        <f t="shared" si="11"/>
        <v>4854</v>
      </c>
      <c r="I58" s="76">
        <f t="shared" si="11"/>
        <v>745517</v>
      </c>
      <c r="J58" s="67">
        <f>IFERROR(F58/G58-1,"n/a")</f>
        <v>1.5590808083792043</v>
      </c>
      <c r="K58" s="67">
        <f>IFERROR(F58/H58-1,"n/a")</f>
        <v>159.61948908117017</v>
      </c>
      <c r="L58" s="63">
        <f>IFERROR(F58/I58-1,"n/a")</f>
        <v>4.5780310844689032E-2</v>
      </c>
      <c r="M58" s="47">
        <f t="shared" si="12"/>
        <v>5996032</v>
      </c>
      <c r="N58" s="47">
        <f t="shared" si="12"/>
        <v>1237101</v>
      </c>
      <c r="O58" s="47">
        <f t="shared" si="12"/>
        <v>35826</v>
      </c>
      <c r="P58" s="47">
        <f t="shared" si="12"/>
        <v>6739839</v>
      </c>
      <c r="Q58" s="67">
        <f>IFERROR(M58/N58-1,"n/a")</f>
        <v>3.846841122915591</v>
      </c>
      <c r="R58" s="67">
        <f>IFERROR(M58/O58-1,"n/a")</f>
        <v>166.36537710042987</v>
      </c>
      <c r="S58" s="63">
        <f>IFERROR(M58/P58-1,"n/a")</f>
        <v>-0.11035975785178254</v>
      </c>
      <c r="T58" s="47">
        <f t="shared" si="13"/>
        <v>2411641</v>
      </c>
      <c r="U58" s="47">
        <f t="shared" si="13"/>
        <v>1324261</v>
      </c>
      <c r="V58" s="81">
        <f t="shared" si="13"/>
        <v>8654686</v>
      </c>
      <c r="AM58"/>
      <c r="AN58"/>
      <c r="AO58"/>
      <c r="AP58"/>
      <c r="AQ58"/>
      <c r="AR58"/>
      <c r="AS58"/>
      <c r="AT58"/>
    </row>
    <row r="59" spans="1:46" s="9" customFormat="1" ht="12" customHeight="1" thickTop="1">
      <c r="A59"/>
      <c r="B59"/>
      <c r="C59"/>
      <c r="D59"/>
      <c r="E59"/>
      <c r="F59"/>
      <c r="G59"/>
      <c r="H59"/>
      <c r="I59"/>
      <c r="J59"/>
      <c r="K59"/>
      <c r="L59"/>
      <c r="M59"/>
      <c r="N59"/>
      <c r="O59"/>
      <c r="P59"/>
      <c r="Q59"/>
      <c r="R59"/>
      <c r="S59"/>
      <c r="T59"/>
      <c r="U59"/>
      <c r="V59"/>
      <c r="AM59"/>
      <c r="AN59"/>
      <c r="AO59"/>
      <c r="AP59"/>
      <c r="AQ59"/>
      <c r="AR59"/>
      <c r="AS59"/>
      <c r="AT59"/>
    </row>
    <row r="60" spans="1:46" ht="26.85" customHeight="1"/>
    <row r="61" spans="1:46" ht="26.85" customHeight="1"/>
    <row r="62" spans="1:46" ht="26.85" customHeight="1"/>
    <row r="63" spans="1:46" ht="26.85" customHeight="1"/>
    <row r="64" spans="1:46" ht="26.85" customHeight="1"/>
    <row r="65" ht="26.85" customHeight="1"/>
    <row r="66" ht="26.85" customHeight="1"/>
    <row r="67" ht="26.85" customHeight="1"/>
    <row r="68" ht="26.85" customHeight="1"/>
  </sheetData>
  <mergeCells count="6">
    <mergeCell ref="F9:L9"/>
    <mergeCell ref="M9:S9"/>
    <mergeCell ref="T9:V9"/>
    <mergeCell ref="F36:L36"/>
    <mergeCell ref="M36:S36"/>
    <mergeCell ref="T36:V36"/>
  </mergeCells>
  <pageMargins left="0.7" right="0.7" top="0.75" bottom="0.75" header="0.3" footer="0.3"/>
  <pageSetup paperSize="9" scale="52" orientation="landscape" horizontalDpi="4294967293" verticalDpi="4294967293" r:id="rId1"/>
  <colBreaks count="2" manualBreakCount="2">
    <brk id="3" max="1048575" man="1"/>
    <brk id="5" max="1048575" man="1"/>
  </colBreaks>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T65"/>
  <sheetViews>
    <sheetView showGridLines="0" zoomScaleNormal="100" zoomScalePageLayoutView="40" workbookViewId="0"/>
  </sheetViews>
  <sheetFormatPr defaultColWidth="0" defaultRowHeight="26.85" customHeight="1" zeroHeight="1"/>
  <cols>
    <col min="1" max="3" width="2.5703125" customWidth="1"/>
    <col min="4" max="4" width="9.140625" customWidth="1"/>
    <col min="5" max="6" width="15.42578125" customWidth="1"/>
    <col min="7" max="8" width="11.140625" bestFit="1" customWidth="1"/>
    <col min="9" max="9" width="10.5703125" bestFit="1" customWidth="1"/>
    <col min="10" max="10" width="9" bestFit="1" customWidth="1"/>
    <col min="11" max="12" width="9.140625" customWidth="1"/>
    <col min="13" max="13" width="11" bestFit="1" customWidth="1"/>
    <col min="14" max="14" width="10.140625" bestFit="1" customWidth="1"/>
    <col min="15" max="15" width="12.140625" bestFit="1" customWidth="1"/>
    <col min="16" max="16" width="11.42578125" customWidth="1"/>
    <col min="17" max="17" width="8.85546875" customWidth="1"/>
    <col min="18" max="18" width="9.140625" bestFit="1" customWidth="1"/>
    <col min="19" max="19" width="8.85546875" customWidth="1"/>
    <col min="20" max="21" width="10.42578125" bestFit="1" customWidth="1"/>
    <col min="22" max="22" width="11.140625" bestFit="1" customWidth="1"/>
    <col min="23" max="23" width="3.140625" style="9" customWidth="1"/>
    <col min="24" max="38" width="0" style="9" hidden="1" customWidth="1"/>
    <col min="39" max="46" width="0" hidden="1" customWidth="1"/>
    <col min="47" max="16384" width="9.140625" hidden="1"/>
  </cols>
  <sheetData>
    <row r="1" spans="1:38" ht="15">
      <c r="A1" s="9"/>
      <c r="B1" s="9"/>
      <c r="C1" s="9"/>
      <c r="D1" s="9"/>
      <c r="E1" s="9"/>
      <c r="F1" s="9"/>
      <c r="G1" s="9"/>
      <c r="H1" s="9"/>
      <c r="I1" s="9"/>
      <c r="J1" s="9"/>
      <c r="K1" s="9"/>
      <c r="L1" s="9"/>
      <c r="M1" s="9"/>
      <c r="N1" s="9"/>
      <c r="O1" s="9"/>
      <c r="P1" s="9"/>
      <c r="Q1" s="9"/>
      <c r="R1" s="9"/>
      <c r="S1" s="9"/>
      <c r="T1" s="9"/>
      <c r="U1" s="9"/>
      <c r="V1" s="9"/>
    </row>
    <row r="2" spans="1:38" ht="19.5" thickBot="1">
      <c r="A2" s="9"/>
      <c r="B2" s="8" t="s">
        <v>6</v>
      </c>
      <c r="C2" s="23"/>
      <c r="D2" s="23"/>
      <c r="E2" s="23"/>
      <c r="F2" s="23"/>
      <c r="G2" s="23"/>
      <c r="H2" s="23"/>
      <c r="I2" s="23"/>
      <c r="J2" s="23"/>
      <c r="K2" s="23"/>
      <c r="L2" s="23"/>
      <c r="M2" s="23"/>
      <c r="N2" s="23"/>
      <c r="O2" s="23"/>
      <c r="P2" s="23"/>
      <c r="Q2" s="23"/>
      <c r="R2" s="23"/>
      <c r="S2" s="23"/>
      <c r="T2" s="23"/>
      <c r="U2" s="23"/>
      <c r="V2" s="23"/>
    </row>
    <row r="3" spans="1:38" ht="15">
      <c r="A3" s="9"/>
      <c r="B3" s="10"/>
      <c r="C3" s="24"/>
      <c r="D3" s="24"/>
      <c r="E3" s="24"/>
      <c r="F3" s="24"/>
      <c r="G3" s="24"/>
      <c r="H3" s="24"/>
      <c r="I3" s="24"/>
      <c r="J3" s="24"/>
      <c r="K3" s="24"/>
      <c r="L3" s="24"/>
      <c r="M3" s="24"/>
      <c r="N3" s="24"/>
      <c r="O3" s="24"/>
      <c r="P3" s="24"/>
      <c r="Q3" s="24"/>
      <c r="R3" s="24"/>
      <c r="S3" s="24"/>
      <c r="T3" s="24"/>
      <c r="U3" s="24"/>
      <c r="V3" s="25">
        <v>44880</v>
      </c>
    </row>
    <row r="4" spans="1:38" ht="15.75">
      <c r="A4" s="9"/>
      <c r="B4" s="11" t="s">
        <v>7</v>
      </c>
      <c r="C4" s="26"/>
      <c r="D4" s="24"/>
      <c r="E4" s="58" t="s">
        <v>88</v>
      </c>
      <c r="F4" s="24"/>
      <c r="G4" s="24"/>
      <c r="H4" s="24"/>
      <c r="I4" s="24"/>
      <c r="J4" s="24"/>
      <c r="K4" s="24"/>
      <c r="L4" s="24"/>
      <c r="M4" s="24"/>
      <c r="N4" s="24"/>
      <c r="O4" s="24"/>
      <c r="P4" s="24"/>
      <c r="Q4" s="24"/>
      <c r="R4" s="24"/>
      <c r="S4" s="24"/>
      <c r="T4" s="24"/>
      <c r="U4" s="24"/>
      <c r="V4" s="24"/>
    </row>
    <row r="5" spans="1:38" ht="15">
      <c r="A5" s="9"/>
      <c r="B5" s="10"/>
      <c r="C5" s="24"/>
      <c r="D5" s="24"/>
      <c r="E5" s="24"/>
      <c r="F5" s="24"/>
      <c r="G5" s="24"/>
      <c r="H5" s="24"/>
      <c r="I5" s="24"/>
      <c r="J5" s="24"/>
      <c r="K5" s="24"/>
      <c r="L5" s="24"/>
      <c r="M5" s="24"/>
      <c r="N5" s="24"/>
      <c r="O5" s="24"/>
      <c r="P5" s="24"/>
      <c r="Q5" s="24"/>
      <c r="R5" s="24"/>
      <c r="S5" s="24"/>
      <c r="T5" s="24"/>
      <c r="U5" s="24"/>
      <c r="V5" s="24"/>
    </row>
    <row r="6" spans="1:38" ht="15">
      <c r="A6" s="9"/>
      <c r="B6" s="10"/>
      <c r="C6" s="24"/>
      <c r="D6" s="24"/>
      <c r="E6" s="24"/>
      <c r="F6" s="24"/>
      <c r="G6" s="24"/>
      <c r="H6" s="24"/>
      <c r="I6" s="24"/>
      <c r="J6" s="24"/>
      <c r="K6" s="24"/>
      <c r="L6" s="24"/>
      <c r="M6" s="24"/>
      <c r="N6" s="24"/>
      <c r="O6" s="24"/>
      <c r="P6" s="24"/>
      <c r="Q6" s="24"/>
      <c r="R6" s="24"/>
      <c r="S6" s="24"/>
      <c r="T6" s="24"/>
      <c r="U6" s="24"/>
      <c r="V6" s="24"/>
    </row>
    <row r="7" spans="1:38" ht="15">
      <c r="A7" s="9"/>
      <c r="B7" s="10"/>
      <c r="C7" s="86" t="s">
        <v>62</v>
      </c>
      <c r="D7" s="24"/>
      <c r="E7" s="24"/>
      <c r="F7" s="24"/>
      <c r="G7" s="24"/>
      <c r="H7" s="24"/>
      <c r="I7" s="24"/>
      <c r="J7" s="24"/>
      <c r="K7" s="24"/>
      <c r="L7" s="24"/>
      <c r="M7" s="24"/>
      <c r="N7" s="24"/>
      <c r="O7" s="24"/>
      <c r="P7" s="24"/>
      <c r="Q7" s="24"/>
      <c r="R7" s="24"/>
      <c r="S7" s="24"/>
      <c r="T7" s="24"/>
      <c r="U7" s="24"/>
      <c r="V7" s="24"/>
    </row>
    <row r="8" spans="1:38" ht="15">
      <c r="A8" s="9"/>
      <c r="B8" s="10"/>
      <c r="C8" s="24"/>
      <c r="D8" s="24"/>
      <c r="E8" s="24"/>
      <c r="F8" s="24"/>
      <c r="G8" s="24"/>
      <c r="H8" s="24"/>
      <c r="I8" s="24"/>
      <c r="J8" s="24"/>
      <c r="K8" s="24"/>
      <c r="L8" s="24"/>
      <c r="M8" s="24"/>
      <c r="N8" s="24"/>
      <c r="O8" s="24"/>
      <c r="P8" s="24"/>
      <c r="Q8" s="24"/>
      <c r="R8" s="24"/>
      <c r="S8" s="24"/>
      <c r="T8" s="24"/>
      <c r="U8" s="24"/>
      <c r="V8" s="24"/>
    </row>
    <row r="9" spans="1:38" s="20" customFormat="1" ht="15">
      <c r="A9" s="9"/>
      <c r="B9"/>
      <c r="C9" s="27" t="s">
        <v>7</v>
      </c>
      <c r="D9" s="28"/>
      <c r="E9" s="28"/>
      <c r="F9" s="158" t="s">
        <v>24</v>
      </c>
      <c r="G9" s="158"/>
      <c r="H9" s="158"/>
      <c r="I9" s="158"/>
      <c r="J9" s="158"/>
      <c r="K9" s="158"/>
      <c r="L9" s="159"/>
      <c r="M9" s="157" t="s">
        <v>89</v>
      </c>
      <c r="N9" s="158"/>
      <c r="O9" s="158"/>
      <c r="P9" s="158"/>
      <c r="Q9" s="158"/>
      <c r="R9" s="158"/>
      <c r="S9" s="159"/>
      <c r="T9" s="157" t="s">
        <v>57</v>
      </c>
      <c r="U9" s="158"/>
      <c r="V9" s="160"/>
      <c r="W9" s="9"/>
      <c r="X9" s="19"/>
      <c r="Y9" s="19"/>
      <c r="Z9" s="19"/>
      <c r="AA9" s="19"/>
      <c r="AB9" s="19"/>
      <c r="AC9" s="19"/>
      <c r="AD9" s="19"/>
      <c r="AE9" s="19"/>
      <c r="AF9" s="19"/>
      <c r="AG9" s="19"/>
      <c r="AH9" s="19"/>
      <c r="AI9" s="19"/>
      <c r="AJ9" s="19"/>
      <c r="AK9" s="19"/>
      <c r="AL9" s="19"/>
    </row>
    <row r="10" spans="1:38" ht="15.75">
      <c r="A10" s="9"/>
      <c r="B10" s="18"/>
      <c r="C10" s="29"/>
      <c r="D10" s="30"/>
      <c r="E10" s="30"/>
      <c r="F10" s="29"/>
      <c r="G10" s="30"/>
      <c r="H10" s="30"/>
      <c r="I10" s="30"/>
      <c r="J10" s="30"/>
      <c r="K10" s="30"/>
      <c r="L10" s="56"/>
      <c r="M10" s="30"/>
      <c r="N10" s="30"/>
      <c r="O10" s="30"/>
      <c r="P10" s="30"/>
      <c r="Q10" s="30"/>
      <c r="R10" s="30"/>
      <c r="S10" s="56"/>
      <c r="T10" s="30"/>
      <c r="U10" s="30"/>
      <c r="V10" s="56"/>
    </row>
    <row r="11" spans="1:38" s="54" customFormat="1" ht="27" customHeight="1">
      <c r="A11" s="48"/>
      <c r="B11" s="49"/>
      <c r="C11" s="59" t="s">
        <v>29</v>
      </c>
      <c r="D11" s="50"/>
      <c r="E11" s="51"/>
      <c r="F11" s="55">
        <v>2022</v>
      </c>
      <c r="G11" s="52">
        <v>2021</v>
      </c>
      <c r="H11" s="52">
        <v>2020</v>
      </c>
      <c r="I11" s="52">
        <v>2019</v>
      </c>
      <c r="J11" s="53" t="s">
        <v>36</v>
      </c>
      <c r="K11" s="53" t="s">
        <v>34</v>
      </c>
      <c r="L11" s="57" t="s">
        <v>35</v>
      </c>
      <c r="M11" s="53">
        <v>2022</v>
      </c>
      <c r="N11" s="52">
        <v>2021</v>
      </c>
      <c r="O11" s="52">
        <v>2020</v>
      </c>
      <c r="P11" s="52">
        <v>2019</v>
      </c>
      <c r="Q11" s="53" t="s">
        <v>36</v>
      </c>
      <c r="R11" s="53" t="s">
        <v>34</v>
      </c>
      <c r="S11" s="57" t="s">
        <v>35</v>
      </c>
      <c r="T11" s="53">
        <v>2021</v>
      </c>
      <c r="U11" s="52">
        <v>2020</v>
      </c>
      <c r="V11" s="77">
        <v>2019</v>
      </c>
      <c r="W11" s="48"/>
      <c r="X11" s="48"/>
      <c r="Y11" s="48"/>
      <c r="Z11" s="48"/>
      <c r="AA11" s="48"/>
      <c r="AB11" s="48"/>
      <c r="AC11" s="48"/>
      <c r="AD11" s="48"/>
      <c r="AE11" s="48"/>
      <c r="AF11" s="48"/>
      <c r="AG11" s="48"/>
      <c r="AH11" s="48"/>
      <c r="AI11" s="48"/>
      <c r="AJ11" s="48"/>
      <c r="AK11" s="48"/>
      <c r="AL11" s="48"/>
    </row>
    <row r="12" spans="1:38" ht="15">
      <c r="A12" s="9"/>
      <c r="B12" s="12"/>
      <c r="C12" s="31" t="s">
        <v>14</v>
      </c>
      <c r="D12" s="26"/>
      <c r="E12" s="32"/>
      <c r="F12" s="26"/>
      <c r="G12" s="26"/>
      <c r="H12" s="26"/>
      <c r="I12" s="26"/>
      <c r="J12" s="26"/>
      <c r="K12" s="26"/>
      <c r="L12" s="32"/>
      <c r="M12" s="26"/>
      <c r="N12" s="26"/>
      <c r="O12" s="26"/>
      <c r="P12" s="26"/>
      <c r="Q12" s="26"/>
      <c r="R12" s="26"/>
      <c r="S12" s="32"/>
      <c r="T12" s="26"/>
      <c r="U12" s="26"/>
      <c r="V12" s="32"/>
    </row>
    <row r="13" spans="1:38" ht="15">
      <c r="A13" s="9"/>
      <c r="B13" s="12"/>
      <c r="C13" s="33"/>
      <c r="D13" s="26" t="s">
        <v>5</v>
      </c>
      <c r="E13" s="32"/>
      <c r="F13" s="74">
        <v>4</v>
      </c>
      <c r="G13" s="71">
        <v>4</v>
      </c>
      <c r="H13" s="71">
        <v>0</v>
      </c>
      <c r="I13" s="71">
        <v>13</v>
      </c>
      <c r="J13" s="64">
        <f t="shared" ref="J13:J31" si="0">IFERROR(F13/G13-1,"n/a")</f>
        <v>0</v>
      </c>
      <c r="K13" s="64" t="str">
        <f>IFERROR(F13/H13-1,"n/a")</f>
        <v>n/a</v>
      </c>
      <c r="L13" s="60">
        <f>IFERROR(F13/I13-1,"n/a")</f>
        <v>-0.69230769230769229</v>
      </c>
      <c r="M13" s="68">
        <f>F13+'Sep-22'!M13</f>
        <v>233</v>
      </c>
      <c r="N13" s="68">
        <f>G13+'Sep-22'!N13</f>
        <v>20</v>
      </c>
      <c r="O13" s="68">
        <f>H13+'Sep-22'!O13</f>
        <v>145</v>
      </c>
      <c r="P13" s="68">
        <f>I13+'Sep-22'!P13</f>
        <v>266</v>
      </c>
      <c r="Q13" s="64">
        <f>IFERROR(M13/N13-1,"n/a")</f>
        <v>10.65</v>
      </c>
      <c r="R13" s="64">
        <f>IFERROR(M13/O13-1,"n/a")</f>
        <v>0.60689655172413803</v>
      </c>
      <c r="S13" s="60">
        <f>IFERROR(M13/P13-1,"n/a")</f>
        <v>-0.12406015037593987</v>
      </c>
      <c r="T13" s="68">
        <v>111</v>
      </c>
      <c r="U13" s="70">
        <v>145</v>
      </c>
      <c r="V13" s="78">
        <v>386</v>
      </c>
    </row>
    <row r="14" spans="1:38" ht="15">
      <c r="A14" s="9"/>
      <c r="B14" s="12"/>
      <c r="C14" s="33"/>
      <c r="D14" s="26" t="s">
        <v>11</v>
      </c>
      <c r="E14" s="32"/>
      <c r="F14" s="74">
        <v>7610</v>
      </c>
      <c r="G14" s="71">
        <v>720</v>
      </c>
      <c r="H14" s="71">
        <v>0</v>
      </c>
      <c r="I14" s="71">
        <v>31050</v>
      </c>
      <c r="J14" s="64">
        <f t="shared" si="0"/>
        <v>9.5694444444444446</v>
      </c>
      <c r="K14" s="64" t="str">
        <f>IFERROR(F14/H14-1,"n/a")</f>
        <v>n/a</v>
      </c>
      <c r="L14" s="60">
        <f>IFERROR(F14/I14-1,"n/a")</f>
        <v>-0.7549114331723028</v>
      </c>
      <c r="M14" s="68">
        <f>F14+'Sep-22'!M14</f>
        <v>206692</v>
      </c>
      <c r="N14" s="68">
        <f>G14+'Sep-22'!N14</f>
        <v>4921</v>
      </c>
      <c r="O14" s="68">
        <f>H14+'Sep-22'!O14</f>
        <v>258885</v>
      </c>
      <c r="P14" s="68">
        <f>I14+'Sep-22'!P14</f>
        <v>523329</v>
      </c>
      <c r="Q14" s="64">
        <f>IFERROR(M14/N14-1,"n/a")</f>
        <v>41.002032107295264</v>
      </c>
      <c r="R14" s="64">
        <f>IFERROR(M14/O14-1,"n/a")</f>
        <v>-0.20160689109063867</v>
      </c>
      <c r="S14" s="60">
        <f>IFERROR(M14/P14-1,"n/a")</f>
        <v>-0.60504386342052507</v>
      </c>
      <c r="T14" s="68">
        <v>80863</v>
      </c>
      <c r="U14" s="70">
        <v>258885</v>
      </c>
      <c r="V14" s="78">
        <v>733296</v>
      </c>
    </row>
    <row r="15" spans="1:38" ht="15">
      <c r="A15" s="9"/>
      <c r="B15" s="12"/>
      <c r="C15" s="31" t="s">
        <v>74</v>
      </c>
      <c r="D15" s="26"/>
      <c r="E15" s="32"/>
      <c r="F15" s="26"/>
      <c r="G15" s="26"/>
      <c r="H15" s="26"/>
      <c r="I15" s="26"/>
      <c r="J15" s="64"/>
      <c r="K15" s="64"/>
      <c r="L15" s="61"/>
      <c r="M15" s="87"/>
      <c r="N15" s="87"/>
      <c r="O15" s="87"/>
      <c r="P15" s="87"/>
      <c r="Q15" s="64"/>
      <c r="R15" s="65"/>
      <c r="S15" s="61"/>
      <c r="T15" s="43"/>
      <c r="U15" s="44"/>
      <c r="V15" s="79"/>
    </row>
    <row r="16" spans="1:38" ht="15">
      <c r="A16" s="9"/>
      <c r="B16" s="12"/>
      <c r="C16" s="33"/>
      <c r="D16" s="26" t="s">
        <v>5</v>
      </c>
      <c r="E16" s="32"/>
      <c r="F16" s="74">
        <v>129</v>
      </c>
      <c r="G16" s="71">
        <v>107</v>
      </c>
      <c r="H16" s="71">
        <v>0</v>
      </c>
      <c r="I16" s="71">
        <v>127</v>
      </c>
      <c r="J16" s="64">
        <f t="shared" si="0"/>
        <v>0.20560747663551404</v>
      </c>
      <c r="K16" s="64" t="str">
        <f>IFERROR(F16/H16-1,"n/a")</f>
        <v>n/a</v>
      </c>
      <c r="L16" s="60">
        <f>IFERROR(F16/I16-1,"n/a")</f>
        <v>1.5748031496062964E-2</v>
      </c>
      <c r="M16" s="68">
        <f>F16+'Sep-22'!M16</f>
        <v>656</v>
      </c>
      <c r="N16" s="68">
        <f>G16+'Sep-22'!N16</f>
        <v>191</v>
      </c>
      <c r="O16" s="68">
        <f>H16+'Sep-22'!O16</f>
        <v>43</v>
      </c>
      <c r="P16" s="68">
        <f>I16+'Sep-22'!P16</f>
        <v>712</v>
      </c>
      <c r="Q16" s="64">
        <f>IFERROR(M16/N16-1,"n/a")</f>
        <v>2.4345549738219896</v>
      </c>
      <c r="R16" s="64">
        <f>IFERROR(M16/O16-1,"n/a")</f>
        <v>14.255813953488373</v>
      </c>
      <c r="S16" s="60">
        <f>IFERROR(M16/P16-1,"n/a")</f>
        <v>-7.8651685393258397E-2</v>
      </c>
      <c r="T16" s="68">
        <v>283</v>
      </c>
      <c r="U16" s="70">
        <v>43</v>
      </c>
      <c r="V16" s="78">
        <v>827</v>
      </c>
    </row>
    <row r="17" spans="1:38" ht="15">
      <c r="A17" s="9"/>
      <c r="B17" s="12"/>
      <c r="C17" s="33"/>
      <c r="D17" s="26" t="s">
        <v>11</v>
      </c>
      <c r="E17" s="32"/>
      <c r="F17" s="74">
        <v>298256</v>
      </c>
      <c r="G17" s="71">
        <v>174505</v>
      </c>
      <c r="H17" s="71">
        <v>0</v>
      </c>
      <c r="I17" s="71">
        <v>332808</v>
      </c>
      <c r="J17" s="64">
        <f t="shared" si="0"/>
        <v>0.7091544654880948</v>
      </c>
      <c r="K17" s="64" t="str">
        <f>IFERROR(F17/H17-1,"n/a")</f>
        <v>n/a</v>
      </c>
      <c r="L17" s="60">
        <f>IFERROR(F17/I17-1,"n/a")</f>
        <v>-0.10381961972067977</v>
      </c>
      <c r="M17" s="68">
        <f>F17+'Sep-22'!M17</f>
        <v>1579986</v>
      </c>
      <c r="N17" s="68">
        <f>G17+'Sep-22'!N17</f>
        <v>342388</v>
      </c>
      <c r="O17" s="68">
        <f>H17+'Sep-22'!O17</f>
        <v>140552</v>
      </c>
      <c r="P17" s="68">
        <f>I17+'Sep-22'!P17</f>
        <v>2230252</v>
      </c>
      <c r="Q17" s="64">
        <f>IFERROR(M17/N17-1,"n/a")</f>
        <v>3.6146068203324884</v>
      </c>
      <c r="R17" s="64">
        <f>IFERROR(M17/O17-1,"n/a")</f>
        <v>10.241291479310149</v>
      </c>
      <c r="S17" s="60">
        <f>IFERROR(M17/P17-1,"n/a")</f>
        <v>-0.2915661548560432</v>
      </c>
      <c r="T17" s="68">
        <v>465109</v>
      </c>
      <c r="U17" s="70">
        <v>140552</v>
      </c>
      <c r="V17" s="78">
        <v>2552942</v>
      </c>
    </row>
    <row r="18" spans="1:38" ht="15">
      <c r="A18" s="9"/>
      <c r="B18" s="12"/>
      <c r="C18" s="31" t="s">
        <v>15</v>
      </c>
      <c r="D18" s="26"/>
      <c r="E18" s="32"/>
      <c r="F18" s="72"/>
      <c r="G18" s="72"/>
      <c r="H18" s="72"/>
      <c r="I18" s="72"/>
      <c r="J18" s="64"/>
      <c r="K18" s="64"/>
      <c r="L18" s="60"/>
      <c r="M18" s="87"/>
      <c r="N18" s="87"/>
      <c r="O18" s="87"/>
      <c r="P18" s="87"/>
      <c r="Q18" s="64"/>
      <c r="R18" s="64"/>
      <c r="S18" s="60"/>
      <c r="T18" s="43"/>
      <c r="U18" s="44"/>
      <c r="V18" s="79"/>
    </row>
    <row r="19" spans="1:38" ht="15">
      <c r="A19" s="9"/>
      <c r="B19" s="12"/>
      <c r="C19" s="33"/>
      <c r="D19" s="26" t="s">
        <v>5</v>
      </c>
      <c r="E19" s="32"/>
      <c r="F19" s="74">
        <v>75</v>
      </c>
      <c r="G19" s="71">
        <v>9</v>
      </c>
      <c r="H19" s="71">
        <v>0</v>
      </c>
      <c r="I19" s="71">
        <v>21</v>
      </c>
      <c r="J19" s="64">
        <f t="shared" si="0"/>
        <v>7.3333333333333339</v>
      </c>
      <c r="K19" s="64" t="str">
        <f>IFERROR(F19/H19-1,"n/a")</f>
        <v>n/a</v>
      </c>
      <c r="L19" s="60">
        <f>IFERROR(F19/I19-1,"n/a")</f>
        <v>2.5714285714285716</v>
      </c>
      <c r="M19" s="68">
        <f>F19+'Sep-22'!M19</f>
        <v>434</v>
      </c>
      <c r="N19" s="68">
        <f>G19+'Sep-22'!N19</f>
        <v>11</v>
      </c>
      <c r="O19" s="68">
        <f>H19+'Sep-22'!O19</f>
        <v>4</v>
      </c>
      <c r="P19" s="68">
        <f>I19+'Sep-22'!P19</f>
        <v>172</v>
      </c>
      <c r="Q19" s="64">
        <f>IFERROR(M19/N19-1,"n/a")</f>
        <v>38.454545454545453</v>
      </c>
      <c r="R19" s="64">
        <f>IFERROR(M19/O19-1,"n/a")</f>
        <v>107.5</v>
      </c>
      <c r="S19" s="60">
        <f>IFERROR(M19/P19-1,"n/a")</f>
        <v>1.5232558139534884</v>
      </c>
      <c r="T19" s="68">
        <v>23</v>
      </c>
      <c r="U19" s="70">
        <v>4</v>
      </c>
      <c r="V19" s="78">
        <v>191</v>
      </c>
    </row>
    <row r="20" spans="1:38" ht="15">
      <c r="A20" s="9"/>
      <c r="B20" s="12"/>
      <c r="C20" s="33"/>
      <c r="D20" s="26" t="s">
        <v>11</v>
      </c>
      <c r="E20" s="32"/>
      <c r="F20" s="74">
        <f>94583+7545</f>
        <v>102128</v>
      </c>
      <c r="G20" s="71">
        <v>3111</v>
      </c>
      <c r="H20" s="71">
        <v>0</v>
      </c>
      <c r="I20" s="71">
        <v>28163</v>
      </c>
      <c r="J20" s="64">
        <f t="shared" si="0"/>
        <v>31.828029572484731</v>
      </c>
      <c r="K20" s="64" t="str">
        <f>IFERROR(F20/H20-1,"n/a")</f>
        <v>n/a</v>
      </c>
      <c r="L20" s="60">
        <f t="shared" ref="L20:L31" si="1">IFERROR(F20/I20-1,"n/a")</f>
        <v>2.6263182189397436</v>
      </c>
      <c r="M20" s="68">
        <f>F20+'Sep-22'!M20</f>
        <v>524520</v>
      </c>
      <c r="N20" s="68">
        <f>G20+'Sep-22'!N20</f>
        <v>3535</v>
      </c>
      <c r="O20" s="68">
        <f>H20+'Sep-22'!O20</f>
        <v>1753</v>
      </c>
      <c r="P20" s="68">
        <f>I20+'Sep-22'!P20</f>
        <v>231541</v>
      </c>
      <c r="Q20" s="64">
        <f>IFERROR(M20/N20-1,"n/a")</f>
        <v>147.37906647807637</v>
      </c>
      <c r="R20" s="64">
        <f>IFERROR(M20/O20-1,"n/a")</f>
        <v>298.21277809469478</v>
      </c>
      <c r="S20" s="60">
        <f>IFERROR(M20/P20-1,"n/a")</f>
        <v>1.2653439347674924</v>
      </c>
      <c r="T20" s="68">
        <v>8611</v>
      </c>
      <c r="U20" s="70">
        <v>1753</v>
      </c>
      <c r="V20" s="78">
        <v>254421</v>
      </c>
    </row>
    <row r="21" spans="1:38" ht="15">
      <c r="A21" s="9"/>
      <c r="B21" s="12"/>
      <c r="C21" s="31" t="s">
        <v>10</v>
      </c>
      <c r="D21" s="26"/>
      <c r="E21" s="34"/>
      <c r="F21" s="72"/>
      <c r="G21" s="72"/>
      <c r="H21" s="72"/>
      <c r="I21" s="72"/>
      <c r="J21" s="64"/>
      <c r="K21" s="64"/>
      <c r="L21" s="60"/>
      <c r="M21" s="87"/>
      <c r="N21" s="87"/>
      <c r="O21" s="87"/>
      <c r="P21" s="87"/>
      <c r="Q21" s="64"/>
      <c r="R21" s="64"/>
      <c r="S21" s="60"/>
      <c r="T21" s="43"/>
      <c r="U21" s="44"/>
      <c r="V21" s="79"/>
    </row>
    <row r="22" spans="1:38" ht="15">
      <c r="A22" s="9"/>
      <c r="B22" s="12"/>
      <c r="C22" s="33"/>
      <c r="D22" s="26" t="s">
        <v>5</v>
      </c>
      <c r="E22" s="34"/>
      <c r="F22" s="74">
        <v>74</v>
      </c>
      <c r="G22" s="71">
        <v>85</v>
      </c>
      <c r="H22" s="71">
        <v>0</v>
      </c>
      <c r="I22" s="71">
        <v>97</v>
      </c>
      <c r="J22" s="64">
        <f t="shared" si="0"/>
        <v>-0.12941176470588234</v>
      </c>
      <c r="K22" s="64" t="str">
        <f>IFERROR(F22/H22-1,"n/a")</f>
        <v>n/a</v>
      </c>
      <c r="L22" s="60">
        <f t="shared" si="1"/>
        <v>-0.23711340206185572</v>
      </c>
      <c r="M22" s="68">
        <f>F22+'Sep-22'!M22</f>
        <v>918</v>
      </c>
      <c r="N22" s="68">
        <f>G22+'Sep-22'!N22</f>
        <v>215</v>
      </c>
      <c r="O22" s="68">
        <f>H22+'Sep-22'!O22</f>
        <v>406</v>
      </c>
      <c r="P22" s="68">
        <f>I22+'Sep-22'!P22</f>
        <v>953</v>
      </c>
      <c r="Q22" s="64">
        <f>IFERROR(M22/N22-1,"n/a")</f>
        <v>3.2697674418604654</v>
      </c>
      <c r="R22" s="64">
        <f>IFERROR(M22/O22-1,"n/a")</f>
        <v>1.2610837438423643</v>
      </c>
      <c r="S22" s="60">
        <f>IFERROR(M22/P22-1,"n/a")</f>
        <v>-3.6726128016789095E-2</v>
      </c>
      <c r="T22" s="68">
        <v>411</v>
      </c>
      <c r="U22" s="70">
        <v>406</v>
      </c>
      <c r="V22" s="78">
        <v>1205</v>
      </c>
    </row>
    <row r="23" spans="1:38" ht="15">
      <c r="A23" s="9"/>
      <c r="B23" s="12"/>
      <c r="C23" s="33"/>
      <c r="D23" s="26" t="s">
        <v>11</v>
      </c>
      <c r="E23" s="32"/>
      <c r="F23" s="74">
        <v>260968</v>
      </c>
      <c r="G23" s="71">
        <v>142400</v>
      </c>
      <c r="H23" s="71">
        <v>0</v>
      </c>
      <c r="I23" s="71">
        <v>268813</v>
      </c>
      <c r="J23" s="64">
        <f t="shared" si="0"/>
        <v>0.83264044943820226</v>
      </c>
      <c r="K23" s="64" t="str">
        <f>IFERROR(F23/H23-1,"n/a")</f>
        <v>n/a</v>
      </c>
      <c r="L23" s="60">
        <f t="shared" si="1"/>
        <v>-2.9183856435514688E-2</v>
      </c>
      <c r="M23" s="68">
        <f>F23+'Sep-22'!M23</f>
        <v>2457197</v>
      </c>
      <c r="N23" s="68">
        <f>G23+'Sep-22'!N23</f>
        <v>324210</v>
      </c>
      <c r="O23" s="68">
        <f>H23+'Sep-22'!O23</f>
        <v>833999</v>
      </c>
      <c r="P23" s="68">
        <f>I23+'Sep-22'!P23</f>
        <v>3141355</v>
      </c>
      <c r="Q23" s="64">
        <f>IFERROR(M23/N23-1,"n/a")</f>
        <v>6.5790290243977667</v>
      </c>
      <c r="R23" s="64">
        <f>IFERROR(M23/O23-1,"n/a")</f>
        <v>1.9462829092121212</v>
      </c>
      <c r="S23" s="60">
        <f>IFERROR(M23/P23-1,"n/a")</f>
        <v>-0.21779073043320474</v>
      </c>
      <c r="T23" s="68">
        <v>687449</v>
      </c>
      <c r="U23" s="70">
        <v>833999</v>
      </c>
      <c r="V23" s="78">
        <v>3859183</v>
      </c>
    </row>
    <row r="24" spans="1:38" ht="15">
      <c r="A24" s="9"/>
      <c r="B24" s="12"/>
      <c r="C24" s="31" t="s">
        <v>16</v>
      </c>
      <c r="D24" s="26"/>
      <c r="E24" s="32"/>
      <c r="F24" s="72"/>
      <c r="G24" s="72"/>
      <c r="H24" s="72"/>
      <c r="I24" s="72"/>
      <c r="J24" s="64"/>
      <c r="K24" s="64"/>
      <c r="L24" s="60"/>
      <c r="M24" s="87"/>
      <c r="N24" s="87"/>
      <c r="O24" s="87"/>
      <c r="P24" s="87"/>
      <c r="Q24" s="64"/>
      <c r="R24" s="64"/>
      <c r="S24" s="60"/>
      <c r="T24" s="43"/>
      <c r="U24" s="44"/>
      <c r="V24" s="79"/>
    </row>
    <row r="25" spans="1:38" ht="15">
      <c r="A25" s="9"/>
      <c r="B25" s="12"/>
      <c r="C25" s="33"/>
      <c r="D25" s="26" t="s">
        <v>5</v>
      </c>
      <c r="E25" s="32"/>
      <c r="F25" s="74">
        <v>45</v>
      </c>
      <c r="G25" s="71">
        <v>16</v>
      </c>
      <c r="H25" s="71">
        <v>8</v>
      </c>
      <c r="I25" s="71">
        <v>64</v>
      </c>
      <c r="J25" s="64">
        <f t="shared" si="0"/>
        <v>1.8125</v>
      </c>
      <c r="K25" s="64">
        <f>IFERROR(F25/H25-1,"n/a")</f>
        <v>4.625</v>
      </c>
      <c r="L25" s="60">
        <f t="shared" si="1"/>
        <v>-0.296875</v>
      </c>
      <c r="M25" s="68">
        <f>F25+'Sep-22'!M25</f>
        <v>267</v>
      </c>
      <c r="N25" s="68">
        <f>G25+'Sep-22'!N25</f>
        <v>87</v>
      </c>
      <c r="O25" s="68">
        <f>H25+'Sep-22'!O25</f>
        <v>24</v>
      </c>
      <c r="P25" s="68">
        <f>I25+'Sep-22'!P25</f>
        <v>308</v>
      </c>
      <c r="Q25" s="64">
        <f>IFERROR(M25/N25-1,"n/a")</f>
        <v>2.0689655172413794</v>
      </c>
      <c r="R25" s="64">
        <f>IFERROR(M25/O25-1,"n/a")</f>
        <v>10.125</v>
      </c>
      <c r="S25" s="60">
        <f>IFERROR(M25/P25-1,"n/a")</f>
        <v>-0.13311688311688308</v>
      </c>
      <c r="T25" s="68">
        <v>107</v>
      </c>
      <c r="U25" s="70">
        <v>32</v>
      </c>
      <c r="V25" s="78">
        <v>372</v>
      </c>
    </row>
    <row r="26" spans="1:38" ht="15">
      <c r="A26" s="9"/>
      <c r="B26" s="12"/>
      <c r="C26" s="33"/>
      <c r="D26" s="26" t="s">
        <v>11</v>
      </c>
      <c r="E26" s="32"/>
      <c r="F26" s="74">
        <v>59330</v>
      </c>
      <c r="G26" s="71">
        <v>16203</v>
      </c>
      <c r="H26" s="71">
        <v>8362</v>
      </c>
      <c r="I26" s="71">
        <v>130501</v>
      </c>
      <c r="J26" s="64">
        <f t="shared" si="0"/>
        <v>2.6616675924211566</v>
      </c>
      <c r="K26" s="64">
        <f>IFERROR(F26/H26-1,"n/a")</f>
        <v>6.0951925376704139</v>
      </c>
      <c r="L26" s="60">
        <f t="shared" si="1"/>
        <v>-0.54536746844851769</v>
      </c>
      <c r="M26" s="68">
        <f>F26+'Sep-22'!M26</f>
        <v>483337</v>
      </c>
      <c r="N26" s="68">
        <f>G26+'Sep-22'!N26</f>
        <v>117218</v>
      </c>
      <c r="O26" s="68">
        <f>H26+'Sep-22'!O26</f>
        <v>55662</v>
      </c>
      <c r="P26" s="68">
        <f>I26+'Sep-22'!P26</f>
        <v>818684</v>
      </c>
      <c r="Q26" s="64">
        <f>IFERROR(M26/N26-1,"n/a")</f>
        <v>3.1234025490965553</v>
      </c>
      <c r="R26" s="64">
        <f>IFERROR(M26/O26-1,"n/a")</f>
        <v>7.6834285508964815</v>
      </c>
      <c r="S26" s="60">
        <f>IFERROR(M26/P26-1,"n/a")</f>
        <v>-0.4096171416566099</v>
      </c>
      <c r="T26" s="68">
        <v>147132</v>
      </c>
      <c r="U26" s="70">
        <v>59180</v>
      </c>
      <c r="V26" s="78">
        <v>902015</v>
      </c>
    </row>
    <row r="27" spans="1:38" ht="15">
      <c r="A27" s="9"/>
      <c r="B27" s="12"/>
      <c r="C27" s="31" t="s">
        <v>17</v>
      </c>
      <c r="D27" s="26"/>
      <c r="E27" s="32"/>
      <c r="F27" s="72"/>
      <c r="G27" s="72"/>
      <c r="H27" s="72"/>
      <c r="I27" s="72"/>
      <c r="J27" s="64"/>
      <c r="K27" s="64"/>
      <c r="L27" s="60"/>
      <c r="M27" s="87"/>
      <c r="N27" s="87"/>
      <c r="O27" s="87"/>
      <c r="P27" s="87"/>
      <c r="Q27" s="64"/>
      <c r="R27" s="64"/>
      <c r="S27" s="60"/>
      <c r="T27" s="43"/>
      <c r="U27" s="44"/>
      <c r="V27" s="79"/>
    </row>
    <row r="28" spans="1:38" ht="15">
      <c r="B28" s="12"/>
      <c r="C28" s="33"/>
      <c r="D28" s="26" t="s">
        <v>5</v>
      </c>
      <c r="E28" s="32"/>
      <c r="F28" s="74">
        <f>79+6</f>
        <v>85</v>
      </c>
      <c r="G28" s="71">
        <v>28</v>
      </c>
      <c r="H28" s="71">
        <v>12</v>
      </c>
      <c r="I28" s="71">
        <v>71</v>
      </c>
      <c r="J28" s="64">
        <f t="shared" si="0"/>
        <v>2.0357142857142856</v>
      </c>
      <c r="K28" s="64">
        <f>IFERROR(F28/H28-1,"n/a")</f>
        <v>6.083333333333333</v>
      </c>
      <c r="L28" s="60">
        <f t="shared" si="1"/>
        <v>0.19718309859154926</v>
      </c>
      <c r="M28" s="68">
        <f>F28+'Sep-22'!M28</f>
        <v>506</v>
      </c>
      <c r="N28" s="68">
        <f>G28+'Sep-22'!N28</f>
        <v>107</v>
      </c>
      <c r="O28" s="68">
        <f>H28+'Sep-22'!O28</f>
        <v>24</v>
      </c>
      <c r="P28" s="68">
        <f>I28+'Sep-22'!P28</f>
        <v>328</v>
      </c>
      <c r="Q28" s="64">
        <f>IFERROR(M28/N28-1,"n/a")</f>
        <v>3.7289719626168223</v>
      </c>
      <c r="R28" s="64">
        <f>IFERROR(M28/O28-1,"n/a")</f>
        <v>20.083333333333332</v>
      </c>
      <c r="S28" s="60">
        <f>IFERROR(M28/P28-1,"n/a")</f>
        <v>0.54268292682926833</v>
      </c>
      <c r="T28" s="68">
        <v>127</v>
      </c>
      <c r="U28" s="70">
        <v>37</v>
      </c>
      <c r="V28" s="78">
        <f>282+81</f>
        <v>363</v>
      </c>
    </row>
    <row r="29" spans="1:38" ht="15">
      <c r="A29" s="9"/>
      <c r="B29" s="12"/>
      <c r="C29" s="33"/>
      <c r="D29" s="26" t="s">
        <v>11</v>
      </c>
      <c r="E29" s="32"/>
      <c r="F29" s="74">
        <f>111830+10869+16371</f>
        <v>139070</v>
      </c>
      <c r="G29" s="71">
        <v>32614</v>
      </c>
      <c r="H29" s="71">
        <v>5592</v>
      </c>
      <c r="I29" s="71">
        <v>138907</v>
      </c>
      <c r="J29" s="64">
        <f t="shared" si="0"/>
        <v>3.2641197031949467</v>
      </c>
      <c r="K29" s="64">
        <f>IFERROR(F29/H29-1,"n/a")</f>
        <v>23.869456366237483</v>
      </c>
      <c r="L29" s="60">
        <f t="shared" si="1"/>
        <v>1.1734469825135374E-3</v>
      </c>
      <c r="M29" s="68">
        <f>F29+'Sep-22'!M29</f>
        <v>832358</v>
      </c>
      <c r="N29" s="68">
        <f>G29+'Sep-22'!N29</f>
        <v>150273</v>
      </c>
      <c r="O29" s="68">
        <f>H29+'Sep-22'!O29</f>
        <v>16312</v>
      </c>
      <c r="P29" s="68">
        <f>I29+'Sep-22'!P29</f>
        <v>839687</v>
      </c>
      <c r="Q29" s="64">
        <f>IFERROR(M29/N29-1,"n/a")</f>
        <v>4.5389724035588559</v>
      </c>
      <c r="R29" s="64">
        <f>IFERROR(M29/O29-1,"n/a")</f>
        <v>50.027341834232466</v>
      </c>
      <c r="S29" s="60">
        <f>IFERROR(M29/P29-1,"n/a")</f>
        <v>-8.7282523130642886E-3</v>
      </c>
      <c r="T29" s="68">
        <v>165083</v>
      </c>
      <c r="U29" s="70">
        <f>20768+8294</f>
        <v>29062</v>
      </c>
      <c r="V29" s="78">
        <f>659951+168729+38484</f>
        <v>867164</v>
      </c>
    </row>
    <row r="30" spans="1:38" ht="15" customHeight="1" thickBot="1">
      <c r="A30" s="9"/>
      <c r="B30" s="12"/>
      <c r="C30" s="35" t="s">
        <v>12</v>
      </c>
      <c r="D30" s="36"/>
      <c r="E30" s="37"/>
      <c r="F30" s="75">
        <f t="shared" ref="F30:I31" si="2">F13+F16+F19+F22+F25+F28</f>
        <v>412</v>
      </c>
      <c r="G30" s="75">
        <f t="shared" si="2"/>
        <v>249</v>
      </c>
      <c r="H30" s="75">
        <f t="shared" si="2"/>
        <v>20</v>
      </c>
      <c r="I30" s="75">
        <f t="shared" si="2"/>
        <v>393</v>
      </c>
      <c r="J30" s="66">
        <f t="shared" si="0"/>
        <v>0.65461847389558225</v>
      </c>
      <c r="K30" s="66">
        <f>IFERROR(F30/H30-1,"n/a")</f>
        <v>19.600000000000001</v>
      </c>
      <c r="L30" s="62">
        <f t="shared" si="1"/>
        <v>4.8346055979643809E-2</v>
      </c>
      <c r="M30" s="46">
        <f t="shared" ref="M30:P31" si="3">M13+M16+M19+M22+M25+M28</f>
        <v>3014</v>
      </c>
      <c r="N30" s="46">
        <f t="shared" si="3"/>
        <v>631</v>
      </c>
      <c r="O30" s="46">
        <f t="shared" si="3"/>
        <v>646</v>
      </c>
      <c r="P30" s="46">
        <f t="shared" si="3"/>
        <v>2739</v>
      </c>
      <c r="Q30" s="66">
        <f>IFERROR(M30/N30-1,"n/a")</f>
        <v>3.7765451664025358</v>
      </c>
      <c r="R30" s="66">
        <f>IFERROR(M30/O30-1,"n/a")</f>
        <v>3.6656346749226003</v>
      </c>
      <c r="S30" s="62">
        <f>IFERROR(M30/P30-1,"n/a")</f>
        <v>0.10040160642570273</v>
      </c>
      <c r="T30" s="46">
        <f t="shared" ref="T30:V31" si="4">T13+T16+T19+T22+T25+T28</f>
        <v>1062</v>
      </c>
      <c r="U30" s="46">
        <f t="shared" si="4"/>
        <v>667</v>
      </c>
      <c r="V30" s="80">
        <f t="shared" si="4"/>
        <v>3344</v>
      </c>
    </row>
    <row r="31" spans="1:38" s="22" customFormat="1" ht="15" customHeight="1" thickTop="1" thickBot="1">
      <c r="A31" s="9"/>
      <c r="B31" s="12"/>
      <c r="C31" s="38" t="s">
        <v>13</v>
      </c>
      <c r="D31" s="39"/>
      <c r="E31" s="40"/>
      <c r="F31" s="76">
        <f t="shared" si="2"/>
        <v>867362</v>
      </c>
      <c r="G31" s="76">
        <f t="shared" si="2"/>
        <v>369553</v>
      </c>
      <c r="H31" s="76">
        <f t="shared" si="2"/>
        <v>13954</v>
      </c>
      <c r="I31" s="76">
        <f t="shared" si="2"/>
        <v>930242</v>
      </c>
      <c r="J31" s="67">
        <f t="shared" si="0"/>
        <v>1.3470571203589201</v>
      </c>
      <c r="K31" s="67">
        <f>IFERROR(F31/H31-1,"n/a")</f>
        <v>61.158664182313316</v>
      </c>
      <c r="L31" s="63">
        <f t="shared" si="1"/>
        <v>-6.7595313907563792E-2</v>
      </c>
      <c r="M31" s="47">
        <f t="shared" si="3"/>
        <v>6084090</v>
      </c>
      <c r="N31" s="47">
        <f t="shared" si="3"/>
        <v>942545</v>
      </c>
      <c r="O31" s="47">
        <f t="shared" si="3"/>
        <v>1307163</v>
      </c>
      <c r="P31" s="47">
        <f t="shared" si="3"/>
        <v>7784848</v>
      </c>
      <c r="Q31" s="67">
        <f>IFERROR(M31/N31-1,"n/a")</f>
        <v>5.4549597101464649</v>
      </c>
      <c r="R31" s="67">
        <f>IFERROR(M31/O31-1,"n/a")</f>
        <v>3.6544233580662855</v>
      </c>
      <c r="S31" s="63">
        <f>IFERROR(M31/P31-1,"n/a")</f>
        <v>-0.21847028997868678</v>
      </c>
      <c r="T31" s="47">
        <f t="shared" si="4"/>
        <v>1554247</v>
      </c>
      <c r="U31" s="47">
        <f t="shared" si="4"/>
        <v>1323431</v>
      </c>
      <c r="V31" s="81">
        <f t="shared" si="4"/>
        <v>9169021</v>
      </c>
      <c r="W31" s="9"/>
      <c r="X31" s="21"/>
      <c r="Y31" s="21"/>
      <c r="Z31" s="21"/>
      <c r="AA31" s="21"/>
      <c r="AB31" s="21"/>
      <c r="AC31" s="21"/>
      <c r="AD31" s="21"/>
      <c r="AE31" s="21"/>
      <c r="AF31" s="21"/>
      <c r="AG31" s="21"/>
      <c r="AH31" s="21"/>
      <c r="AI31" s="21"/>
      <c r="AJ31" s="21"/>
      <c r="AK31" s="21"/>
      <c r="AL31" s="21"/>
    </row>
    <row r="32" spans="1:38" ht="15" customHeight="1" thickTop="1">
      <c r="A32" s="9"/>
      <c r="B32" s="9"/>
      <c r="C32" s="9"/>
      <c r="D32" s="9"/>
      <c r="E32" s="9"/>
      <c r="F32" s="9"/>
      <c r="G32" s="41"/>
      <c r="H32" s="41"/>
      <c r="I32" s="41"/>
      <c r="J32" s="41"/>
      <c r="K32" s="41"/>
      <c r="L32" s="9"/>
      <c r="M32" s="9"/>
      <c r="N32" s="9"/>
      <c r="O32" s="9"/>
      <c r="P32" s="9"/>
      <c r="Q32" s="9"/>
      <c r="R32" s="9"/>
      <c r="S32" s="9"/>
      <c r="T32" s="83"/>
      <c r="U32" s="9"/>
      <c r="V32" s="9"/>
    </row>
    <row r="33" spans="1:22" ht="23.1" customHeight="1">
      <c r="A33" s="9"/>
      <c r="B33" s="9"/>
      <c r="C33" s="9"/>
      <c r="D33" s="9"/>
      <c r="E33" s="9"/>
      <c r="F33" s="41"/>
      <c r="G33" s="41"/>
      <c r="H33" s="41"/>
      <c r="I33" s="41"/>
      <c r="J33" s="41"/>
      <c r="K33" s="41"/>
      <c r="L33" s="9"/>
      <c r="M33" s="9"/>
      <c r="N33" s="9"/>
      <c r="O33" s="9"/>
      <c r="P33" s="9"/>
      <c r="Q33" s="9"/>
      <c r="R33" s="9"/>
      <c r="S33" s="9"/>
      <c r="T33" s="9"/>
      <c r="U33" s="9"/>
      <c r="V33" s="9"/>
    </row>
    <row r="34" spans="1:22" ht="15">
      <c r="A34" s="9"/>
      <c r="B34" s="10"/>
      <c r="C34" s="86" t="s">
        <v>63</v>
      </c>
      <c r="D34" s="24"/>
      <c r="E34" s="24"/>
      <c r="F34" s="24"/>
      <c r="G34" s="24"/>
      <c r="H34" s="24"/>
      <c r="I34" s="95"/>
      <c r="J34" s="95"/>
      <c r="K34" s="95"/>
      <c r="L34" s="24"/>
      <c r="M34" s="24"/>
      <c r="N34" s="24"/>
      <c r="O34" s="24"/>
      <c r="P34" s="24"/>
      <c r="Q34" s="24"/>
      <c r="R34" s="24"/>
      <c r="S34" s="24"/>
      <c r="T34" s="24"/>
      <c r="U34" s="24"/>
      <c r="V34" s="24"/>
    </row>
    <row r="35" spans="1:22" ht="15">
      <c r="A35" s="9"/>
      <c r="B35" s="10"/>
      <c r="C35" s="24"/>
      <c r="D35" s="24"/>
      <c r="E35" s="24"/>
      <c r="F35" s="24"/>
      <c r="G35" s="24"/>
      <c r="H35" s="24"/>
      <c r="I35" s="95"/>
      <c r="J35" s="95"/>
      <c r="K35" s="95"/>
      <c r="L35" s="24"/>
      <c r="M35" s="24"/>
      <c r="N35" s="24"/>
      <c r="O35" s="24"/>
      <c r="P35" s="24"/>
      <c r="Q35" s="24"/>
      <c r="R35" s="24"/>
      <c r="S35" s="24"/>
      <c r="T35" s="24"/>
      <c r="U35" s="24"/>
      <c r="V35" s="24"/>
    </row>
    <row r="36" spans="1:22" ht="15" customHeight="1">
      <c r="A36" s="9"/>
      <c r="B36" s="9"/>
      <c r="C36" s="27" t="s">
        <v>7</v>
      </c>
      <c r="D36" s="28"/>
      <c r="E36" s="28"/>
      <c r="F36" s="158" t="str">
        <f>F9</f>
        <v>October</v>
      </c>
      <c r="G36" s="158"/>
      <c r="H36" s="158"/>
      <c r="I36" s="158"/>
      <c r="J36" s="158"/>
      <c r="K36" s="158"/>
      <c r="L36" s="159"/>
      <c r="M36" s="157" t="s">
        <v>90</v>
      </c>
      <c r="N36" s="158"/>
      <c r="O36" s="158"/>
      <c r="P36" s="158"/>
      <c r="Q36" s="158"/>
      <c r="R36" s="158"/>
      <c r="S36" s="159"/>
      <c r="T36" s="157" t="s">
        <v>58</v>
      </c>
      <c r="U36" s="158"/>
      <c r="V36" s="160"/>
    </row>
    <row r="37" spans="1:22" ht="15" customHeight="1">
      <c r="A37" s="9"/>
      <c r="B37" s="9"/>
      <c r="C37" s="29"/>
      <c r="D37" s="30"/>
      <c r="E37" s="30"/>
      <c r="F37" s="29"/>
      <c r="G37" s="30"/>
      <c r="H37" s="30"/>
      <c r="I37" s="30"/>
      <c r="J37" s="30"/>
      <c r="K37" s="30"/>
      <c r="L37" s="56"/>
      <c r="M37" s="30"/>
      <c r="N37" s="30"/>
      <c r="O37" s="30"/>
      <c r="P37" s="30"/>
      <c r="Q37" s="30"/>
      <c r="R37" s="30"/>
      <c r="S37" s="56"/>
      <c r="T37" s="30"/>
      <c r="U37" s="30"/>
      <c r="V37" s="56"/>
    </row>
    <row r="38" spans="1:22" s="9" customFormat="1" ht="33.6" customHeight="1">
      <c r="C38" s="59" t="s">
        <v>29</v>
      </c>
      <c r="D38" s="50"/>
      <c r="E38" s="51"/>
      <c r="F38" s="55">
        <v>2022</v>
      </c>
      <c r="G38" s="52">
        <v>2021</v>
      </c>
      <c r="H38" s="52">
        <v>2020</v>
      </c>
      <c r="I38" s="52">
        <v>2019</v>
      </c>
      <c r="J38" s="53" t="s">
        <v>36</v>
      </c>
      <c r="K38" s="53" t="s">
        <v>34</v>
      </c>
      <c r="L38" s="57" t="s">
        <v>35</v>
      </c>
      <c r="M38" s="53" t="s">
        <v>53</v>
      </c>
      <c r="N38" s="52" t="s">
        <v>54</v>
      </c>
      <c r="O38" s="52" t="s">
        <v>59</v>
      </c>
      <c r="P38" s="52" t="s">
        <v>64</v>
      </c>
      <c r="Q38" s="53" t="s">
        <v>66</v>
      </c>
      <c r="R38" s="53" t="s">
        <v>67</v>
      </c>
      <c r="S38" s="57" t="s">
        <v>68</v>
      </c>
      <c r="T38" s="53" t="s">
        <v>54</v>
      </c>
      <c r="U38" s="53" t="s">
        <v>65</v>
      </c>
      <c r="V38" s="57" t="s">
        <v>73</v>
      </c>
    </row>
    <row r="39" spans="1:22" s="9" customFormat="1" ht="15" customHeight="1">
      <c r="C39" s="31" t="s">
        <v>14</v>
      </c>
      <c r="D39" s="26"/>
      <c r="E39" s="32"/>
      <c r="F39" s="26"/>
      <c r="G39" s="26"/>
      <c r="H39" s="26"/>
      <c r="I39" s="26"/>
      <c r="J39" s="26"/>
      <c r="K39" s="26"/>
      <c r="L39" s="32"/>
      <c r="M39" s="26"/>
      <c r="N39" s="26"/>
      <c r="O39" s="26"/>
      <c r="Q39" s="26"/>
      <c r="R39" s="26"/>
      <c r="S39" s="32"/>
      <c r="T39" s="33"/>
      <c r="U39" s="88"/>
      <c r="V39" s="85"/>
    </row>
    <row r="40" spans="1:22" s="9" customFormat="1" ht="15" customHeight="1">
      <c r="C40" s="33"/>
      <c r="D40" s="26" t="s">
        <v>5</v>
      </c>
      <c r="E40" s="32"/>
      <c r="F40" s="74">
        <f>F13</f>
        <v>4</v>
      </c>
      <c r="G40" s="74">
        <f>G13</f>
        <v>4</v>
      </c>
      <c r="H40" s="74">
        <v>0</v>
      </c>
      <c r="I40" s="71">
        <f>I13</f>
        <v>13</v>
      </c>
      <c r="J40" s="64">
        <f>IFERROR(F40/G40-1,"n/a")</f>
        <v>0</v>
      </c>
      <c r="K40" s="64" t="str">
        <f>IFERROR(F40/H40-1,"n/a")</f>
        <v>n/a</v>
      </c>
      <c r="L40" s="60">
        <f>IFERROR(F40/I40-1,"n/a")</f>
        <v>-0.69230769230769229</v>
      </c>
      <c r="M40" s="70">
        <f>+M13-'Mar-22'!M10</f>
        <v>36</v>
      </c>
      <c r="N40" s="70">
        <f>+N13-'Mar-22'!N10</f>
        <v>20</v>
      </c>
      <c r="O40" s="82">
        <f>+O13-'Mar-22'!O10</f>
        <v>0</v>
      </c>
      <c r="P40" s="70">
        <f>+P13-'Mar-22'!P10</f>
        <v>66</v>
      </c>
      <c r="Q40" s="64">
        <f>IFERROR(M40/N40-1,"n/a")</f>
        <v>0.8</v>
      </c>
      <c r="R40" s="64" t="str">
        <f>IFERROR(M40/O40-1,"n/a")</f>
        <v>n/a</v>
      </c>
      <c r="S40" s="60">
        <f>IFERROR(M40/P40-1,"n/a")</f>
        <v>-0.45454545454545459</v>
      </c>
      <c r="T40" s="89">
        <v>308</v>
      </c>
      <c r="U40" s="70">
        <v>145</v>
      </c>
      <c r="V40" s="78">
        <v>331</v>
      </c>
    </row>
    <row r="41" spans="1:22" s="9" customFormat="1" ht="15" customHeight="1">
      <c r="C41" s="33"/>
      <c r="D41" s="26" t="s">
        <v>11</v>
      </c>
      <c r="E41" s="32"/>
      <c r="F41" s="74">
        <f>F14</f>
        <v>7610</v>
      </c>
      <c r="G41" s="74">
        <f>G14</f>
        <v>720</v>
      </c>
      <c r="H41" s="74">
        <v>0</v>
      </c>
      <c r="I41" s="74">
        <f>I14</f>
        <v>31050</v>
      </c>
      <c r="J41" s="64">
        <f>IFERROR(F41/G41-1,"n/a")</f>
        <v>9.5694444444444446</v>
      </c>
      <c r="K41" s="64" t="str">
        <f>IFERROR(F41/H41-1,"n/a")</f>
        <v>n/a</v>
      </c>
      <c r="L41" s="60">
        <f>IFERROR(F41/I41-1,"n/a")</f>
        <v>-0.7549114331723028</v>
      </c>
      <c r="M41" s="82">
        <f>+M14-'Mar-22'!M11</f>
        <v>50364</v>
      </c>
      <c r="N41" s="82">
        <f>+N14-'Mar-22'!N11</f>
        <v>4921</v>
      </c>
      <c r="O41" s="82">
        <f>+O14-'Mar-22'!O11</f>
        <v>0</v>
      </c>
      <c r="P41" s="82">
        <f>+P14-'Mar-22'!P11</f>
        <v>137949</v>
      </c>
      <c r="Q41" s="64">
        <f>IFERROR(M41/N41-1,"n/a")</f>
        <v>9.2345051818736028</v>
      </c>
      <c r="R41" s="64" t="str">
        <f>IFERROR(M41/O41-1,"n/a")</f>
        <v>n/a</v>
      </c>
      <c r="S41" s="60">
        <f>IFERROR(M41/P41-1,"n/a")</f>
        <v>-0.63490855316095085</v>
      </c>
      <c r="T41" s="89">
        <v>237191</v>
      </c>
      <c r="U41" s="84">
        <v>258885</v>
      </c>
      <c r="V41" s="78">
        <v>606801</v>
      </c>
    </row>
    <row r="42" spans="1:22" s="9" customFormat="1" ht="15" customHeight="1">
      <c r="C42" s="31" t="s">
        <v>74</v>
      </c>
      <c r="D42" s="26"/>
      <c r="E42" s="32"/>
      <c r="F42" s="26"/>
      <c r="G42" s="26"/>
      <c r="H42" s="26"/>
      <c r="I42" s="26"/>
      <c r="J42" s="64"/>
      <c r="K42" s="64"/>
      <c r="L42" s="61"/>
      <c r="M42" s="87"/>
      <c r="N42" s="87"/>
      <c r="O42" s="87"/>
      <c r="P42" s="87"/>
      <c r="Q42" s="65"/>
      <c r="R42" s="65"/>
      <c r="S42" s="61"/>
      <c r="T42" s="90"/>
      <c r="U42" s="44"/>
      <c r="V42" s="79"/>
    </row>
    <row r="43" spans="1:22" s="9" customFormat="1" ht="15" customHeight="1">
      <c r="C43" s="33"/>
      <c r="D43" s="26" t="s">
        <v>5</v>
      </c>
      <c r="E43" s="32"/>
      <c r="F43" s="74">
        <f>F16</f>
        <v>129</v>
      </c>
      <c r="G43" s="74">
        <f>G16</f>
        <v>107</v>
      </c>
      <c r="H43" s="74">
        <v>0</v>
      </c>
      <c r="I43" s="74">
        <f>I16</f>
        <v>127</v>
      </c>
      <c r="J43" s="64">
        <f>IFERROR(F43/G43-1,"n/a")</f>
        <v>0.20560747663551404</v>
      </c>
      <c r="K43" s="64" t="str">
        <f>IFERROR(F43/H43-1,"n/a")</f>
        <v>n/a</v>
      </c>
      <c r="L43" s="60">
        <f>IFERROR(F43/I43-1,"n/a")</f>
        <v>1.5748031496062964E-2</v>
      </c>
      <c r="M43" s="70">
        <f>+M16-'Mar-22'!M13</f>
        <v>603</v>
      </c>
      <c r="N43" s="70">
        <f>+N16-'Mar-22'!N13</f>
        <v>191</v>
      </c>
      <c r="O43" s="82">
        <f>+O16-'Mar-22'!O13</f>
        <v>0</v>
      </c>
      <c r="P43" s="70">
        <f>+P16-'Mar-22'!P13</f>
        <v>623</v>
      </c>
      <c r="Q43" s="64">
        <f>IFERROR(M43/N43-1,"n/a")</f>
        <v>2.157068062827225</v>
      </c>
      <c r="R43" s="64" t="str">
        <f>IFERROR(M43/O43-1,"n/a")</f>
        <v>n/a</v>
      </c>
      <c r="S43" s="60">
        <f>IFERROR(M43/P43-1,"n/a")</f>
        <v>-3.2102728731942198E-2</v>
      </c>
      <c r="T43" s="89">
        <v>336</v>
      </c>
      <c r="U43" s="70">
        <v>43</v>
      </c>
      <c r="V43" s="78">
        <v>781</v>
      </c>
    </row>
    <row r="44" spans="1:22" s="9" customFormat="1" ht="15" customHeight="1">
      <c r="C44" s="33"/>
      <c r="D44" s="26" t="s">
        <v>11</v>
      </c>
      <c r="E44" s="32"/>
      <c r="F44" s="74">
        <f>F17</f>
        <v>298256</v>
      </c>
      <c r="G44" s="74">
        <f>G17</f>
        <v>174505</v>
      </c>
      <c r="H44" s="74">
        <v>0</v>
      </c>
      <c r="I44" s="74">
        <f>I17</f>
        <v>332808</v>
      </c>
      <c r="J44" s="64">
        <f>IFERROR(F44/G44-1,"n/a")</f>
        <v>0.7091544654880948</v>
      </c>
      <c r="K44" s="64" t="str">
        <f>IFERROR(F44/H44-1,"n/a")</f>
        <v>n/a</v>
      </c>
      <c r="L44" s="60">
        <f>IFERROR(F44/I44-1,"n/a")</f>
        <v>-0.10381961972067977</v>
      </c>
      <c r="M44" s="82">
        <f>+M17-'Mar-22'!M14</f>
        <v>1511532</v>
      </c>
      <c r="N44" s="82">
        <f>+N17-'Mar-22'!N14</f>
        <v>342388</v>
      </c>
      <c r="O44" s="82">
        <f>+O17-'Mar-22'!O14</f>
        <v>0</v>
      </c>
      <c r="P44" s="82">
        <f>+P17-'Mar-22'!P14</f>
        <v>1978352</v>
      </c>
      <c r="Q44" s="64">
        <f>IFERROR(M44/N44-1,"n/a")</f>
        <v>3.4146757479818222</v>
      </c>
      <c r="R44" s="64" t="str">
        <f>IFERROR(M44/O44-1,"n/a")</f>
        <v>n/a</v>
      </c>
      <c r="S44" s="60">
        <f>IFERROR(M44/P44-1,"n/a")</f>
        <v>-0.23596407514941731</v>
      </c>
      <c r="T44" s="89">
        <v>533563</v>
      </c>
      <c r="U44" s="84">
        <v>140552</v>
      </c>
      <c r="V44" s="78">
        <v>2441594</v>
      </c>
    </row>
    <row r="45" spans="1:22" s="9" customFormat="1" ht="15" customHeight="1">
      <c r="C45" s="31" t="s">
        <v>15</v>
      </c>
      <c r="D45" s="26"/>
      <c r="E45" s="32"/>
      <c r="F45" s="87"/>
      <c r="G45" s="87"/>
      <c r="H45" s="87"/>
      <c r="I45" s="72"/>
      <c r="J45" s="64"/>
      <c r="K45" s="64"/>
      <c r="L45" s="60"/>
      <c r="M45" s="87"/>
      <c r="N45" s="87"/>
      <c r="O45" s="87"/>
      <c r="P45" s="87"/>
      <c r="Q45" s="64"/>
      <c r="R45" s="64"/>
      <c r="S45" s="60"/>
      <c r="T45" s="90"/>
      <c r="U45" s="44"/>
      <c r="V45" s="79"/>
    </row>
    <row r="46" spans="1:22" s="9" customFormat="1" ht="15" customHeight="1">
      <c r="C46" s="33"/>
      <c r="D46" s="26" t="s">
        <v>5</v>
      </c>
      <c r="E46" s="32"/>
      <c r="F46" s="74">
        <f>F19</f>
        <v>75</v>
      </c>
      <c r="G46" s="71">
        <f>G19</f>
        <v>9</v>
      </c>
      <c r="H46" s="74">
        <v>0</v>
      </c>
      <c r="I46" s="74">
        <f>I19</f>
        <v>21</v>
      </c>
      <c r="J46" s="64">
        <f>IFERROR(F46/G46-1,"n/a")</f>
        <v>7.3333333333333339</v>
      </c>
      <c r="K46" s="64" t="str">
        <f>IFERROR(F46/H46-1,"n/a")</f>
        <v>n/a</v>
      </c>
      <c r="L46" s="60">
        <f>IFERROR(F46/I46-1,"n/a")</f>
        <v>2.5714285714285716</v>
      </c>
      <c r="M46" s="70">
        <f>+M19-'Mar-22'!M16</f>
        <v>424</v>
      </c>
      <c r="N46" s="82">
        <f>+N19-'Mar-22'!N16</f>
        <v>11</v>
      </c>
      <c r="O46" s="82">
        <f>+O19-'Mar-22'!O16</f>
        <v>1</v>
      </c>
      <c r="P46" s="82">
        <f>+P19-'Mar-22'!P16</f>
        <v>166</v>
      </c>
      <c r="Q46" s="64">
        <f>IFERROR(M46/N46-1,"n/a")</f>
        <v>37.545454545454547</v>
      </c>
      <c r="R46" s="64">
        <f>IFERROR(M46/O46-1,"n/a")</f>
        <v>423</v>
      </c>
      <c r="S46" s="60">
        <f>IFERROR(M46/P46-1,"n/a")</f>
        <v>1.5542168674698793</v>
      </c>
      <c r="T46" s="89">
        <v>33</v>
      </c>
      <c r="U46" s="70">
        <v>4</v>
      </c>
      <c r="V46" s="78">
        <v>188</v>
      </c>
    </row>
    <row r="47" spans="1:22" s="9" customFormat="1" ht="15" customHeight="1">
      <c r="C47" s="33"/>
      <c r="D47" s="26" t="s">
        <v>11</v>
      </c>
      <c r="E47" s="32"/>
      <c r="F47" s="74">
        <f>F20</f>
        <v>102128</v>
      </c>
      <c r="G47" s="71">
        <f>G20</f>
        <v>3111</v>
      </c>
      <c r="H47" s="74">
        <v>0</v>
      </c>
      <c r="I47" s="74">
        <f>I20</f>
        <v>28163</v>
      </c>
      <c r="J47" s="64">
        <f>IFERROR(F47/G47-1,"n/a")</f>
        <v>31.828029572484731</v>
      </c>
      <c r="K47" s="64" t="str">
        <f>IFERROR(F47/H47-1,"n/a")</f>
        <v>n/a</v>
      </c>
      <c r="L47" s="60">
        <f>IFERROR(F47/I47-1,"n/a")</f>
        <v>2.6263182189397436</v>
      </c>
      <c r="M47" s="82">
        <f>+M20-'Mar-22'!M17</f>
        <v>523048</v>
      </c>
      <c r="N47" s="82">
        <f>+N20-'Mar-22'!N17</f>
        <v>3535</v>
      </c>
      <c r="O47" s="82">
        <f>+O20-'Mar-22'!O17</f>
        <v>111</v>
      </c>
      <c r="P47" s="82">
        <f>+P20-'Mar-22'!P17</f>
        <v>226403</v>
      </c>
      <c r="Q47" s="64">
        <f>IFERROR(M47/N47-1,"n/a")</f>
        <v>146.96265912305518</v>
      </c>
      <c r="R47" s="64">
        <f>IFERROR(M47/O47-1,"n/a")</f>
        <v>4711.1441441441439</v>
      </c>
      <c r="S47" s="60">
        <f>IFERROR(M47/P47-1,"n/a")</f>
        <v>1.3102520726315463</v>
      </c>
      <c r="T47" s="82">
        <v>10083</v>
      </c>
      <c r="U47" s="84">
        <v>1753</v>
      </c>
      <c r="V47" s="78">
        <f>176097+74816</f>
        <v>250913</v>
      </c>
    </row>
    <row r="48" spans="1:22" s="9" customFormat="1" ht="15" customHeight="1">
      <c r="C48" s="31" t="s">
        <v>10</v>
      </c>
      <c r="D48" s="26"/>
      <c r="E48" s="34"/>
      <c r="F48" s="72"/>
      <c r="G48" s="72"/>
      <c r="H48" s="72"/>
      <c r="I48" s="72"/>
      <c r="J48" s="64"/>
      <c r="K48" s="64"/>
      <c r="L48" s="60"/>
      <c r="M48" s="87"/>
      <c r="N48" s="87"/>
      <c r="O48" s="87"/>
      <c r="P48" s="87"/>
      <c r="Q48" s="64"/>
      <c r="R48" s="64"/>
      <c r="S48" s="60"/>
      <c r="T48" s="90"/>
      <c r="U48" s="44"/>
      <c r="V48" s="79"/>
    </row>
    <row r="49" spans="3:22" s="9" customFormat="1" ht="15" customHeight="1">
      <c r="C49" s="33"/>
      <c r="D49" s="26" t="s">
        <v>5</v>
      </c>
      <c r="E49" s="34"/>
      <c r="F49" s="73">
        <f>F22</f>
        <v>74</v>
      </c>
      <c r="G49" s="74">
        <f>G22</f>
        <v>85</v>
      </c>
      <c r="H49" s="74">
        <v>0</v>
      </c>
      <c r="I49" s="74">
        <f>I22</f>
        <v>97</v>
      </c>
      <c r="J49" s="64">
        <f>IFERROR(F49/G49-1,"n/a")</f>
        <v>-0.12941176470588234</v>
      </c>
      <c r="K49" s="64" t="str">
        <f>IFERROR(F49/H49-1,"n/a")</f>
        <v>n/a</v>
      </c>
      <c r="L49" s="60">
        <f>IFERROR(F49/I49-1,"n/a")</f>
        <v>-0.23711340206185572</v>
      </c>
      <c r="M49" s="70">
        <f>+M22-'Mar-22'!M19</f>
        <v>585</v>
      </c>
      <c r="N49" s="70">
        <f>+N22-'Mar-22'!N19</f>
        <v>215</v>
      </c>
      <c r="O49" s="70">
        <f>+O22-'Mar-22'!O19</f>
        <v>42</v>
      </c>
      <c r="P49" s="70">
        <f>+P22-'Mar-22'!P19</f>
        <v>637</v>
      </c>
      <c r="Q49" s="64">
        <f>IFERROR(M49/N49-1,"n/a")</f>
        <v>1.7209302325581395</v>
      </c>
      <c r="R49" s="64">
        <f>IFERROR(M49/O49-1,"n/a")</f>
        <v>12.928571428571429</v>
      </c>
      <c r="S49" s="60">
        <f>IFERROR(M49/P49-1,"n/a")</f>
        <v>-8.1632653061224469E-2</v>
      </c>
      <c r="T49" s="89">
        <v>744</v>
      </c>
      <c r="U49" s="84">
        <v>406</v>
      </c>
      <c r="V49" s="78">
        <v>1253</v>
      </c>
    </row>
    <row r="50" spans="3:22" s="9" customFormat="1" ht="15" customHeight="1">
      <c r="C50" s="33"/>
      <c r="D50" s="26" t="s">
        <v>11</v>
      </c>
      <c r="E50" s="32"/>
      <c r="F50" s="73">
        <f>F23</f>
        <v>260968</v>
      </c>
      <c r="G50" s="74">
        <f>G23</f>
        <v>142400</v>
      </c>
      <c r="H50" s="74">
        <v>0</v>
      </c>
      <c r="I50" s="74">
        <f>I23</f>
        <v>268813</v>
      </c>
      <c r="J50" s="64">
        <f>IFERROR(F50/G50-1,"n/a")</f>
        <v>0.83264044943820226</v>
      </c>
      <c r="K50" s="64" t="str">
        <f>IFERROR(F50/H50-1,"n/a")</f>
        <v>n/a</v>
      </c>
      <c r="L50" s="60">
        <f>IFERROR(F50/I50-1,"n/a")</f>
        <v>-2.9183856435514688E-2</v>
      </c>
      <c r="M50" s="82">
        <f>+M23-'Mar-22'!M20</f>
        <v>1853867</v>
      </c>
      <c r="N50" s="82">
        <f>+N23-'Mar-22'!N20</f>
        <v>324210</v>
      </c>
      <c r="O50" s="82">
        <f>+O23-'Mar-22'!O20</f>
        <v>0</v>
      </c>
      <c r="P50" s="82">
        <f>+P23-'Mar-22'!P20</f>
        <v>2075631</v>
      </c>
      <c r="Q50" s="64">
        <f>IFERROR(M50/N50-1,"n/a")</f>
        <v>4.7181055488726447</v>
      </c>
      <c r="R50" s="64" t="str">
        <f>IFERROR(M50/O50-1,"n/a")</f>
        <v>n/a</v>
      </c>
      <c r="S50" s="60">
        <f>IFERROR(M50/P50-1,"n/a")</f>
        <v>-0.10684172668456005</v>
      </c>
      <c r="T50" s="82">
        <v>1290779</v>
      </c>
      <c r="U50" s="84">
        <v>833999</v>
      </c>
      <c r="V50" s="78">
        <v>3627458</v>
      </c>
    </row>
    <row r="51" spans="3:22" s="9" customFormat="1" ht="15" customHeight="1">
      <c r="C51" s="31" t="s">
        <v>16</v>
      </c>
      <c r="D51" s="26"/>
      <c r="E51" s="32"/>
      <c r="F51" s="72"/>
      <c r="G51" s="72"/>
      <c r="H51" s="72"/>
      <c r="I51" s="72"/>
      <c r="J51" s="64"/>
      <c r="K51" s="64"/>
      <c r="L51" s="60"/>
      <c r="M51" s="87"/>
      <c r="N51" s="87"/>
      <c r="O51" s="87"/>
      <c r="P51" s="87"/>
      <c r="Q51" s="64"/>
      <c r="R51" s="64"/>
      <c r="S51" s="60"/>
      <c r="T51" s="90"/>
      <c r="U51" s="44"/>
      <c r="V51" s="79"/>
    </row>
    <row r="52" spans="3:22" s="9" customFormat="1" ht="15" customHeight="1">
      <c r="C52" s="33"/>
      <c r="D52" s="26" t="s">
        <v>5</v>
      </c>
      <c r="E52" s="32"/>
      <c r="F52" s="74">
        <f t="shared" ref="F52:I53" si="5">F25</f>
        <v>45</v>
      </c>
      <c r="G52" s="74">
        <f t="shared" si="5"/>
        <v>16</v>
      </c>
      <c r="H52" s="71">
        <f t="shared" si="5"/>
        <v>8</v>
      </c>
      <c r="I52" s="74">
        <f t="shared" si="5"/>
        <v>64</v>
      </c>
      <c r="J52" s="64">
        <f>IFERROR(F52/G52-1,"n/a")</f>
        <v>1.8125</v>
      </c>
      <c r="K52" s="64">
        <f>IFERROR(F52/H52-1,"n/a")</f>
        <v>4.625</v>
      </c>
      <c r="L52" s="60">
        <f>IFERROR(F52/I52-1,"n/a")</f>
        <v>-0.296875</v>
      </c>
      <c r="M52" s="70">
        <f>+M25-'Mar-22'!M22</f>
        <v>244</v>
      </c>
      <c r="N52" s="70">
        <f>+N25-'Mar-22'!N22</f>
        <v>78</v>
      </c>
      <c r="O52" s="82">
        <f>+O25-'Mar-22'!O22</f>
        <v>15</v>
      </c>
      <c r="P52" s="70">
        <f>+P25-'Mar-22'!P22</f>
        <v>288</v>
      </c>
      <c r="Q52" s="64">
        <f>IFERROR(M52/N52-1,"n/a")</f>
        <v>2.1282051282051282</v>
      </c>
      <c r="R52" s="64">
        <f>IFERROR(M52/O52-1,"n/a")</f>
        <v>15.266666666666666</v>
      </c>
      <c r="S52" s="60">
        <f>IFERROR(M52/P52-1,"n/a")</f>
        <v>-0.15277777777777779</v>
      </c>
      <c r="T52" s="89">
        <v>121</v>
      </c>
      <c r="U52" s="70">
        <v>41</v>
      </c>
      <c r="V52" s="78">
        <v>361</v>
      </c>
    </row>
    <row r="53" spans="3:22" s="9" customFormat="1" ht="15" customHeight="1">
      <c r="C53" s="33"/>
      <c r="D53" s="26" t="s">
        <v>11</v>
      </c>
      <c r="E53" s="32"/>
      <c r="F53" s="74">
        <f t="shared" si="5"/>
        <v>59330</v>
      </c>
      <c r="G53" s="74">
        <f t="shared" si="5"/>
        <v>16203</v>
      </c>
      <c r="H53" s="71">
        <f t="shared" si="5"/>
        <v>8362</v>
      </c>
      <c r="I53" s="74">
        <f t="shared" si="5"/>
        <v>130501</v>
      </c>
      <c r="J53" s="64">
        <f>IFERROR(F53/G53-1,"n/a")</f>
        <v>2.6616675924211566</v>
      </c>
      <c r="K53" s="64">
        <f>IFERROR(F53/H53-1,"n/a")</f>
        <v>6.0951925376704139</v>
      </c>
      <c r="L53" s="60">
        <f>IFERROR(F53/I53-1,"n/a")</f>
        <v>-0.54536746844851769</v>
      </c>
      <c r="M53" s="82">
        <f>+M26-'Mar-22'!M23</f>
        <v>456816</v>
      </c>
      <c r="N53" s="82">
        <f>+N26-'Mar-22'!N23</f>
        <v>109254</v>
      </c>
      <c r="O53" s="82">
        <f>+O26-'Mar-22'!O23</f>
        <v>15441</v>
      </c>
      <c r="P53" s="82">
        <f>+P26-'Mar-22'!P23</f>
        <v>742409</v>
      </c>
      <c r="Q53" s="64">
        <f>IFERROR(M53/N53-1,"n/a")</f>
        <v>3.1812290625514859</v>
      </c>
      <c r="R53" s="64">
        <f>IFERROR(M53/O53-1,"n/a")</f>
        <v>28.584612395570236</v>
      </c>
      <c r="S53" s="60">
        <f>IFERROR(M53/P53-1,"n/a")</f>
        <v>-0.38468418351609424</v>
      </c>
      <c r="T53" s="82">
        <v>165689</v>
      </c>
      <c r="U53" s="84">
        <v>67144</v>
      </c>
      <c r="V53" s="78">
        <v>865961</v>
      </c>
    </row>
    <row r="54" spans="3:22" ht="15" customHeight="1">
      <c r="C54" s="31" t="s">
        <v>17</v>
      </c>
      <c r="D54" s="26"/>
      <c r="E54" s="32"/>
      <c r="F54" s="72"/>
      <c r="G54" s="72"/>
      <c r="H54" s="72"/>
      <c r="I54" s="72"/>
      <c r="J54" s="64"/>
      <c r="K54" s="64"/>
      <c r="L54" s="60"/>
      <c r="M54" s="87"/>
      <c r="N54" s="87"/>
      <c r="O54" s="87"/>
      <c r="P54" s="87"/>
      <c r="Q54" s="64"/>
      <c r="R54" s="64"/>
      <c r="S54" s="60"/>
      <c r="T54" s="90"/>
      <c r="U54" s="44"/>
      <c r="V54" s="79"/>
    </row>
    <row r="55" spans="3:22" ht="15.6" customHeight="1">
      <c r="C55" s="33"/>
      <c r="D55" s="26" t="s">
        <v>5</v>
      </c>
      <c r="E55" s="32"/>
      <c r="F55" s="74">
        <f t="shared" ref="F55:I56" si="6">F28</f>
        <v>85</v>
      </c>
      <c r="G55" s="74">
        <f t="shared" si="6"/>
        <v>28</v>
      </c>
      <c r="H55" s="71">
        <f t="shared" si="6"/>
        <v>12</v>
      </c>
      <c r="I55" s="74">
        <f t="shared" si="6"/>
        <v>71</v>
      </c>
      <c r="J55" s="64">
        <f>IFERROR(F55/G55-1,"n/a")</f>
        <v>2.0357142857142856</v>
      </c>
      <c r="K55" s="64">
        <f>IFERROR(F55/H55-1,"n/a")</f>
        <v>6.083333333333333</v>
      </c>
      <c r="L55" s="60">
        <f>IFERROR(F55/I55-1,"n/a")</f>
        <v>0.19718309859154926</v>
      </c>
      <c r="M55" s="70">
        <f>+M28-'Mar-22'!M25</f>
        <v>490</v>
      </c>
      <c r="N55" s="70">
        <f>+N28-'Mar-22'!N25</f>
        <v>104</v>
      </c>
      <c r="O55" s="70">
        <f>+O28-'Mar-22'!O25</f>
        <v>23</v>
      </c>
      <c r="P55" s="70">
        <f>+P28-'Mar-22'!P25</f>
        <v>324</v>
      </c>
      <c r="Q55" s="64">
        <f>IFERROR(M55/N55-1,"n/a")</f>
        <v>3.7115384615384617</v>
      </c>
      <c r="R55" s="64">
        <f>IFERROR(M55/O55-1,"n/a")</f>
        <v>20.304347826086957</v>
      </c>
      <c r="S55" s="60">
        <f>IFERROR(M55/P55-1,"n/a")</f>
        <v>0.51234567901234573</v>
      </c>
      <c r="T55" s="89">
        <v>140</v>
      </c>
      <c r="U55" s="70">
        <v>40</v>
      </c>
      <c r="V55" s="78">
        <v>360</v>
      </c>
    </row>
    <row r="56" spans="3:22" ht="15.6" customHeight="1">
      <c r="C56" s="33"/>
      <c r="D56" s="26" t="s">
        <v>11</v>
      </c>
      <c r="E56" s="32"/>
      <c r="F56" s="74">
        <f t="shared" si="6"/>
        <v>139070</v>
      </c>
      <c r="G56" s="74">
        <f t="shared" si="6"/>
        <v>32614</v>
      </c>
      <c r="H56" s="71">
        <f t="shared" si="6"/>
        <v>5592</v>
      </c>
      <c r="I56" s="74">
        <f t="shared" si="6"/>
        <v>138907</v>
      </c>
      <c r="J56" s="64">
        <f>IFERROR(F56/G56-1,"n/a")</f>
        <v>3.2641197031949467</v>
      </c>
      <c r="K56" s="64">
        <f>IFERROR(F56/H56-1,"n/a")</f>
        <v>23.869456366237483</v>
      </c>
      <c r="L56" s="60">
        <f>IFERROR(F56/I56-1,"n/a")</f>
        <v>1.1734469825135374E-3</v>
      </c>
      <c r="M56" s="82">
        <f>+M29-'Mar-22'!M26</f>
        <v>820758</v>
      </c>
      <c r="N56" s="82">
        <f>+N29-'Mar-22'!N26</f>
        <v>148134</v>
      </c>
      <c r="O56" s="82">
        <f>+O29-'Mar-22'!O26</f>
        <v>15420</v>
      </c>
      <c r="P56" s="82">
        <f>+P29-'Mar-22'!P26</f>
        <v>833578</v>
      </c>
      <c r="Q56" s="64">
        <f>IFERROR(M56/N56-1,"n/a")</f>
        <v>4.5406456316578234</v>
      </c>
      <c r="R56" s="64">
        <f>IFERROR(M56/O56-1,"n/a")</f>
        <v>52.226848249027235</v>
      </c>
      <c r="S56" s="60">
        <f>IFERROR(M56/P56-1,"n/a")</f>
        <v>-1.5379484583326386E-2</v>
      </c>
      <c r="T56" s="82">
        <v>174336</v>
      </c>
      <c r="U56" s="84">
        <v>21928</v>
      </c>
      <c r="V56" s="78">
        <f>706948+155011</f>
        <v>861959</v>
      </c>
    </row>
    <row r="57" spans="3:22" ht="26.85" customHeight="1" thickBot="1">
      <c r="C57" s="35" t="s">
        <v>12</v>
      </c>
      <c r="D57" s="36"/>
      <c r="E57" s="37"/>
      <c r="F57" s="75">
        <f t="shared" ref="F57:I58" si="7">F40+F43+F46+F49+F52+F55</f>
        <v>412</v>
      </c>
      <c r="G57" s="75">
        <f t="shared" si="7"/>
        <v>249</v>
      </c>
      <c r="H57" s="75">
        <f t="shared" si="7"/>
        <v>20</v>
      </c>
      <c r="I57" s="75">
        <f t="shared" si="7"/>
        <v>393</v>
      </c>
      <c r="J57" s="66">
        <f>IFERROR(F57/G57-1,"n/a")</f>
        <v>0.65461847389558225</v>
      </c>
      <c r="K57" s="66">
        <f>IFERROR(F57/H57-1,"n/a")</f>
        <v>19.600000000000001</v>
      </c>
      <c r="L57" s="62">
        <f>IFERROR(F57/I57-1,"n/a")</f>
        <v>4.8346055979643809E-2</v>
      </c>
      <c r="M57" s="46">
        <f t="shared" ref="M57:P58" si="8">M40+M43+M46+M49+M52+M55</f>
        <v>2382</v>
      </c>
      <c r="N57" s="46">
        <f t="shared" si="8"/>
        <v>619</v>
      </c>
      <c r="O57" s="46">
        <f t="shared" si="8"/>
        <v>81</v>
      </c>
      <c r="P57" s="46">
        <f t="shared" si="8"/>
        <v>2104</v>
      </c>
      <c r="Q57" s="66">
        <f>IFERROR(M57/N57-1,"n/a")</f>
        <v>2.8481421647819065</v>
      </c>
      <c r="R57" s="66">
        <f>IFERROR(M57/O57-1,"n/a")</f>
        <v>28.407407407407408</v>
      </c>
      <c r="S57" s="62">
        <f>IFERROR(M57/P57-1,"n/a")</f>
        <v>0.13212927756653992</v>
      </c>
      <c r="T57" s="46">
        <f t="shared" ref="T57:V58" si="9">T40+T43+T46+T49+T52+T55</f>
        <v>1682</v>
      </c>
      <c r="U57" s="46">
        <f t="shared" si="9"/>
        <v>679</v>
      </c>
      <c r="V57" s="80">
        <f t="shared" si="9"/>
        <v>3274</v>
      </c>
    </row>
    <row r="58" spans="3:22" ht="26.85" customHeight="1" thickTop="1" thickBot="1">
      <c r="C58" s="38" t="s">
        <v>13</v>
      </c>
      <c r="D58" s="39"/>
      <c r="E58" s="40"/>
      <c r="F58" s="76">
        <f t="shared" si="7"/>
        <v>867362</v>
      </c>
      <c r="G58" s="76">
        <f t="shared" si="7"/>
        <v>369553</v>
      </c>
      <c r="H58" s="76">
        <f t="shared" si="7"/>
        <v>13954</v>
      </c>
      <c r="I58" s="76">
        <f t="shared" si="7"/>
        <v>930242</v>
      </c>
      <c r="J58" s="67">
        <f>IFERROR(F58/G58-1,"n/a")</f>
        <v>1.3470571203589201</v>
      </c>
      <c r="K58" s="67">
        <f>IFERROR(F58/H58-1,"n/a")</f>
        <v>61.158664182313316</v>
      </c>
      <c r="L58" s="63">
        <f>IFERROR(F58/I58-1,"n/a")</f>
        <v>-6.7595313907563792E-2</v>
      </c>
      <c r="M58" s="47">
        <f t="shared" si="8"/>
        <v>5216385</v>
      </c>
      <c r="N58" s="47">
        <f t="shared" si="8"/>
        <v>932442</v>
      </c>
      <c r="O58" s="47">
        <f t="shared" si="8"/>
        <v>30972</v>
      </c>
      <c r="P58" s="47">
        <f t="shared" si="8"/>
        <v>5994322</v>
      </c>
      <c r="Q58" s="67">
        <f>IFERROR(M58/N58-1,"n/a")</f>
        <v>4.59432651038885</v>
      </c>
      <c r="R58" s="67">
        <f>IFERROR(M58/O58-1,"n/a")</f>
        <v>167.42260751646648</v>
      </c>
      <c r="S58" s="63">
        <f>IFERROR(M58/P58-1,"n/a")</f>
        <v>-0.12977898084220363</v>
      </c>
      <c r="T58" s="47">
        <f t="shared" si="9"/>
        <v>2411641</v>
      </c>
      <c r="U58" s="47">
        <f t="shared" si="9"/>
        <v>1324261</v>
      </c>
      <c r="V58" s="81">
        <f t="shared" si="9"/>
        <v>8654686</v>
      </c>
    </row>
    <row r="59" spans="3:22" ht="12" customHeight="1" thickTop="1"/>
    <row r="60" spans="3:22" ht="26.85" customHeight="1"/>
    <row r="61" spans="3:22" ht="26.85" customHeight="1"/>
    <row r="62" spans="3:22" ht="26.85" customHeight="1"/>
    <row r="63" spans="3:22" ht="26.85" customHeight="1"/>
    <row r="64" spans="3:22" ht="26.85" customHeight="1"/>
    <row r="65" ht="26.85" customHeight="1"/>
  </sheetData>
  <mergeCells count="6">
    <mergeCell ref="F9:L9"/>
    <mergeCell ref="M9:S9"/>
    <mergeCell ref="T9:V9"/>
    <mergeCell ref="F36:L36"/>
    <mergeCell ref="M36:S36"/>
    <mergeCell ref="T36:V36"/>
  </mergeCells>
  <pageMargins left="0.7" right="0.7" top="0.75" bottom="0.75" header="0.3" footer="0.3"/>
  <pageSetup paperSize="9" scale="52" orientation="landscape" horizontalDpi="4294967293" verticalDpi="4294967293" r:id="rId1"/>
  <colBreaks count="2" manualBreakCount="2">
    <brk id="3" max="1048575" man="1"/>
    <brk id="5" max="1048575" man="1"/>
  </colBreaks>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AT59"/>
  <sheetViews>
    <sheetView showGridLines="0" topLeftCell="A17" zoomScaleNormal="100" zoomScalePageLayoutView="40" workbookViewId="0"/>
  </sheetViews>
  <sheetFormatPr defaultColWidth="0" defaultRowHeight="26.85" customHeight="1" zeroHeight="1"/>
  <cols>
    <col min="1" max="3" width="2.5703125" customWidth="1"/>
    <col min="4" max="4" width="9.140625" customWidth="1"/>
    <col min="5" max="6" width="15.42578125" customWidth="1"/>
    <col min="7" max="8" width="11.140625" bestFit="1" customWidth="1"/>
    <col min="9" max="9" width="10.5703125" bestFit="1" customWidth="1"/>
    <col min="10" max="10" width="9" bestFit="1" customWidth="1"/>
    <col min="11" max="12" width="9.140625" customWidth="1"/>
    <col min="13" max="13" width="11" bestFit="1" customWidth="1"/>
    <col min="14" max="14" width="10.140625" bestFit="1" customWidth="1"/>
    <col min="15" max="15" width="12.140625" bestFit="1" customWidth="1"/>
    <col min="16" max="16" width="11.42578125" customWidth="1"/>
    <col min="17" max="17" width="8.85546875" customWidth="1"/>
    <col min="18" max="18" width="9.140625" bestFit="1" customWidth="1"/>
    <col min="19" max="19" width="8.85546875" customWidth="1"/>
    <col min="20" max="21" width="10.42578125" bestFit="1" customWidth="1"/>
    <col min="22" max="22" width="11.140625" bestFit="1" customWidth="1"/>
    <col min="23" max="23" width="3.140625" style="9" customWidth="1"/>
    <col min="24" max="38" width="0" style="9" hidden="1" customWidth="1"/>
    <col min="39" max="46" width="0" hidden="1" customWidth="1"/>
    <col min="47" max="16384" width="9.140625" hidden="1"/>
  </cols>
  <sheetData>
    <row r="1" spans="1:38" ht="15">
      <c r="A1" s="9"/>
      <c r="B1" s="9"/>
      <c r="C1" s="9"/>
      <c r="D1" s="9"/>
      <c r="E1" s="9"/>
      <c r="F1" s="9"/>
      <c r="G1" s="9"/>
      <c r="H1" s="9"/>
      <c r="I1" s="9"/>
      <c r="J1" s="9"/>
      <c r="K1" s="9"/>
      <c r="L1" s="9"/>
      <c r="M1" s="9"/>
      <c r="N1" s="9"/>
      <c r="O1" s="9"/>
      <c r="P1" s="9"/>
      <c r="Q1" s="9"/>
      <c r="R1" s="9"/>
      <c r="S1" s="9"/>
      <c r="T1" s="9"/>
      <c r="U1" s="9"/>
      <c r="V1" s="9"/>
    </row>
    <row r="2" spans="1:38" ht="19.5" thickBot="1">
      <c r="A2" s="9"/>
      <c r="B2" s="8" t="s">
        <v>6</v>
      </c>
      <c r="C2" s="23"/>
      <c r="D2" s="23"/>
      <c r="E2" s="23"/>
      <c r="F2" s="23"/>
      <c r="G2" s="23"/>
      <c r="H2" s="23"/>
      <c r="I2" s="23"/>
      <c r="J2" s="23"/>
      <c r="K2" s="23"/>
      <c r="L2" s="23"/>
      <c r="M2" s="23"/>
      <c r="N2" s="23"/>
      <c r="O2" s="23"/>
      <c r="P2" s="23"/>
      <c r="Q2" s="23"/>
      <c r="R2" s="23"/>
      <c r="S2" s="23"/>
      <c r="T2" s="23"/>
      <c r="U2" s="23"/>
      <c r="V2" s="23"/>
    </row>
    <row r="3" spans="1:38" ht="15">
      <c r="A3" s="9"/>
      <c r="B3" s="10"/>
      <c r="C3" s="24"/>
      <c r="D3" s="24"/>
      <c r="E3" s="24"/>
      <c r="F3" s="24"/>
      <c r="G3" s="24"/>
      <c r="H3" s="24"/>
      <c r="I3" s="24"/>
      <c r="J3" s="24"/>
      <c r="K3" s="24"/>
      <c r="L3" s="24"/>
      <c r="M3" s="24"/>
      <c r="N3" s="24"/>
      <c r="O3" s="24"/>
      <c r="P3" s="24"/>
      <c r="Q3" s="24"/>
      <c r="R3" s="24"/>
      <c r="S3" s="24"/>
      <c r="T3" s="24"/>
      <c r="U3" s="24"/>
      <c r="V3" s="25"/>
    </row>
    <row r="4" spans="1:38" ht="15.75">
      <c r="A4" s="9"/>
      <c r="B4" s="11" t="s">
        <v>7</v>
      </c>
      <c r="C4" s="26"/>
      <c r="D4" s="24"/>
      <c r="E4" s="58" t="s">
        <v>85</v>
      </c>
      <c r="F4" s="24"/>
      <c r="G4" s="24"/>
      <c r="H4" s="24"/>
      <c r="I4" s="24"/>
      <c r="J4" s="24"/>
      <c r="K4" s="24"/>
      <c r="L4" s="24"/>
      <c r="M4" s="24"/>
      <c r="N4" s="24"/>
      <c r="O4" s="24"/>
      <c r="P4" s="24"/>
      <c r="Q4" s="24"/>
      <c r="R4" s="24"/>
      <c r="S4" s="24"/>
      <c r="T4" s="24"/>
      <c r="U4" s="24"/>
      <c r="V4" s="24"/>
    </row>
    <row r="5" spans="1:38" ht="15">
      <c r="A5" s="9"/>
      <c r="B5" s="10"/>
      <c r="C5" s="24"/>
      <c r="D5" s="24"/>
      <c r="E5" s="24"/>
      <c r="F5" s="24"/>
      <c r="G5" s="24"/>
      <c r="H5" s="24"/>
      <c r="I5" s="24"/>
      <c r="J5" s="24"/>
      <c r="K5" s="24"/>
      <c r="L5" s="24"/>
      <c r="M5" s="24"/>
      <c r="N5" s="24"/>
      <c r="O5" s="24"/>
      <c r="P5" s="24"/>
      <c r="Q5" s="24"/>
      <c r="R5" s="24"/>
      <c r="S5" s="24"/>
      <c r="T5" s="24"/>
      <c r="U5" s="24"/>
      <c r="V5" s="24"/>
    </row>
    <row r="6" spans="1:38" ht="15">
      <c r="A6" s="9"/>
      <c r="B6" s="10"/>
      <c r="C6" s="24"/>
      <c r="D6" s="24"/>
      <c r="E6" s="24"/>
      <c r="F6" s="24"/>
      <c r="G6" s="24"/>
      <c r="H6" s="24"/>
      <c r="I6" s="24"/>
      <c r="J6" s="24"/>
      <c r="K6" s="24"/>
      <c r="L6" s="24"/>
      <c r="M6" s="24"/>
      <c r="N6" s="24"/>
      <c r="O6" s="24"/>
      <c r="P6" s="24"/>
      <c r="Q6" s="24"/>
      <c r="R6" s="24"/>
      <c r="S6" s="24"/>
      <c r="T6" s="24"/>
      <c r="U6" s="24"/>
      <c r="V6" s="24"/>
    </row>
    <row r="7" spans="1:38" ht="15">
      <c r="A7" s="9"/>
      <c r="B7" s="10"/>
      <c r="C7" s="86" t="s">
        <v>62</v>
      </c>
      <c r="D7" s="24"/>
      <c r="E7" s="24"/>
      <c r="F7" s="24"/>
      <c r="G7" s="24"/>
      <c r="H7" s="24"/>
      <c r="I7" s="24"/>
      <c r="J7" s="24"/>
      <c r="K7" s="24"/>
      <c r="L7" s="24"/>
      <c r="M7" s="24"/>
      <c r="N7" s="24"/>
      <c r="O7" s="24"/>
      <c r="P7" s="24"/>
      <c r="Q7" s="24"/>
      <c r="R7" s="24"/>
      <c r="S7" s="24"/>
      <c r="T7" s="24"/>
      <c r="U7" s="24"/>
      <c r="V7" s="24"/>
    </row>
    <row r="8" spans="1:38" ht="15">
      <c r="A8" s="9"/>
      <c r="B8" s="10"/>
      <c r="C8" s="24"/>
      <c r="D8" s="24"/>
      <c r="E8" s="24"/>
      <c r="F8" s="24"/>
      <c r="G8" s="24"/>
      <c r="H8" s="24"/>
      <c r="I8" s="24"/>
      <c r="J8" s="24"/>
      <c r="K8" s="24"/>
      <c r="L8" s="24"/>
      <c r="M8" s="24"/>
      <c r="N8" s="24"/>
      <c r="O8" s="24"/>
      <c r="P8" s="24"/>
      <c r="Q8" s="24"/>
      <c r="R8" s="24"/>
      <c r="S8" s="24"/>
      <c r="T8" s="24"/>
      <c r="U8" s="24"/>
      <c r="V8" s="24"/>
    </row>
    <row r="9" spans="1:38" s="20" customFormat="1" ht="15">
      <c r="A9" s="9"/>
      <c r="B9"/>
      <c r="C9" s="27" t="s">
        <v>7</v>
      </c>
      <c r="D9" s="28"/>
      <c r="E9" s="28"/>
      <c r="F9" s="158" t="s">
        <v>22</v>
      </c>
      <c r="G9" s="158"/>
      <c r="H9" s="158"/>
      <c r="I9" s="158"/>
      <c r="J9" s="158"/>
      <c r="K9" s="158"/>
      <c r="L9" s="159"/>
      <c r="M9" s="157" t="s">
        <v>86</v>
      </c>
      <c r="N9" s="158"/>
      <c r="O9" s="158"/>
      <c r="P9" s="158"/>
      <c r="Q9" s="158"/>
      <c r="R9" s="158"/>
      <c r="S9" s="159"/>
      <c r="T9" s="157" t="s">
        <v>57</v>
      </c>
      <c r="U9" s="158"/>
      <c r="V9" s="160"/>
      <c r="W9" s="9"/>
      <c r="X9" s="19"/>
      <c r="Y9" s="19"/>
      <c r="Z9" s="19"/>
      <c r="AA9" s="19"/>
      <c r="AB9" s="19"/>
      <c r="AC9" s="19"/>
      <c r="AD9" s="19"/>
      <c r="AE9" s="19"/>
      <c r="AF9" s="19"/>
      <c r="AG9" s="19"/>
      <c r="AH9" s="19"/>
      <c r="AI9" s="19"/>
      <c r="AJ9" s="19"/>
      <c r="AK9" s="19"/>
      <c r="AL9" s="19"/>
    </row>
    <row r="10" spans="1:38" ht="15.75">
      <c r="A10" s="9"/>
      <c r="B10" s="18"/>
      <c r="C10" s="29"/>
      <c r="D10" s="30"/>
      <c r="E10" s="30"/>
      <c r="F10" s="29"/>
      <c r="G10" s="30"/>
      <c r="H10" s="30"/>
      <c r="I10" s="30"/>
      <c r="J10" s="30"/>
      <c r="K10" s="30"/>
      <c r="L10" s="56"/>
      <c r="M10" s="30"/>
      <c r="N10" s="30"/>
      <c r="O10" s="30"/>
      <c r="P10" s="30"/>
      <c r="Q10" s="30"/>
      <c r="R10" s="30"/>
      <c r="S10" s="56"/>
      <c r="T10" s="30"/>
      <c r="U10" s="30"/>
      <c r="V10" s="56"/>
    </row>
    <row r="11" spans="1:38" s="54" customFormat="1" ht="27" customHeight="1">
      <c r="A11" s="48"/>
      <c r="B11" s="49"/>
      <c r="C11" s="59" t="s">
        <v>29</v>
      </c>
      <c r="D11" s="50"/>
      <c r="E11" s="51"/>
      <c r="F11" s="55">
        <v>2022</v>
      </c>
      <c r="G11" s="52">
        <v>2021</v>
      </c>
      <c r="H11" s="52">
        <v>2020</v>
      </c>
      <c r="I11" s="52">
        <v>2019</v>
      </c>
      <c r="J11" s="53" t="s">
        <v>36</v>
      </c>
      <c r="K11" s="53" t="s">
        <v>34</v>
      </c>
      <c r="L11" s="57" t="s">
        <v>35</v>
      </c>
      <c r="M11" s="53">
        <v>2022</v>
      </c>
      <c r="N11" s="52">
        <v>2021</v>
      </c>
      <c r="O11" s="52">
        <v>2020</v>
      </c>
      <c r="P11" s="52">
        <v>2019</v>
      </c>
      <c r="Q11" s="53" t="s">
        <v>36</v>
      </c>
      <c r="R11" s="53" t="s">
        <v>34</v>
      </c>
      <c r="S11" s="57" t="s">
        <v>35</v>
      </c>
      <c r="T11" s="53">
        <v>2021</v>
      </c>
      <c r="U11" s="52">
        <v>2020</v>
      </c>
      <c r="V11" s="77">
        <v>2019</v>
      </c>
      <c r="W11" s="48"/>
      <c r="X11" s="48"/>
      <c r="Y11" s="48"/>
      <c r="Z11" s="48"/>
      <c r="AA11" s="48"/>
      <c r="AB11" s="48"/>
      <c r="AC11" s="48"/>
      <c r="AD11" s="48"/>
      <c r="AE11" s="48"/>
      <c r="AF11" s="48"/>
      <c r="AG11" s="48"/>
      <c r="AH11" s="48"/>
      <c r="AI11" s="48"/>
      <c r="AJ11" s="48"/>
      <c r="AK11" s="48"/>
      <c r="AL11" s="48"/>
    </row>
    <row r="12" spans="1:38" ht="15">
      <c r="A12" s="9"/>
      <c r="B12" s="12"/>
      <c r="C12" s="31" t="s">
        <v>14</v>
      </c>
      <c r="D12" s="26"/>
      <c r="E12" s="32"/>
      <c r="F12" s="26"/>
      <c r="G12" s="26"/>
      <c r="H12" s="26"/>
      <c r="I12" s="26"/>
      <c r="J12" s="26"/>
      <c r="K12" s="26"/>
      <c r="L12" s="32"/>
      <c r="M12" s="26"/>
      <c r="N12" s="26"/>
      <c r="O12" s="26"/>
      <c r="P12" s="26"/>
      <c r="Q12" s="26"/>
      <c r="R12" s="26"/>
      <c r="S12" s="32"/>
      <c r="T12" s="26"/>
      <c r="U12" s="26"/>
      <c r="V12" s="32"/>
    </row>
    <row r="13" spans="1:38" ht="15">
      <c r="A13" s="9"/>
      <c r="B13" s="12"/>
      <c r="C13" s="33"/>
      <c r="D13" s="26" t="s">
        <v>5</v>
      </c>
      <c r="E13" s="32"/>
      <c r="F13" s="74">
        <v>2</v>
      </c>
      <c r="G13" s="71">
        <v>3</v>
      </c>
      <c r="H13" s="71">
        <v>0</v>
      </c>
      <c r="I13" s="71">
        <v>3</v>
      </c>
      <c r="J13" s="64">
        <f t="shared" ref="J13:J31" si="0">IFERROR(F13/G13-1,"n/a")</f>
        <v>-0.33333333333333337</v>
      </c>
      <c r="K13" s="64" t="str">
        <f>IFERROR(F13/H13-1,"n/a")</f>
        <v>n/a</v>
      </c>
      <c r="L13" s="60">
        <f>IFERROR(F13/I13-1,"n/a")</f>
        <v>-0.33333333333333337</v>
      </c>
      <c r="M13" s="68">
        <f>F13+'Aug-22'!M13</f>
        <v>229</v>
      </c>
      <c r="N13" s="68">
        <f>G13+'Aug-22'!N13</f>
        <v>16</v>
      </c>
      <c r="O13" s="68">
        <f>H13+'Aug-22'!O13</f>
        <v>145</v>
      </c>
      <c r="P13" s="68">
        <f>I13+'Aug-22'!P13</f>
        <v>253</v>
      </c>
      <c r="Q13" s="64">
        <f>IFERROR(M13/N13-1,"n/a")</f>
        <v>13.3125</v>
      </c>
      <c r="R13" s="64">
        <f>IFERROR(M13/O13-1,"n/a")</f>
        <v>0.57931034482758625</v>
      </c>
      <c r="S13" s="60">
        <f>IFERROR(M13/P13-1,"n/a")</f>
        <v>-9.4861660079051391E-2</v>
      </c>
      <c r="T13" s="68">
        <v>111</v>
      </c>
      <c r="U13" s="70">
        <v>145</v>
      </c>
      <c r="V13" s="78">
        <v>386</v>
      </c>
    </row>
    <row r="14" spans="1:38" ht="15">
      <c r="A14" s="9"/>
      <c r="B14" s="12"/>
      <c r="C14" s="33"/>
      <c r="D14" s="26" t="s">
        <v>11</v>
      </c>
      <c r="E14" s="32"/>
      <c r="F14" s="74">
        <v>4913</v>
      </c>
      <c r="G14" s="71">
        <v>1618</v>
      </c>
      <c r="H14" s="71">
        <v>0</v>
      </c>
      <c r="I14" s="71">
        <v>11148</v>
      </c>
      <c r="J14" s="64">
        <f t="shared" si="0"/>
        <v>2.0364647713226205</v>
      </c>
      <c r="K14" s="64" t="str">
        <f>IFERROR(F14/H14-1,"n/a")</f>
        <v>n/a</v>
      </c>
      <c r="L14" s="60">
        <f>IFERROR(F14/I14-1,"n/a")</f>
        <v>-0.55929314675278075</v>
      </c>
      <c r="M14" s="68">
        <f>F14+'Aug-22'!M14</f>
        <v>199082</v>
      </c>
      <c r="N14" s="68">
        <f>G14+'Aug-22'!N14</f>
        <v>4201</v>
      </c>
      <c r="O14" s="68">
        <f>H14+'Aug-22'!O14</f>
        <v>258885</v>
      </c>
      <c r="P14" s="68">
        <f>I14+'Aug-22'!P14</f>
        <v>492279</v>
      </c>
      <c r="Q14" s="64">
        <f>IFERROR(M14/N14-1,"n/a")</f>
        <v>46.389193049273985</v>
      </c>
      <c r="R14" s="64">
        <f>IFERROR(M14/O14-1,"n/a")</f>
        <v>-0.23100218243621684</v>
      </c>
      <c r="S14" s="60">
        <f>IFERROR(M14/P14-1,"n/a")</f>
        <v>-0.59559111804484854</v>
      </c>
      <c r="T14" s="68">
        <v>80863</v>
      </c>
      <c r="U14" s="70">
        <v>258885</v>
      </c>
      <c r="V14" s="78">
        <v>733296</v>
      </c>
    </row>
    <row r="15" spans="1:38" ht="15">
      <c r="A15" s="9"/>
      <c r="B15" s="12"/>
      <c r="C15" s="31" t="s">
        <v>74</v>
      </c>
      <c r="D15" s="26"/>
      <c r="E15" s="32"/>
      <c r="F15" s="26"/>
      <c r="G15" s="26"/>
      <c r="H15" s="26"/>
      <c r="I15" s="26"/>
      <c r="J15" s="64"/>
      <c r="K15" s="64"/>
      <c r="L15" s="61"/>
      <c r="M15" s="87"/>
      <c r="N15" s="87"/>
      <c r="O15" s="87"/>
      <c r="P15" s="87"/>
      <c r="Q15" s="64"/>
      <c r="R15" s="65"/>
      <c r="S15" s="61"/>
      <c r="T15" s="43"/>
      <c r="U15" s="44"/>
      <c r="V15" s="79"/>
    </row>
    <row r="16" spans="1:38" ht="15">
      <c r="A16" s="9"/>
      <c r="B16" s="12"/>
      <c r="C16" s="33"/>
      <c r="D16" s="26" t="s">
        <v>5</v>
      </c>
      <c r="E16" s="32"/>
      <c r="F16" s="74">
        <v>79</v>
      </c>
      <c r="G16" s="71">
        <v>46</v>
      </c>
      <c r="H16" s="71">
        <v>0</v>
      </c>
      <c r="I16" s="71">
        <v>86</v>
      </c>
      <c r="J16" s="64">
        <f t="shared" si="0"/>
        <v>0.71739130434782616</v>
      </c>
      <c r="K16" s="64" t="str">
        <f>IFERROR(F16/H16-1,"n/a")</f>
        <v>n/a</v>
      </c>
      <c r="L16" s="60">
        <f>IFERROR(F16/I16-1,"n/a")</f>
        <v>-8.1395348837209336E-2</v>
      </c>
      <c r="M16" s="68">
        <f>F16+'Aug-22'!M16</f>
        <v>527</v>
      </c>
      <c r="N16" s="68">
        <f>G16+'Aug-22'!N16</f>
        <v>84</v>
      </c>
      <c r="O16" s="68">
        <f>H16+'Aug-22'!O16</f>
        <v>43</v>
      </c>
      <c r="P16" s="68">
        <f>I16+'Aug-22'!P16</f>
        <v>585</v>
      </c>
      <c r="Q16" s="64">
        <f>IFERROR(M16/N16-1,"n/a")</f>
        <v>5.2738095238095237</v>
      </c>
      <c r="R16" s="64">
        <f>IFERROR(M16/O16-1,"n/a")</f>
        <v>11.255813953488373</v>
      </c>
      <c r="S16" s="60">
        <f>IFERROR(M16/P16-1,"n/a")</f>
        <v>-9.9145299145299126E-2</v>
      </c>
      <c r="T16" s="68">
        <v>283</v>
      </c>
      <c r="U16" s="70">
        <v>43</v>
      </c>
      <c r="V16" s="78">
        <v>827</v>
      </c>
    </row>
    <row r="17" spans="1:38" ht="15">
      <c r="A17" s="9"/>
      <c r="B17" s="12"/>
      <c r="C17" s="33"/>
      <c r="D17" s="26" t="s">
        <v>11</v>
      </c>
      <c r="E17" s="32"/>
      <c r="F17" s="74">
        <v>249427</v>
      </c>
      <c r="G17" s="71">
        <v>89719</v>
      </c>
      <c r="H17" s="71">
        <v>0</v>
      </c>
      <c r="I17" s="71">
        <v>304036</v>
      </c>
      <c r="J17" s="64">
        <f t="shared" si="0"/>
        <v>1.7800911735529823</v>
      </c>
      <c r="K17" s="64" t="str">
        <f>IFERROR(F17/H17-1,"n/a")</f>
        <v>n/a</v>
      </c>
      <c r="L17" s="60">
        <f>IFERROR(F17/I17-1,"n/a")</f>
        <v>-0.1796135983896644</v>
      </c>
      <c r="M17" s="68">
        <f>F17+'Aug-22'!M17</f>
        <v>1281730</v>
      </c>
      <c r="N17" s="68">
        <f>G17+'Aug-22'!N17</f>
        <v>167883</v>
      </c>
      <c r="O17" s="68">
        <f>H17+'Aug-22'!O17</f>
        <v>140552</v>
      </c>
      <c r="P17" s="68">
        <f>I17+'Aug-22'!P17</f>
        <v>1897444</v>
      </c>
      <c r="Q17" s="64">
        <f>IFERROR(M17/N17-1,"n/a")</f>
        <v>6.6346622350089053</v>
      </c>
      <c r="R17" s="64">
        <f>IFERROR(M17/O17-1,"n/a")</f>
        <v>8.1192583527804665</v>
      </c>
      <c r="S17" s="60">
        <f>IFERROR(M17/P17-1,"n/a")</f>
        <v>-0.32449653323102023</v>
      </c>
      <c r="T17" s="68">
        <v>465109</v>
      </c>
      <c r="U17" s="70">
        <v>140552</v>
      </c>
      <c r="V17" s="78">
        <v>2552942</v>
      </c>
    </row>
    <row r="18" spans="1:38" ht="15">
      <c r="A18" s="9"/>
      <c r="B18" s="12"/>
      <c r="C18" s="31" t="s">
        <v>15</v>
      </c>
      <c r="D18" s="26"/>
      <c r="E18" s="32"/>
      <c r="F18" s="72"/>
      <c r="G18" s="72"/>
      <c r="H18" s="72"/>
      <c r="I18" s="72"/>
      <c r="J18" s="64"/>
      <c r="K18" s="64"/>
      <c r="L18" s="60"/>
      <c r="M18" s="87"/>
      <c r="N18" s="87"/>
      <c r="O18" s="87"/>
      <c r="P18" s="87"/>
      <c r="Q18" s="64"/>
      <c r="R18" s="64"/>
      <c r="S18" s="60"/>
      <c r="T18" s="43"/>
      <c r="U18" s="44"/>
      <c r="V18" s="79"/>
    </row>
    <row r="19" spans="1:38" ht="15">
      <c r="A19" s="9"/>
      <c r="B19" s="12"/>
      <c r="C19" s="33"/>
      <c r="D19" s="26" t="s">
        <v>5</v>
      </c>
      <c r="E19" s="32"/>
      <c r="F19" s="74">
        <v>64</v>
      </c>
      <c r="G19" s="71">
        <v>2</v>
      </c>
      <c r="H19" s="71">
        <v>0</v>
      </c>
      <c r="I19" s="71">
        <v>23</v>
      </c>
      <c r="J19" s="64">
        <f t="shared" si="0"/>
        <v>31</v>
      </c>
      <c r="K19" s="64" t="str">
        <f>IFERROR(F19/H19-1,"n/a")</f>
        <v>n/a</v>
      </c>
      <c r="L19" s="60">
        <f>IFERROR(F19/I19-1,"n/a")</f>
        <v>1.7826086956521738</v>
      </c>
      <c r="M19" s="68">
        <f>F19+'Aug-22'!M19</f>
        <v>359</v>
      </c>
      <c r="N19" s="68">
        <f>G19+'Aug-22'!N19</f>
        <v>2</v>
      </c>
      <c r="O19" s="68">
        <f>H19+'Aug-22'!O19</f>
        <v>4</v>
      </c>
      <c r="P19" s="68">
        <f>I19+'Aug-22'!P19</f>
        <v>151</v>
      </c>
      <c r="Q19" s="64">
        <f>IFERROR(M19/N19-1,"n/a")</f>
        <v>178.5</v>
      </c>
      <c r="R19" s="64">
        <f>IFERROR(M19/O19-1,"n/a")</f>
        <v>88.75</v>
      </c>
      <c r="S19" s="60">
        <f>IFERROR(M19/P19-1,"n/a")</f>
        <v>1.3774834437086092</v>
      </c>
      <c r="T19" s="68">
        <v>23</v>
      </c>
      <c r="U19" s="70">
        <v>4</v>
      </c>
      <c r="V19" s="78">
        <v>191</v>
      </c>
    </row>
    <row r="20" spans="1:38" ht="15">
      <c r="A20" s="9"/>
      <c r="B20" s="12"/>
      <c r="C20" s="33"/>
      <c r="D20" s="26" t="s">
        <v>11</v>
      </c>
      <c r="E20" s="32"/>
      <c r="F20" s="74">
        <f>66521+13725</f>
        <v>80246</v>
      </c>
      <c r="G20" s="71">
        <v>424</v>
      </c>
      <c r="H20" s="71">
        <v>0</v>
      </c>
      <c r="I20" s="71">
        <v>35836</v>
      </c>
      <c r="J20" s="64">
        <f t="shared" si="0"/>
        <v>188.25943396226415</v>
      </c>
      <c r="K20" s="64" t="str">
        <f>IFERROR(F20/H20-1,"n/a")</f>
        <v>n/a</v>
      </c>
      <c r="L20" s="60">
        <f t="shared" ref="L20:L31" si="1">IFERROR(F20/I20-1,"n/a")</f>
        <v>1.2392566134613237</v>
      </c>
      <c r="M20" s="68">
        <f>F20+'Aug-22'!M20</f>
        <v>422392</v>
      </c>
      <c r="N20" s="68">
        <f>G20+'Aug-22'!N20</f>
        <v>424</v>
      </c>
      <c r="O20" s="68">
        <f>H20+'Aug-22'!O20</f>
        <v>1753</v>
      </c>
      <c r="P20" s="68">
        <f>I20+'Aug-22'!P20</f>
        <v>203378</v>
      </c>
      <c r="Q20" s="64">
        <f>IFERROR(M20/N20-1,"n/a")</f>
        <v>995.20754716981128</v>
      </c>
      <c r="R20" s="64">
        <f>IFERROR(M20/O20-1,"n/a")</f>
        <v>239.95379349686252</v>
      </c>
      <c r="S20" s="60">
        <f>IFERROR(M20/P20-1,"n/a")</f>
        <v>1.0768814719389512</v>
      </c>
      <c r="T20" s="68">
        <v>8611</v>
      </c>
      <c r="U20" s="70">
        <v>1753</v>
      </c>
      <c r="V20" s="78">
        <v>254421</v>
      </c>
    </row>
    <row r="21" spans="1:38" ht="15">
      <c r="A21" s="9"/>
      <c r="B21" s="12"/>
      <c r="C21" s="31" t="s">
        <v>10</v>
      </c>
      <c r="D21" s="26"/>
      <c r="E21" s="34"/>
      <c r="F21" s="72"/>
      <c r="G21" s="72"/>
      <c r="H21" s="72"/>
      <c r="I21" s="72"/>
      <c r="J21" s="64"/>
      <c r="K21" s="64"/>
      <c r="L21" s="60"/>
      <c r="M21" s="87"/>
      <c r="N21" s="87"/>
      <c r="O21" s="87"/>
      <c r="P21" s="87"/>
      <c r="Q21" s="64"/>
      <c r="R21" s="64"/>
      <c r="S21" s="60"/>
      <c r="T21" s="43"/>
      <c r="U21" s="44"/>
      <c r="V21" s="79"/>
    </row>
    <row r="22" spans="1:38" ht="15">
      <c r="A22" s="9"/>
      <c r="B22" s="12"/>
      <c r="C22" s="33"/>
      <c r="D22" s="26" t="s">
        <v>5</v>
      </c>
      <c r="E22" s="34"/>
      <c r="F22" s="74">
        <v>80</v>
      </c>
      <c r="G22" s="71">
        <v>57</v>
      </c>
      <c r="H22" s="71">
        <v>0</v>
      </c>
      <c r="I22" s="71">
        <v>76</v>
      </c>
      <c r="J22" s="64">
        <f t="shared" si="0"/>
        <v>0.40350877192982448</v>
      </c>
      <c r="K22" s="64" t="str">
        <f>IFERROR(F22/H22-1,"n/a")</f>
        <v>n/a</v>
      </c>
      <c r="L22" s="60">
        <f t="shared" si="1"/>
        <v>5.2631578947368363E-2</v>
      </c>
      <c r="M22" s="68">
        <f>F22+'Aug-22'!M22</f>
        <v>844</v>
      </c>
      <c r="N22" s="68">
        <f>G22+'Aug-22'!N22</f>
        <v>130</v>
      </c>
      <c r="O22" s="68">
        <f>H22+'Aug-22'!O22</f>
        <v>406</v>
      </c>
      <c r="P22" s="68">
        <f>I22+'Aug-22'!P22</f>
        <v>856</v>
      </c>
      <c r="Q22" s="64">
        <f>IFERROR(M22/N22-1,"n/a")</f>
        <v>5.4923076923076923</v>
      </c>
      <c r="R22" s="64">
        <f>IFERROR(M22/O22-1,"n/a")</f>
        <v>1.0788177339901477</v>
      </c>
      <c r="S22" s="60">
        <f>IFERROR(M22/P22-1,"n/a")</f>
        <v>-1.4018691588784993E-2</v>
      </c>
      <c r="T22" s="68">
        <v>411</v>
      </c>
      <c r="U22" s="70">
        <v>406</v>
      </c>
      <c r="V22" s="78">
        <v>1205</v>
      </c>
    </row>
    <row r="23" spans="1:38" ht="15">
      <c r="A23" s="9"/>
      <c r="B23" s="12"/>
      <c r="C23" s="33"/>
      <c r="D23" s="26" t="s">
        <v>11</v>
      </c>
      <c r="E23" s="32"/>
      <c r="F23" s="74">
        <v>275667</v>
      </c>
      <c r="G23" s="71">
        <v>81777</v>
      </c>
      <c r="H23" s="71">
        <v>0</v>
      </c>
      <c r="I23" s="71">
        <v>223305</v>
      </c>
      <c r="J23" s="64">
        <f t="shared" si="0"/>
        <v>2.3709600498917789</v>
      </c>
      <c r="K23" s="64" t="str">
        <f>IFERROR(F23/H23-1,"n/a")</f>
        <v>n/a</v>
      </c>
      <c r="L23" s="60">
        <f t="shared" si="1"/>
        <v>0.23448646470074563</v>
      </c>
      <c r="M23" s="68">
        <f>F23+'Aug-22'!M23</f>
        <v>2196229</v>
      </c>
      <c r="N23" s="68">
        <f>G23+'Aug-22'!N23</f>
        <v>181810</v>
      </c>
      <c r="O23" s="68">
        <f>H23+'Aug-22'!O23</f>
        <v>833999</v>
      </c>
      <c r="P23" s="68">
        <f>I23+'Aug-22'!P23</f>
        <v>2872542</v>
      </c>
      <c r="Q23" s="64">
        <f>IFERROR(M23/N23-1,"n/a")</f>
        <v>11.079803091139102</v>
      </c>
      <c r="R23" s="64">
        <f>IFERROR(M23/O23-1,"n/a")</f>
        <v>1.6333712630350874</v>
      </c>
      <c r="S23" s="60">
        <f>IFERROR(M23/P23-1,"n/a")</f>
        <v>-0.2354405958207052</v>
      </c>
      <c r="T23" s="68">
        <v>687449</v>
      </c>
      <c r="U23" s="70">
        <v>833999</v>
      </c>
      <c r="V23" s="78">
        <v>3859183</v>
      </c>
    </row>
    <row r="24" spans="1:38" ht="15">
      <c r="A24" s="9"/>
      <c r="B24" s="12"/>
      <c r="C24" s="31" t="s">
        <v>16</v>
      </c>
      <c r="D24" s="26"/>
      <c r="E24" s="32"/>
      <c r="F24" s="72"/>
      <c r="G24" s="72"/>
      <c r="H24" s="72"/>
      <c r="I24" s="72"/>
      <c r="J24" s="64"/>
      <c r="K24" s="64"/>
      <c r="L24" s="60"/>
      <c r="M24" s="87"/>
      <c r="N24" s="87"/>
      <c r="O24" s="87"/>
      <c r="P24" s="87"/>
      <c r="Q24" s="64"/>
      <c r="R24" s="64"/>
      <c r="S24" s="60"/>
      <c r="T24" s="43"/>
      <c r="U24" s="44"/>
      <c r="V24" s="79"/>
    </row>
    <row r="25" spans="1:38" ht="15">
      <c r="A25" s="9"/>
      <c r="B25" s="12"/>
      <c r="C25" s="33"/>
      <c r="D25" s="26" t="s">
        <v>5</v>
      </c>
      <c r="E25" s="32"/>
      <c r="F25" s="73">
        <v>34</v>
      </c>
      <c r="G25" s="71">
        <v>17</v>
      </c>
      <c r="H25" s="71">
        <v>5</v>
      </c>
      <c r="I25" s="71">
        <v>40</v>
      </c>
      <c r="J25" s="64">
        <f t="shared" si="0"/>
        <v>1</v>
      </c>
      <c r="K25" s="64">
        <f>IFERROR(F25/H25-1,"n/a")</f>
        <v>5.8</v>
      </c>
      <c r="L25" s="60">
        <f t="shared" si="1"/>
        <v>-0.15000000000000002</v>
      </c>
      <c r="M25" s="68">
        <f>F25+'Aug-22'!M25</f>
        <v>222</v>
      </c>
      <c r="N25" s="68">
        <f>G25+'Aug-22'!N25</f>
        <v>71</v>
      </c>
      <c r="O25" s="68">
        <f>H25+'Aug-22'!O25</f>
        <v>16</v>
      </c>
      <c r="P25" s="68">
        <f>I25+'Aug-22'!P25</f>
        <v>244</v>
      </c>
      <c r="Q25" s="64">
        <f>IFERROR(M25/N25-1,"n/a")</f>
        <v>2.1267605633802815</v>
      </c>
      <c r="R25" s="64">
        <f>IFERROR(M25/O25-1,"n/a")</f>
        <v>12.875</v>
      </c>
      <c r="S25" s="60">
        <f>IFERROR(M25/P25-1,"n/a")</f>
        <v>-9.0163934426229497E-2</v>
      </c>
      <c r="T25" s="68">
        <v>107</v>
      </c>
      <c r="U25" s="70">
        <v>32</v>
      </c>
      <c r="V25" s="78">
        <v>372</v>
      </c>
    </row>
    <row r="26" spans="1:38" ht="15">
      <c r="A26" s="9"/>
      <c r="B26" s="12"/>
      <c r="C26" s="33"/>
      <c r="D26" s="26" t="s">
        <v>11</v>
      </c>
      <c r="E26" s="32"/>
      <c r="F26" s="73">
        <v>77500</v>
      </c>
      <c r="G26" s="71">
        <v>31465</v>
      </c>
      <c r="H26" s="71">
        <v>4538</v>
      </c>
      <c r="I26" s="71">
        <v>102143</v>
      </c>
      <c r="J26" s="64">
        <f t="shared" si="0"/>
        <v>1.4630541871921183</v>
      </c>
      <c r="K26" s="64">
        <f>IFERROR(F26/H26-1,"n/a")</f>
        <v>16.078007933010138</v>
      </c>
      <c r="L26" s="60">
        <f t="shared" si="1"/>
        <v>-0.24125980243384271</v>
      </c>
      <c r="M26" s="68">
        <f>F26+'Aug-22'!M26</f>
        <v>424007</v>
      </c>
      <c r="N26" s="68">
        <f>G26+'Aug-22'!N26</f>
        <v>101015</v>
      </c>
      <c r="O26" s="68">
        <f>H26+'Aug-22'!O26</f>
        <v>47300</v>
      </c>
      <c r="P26" s="68">
        <f>I26+'Aug-22'!P26</f>
        <v>688183</v>
      </c>
      <c r="Q26" s="64">
        <f>IFERROR(M26/N26-1,"n/a")</f>
        <v>3.1974657229124386</v>
      </c>
      <c r="R26" s="64">
        <f>IFERROR(M26/O26-1,"n/a")</f>
        <v>7.9642071881606764</v>
      </c>
      <c r="S26" s="60">
        <f>IFERROR(M26/P26-1,"n/a")</f>
        <v>-0.38387463799599819</v>
      </c>
      <c r="T26" s="68">
        <v>147132</v>
      </c>
      <c r="U26" s="70">
        <v>59180</v>
      </c>
      <c r="V26" s="78">
        <v>902015</v>
      </c>
    </row>
    <row r="27" spans="1:38" ht="15">
      <c r="A27" s="9"/>
      <c r="B27" s="12"/>
      <c r="C27" s="31" t="s">
        <v>17</v>
      </c>
      <c r="D27" s="26"/>
      <c r="E27" s="32"/>
      <c r="F27" s="72"/>
      <c r="G27" s="72"/>
      <c r="H27" s="72"/>
      <c r="I27" s="72"/>
      <c r="J27" s="64"/>
      <c r="K27" s="64"/>
      <c r="L27" s="60"/>
      <c r="M27" s="87"/>
      <c r="N27" s="87"/>
      <c r="O27" s="87"/>
      <c r="P27" s="87"/>
      <c r="Q27" s="64"/>
      <c r="R27" s="64"/>
      <c r="S27" s="60"/>
      <c r="T27" s="43"/>
      <c r="U27" s="44"/>
      <c r="V27" s="79"/>
    </row>
    <row r="28" spans="1:38" ht="15">
      <c r="B28" s="12"/>
      <c r="C28" s="33"/>
      <c r="D28" s="26" t="s">
        <v>5</v>
      </c>
      <c r="E28" s="32"/>
      <c r="F28" s="74">
        <v>75</v>
      </c>
      <c r="G28" s="71">
        <v>23</v>
      </c>
      <c r="H28" s="71">
        <v>7</v>
      </c>
      <c r="I28" s="71">
        <v>41</v>
      </c>
      <c r="J28" s="64">
        <f t="shared" si="0"/>
        <v>2.2608695652173911</v>
      </c>
      <c r="K28" s="64">
        <f>IFERROR(F28/H28-1,"n/a")</f>
        <v>9.7142857142857135</v>
      </c>
      <c r="L28" s="60">
        <f t="shared" si="1"/>
        <v>0.8292682926829269</v>
      </c>
      <c r="M28" s="68">
        <f>F28+'Aug-22'!M28</f>
        <v>421</v>
      </c>
      <c r="N28" s="68">
        <f>G28+'Aug-22'!N28</f>
        <v>79</v>
      </c>
      <c r="O28" s="68">
        <f>H28+'Aug-22'!O28</f>
        <v>12</v>
      </c>
      <c r="P28" s="68">
        <f>I28+'Aug-22'!P28</f>
        <v>257</v>
      </c>
      <c r="Q28" s="64">
        <f>IFERROR(M28/N28-1,"n/a")</f>
        <v>4.3291139240506329</v>
      </c>
      <c r="R28" s="64">
        <f>IFERROR(M28/O28-1,"n/a")</f>
        <v>34.083333333333336</v>
      </c>
      <c r="S28" s="60">
        <f>IFERROR(M28/P28-1,"n/a")</f>
        <v>0.63813229571984431</v>
      </c>
      <c r="T28" s="68">
        <v>127</v>
      </c>
      <c r="U28" s="70">
        <v>37</v>
      </c>
      <c r="V28" s="78">
        <f>282+81</f>
        <v>363</v>
      </c>
    </row>
    <row r="29" spans="1:38" ht="15">
      <c r="A29" s="9"/>
      <c r="B29" s="12"/>
      <c r="C29" s="33"/>
      <c r="D29" s="26" t="s">
        <v>11</v>
      </c>
      <c r="E29" s="32"/>
      <c r="F29" s="74">
        <f>130831+18300+983</f>
        <v>150114</v>
      </c>
      <c r="G29" s="71">
        <v>35845</v>
      </c>
      <c r="H29" s="71">
        <v>1534</v>
      </c>
      <c r="I29" s="71">
        <v>107800</v>
      </c>
      <c r="J29" s="64">
        <f t="shared" si="0"/>
        <v>3.1878644162365743</v>
      </c>
      <c r="K29" s="64">
        <f>IFERROR(F29/H29-1,"n/a")</f>
        <v>96.857887874837033</v>
      </c>
      <c r="L29" s="60">
        <f t="shared" si="1"/>
        <v>0.39252319109461964</v>
      </c>
      <c r="M29" s="68">
        <f>F29+'Aug-22'!M29</f>
        <v>693288</v>
      </c>
      <c r="N29" s="68">
        <f>G29+'Aug-22'!N29</f>
        <v>117659</v>
      </c>
      <c r="O29" s="68">
        <f>H29+'Aug-22'!O29</f>
        <v>10720</v>
      </c>
      <c r="P29" s="68">
        <f>I29+'Aug-22'!P29</f>
        <v>700780</v>
      </c>
      <c r="Q29" s="64">
        <f>IFERROR(M29/N29-1,"n/a")</f>
        <v>4.8923499264824617</v>
      </c>
      <c r="R29" s="64">
        <f>IFERROR(M29/O29-1,"n/a")</f>
        <v>63.67238805970149</v>
      </c>
      <c r="S29" s="60">
        <f>IFERROR(M29/P29-1,"n/a")</f>
        <v>-1.0690944376266498E-2</v>
      </c>
      <c r="T29" s="68">
        <v>165083</v>
      </c>
      <c r="U29" s="70">
        <f>20768+8294</f>
        <v>29062</v>
      </c>
      <c r="V29" s="78">
        <f>659951+168729+38484</f>
        <v>867164</v>
      </c>
    </row>
    <row r="30" spans="1:38" ht="15" customHeight="1" thickBot="1">
      <c r="A30" s="9"/>
      <c r="B30" s="12"/>
      <c r="C30" s="35" t="s">
        <v>12</v>
      </c>
      <c r="D30" s="36"/>
      <c r="E30" s="37"/>
      <c r="F30" s="75">
        <f t="shared" ref="F30:I31" si="2">F13+F16+F19+F22+F25+F28</f>
        <v>334</v>
      </c>
      <c r="G30" s="75">
        <f t="shared" si="2"/>
        <v>148</v>
      </c>
      <c r="H30" s="75">
        <f t="shared" si="2"/>
        <v>12</v>
      </c>
      <c r="I30" s="75">
        <f t="shared" si="2"/>
        <v>269</v>
      </c>
      <c r="J30" s="66">
        <f t="shared" si="0"/>
        <v>1.2567567567567566</v>
      </c>
      <c r="K30" s="66">
        <f>IFERROR(F30/H30-1,"n/a")</f>
        <v>26.833333333333332</v>
      </c>
      <c r="L30" s="62">
        <f t="shared" si="1"/>
        <v>0.24163568773234201</v>
      </c>
      <c r="M30" s="46">
        <f t="shared" ref="M30:P31" si="3">M13+M16+M19+M22+M25+M28</f>
        <v>2602</v>
      </c>
      <c r="N30" s="46">
        <f t="shared" si="3"/>
        <v>382</v>
      </c>
      <c r="O30" s="46">
        <f t="shared" si="3"/>
        <v>626</v>
      </c>
      <c r="P30" s="46">
        <f t="shared" si="3"/>
        <v>2346</v>
      </c>
      <c r="Q30" s="66">
        <f>IFERROR(M30/N30-1,"n/a")</f>
        <v>5.8115183246073299</v>
      </c>
      <c r="R30" s="66">
        <f>IFERROR(M30/O30-1,"n/a")</f>
        <v>3.1565495207667729</v>
      </c>
      <c r="S30" s="62">
        <f>IFERROR(M30/P30-1,"n/a")</f>
        <v>0.10912190963341861</v>
      </c>
      <c r="T30" s="46">
        <f t="shared" ref="T30:V31" si="4">T13+T16+T19+T22+T25+T28</f>
        <v>1062</v>
      </c>
      <c r="U30" s="46">
        <f t="shared" si="4"/>
        <v>667</v>
      </c>
      <c r="V30" s="80">
        <f t="shared" si="4"/>
        <v>3344</v>
      </c>
    </row>
    <row r="31" spans="1:38" s="22" customFormat="1" ht="15" customHeight="1" thickTop="1" thickBot="1">
      <c r="A31" s="9"/>
      <c r="B31" s="12"/>
      <c r="C31" s="38" t="s">
        <v>13</v>
      </c>
      <c r="D31" s="39"/>
      <c r="E31" s="40"/>
      <c r="F31" s="76">
        <f t="shared" si="2"/>
        <v>837867</v>
      </c>
      <c r="G31" s="76">
        <f t="shared" si="2"/>
        <v>240848</v>
      </c>
      <c r="H31" s="76">
        <f t="shared" si="2"/>
        <v>6072</v>
      </c>
      <c r="I31" s="76">
        <f t="shared" si="2"/>
        <v>784268</v>
      </c>
      <c r="J31" s="67">
        <f t="shared" si="0"/>
        <v>2.4788206669766826</v>
      </c>
      <c r="K31" s="67">
        <f>IFERROR(F31/H31-1,"n/a")</f>
        <v>136.98863636363637</v>
      </c>
      <c r="L31" s="63">
        <f t="shared" si="1"/>
        <v>6.8342709379956901E-2</v>
      </c>
      <c r="M31" s="47">
        <f t="shared" si="3"/>
        <v>5216728</v>
      </c>
      <c r="N31" s="47">
        <f t="shared" si="3"/>
        <v>572992</v>
      </c>
      <c r="O31" s="47">
        <f t="shared" si="3"/>
        <v>1293209</v>
      </c>
      <c r="P31" s="47">
        <f t="shared" si="3"/>
        <v>6854606</v>
      </c>
      <c r="Q31" s="67">
        <f>IFERROR(M31/N31-1,"n/a")</f>
        <v>8.1043644588406121</v>
      </c>
      <c r="R31" s="67">
        <f>IFERROR(M31/O31-1,"n/a")</f>
        <v>3.0339403762268899</v>
      </c>
      <c r="S31" s="63">
        <f>IFERROR(M31/P31-1,"n/a")</f>
        <v>-0.2389456082523197</v>
      </c>
      <c r="T31" s="47">
        <f t="shared" si="4"/>
        <v>1554247</v>
      </c>
      <c r="U31" s="47">
        <f t="shared" si="4"/>
        <v>1323431</v>
      </c>
      <c r="V31" s="81">
        <f t="shared" si="4"/>
        <v>9169021</v>
      </c>
      <c r="W31" s="9"/>
      <c r="X31" s="21"/>
      <c r="Y31" s="21"/>
      <c r="Z31" s="21"/>
      <c r="AA31" s="21"/>
      <c r="AB31" s="21"/>
      <c r="AC31" s="21"/>
      <c r="AD31" s="21"/>
      <c r="AE31" s="21"/>
      <c r="AF31" s="21"/>
      <c r="AG31" s="21"/>
      <c r="AH31" s="21"/>
      <c r="AI31" s="21"/>
      <c r="AJ31" s="21"/>
      <c r="AK31" s="21"/>
      <c r="AL31" s="21"/>
    </row>
    <row r="32" spans="1:38" ht="15" customHeight="1" thickTop="1">
      <c r="A32" s="9"/>
      <c r="B32" s="9"/>
      <c r="C32" s="9"/>
      <c r="D32" s="9"/>
      <c r="E32" s="9"/>
      <c r="F32" s="9"/>
      <c r="G32" s="41"/>
      <c r="H32" s="41"/>
      <c r="I32" s="41"/>
      <c r="J32" s="41"/>
      <c r="K32" s="41"/>
      <c r="L32" s="9"/>
      <c r="M32" s="9"/>
      <c r="N32" s="9"/>
      <c r="O32" s="9"/>
      <c r="P32" s="9"/>
      <c r="Q32" s="9"/>
      <c r="R32" s="9"/>
      <c r="S32" s="9"/>
      <c r="T32" s="83"/>
      <c r="U32" s="9"/>
      <c r="V32" s="9"/>
    </row>
    <row r="33" spans="1:22" ht="23.1" customHeight="1">
      <c r="A33" s="9"/>
      <c r="B33" s="9"/>
      <c r="C33" s="9"/>
      <c r="D33" s="9"/>
      <c r="E33" s="9"/>
      <c r="F33" s="9"/>
      <c r="G33" s="41"/>
      <c r="H33" s="41"/>
      <c r="I33" s="41"/>
      <c r="J33" s="41"/>
      <c r="K33" s="41"/>
      <c r="L33" s="9"/>
      <c r="M33" s="9"/>
      <c r="N33" s="9"/>
      <c r="O33" s="9"/>
      <c r="P33" s="9"/>
      <c r="Q33" s="9"/>
      <c r="R33" s="9"/>
      <c r="S33" s="9"/>
      <c r="T33" s="9"/>
      <c r="U33" s="9"/>
      <c r="V33" s="9"/>
    </row>
    <row r="34" spans="1:22" ht="15">
      <c r="A34" s="9"/>
      <c r="B34" s="10"/>
      <c r="C34" s="86" t="s">
        <v>63</v>
      </c>
      <c r="D34" s="24"/>
      <c r="E34" s="24"/>
      <c r="F34" s="24"/>
      <c r="G34" s="24"/>
      <c r="H34" s="24"/>
      <c r="I34" s="95"/>
      <c r="J34" s="95"/>
      <c r="K34" s="95"/>
      <c r="L34" s="24"/>
      <c r="M34" s="24"/>
      <c r="N34" s="24"/>
      <c r="O34" s="24"/>
      <c r="P34" s="24"/>
      <c r="Q34" s="24"/>
      <c r="R34" s="24"/>
      <c r="S34" s="24"/>
      <c r="T34" s="24"/>
      <c r="U34" s="24"/>
      <c r="V34" s="24"/>
    </row>
    <row r="35" spans="1:22" ht="15">
      <c r="A35" s="9"/>
      <c r="B35" s="10"/>
      <c r="C35" s="24"/>
      <c r="D35" s="24"/>
      <c r="E35" s="24"/>
      <c r="F35" s="24"/>
      <c r="G35" s="24"/>
      <c r="H35" s="24"/>
      <c r="I35" s="95"/>
      <c r="J35" s="95"/>
      <c r="K35" s="95"/>
      <c r="L35" s="24"/>
      <c r="M35" s="24"/>
      <c r="N35" s="24"/>
      <c r="O35" s="24"/>
      <c r="P35" s="24"/>
      <c r="Q35" s="24"/>
      <c r="R35" s="24"/>
      <c r="S35" s="24"/>
      <c r="T35" s="24"/>
      <c r="U35" s="24"/>
      <c r="V35" s="24"/>
    </row>
    <row r="36" spans="1:22" ht="15" customHeight="1">
      <c r="A36" s="9"/>
      <c r="B36" s="9"/>
      <c r="C36" s="27" t="s">
        <v>7</v>
      </c>
      <c r="D36" s="28"/>
      <c r="E36" s="28"/>
      <c r="F36" s="158" t="str">
        <f>F9</f>
        <v>September</v>
      </c>
      <c r="G36" s="158"/>
      <c r="H36" s="158"/>
      <c r="I36" s="158"/>
      <c r="J36" s="158"/>
      <c r="K36" s="158"/>
      <c r="L36" s="159"/>
      <c r="M36" s="157" t="s">
        <v>87</v>
      </c>
      <c r="N36" s="158"/>
      <c r="O36" s="158"/>
      <c r="P36" s="158"/>
      <c r="Q36" s="158"/>
      <c r="R36" s="158"/>
      <c r="S36" s="159"/>
      <c r="T36" s="157" t="s">
        <v>58</v>
      </c>
      <c r="U36" s="158"/>
      <c r="V36" s="160"/>
    </row>
    <row r="37" spans="1:22" ht="15" customHeight="1">
      <c r="A37" s="9"/>
      <c r="B37" s="9"/>
      <c r="C37" s="29"/>
      <c r="D37" s="30"/>
      <c r="E37" s="30"/>
      <c r="F37" s="29"/>
      <c r="G37" s="30"/>
      <c r="H37" s="30"/>
      <c r="I37" s="30"/>
      <c r="J37" s="30"/>
      <c r="K37" s="30"/>
      <c r="L37" s="56"/>
      <c r="M37" s="30"/>
      <c r="N37" s="30"/>
      <c r="O37" s="30"/>
      <c r="P37" s="30"/>
      <c r="Q37" s="30"/>
      <c r="R37" s="30"/>
      <c r="S37" s="56"/>
      <c r="T37" s="30"/>
      <c r="U37" s="30"/>
      <c r="V37" s="56"/>
    </row>
    <row r="38" spans="1:22" s="9" customFormat="1" ht="33.6" customHeight="1">
      <c r="C38" s="59" t="s">
        <v>29</v>
      </c>
      <c r="D38" s="50"/>
      <c r="E38" s="51"/>
      <c r="F38" s="55">
        <v>2022</v>
      </c>
      <c r="G38" s="52">
        <v>2021</v>
      </c>
      <c r="H38" s="52">
        <v>2020</v>
      </c>
      <c r="I38" s="52">
        <v>2019</v>
      </c>
      <c r="J38" s="53" t="s">
        <v>36</v>
      </c>
      <c r="K38" s="53" t="s">
        <v>34</v>
      </c>
      <c r="L38" s="57" t="s">
        <v>35</v>
      </c>
      <c r="M38" s="53" t="s">
        <v>53</v>
      </c>
      <c r="N38" s="52" t="s">
        <v>54</v>
      </c>
      <c r="O38" s="52" t="s">
        <v>59</v>
      </c>
      <c r="P38" s="52" t="s">
        <v>64</v>
      </c>
      <c r="Q38" s="53" t="s">
        <v>66</v>
      </c>
      <c r="R38" s="53" t="s">
        <v>67</v>
      </c>
      <c r="S38" s="57" t="s">
        <v>68</v>
      </c>
      <c r="T38" s="53" t="s">
        <v>54</v>
      </c>
      <c r="U38" s="53" t="s">
        <v>65</v>
      </c>
      <c r="V38" s="57" t="s">
        <v>73</v>
      </c>
    </row>
    <row r="39" spans="1:22" s="9" customFormat="1" ht="15" customHeight="1">
      <c r="C39" s="31" t="s">
        <v>14</v>
      </c>
      <c r="D39" s="26"/>
      <c r="E39" s="32"/>
      <c r="F39" s="26"/>
      <c r="G39" s="26"/>
      <c r="H39" s="26"/>
      <c r="I39" s="26"/>
      <c r="J39" s="26"/>
      <c r="K39" s="26"/>
      <c r="L39" s="32"/>
      <c r="M39" s="26"/>
      <c r="N39" s="26"/>
      <c r="O39" s="26"/>
      <c r="Q39" s="26"/>
      <c r="R39" s="26"/>
      <c r="S39" s="32"/>
      <c r="T39" s="33"/>
      <c r="U39" s="88"/>
      <c r="V39" s="85"/>
    </row>
    <row r="40" spans="1:22" s="9" customFormat="1" ht="15" customHeight="1">
      <c r="C40" s="33"/>
      <c r="D40" s="26" t="s">
        <v>5</v>
      </c>
      <c r="E40" s="32"/>
      <c r="F40" s="74">
        <f t="shared" ref="F40:I41" si="5">F13</f>
        <v>2</v>
      </c>
      <c r="G40" s="74">
        <f t="shared" si="5"/>
        <v>3</v>
      </c>
      <c r="H40" s="71">
        <f t="shared" si="5"/>
        <v>0</v>
      </c>
      <c r="I40" s="71">
        <f t="shared" si="5"/>
        <v>3</v>
      </c>
      <c r="J40" s="64">
        <f>IFERROR(F40/G40-1,"n/a")</f>
        <v>-0.33333333333333337</v>
      </c>
      <c r="K40" s="64" t="str">
        <f>IFERROR(F40/H40-1,"n/a")</f>
        <v>n/a</v>
      </c>
      <c r="L40" s="60">
        <f>IFERROR(F40/I40-1,"n/a")</f>
        <v>-0.33333333333333337</v>
      </c>
      <c r="M40" s="70">
        <f>+M13-'Mar-22'!M10</f>
        <v>32</v>
      </c>
      <c r="N40" s="70">
        <f>+N13-'Mar-22'!N10</f>
        <v>16</v>
      </c>
      <c r="O40" s="82">
        <f>+O13-'Mar-22'!O10</f>
        <v>0</v>
      </c>
      <c r="P40" s="70">
        <f>+P13-'Mar-22'!P10</f>
        <v>53</v>
      </c>
      <c r="Q40" s="64">
        <f>IFERROR(M40/N40-1,"n/a")</f>
        <v>1</v>
      </c>
      <c r="R40" s="64" t="str">
        <f>IFERROR(M40/O40-1,"n/a")</f>
        <v>n/a</v>
      </c>
      <c r="S40" s="60">
        <f>IFERROR(M40/P40-1,"n/a")</f>
        <v>-0.39622641509433965</v>
      </c>
      <c r="T40" s="89">
        <v>308</v>
      </c>
      <c r="U40" s="70">
        <v>145</v>
      </c>
      <c r="V40" s="78">
        <v>331</v>
      </c>
    </row>
    <row r="41" spans="1:22" s="9" customFormat="1" ht="15" customHeight="1">
      <c r="C41" s="33"/>
      <c r="D41" s="26" t="s">
        <v>11</v>
      </c>
      <c r="E41" s="32"/>
      <c r="F41" s="74">
        <f t="shared" si="5"/>
        <v>4913</v>
      </c>
      <c r="G41" s="74">
        <f t="shared" si="5"/>
        <v>1618</v>
      </c>
      <c r="H41" s="71">
        <f t="shared" si="5"/>
        <v>0</v>
      </c>
      <c r="I41" s="74">
        <f t="shared" si="5"/>
        <v>11148</v>
      </c>
      <c r="J41" s="64">
        <f>IFERROR(F41/G41-1,"n/a")</f>
        <v>2.0364647713226205</v>
      </c>
      <c r="K41" s="64" t="str">
        <f>IFERROR(F41/H41-1,"n/a")</f>
        <v>n/a</v>
      </c>
      <c r="L41" s="60">
        <f>IFERROR(F41/I41-1,"n/a")</f>
        <v>-0.55929314675278075</v>
      </c>
      <c r="M41" s="82">
        <f>+M14-'Mar-22'!M11</f>
        <v>42754</v>
      </c>
      <c r="N41" s="82">
        <f>+N14-'Mar-22'!N11</f>
        <v>4201</v>
      </c>
      <c r="O41" s="82">
        <f>+O14-'Mar-22'!O11</f>
        <v>0</v>
      </c>
      <c r="P41" s="82">
        <f>+P14-'Mar-22'!P11</f>
        <v>106899</v>
      </c>
      <c r="Q41" s="64">
        <f>IFERROR(M41/N41-1,"n/a")</f>
        <v>9.1771006903118302</v>
      </c>
      <c r="R41" s="64" t="str">
        <f>IFERROR(M41/O41-1,"n/a")</f>
        <v>n/a</v>
      </c>
      <c r="S41" s="60">
        <f>IFERROR(M41/P41-1,"n/a")</f>
        <v>-0.60005238589696819</v>
      </c>
      <c r="T41" s="89">
        <v>237191</v>
      </c>
      <c r="U41" s="84">
        <v>258885</v>
      </c>
      <c r="V41" s="78">
        <v>606801</v>
      </c>
    </row>
    <row r="42" spans="1:22" s="9" customFormat="1" ht="15" customHeight="1">
      <c r="C42" s="31" t="s">
        <v>20</v>
      </c>
      <c r="D42" s="26"/>
      <c r="E42" s="32"/>
      <c r="F42" s="26"/>
      <c r="G42" s="26"/>
      <c r="H42" s="26"/>
      <c r="I42" s="26"/>
      <c r="J42" s="64"/>
      <c r="K42" s="64"/>
      <c r="L42" s="61"/>
      <c r="M42" s="87"/>
      <c r="N42" s="87"/>
      <c r="O42" s="87"/>
      <c r="P42" s="87"/>
      <c r="Q42" s="65"/>
      <c r="R42" s="65"/>
      <c r="S42" s="61"/>
      <c r="T42" s="90"/>
      <c r="U42" s="44"/>
      <c r="V42" s="79"/>
    </row>
    <row r="43" spans="1:22" s="9" customFormat="1" ht="15" customHeight="1">
      <c r="C43" s="33"/>
      <c r="D43" s="26" t="s">
        <v>5</v>
      </c>
      <c r="E43" s="32"/>
      <c r="F43" s="74">
        <f t="shared" ref="F43:I44" si="6">F16</f>
        <v>79</v>
      </c>
      <c r="G43" s="74">
        <f t="shared" si="6"/>
        <v>46</v>
      </c>
      <c r="H43" s="71">
        <f t="shared" si="6"/>
        <v>0</v>
      </c>
      <c r="I43" s="74">
        <f t="shared" si="6"/>
        <v>86</v>
      </c>
      <c r="J43" s="64">
        <f>IFERROR(F43/G43-1,"n/a")</f>
        <v>0.71739130434782616</v>
      </c>
      <c r="K43" s="64" t="str">
        <f>IFERROR(F43/H43-1,"n/a")</f>
        <v>n/a</v>
      </c>
      <c r="L43" s="60">
        <f>IFERROR(F43/I43-1,"n/a")</f>
        <v>-8.1395348837209336E-2</v>
      </c>
      <c r="M43" s="70">
        <f>+M16-'Mar-22'!M13</f>
        <v>474</v>
      </c>
      <c r="N43" s="70">
        <f>+N16-'Mar-22'!N13</f>
        <v>84</v>
      </c>
      <c r="O43" s="82">
        <f>+O16-'Mar-22'!O13</f>
        <v>0</v>
      </c>
      <c r="P43" s="70">
        <f>+P16-'Mar-22'!P13</f>
        <v>496</v>
      </c>
      <c r="Q43" s="64">
        <f>IFERROR(M43/N43-1,"n/a")</f>
        <v>4.6428571428571432</v>
      </c>
      <c r="R43" s="64" t="str">
        <f>IFERROR(M43/O43-1,"n/a")</f>
        <v>n/a</v>
      </c>
      <c r="S43" s="60">
        <f>IFERROR(M43/P43-1,"n/a")</f>
        <v>-4.435483870967738E-2</v>
      </c>
      <c r="T43" s="89">
        <v>336</v>
      </c>
      <c r="U43" s="70">
        <v>43</v>
      </c>
      <c r="V43" s="78">
        <v>781</v>
      </c>
    </row>
    <row r="44" spans="1:22" s="9" customFormat="1" ht="15" customHeight="1">
      <c r="C44" s="33"/>
      <c r="D44" s="26" t="s">
        <v>11</v>
      </c>
      <c r="E44" s="32"/>
      <c r="F44" s="74">
        <f t="shared" si="6"/>
        <v>249427</v>
      </c>
      <c r="G44" s="74">
        <f t="shared" si="6"/>
        <v>89719</v>
      </c>
      <c r="H44" s="71">
        <f t="shared" si="6"/>
        <v>0</v>
      </c>
      <c r="I44" s="74">
        <f t="shared" si="6"/>
        <v>304036</v>
      </c>
      <c r="J44" s="64">
        <f>IFERROR(F44/G44-1,"n/a")</f>
        <v>1.7800911735529823</v>
      </c>
      <c r="K44" s="64" t="str">
        <f>IFERROR(F44/H44-1,"n/a")</f>
        <v>n/a</v>
      </c>
      <c r="L44" s="60">
        <f>IFERROR(F44/I44-1,"n/a")</f>
        <v>-0.1796135983896644</v>
      </c>
      <c r="M44" s="82">
        <f>+M17-'Mar-22'!M14</f>
        <v>1213276</v>
      </c>
      <c r="N44" s="82">
        <f>+N17-'Mar-22'!N14</f>
        <v>167883</v>
      </c>
      <c r="O44" s="82">
        <f>+O17-'Mar-22'!O14</f>
        <v>0</v>
      </c>
      <c r="P44" s="82">
        <f>+P17-'Mar-22'!P14</f>
        <v>1645544</v>
      </c>
      <c r="Q44" s="64">
        <f>IFERROR(M44/N44-1,"n/a")</f>
        <v>6.2269139817611077</v>
      </c>
      <c r="R44" s="64" t="str">
        <f>IFERROR(M44/O44-1,"n/a")</f>
        <v>n/a</v>
      </c>
      <c r="S44" s="60">
        <f>IFERROR(M44/P44-1,"n/a")</f>
        <v>-0.26269002834321054</v>
      </c>
      <c r="T44" s="89">
        <v>533563</v>
      </c>
      <c r="U44" s="84">
        <v>140552</v>
      </c>
      <c r="V44" s="78">
        <v>2441594</v>
      </c>
    </row>
    <row r="45" spans="1:22" s="9" customFormat="1" ht="15" customHeight="1">
      <c r="C45" s="31" t="s">
        <v>15</v>
      </c>
      <c r="D45" s="26"/>
      <c r="E45" s="32"/>
      <c r="F45" s="87"/>
      <c r="G45" s="87"/>
      <c r="H45" s="87"/>
      <c r="I45" s="72"/>
      <c r="J45" s="64"/>
      <c r="K45" s="64"/>
      <c r="L45" s="60"/>
      <c r="M45" s="87"/>
      <c r="N45" s="87"/>
      <c r="O45" s="87"/>
      <c r="P45" s="87"/>
      <c r="Q45" s="64"/>
      <c r="R45" s="64"/>
      <c r="S45" s="60"/>
      <c r="T45" s="90"/>
      <c r="U45" s="44"/>
      <c r="V45" s="79"/>
    </row>
    <row r="46" spans="1:22" s="9" customFormat="1" ht="15" customHeight="1">
      <c r="C46" s="33"/>
      <c r="D46" s="26" t="s">
        <v>5</v>
      </c>
      <c r="E46" s="32"/>
      <c r="F46" s="74">
        <f t="shared" ref="F46:I47" si="7">F19</f>
        <v>64</v>
      </c>
      <c r="G46" s="71">
        <f t="shared" si="7"/>
        <v>2</v>
      </c>
      <c r="H46" s="71">
        <f t="shared" si="7"/>
        <v>0</v>
      </c>
      <c r="I46" s="74">
        <f t="shared" si="7"/>
        <v>23</v>
      </c>
      <c r="J46" s="64">
        <f>IFERROR(F46/G46-1,"n/a")</f>
        <v>31</v>
      </c>
      <c r="K46" s="64" t="str">
        <f>IFERROR(F46/H46-1,"n/a")</f>
        <v>n/a</v>
      </c>
      <c r="L46" s="60">
        <f>IFERROR(F46/I46-1,"n/a")</f>
        <v>1.7826086956521738</v>
      </c>
      <c r="M46" s="70">
        <f>+M19-'Mar-22'!M16</f>
        <v>349</v>
      </c>
      <c r="N46" s="82">
        <f>+N19-'Mar-22'!N16</f>
        <v>2</v>
      </c>
      <c r="O46" s="82">
        <f>+O19-'Mar-22'!O16</f>
        <v>1</v>
      </c>
      <c r="P46" s="82">
        <f>+P19-'Mar-22'!P16</f>
        <v>145</v>
      </c>
      <c r="Q46" s="64">
        <f>IFERROR(M46/N46-1,"n/a")</f>
        <v>173.5</v>
      </c>
      <c r="R46" s="64">
        <f>IFERROR(M46/O46-1,"n/a")</f>
        <v>348</v>
      </c>
      <c r="S46" s="60">
        <f>IFERROR(M46/P46-1,"n/a")</f>
        <v>1.4068965517241381</v>
      </c>
      <c r="T46" s="89">
        <v>33</v>
      </c>
      <c r="U46" s="70">
        <v>4</v>
      </c>
      <c r="V46" s="78">
        <v>188</v>
      </c>
    </row>
    <row r="47" spans="1:22" s="9" customFormat="1" ht="15" customHeight="1">
      <c r="C47" s="33"/>
      <c r="D47" s="26" t="s">
        <v>11</v>
      </c>
      <c r="E47" s="32"/>
      <c r="F47" s="74">
        <f t="shared" si="7"/>
        <v>80246</v>
      </c>
      <c r="G47" s="71">
        <f t="shared" si="7"/>
        <v>424</v>
      </c>
      <c r="H47" s="71">
        <f t="shared" si="7"/>
        <v>0</v>
      </c>
      <c r="I47" s="74">
        <f t="shared" si="7"/>
        <v>35836</v>
      </c>
      <c r="J47" s="64">
        <f>IFERROR(F47/G47-1,"n/a")</f>
        <v>188.25943396226415</v>
      </c>
      <c r="K47" s="64" t="str">
        <f>IFERROR(F47/H47-1,"n/a")</f>
        <v>n/a</v>
      </c>
      <c r="L47" s="60">
        <f>IFERROR(F47/I47-1,"n/a")</f>
        <v>1.2392566134613237</v>
      </c>
      <c r="M47" s="82">
        <f>+M20-'Mar-22'!M17</f>
        <v>420920</v>
      </c>
      <c r="N47" s="82">
        <f>+N20-'Mar-22'!N17</f>
        <v>424</v>
      </c>
      <c r="O47" s="82">
        <f>+O20-'Mar-22'!O17</f>
        <v>111</v>
      </c>
      <c r="P47" s="82">
        <f>+P20-'Mar-22'!P17</f>
        <v>198240</v>
      </c>
      <c r="Q47" s="64">
        <f>IFERROR(M47/N47-1,"n/a")</f>
        <v>991.7358490566038</v>
      </c>
      <c r="R47" s="64">
        <f>IFERROR(M47/O47-1,"n/a")</f>
        <v>3791.0720720720719</v>
      </c>
      <c r="S47" s="60">
        <f>IFERROR(M47/P47-1,"n/a")</f>
        <v>1.1232849071832121</v>
      </c>
      <c r="T47" s="82">
        <v>10083</v>
      </c>
      <c r="U47" s="84">
        <v>1753</v>
      </c>
      <c r="V47" s="78">
        <f>176097+74816</f>
        <v>250913</v>
      </c>
    </row>
    <row r="48" spans="1:22" s="9" customFormat="1" ht="15" customHeight="1">
      <c r="C48" s="31" t="s">
        <v>10</v>
      </c>
      <c r="D48" s="26"/>
      <c r="E48" s="34"/>
      <c r="F48" s="72"/>
      <c r="G48" s="72"/>
      <c r="H48" s="72"/>
      <c r="I48" s="72"/>
      <c r="J48" s="64"/>
      <c r="K48" s="64"/>
      <c r="L48" s="60"/>
      <c r="M48" s="87"/>
      <c r="N48" s="87"/>
      <c r="O48" s="87"/>
      <c r="P48" s="87"/>
      <c r="Q48" s="64"/>
      <c r="R48" s="64"/>
      <c r="S48" s="60"/>
      <c r="T48" s="90"/>
      <c r="U48" s="44"/>
      <c r="V48" s="79"/>
    </row>
    <row r="49" spans="3:22" s="9" customFormat="1" ht="15" customHeight="1">
      <c r="C49" s="33"/>
      <c r="D49" s="26" t="s">
        <v>5</v>
      </c>
      <c r="E49" s="34"/>
      <c r="F49" s="73">
        <f t="shared" ref="F49:I50" si="8">F22</f>
        <v>80</v>
      </c>
      <c r="G49" s="74">
        <f t="shared" si="8"/>
        <v>57</v>
      </c>
      <c r="H49" s="71">
        <f t="shared" si="8"/>
        <v>0</v>
      </c>
      <c r="I49" s="74">
        <f t="shared" si="8"/>
        <v>76</v>
      </c>
      <c r="J49" s="64">
        <f>IFERROR(F49/G49-1,"n/a")</f>
        <v>0.40350877192982448</v>
      </c>
      <c r="K49" s="64" t="str">
        <f>IFERROR(F49/H49-1,"n/a")</f>
        <v>n/a</v>
      </c>
      <c r="L49" s="60">
        <f>IFERROR(F49/I49-1,"n/a")</f>
        <v>5.2631578947368363E-2</v>
      </c>
      <c r="M49" s="70">
        <f>+M22-'Mar-22'!M19</f>
        <v>511</v>
      </c>
      <c r="N49" s="70">
        <f>+N22-'Mar-22'!N19</f>
        <v>130</v>
      </c>
      <c r="O49" s="70">
        <f>+O22-'Mar-22'!O19</f>
        <v>42</v>
      </c>
      <c r="P49" s="70">
        <f>+P22-'Mar-22'!P19</f>
        <v>540</v>
      </c>
      <c r="Q49" s="64">
        <f>IFERROR(M49/N49-1,"n/a")</f>
        <v>2.9307692307692306</v>
      </c>
      <c r="R49" s="64">
        <f>IFERROR(M49/O49-1,"n/a")</f>
        <v>11.166666666666666</v>
      </c>
      <c r="S49" s="60">
        <f>IFERROR(M49/P49-1,"n/a")</f>
        <v>-5.3703703703703698E-2</v>
      </c>
      <c r="T49" s="89">
        <v>744</v>
      </c>
      <c r="U49" s="84">
        <v>406</v>
      </c>
      <c r="V49" s="78">
        <v>1253</v>
      </c>
    </row>
    <row r="50" spans="3:22" s="9" customFormat="1" ht="15" customHeight="1">
      <c r="C50" s="33"/>
      <c r="D50" s="26" t="s">
        <v>11</v>
      </c>
      <c r="E50" s="32"/>
      <c r="F50" s="73">
        <f t="shared" si="8"/>
        <v>275667</v>
      </c>
      <c r="G50" s="74">
        <f t="shared" si="8"/>
        <v>81777</v>
      </c>
      <c r="H50" s="71">
        <f t="shared" si="8"/>
        <v>0</v>
      </c>
      <c r="I50" s="74">
        <f t="shared" si="8"/>
        <v>223305</v>
      </c>
      <c r="J50" s="64">
        <f>IFERROR(F50/G50-1,"n/a")</f>
        <v>2.3709600498917789</v>
      </c>
      <c r="K50" s="64" t="str">
        <f>IFERROR(F50/H50-1,"n/a")</f>
        <v>n/a</v>
      </c>
      <c r="L50" s="60">
        <f>IFERROR(F50/I50-1,"n/a")</f>
        <v>0.23448646470074563</v>
      </c>
      <c r="M50" s="82">
        <f>+M23-'Mar-22'!M20</f>
        <v>1592899</v>
      </c>
      <c r="N50" s="82">
        <f>+N23-'Mar-22'!N20</f>
        <v>181810</v>
      </c>
      <c r="O50" s="82">
        <f>+O23-'Mar-22'!O20</f>
        <v>0</v>
      </c>
      <c r="P50" s="82">
        <f>+P23-'Mar-22'!P20</f>
        <v>1806818</v>
      </c>
      <c r="Q50" s="64">
        <f>IFERROR(M50/N50-1,"n/a")</f>
        <v>7.761338760244211</v>
      </c>
      <c r="R50" s="64" t="str">
        <f>IFERROR(M50/O50-1,"n/a")</f>
        <v>n/a</v>
      </c>
      <c r="S50" s="60">
        <f>IFERROR(M50/P50-1,"n/a")</f>
        <v>-0.11839543329765367</v>
      </c>
      <c r="T50" s="82">
        <v>1290779</v>
      </c>
      <c r="U50" s="84">
        <v>833999</v>
      </c>
      <c r="V50" s="78">
        <v>3627458</v>
      </c>
    </row>
    <row r="51" spans="3:22" s="9" customFormat="1" ht="15" customHeight="1">
      <c r="C51" s="31" t="s">
        <v>16</v>
      </c>
      <c r="D51" s="26"/>
      <c r="E51" s="32"/>
      <c r="F51" s="72"/>
      <c r="G51" s="72"/>
      <c r="H51" s="72"/>
      <c r="I51" s="72"/>
      <c r="J51" s="64"/>
      <c r="K51" s="64"/>
      <c r="L51" s="60"/>
      <c r="M51" s="87"/>
      <c r="N51" s="87"/>
      <c r="O51" s="87"/>
      <c r="P51" s="87"/>
      <c r="Q51" s="64"/>
      <c r="R51" s="64"/>
      <c r="S51" s="60"/>
      <c r="T51" s="90"/>
      <c r="U51" s="44"/>
      <c r="V51" s="79"/>
    </row>
    <row r="52" spans="3:22" s="9" customFormat="1" ht="15" customHeight="1">
      <c r="C52" s="33"/>
      <c r="D52" s="26" t="s">
        <v>5</v>
      </c>
      <c r="E52" s="32"/>
      <c r="F52" s="74">
        <f t="shared" ref="F52:I53" si="9">F25</f>
        <v>34</v>
      </c>
      <c r="G52" s="74">
        <f t="shared" si="9"/>
        <v>17</v>
      </c>
      <c r="H52" s="71">
        <f t="shared" si="9"/>
        <v>5</v>
      </c>
      <c r="I52" s="74">
        <f t="shared" si="9"/>
        <v>40</v>
      </c>
      <c r="J52" s="64">
        <f>IFERROR(F52/G52-1,"n/a")</f>
        <v>1</v>
      </c>
      <c r="K52" s="64">
        <f>IFERROR(F52/H52-1,"n/a")</f>
        <v>5.8</v>
      </c>
      <c r="L52" s="60">
        <f>IFERROR(F52/I52-1,"n/a")</f>
        <v>-0.15000000000000002</v>
      </c>
      <c r="M52" s="70">
        <f>+M25-'Mar-22'!M22</f>
        <v>199</v>
      </c>
      <c r="N52" s="70">
        <f>+N25-'Mar-22'!N22</f>
        <v>62</v>
      </c>
      <c r="O52" s="82">
        <f>+O25-'Mar-22'!O22</f>
        <v>7</v>
      </c>
      <c r="P52" s="70">
        <f>+P25-'Mar-22'!P22</f>
        <v>224</v>
      </c>
      <c r="Q52" s="64">
        <f>IFERROR(M52/N52-1,"n/a")</f>
        <v>2.2096774193548385</v>
      </c>
      <c r="R52" s="64">
        <f>IFERROR(M52/O52-1,"n/a")</f>
        <v>27.428571428571427</v>
      </c>
      <c r="S52" s="60">
        <f>IFERROR(M52/P52-1,"n/a")</f>
        <v>-0.1116071428571429</v>
      </c>
      <c r="T52" s="89">
        <v>121</v>
      </c>
      <c r="U52" s="70">
        <v>41</v>
      </c>
      <c r="V52" s="78">
        <v>361</v>
      </c>
    </row>
    <row r="53" spans="3:22" s="9" customFormat="1" ht="15" customHeight="1">
      <c r="C53" s="33"/>
      <c r="D53" s="26" t="s">
        <v>11</v>
      </c>
      <c r="E53" s="32"/>
      <c r="F53" s="74">
        <f t="shared" si="9"/>
        <v>77500</v>
      </c>
      <c r="G53" s="74">
        <f t="shared" si="9"/>
        <v>31465</v>
      </c>
      <c r="H53" s="71">
        <f t="shared" si="9"/>
        <v>4538</v>
      </c>
      <c r="I53" s="74">
        <f t="shared" si="9"/>
        <v>102143</v>
      </c>
      <c r="J53" s="64">
        <f>IFERROR(F53/G53-1,"n/a")</f>
        <v>1.4630541871921183</v>
      </c>
      <c r="K53" s="64">
        <f>IFERROR(F53/H53-1,"n/a")</f>
        <v>16.078007933010138</v>
      </c>
      <c r="L53" s="60">
        <f>IFERROR(F53/I53-1,"n/a")</f>
        <v>-0.24125980243384271</v>
      </c>
      <c r="M53" s="82">
        <f>+M26-'Mar-22'!M23</f>
        <v>397486</v>
      </c>
      <c r="N53" s="82">
        <f>+N26-'Mar-22'!N23</f>
        <v>93051</v>
      </c>
      <c r="O53" s="82">
        <f>+O26-'Mar-22'!O23</f>
        <v>7079</v>
      </c>
      <c r="P53" s="82">
        <f>+P26-'Mar-22'!P23</f>
        <v>611908</v>
      </c>
      <c r="Q53" s="64">
        <f>IFERROR(M53/N53-1,"n/a")</f>
        <v>3.2717004653362132</v>
      </c>
      <c r="R53" s="64">
        <f>IFERROR(M53/O53-1,"n/a")</f>
        <v>55.150021189433538</v>
      </c>
      <c r="S53" s="60">
        <f>IFERROR(M53/P53-1,"n/a")</f>
        <v>-0.35041542192617192</v>
      </c>
      <c r="T53" s="82">
        <v>165689</v>
      </c>
      <c r="U53" s="84">
        <v>67144</v>
      </c>
      <c r="V53" s="78">
        <v>865961</v>
      </c>
    </row>
    <row r="54" spans="3:22" ht="15" customHeight="1">
      <c r="C54" s="31" t="s">
        <v>17</v>
      </c>
      <c r="D54" s="26"/>
      <c r="E54" s="32"/>
      <c r="F54" s="72"/>
      <c r="G54" s="72"/>
      <c r="H54" s="72"/>
      <c r="I54" s="72"/>
      <c r="J54" s="64"/>
      <c r="K54" s="64"/>
      <c r="L54" s="60"/>
      <c r="M54" s="87"/>
      <c r="N54" s="87"/>
      <c r="O54" s="87"/>
      <c r="P54" s="87"/>
      <c r="Q54" s="64"/>
      <c r="R54" s="64"/>
      <c r="S54" s="60"/>
      <c r="T54" s="90"/>
      <c r="U54" s="44"/>
      <c r="V54" s="79"/>
    </row>
    <row r="55" spans="3:22" ht="15.6" customHeight="1">
      <c r="C55" s="33"/>
      <c r="D55" s="26" t="s">
        <v>5</v>
      </c>
      <c r="E55" s="32"/>
      <c r="F55" s="74">
        <f t="shared" ref="F55:I56" si="10">F28</f>
        <v>75</v>
      </c>
      <c r="G55" s="74">
        <f t="shared" si="10"/>
        <v>23</v>
      </c>
      <c r="H55" s="71">
        <f t="shared" si="10"/>
        <v>7</v>
      </c>
      <c r="I55" s="74">
        <f t="shared" si="10"/>
        <v>41</v>
      </c>
      <c r="J55" s="64">
        <f>IFERROR(F55/G55-1,"n/a")</f>
        <v>2.2608695652173911</v>
      </c>
      <c r="K55" s="64">
        <f>IFERROR(F55/H55-1,"n/a")</f>
        <v>9.7142857142857135</v>
      </c>
      <c r="L55" s="60">
        <f>IFERROR(F55/I55-1,"n/a")</f>
        <v>0.8292682926829269</v>
      </c>
      <c r="M55" s="70">
        <f>+M28-'Mar-22'!M25</f>
        <v>405</v>
      </c>
      <c r="N55" s="70">
        <f>+N28-'Mar-22'!N25</f>
        <v>76</v>
      </c>
      <c r="O55" s="70">
        <f>+O28-'Mar-22'!O25</f>
        <v>11</v>
      </c>
      <c r="P55" s="70">
        <f>+P28-'Mar-22'!P25</f>
        <v>253</v>
      </c>
      <c r="Q55" s="64">
        <f>IFERROR(M55/N55-1,"n/a")</f>
        <v>4.3289473684210522</v>
      </c>
      <c r="R55" s="64">
        <f>IFERROR(M55/O55-1,"n/a")</f>
        <v>35.81818181818182</v>
      </c>
      <c r="S55" s="60">
        <f>IFERROR(M55/P55-1,"n/a")</f>
        <v>0.60079051383399218</v>
      </c>
      <c r="T55" s="89">
        <v>140</v>
      </c>
      <c r="U55" s="70">
        <v>40</v>
      </c>
      <c r="V55" s="78">
        <v>360</v>
      </c>
    </row>
    <row r="56" spans="3:22" ht="15.6" customHeight="1">
      <c r="C56" s="33"/>
      <c r="D56" s="26" t="s">
        <v>11</v>
      </c>
      <c r="E56" s="32"/>
      <c r="F56" s="74">
        <f t="shared" si="10"/>
        <v>150114</v>
      </c>
      <c r="G56" s="74">
        <f t="shared" si="10"/>
        <v>35845</v>
      </c>
      <c r="H56" s="71">
        <f t="shared" si="10"/>
        <v>1534</v>
      </c>
      <c r="I56" s="74">
        <f t="shared" si="10"/>
        <v>107800</v>
      </c>
      <c r="J56" s="64">
        <f>IFERROR(F56/G56-1,"n/a")</f>
        <v>3.1878644162365743</v>
      </c>
      <c r="K56" s="64">
        <f>IFERROR(F56/H56-1,"n/a")</f>
        <v>96.857887874837033</v>
      </c>
      <c r="L56" s="60">
        <f>IFERROR(F56/I56-1,"n/a")</f>
        <v>0.39252319109461964</v>
      </c>
      <c r="M56" s="82">
        <f>+M29-'Mar-22'!M26</f>
        <v>681688</v>
      </c>
      <c r="N56" s="82">
        <f>+N29-'Mar-22'!N26</f>
        <v>115520</v>
      </c>
      <c r="O56" s="82">
        <f>+O29-'Mar-22'!O26</f>
        <v>9828</v>
      </c>
      <c r="P56" s="82">
        <f>+P29-'Mar-22'!P26</f>
        <v>694671</v>
      </c>
      <c r="Q56" s="64">
        <f>IFERROR(M56/N56-1,"n/a")</f>
        <v>4.9010387811634351</v>
      </c>
      <c r="R56" s="64">
        <f>IFERROR(M56/O56-1,"n/a")</f>
        <v>68.361823361823369</v>
      </c>
      <c r="S56" s="60">
        <f>IFERROR(M56/P56-1,"n/a")</f>
        <v>-1.86894227627179E-2</v>
      </c>
      <c r="T56" s="82">
        <v>174336</v>
      </c>
      <c r="U56" s="84">
        <v>21928</v>
      </c>
      <c r="V56" s="78">
        <f>706948+155011</f>
        <v>861959</v>
      </c>
    </row>
    <row r="57" spans="3:22" ht="26.85" customHeight="1" thickBot="1">
      <c r="C57" s="35" t="s">
        <v>12</v>
      </c>
      <c r="D57" s="36"/>
      <c r="E57" s="37"/>
      <c r="F57" s="75">
        <f t="shared" ref="F57:I58" si="11">F40+F43+F46+F49+F52+F55</f>
        <v>334</v>
      </c>
      <c r="G57" s="75">
        <f t="shared" si="11"/>
        <v>148</v>
      </c>
      <c r="H57" s="75">
        <f t="shared" si="11"/>
        <v>12</v>
      </c>
      <c r="I57" s="75">
        <f t="shared" si="11"/>
        <v>269</v>
      </c>
      <c r="J57" s="66">
        <f>IFERROR(F57/G57-1,"n/a")</f>
        <v>1.2567567567567566</v>
      </c>
      <c r="K57" s="66">
        <f>IFERROR(F57/H57-1,"n/a")</f>
        <v>26.833333333333332</v>
      </c>
      <c r="L57" s="62">
        <f>IFERROR(F57/I57-1,"n/a")</f>
        <v>0.24163568773234201</v>
      </c>
      <c r="M57" s="46">
        <f t="shared" ref="M57:P58" si="12">M40+M43+M46+M49+M52+M55</f>
        <v>1970</v>
      </c>
      <c r="N57" s="46">
        <f t="shared" si="12"/>
        <v>370</v>
      </c>
      <c r="O57" s="46">
        <f t="shared" si="12"/>
        <v>61</v>
      </c>
      <c r="P57" s="46">
        <f t="shared" si="12"/>
        <v>1711</v>
      </c>
      <c r="Q57" s="66">
        <f>IFERROR(M57/N57-1,"n/a")</f>
        <v>4.3243243243243246</v>
      </c>
      <c r="R57" s="66">
        <f>IFERROR(M57/O57-1,"n/a")</f>
        <v>31.295081967213115</v>
      </c>
      <c r="S57" s="62">
        <f>IFERROR(M57/P57-1,"n/a")</f>
        <v>0.15137346580946809</v>
      </c>
      <c r="T57" s="46">
        <f t="shared" ref="T57:V58" si="13">T40+T43+T46+T49+T52+T55</f>
        <v>1682</v>
      </c>
      <c r="U57" s="46">
        <f t="shared" si="13"/>
        <v>679</v>
      </c>
      <c r="V57" s="80">
        <f t="shared" si="13"/>
        <v>3274</v>
      </c>
    </row>
    <row r="58" spans="3:22" ht="26.85" customHeight="1" thickTop="1" thickBot="1">
      <c r="C58" s="38" t="s">
        <v>13</v>
      </c>
      <c r="D58" s="39"/>
      <c r="E58" s="40"/>
      <c r="F58" s="76">
        <f t="shared" si="11"/>
        <v>837867</v>
      </c>
      <c r="G58" s="76">
        <f t="shared" si="11"/>
        <v>240848</v>
      </c>
      <c r="H58" s="76">
        <f t="shared" si="11"/>
        <v>6072</v>
      </c>
      <c r="I58" s="76">
        <f t="shared" si="11"/>
        <v>784268</v>
      </c>
      <c r="J58" s="67">
        <f>IFERROR(F58/G58-1,"n/a")</f>
        <v>2.4788206669766826</v>
      </c>
      <c r="K58" s="67">
        <f>IFERROR(F58/H58-1,"n/a")</f>
        <v>136.98863636363637</v>
      </c>
      <c r="L58" s="63">
        <f>IFERROR(F58/I58-1,"n/a")</f>
        <v>6.8342709379956901E-2</v>
      </c>
      <c r="M58" s="47">
        <f t="shared" si="12"/>
        <v>4349023</v>
      </c>
      <c r="N58" s="47">
        <f t="shared" si="12"/>
        <v>562889</v>
      </c>
      <c r="O58" s="47">
        <f t="shared" si="12"/>
        <v>17018</v>
      </c>
      <c r="P58" s="47">
        <f t="shared" si="12"/>
        <v>5064080</v>
      </c>
      <c r="Q58" s="67">
        <f>IFERROR(M58/N58-1,"n/a")</f>
        <v>6.7262533110435632</v>
      </c>
      <c r="R58" s="67">
        <f>IFERROR(M58/O58-1,"n/a")</f>
        <v>254.55429545187448</v>
      </c>
      <c r="S58" s="63">
        <f>IFERROR(M58/P58-1,"n/a")</f>
        <v>-0.14120175826606218</v>
      </c>
      <c r="T58" s="47">
        <f t="shared" si="13"/>
        <v>2411641</v>
      </c>
      <c r="U58" s="47">
        <f t="shared" si="13"/>
        <v>1324261</v>
      </c>
      <c r="V58" s="81">
        <f t="shared" si="13"/>
        <v>8654686</v>
      </c>
    </row>
    <row r="59" spans="3:22" ht="12" customHeight="1" thickTop="1"/>
  </sheetData>
  <mergeCells count="6">
    <mergeCell ref="F9:L9"/>
    <mergeCell ref="M9:S9"/>
    <mergeCell ref="T9:V9"/>
    <mergeCell ref="F36:L36"/>
    <mergeCell ref="M36:S36"/>
    <mergeCell ref="T36:V36"/>
  </mergeCells>
  <pageMargins left="0.7" right="0.7" top="0.75" bottom="0.75" header="0.3" footer="0.3"/>
  <pageSetup paperSize="9" scale="52" orientation="landscape" horizontalDpi="4294967293" verticalDpi="4294967293" r:id="rId1"/>
  <colBreaks count="2" manualBreakCount="2">
    <brk id="3" max="1048575" man="1"/>
    <brk id="5" max="1048575" man="1"/>
  </colBreaks>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AT59"/>
  <sheetViews>
    <sheetView showGridLines="0" zoomScaleNormal="100" zoomScalePageLayoutView="40" workbookViewId="0"/>
  </sheetViews>
  <sheetFormatPr defaultColWidth="0" defaultRowHeight="26.85" customHeight="1" zeroHeight="1"/>
  <cols>
    <col min="1" max="3" width="2.5703125" customWidth="1"/>
    <col min="4" max="4" width="9.140625" customWidth="1"/>
    <col min="5" max="6" width="15.42578125" customWidth="1"/>
    <col min="7" max="8" width="11.140625" bestFit="1" customWidth="1"/>
    <col min="9" max="9" width="10.5703125" bestFit="1" customWidth="1"/>
    <col min="10" max="10" width="9" bestFit="1" customWidth="1"/>
    <col min="11" max="12" width="9.140625" customWidth="1"/>
    <col min="13" max="13" width="11.140625" bestFit="1" customWidth="1"/>
    <col min="14" max="14" width="10.140625" bestFit="1" customWidth="1"/>
    <col min="15" max="16" width="12.140625" bestFit="1" customWidth="1"/>
    <col min="17" max="19" width="8.85546875" customWidth="1"/>
    <col min="20" max="20" width="11.85546875" bestFit="1" customWidth="1"/>
    <col min="21" max="21" width="11.5703125" bestFit="1" customWidth="1"/>
    <col min="22" max="22" width="11.140625" bestFit="1" customWidth="1"/>
    <col min="23" max="23" width="3.140625" style="9" customWidth="1"/>
    <col min="24" max="38" width="0" style="9" hidden="1" customWidth="1"/>
    <col min="39" max="46" width="0" hidden="1" customWidth="1"/>
    <col min="47" max="16384" width="9.140625" hidden="1"/>
  </cols>
  <sheetData>
    <row r="1" spans="1:38" ht="15">
      <c r="A1" s="9"/>
      <c r="B1" s="9"/>
      <c r="C1" s="9"/>
      <c r="D1" s="9"/>
      <c r="E1" s="9"/>
      <c r="F1" s="9"/>
      <c r="G1" s="9"/>
      <c r="H1" s="9"/>
      <c r="I1" s="9"/>
      <c r="J1" s="9"/>
      <c r="K1" s="9"/>
      <c r="L1" s="9"/>
      <c r="M1" s="9"/>
      <c r="N1" s="9"/>
      <c r="O1" s="9"/>
      <c r="P1" s="9"/>
      <c r="Q1" s="9"/>
      <c r="R1" s="9"/>
      <c r="S1" s="9"/>
      <c r="T1" s="9"/>
      <c r="U1" s="9"/>
      <c r="V1" s="9"/>
    </row>
    <row r="2" spans="1:38" ht="19.5" thickBot="1">
      <c r="A2" s="9"/>
      <c r="B2" s="8" t="s">
        <v>6</v>
      </c>
      <c r="C2" s="23"/>
      <c r="D2" s="23"/>
      <c r="E2" s="23"/>
      <c r="F2" s="23"/>
      <c r="G2" s="23"/>
      <c r="H2" s="23"/>
      <c r="I2" s="23"/>
      <c r="J2" s="23"/>
      <c r="K2" s="23"/>
      <c r="L2" s="23"/>
      <c r="M2" s="23"/>
      <c r="N2" s="23"/>
      <c r="O2" s="23"/>
      <c r="P2" s="23"/>
      <c r="Q2" s="23"/>
      <c r="R2" s="23"/>
      <c r="S2" s="23"/>
      <c r="T2" s="23"/>
      <c r="U2" s="23"/>
      <c r="V2" s="23"/>
    </row>
    <row r="3" spans="1:38" ht="15">
      <c r="A3" s="9"/>
      <c r="B3" s="10"/>
      <c r="C3" s="24"/>
      <c r="D3" s="24"/>
      <c r="E3" s="24"/>
      <c r="F3" s="24"/>
      <c r="G3" s="24"/>
      <c r="H3" s="24"/>
      <c r="I3" s="24"/>
      <c r="J3" s="24"/>
      <c r="K3" s="24"/>
      <c r="L3" s="24"/>
      <c r="M3" s="24"/>
      <c r="N3" s="24"/>
      <c r="O3" s="24"/>
      <c r="P3" s="24"/>
      <c r="Q3" s="24"/>
      <c r="R3" s="24"/>
      <c r="S3" s="24"/>
      <c r="T3" s="24"/>
      <c r="U3" s="24"/>
      <c r="V3" s="25"/>
    </row>
    <row r="4" spans="1:38" ht="15.75">
      <c r="A4" s="9"/>
      <c r="B4" s="11" t="s">
        <v>7</v>
      </c>
      <c r="C4" s="26"/>
      <c r="D4" s="24"/>
      <c r="E4" s="58" t="s">
        <v>72</v>
      </c>
      <c r="F4" s="24"/>
      <c r="G4" s="24"/>
      <c r="H4" s="24"/>
      <c r="I4" s="24"/>
      <c r="J4" s="24"/>
      <c r="K4" s="24"/>
      <c r="L4" s="24"/>
      <c r="M4" s="24"/>
      <c r="N4" s="24"/>
      <c r="O4" s="24"/>
      <c r="P4" s="24"/>
      <c r="Q4" s="24"/>
      <c r="R4" s="24"/>
      <c r="S4" s="24"/>
      <c r="T4" s="24"/>
      <c r="U4" s="24"/>
      <c r="V4" s="24"/>
    </row>
    <row r="5" spans="1:38" ht="15">
      <c r="A5" s="9"/>
      <c r="B5" s="10"/>
      <c r="C5" s="24"/>
      <c r="D5" s="24"/>
      <c r="E5" s="24"/>
      <c r="F5" s="24"/>
      <c r="G5" s="24"/>
      <c r="H5" s="24"/>
      <c r="I5" s="24"/>
      <c r="J5" s="24"/>
      <c r="K5" s="24"/>
      <c r="L5" s="24"/>
      <c r="M5" s="24"/>
      <c r="N5" s="24"/>
      <c r="O5" s="24"/>
      <c r="P5" s="24"/>
      <c r="Q5" s="24"/>
      <c r="R5" s="24"/>
      <c r="S5" s="24"/>
      <c r="T5" s="24"/>
      <c r="U5" s="24"/>
      <c r="V5" s="24"/>
    </row>
    <row r="6" spans="1:38" ht="15">
      <c r="A6" s="9"/>
      <c r="B6" s="10"/>
      <c r="C6" s="24"/>
      <c r="D6" s="24"/>
      <c r="E6" s="24"/>
      <c r="F6" s="24"/>
      <c r="G6" s="24"/>
      <c r="H6" s="24"/>
      <c r="I6" s="24"/>
      <c r="J6" s="24"/>
      <c r="K6" s="24"/>
      <c r="L6" s="24"/>
      <c r="M6" s="24"/>
      <c r="N6" s="24"/>
      <c r="O6" s="24"/>
      <c r="P6" s="24"/>
      <c r="Q6" s="24"/>
      <c r="R6" s="24"/>
      <c r="S6" s="24"/>
      <c r="T6" s="24"/>
      <c r="U6" s="24"/>
      <c r="V6" s="24"/>
    </row>
    <row r="7" spans="1:38" ht="15">
      <c r="A7" s="9"/>
      <c r="B7" s="10"/>
      <c r="C7" s="86" t="s">
        <v>62</v>
      </c>
      <c r="D7" s="24"/>
      <c r="E7" s="24"/>
      <c r="F7" s="24"/>
      <c r="G7" s="24"/>
      <c r="H7" s="24"/>
      <c r="I7" s="24"/>
      <c r="J7" s="24"/>
      <c r="K7" s="24"/>
      <c r="L7" s="24"/>
      <c r="M7" s="24"/>
      <c r="N7" s="24"/>
      <c r="O7" s="24"/>
      <c r="P7" s="24"/>
      <c r="Q7" s="24"/>
      <c r="R7" s="24"/>
      <c r="S7" s="24"/>
      <c r="T7" s="24"/>
      <c r="U7" s="24"/>
      <c r="V7" s="24"/>
    </row>
    <row r="8" spans="1:38" ht="15">
      <c r="A8" s="9"/>
      <c r="B8" s="10"/>
      <c r="C8" s="24"/>
      <c r="D8" s="24"/>
      <c r="E8" s="24"/>
      <c r="F8" s="24"/>
      <c r="G8" s="24"/>
      <c r="H8" s="24"/>
      <c r="I8" s="24"/>
      <c r="J8" s="24"/>
      <c r="K8" s="24"/>
      <c r="L8" s="24"/>
      <c r="M8" s="24"/>
      <c r="N8" s="24"/>
      <c r="O8" s="24"/>
      <c r="P8" s="24"/>
      <c r="Q8" s="24"/>
      <c r="R8" s="24"/>
      <c r="S8" s="24"/>
      <c r="T8" s="24"/>
      <c r="U8" s="24"/>
      <c r="V8" s="24"/>
    </row>
    <row r="9" spans="1:38" s="20" customFormat="1" ht="15">
      <c r="A9" s="9"/>
      <c r="B9"/>
      <c r="C9" s="27" t="s">
        <v>7</v>
      </c>
      <c r="D9" s="28"/>
      <c r="E9" s="28"/>
      <c r="F9" s="158" t="s">
        <v>69</v>
      </c>
      <c r="G9" s="158"/>
      <c r="H9" s="158"/>
      <c r="I9" s="158"/>
      <c r="J9" s="158"/>
      <c r="K9" s="158"/>
      <c r="L9" s="159"/>
      <c r="M9" s="157" t="s">
        <v>71</v>
      </c>
      <c r="N9" s="158"/>
      <c r="O9" s="158"/>
      <c r="P9" s="158"/>
      <c r="Q9" s="158"/>
      <c r="R9" s="158"/>
      <c r="S9" s="159"/>
      <c r="T9" s="157" t="s">
        <v>57</v>
      </c>
      <c r="U9" s="158"/>
      <c r="V9" s="160"/>
      <c r="W9" s="9"/>
      <c r="X9" s="19"/>
      <c r="Y9" s="19"/>
      <c r="Z9" s="19"/>
      <c r="AA9" s="19"/>
      <c r="AB9" s="19"/>
      <c r="AC9" s="19"/>
      <c r="AD9" s="19"/>
      <c r="AE9" s="19"/>
      <c r="AF9" s="19"/>
      <c r="AG9" s="19"/>
      <c r="AH9" s="19"/>
      <c r="AI9" s="19"/>
      <c r="AJ9" s="19"/>
      <c r="AK9" s="19"/>
      <c r="AL9" s="19"/>
    </row>
    <row r="10" spans="1:38" ht="15.75">
      <c r="A10" s="9"/>
      <c r="B10" s="18"/>
      <c r="C10" s="29"/>
      <c r="D10" s="30"/>
      <c r="E10" s="30"/>
      <c r="F10" s="29"/>
      <c r="G10" s="30"/>
      <c r="H10" s="30"/>
      <c r="I10" s="30"/>
      <c r="J10" s="30"/>
      <c r="K10" s="30"/>
      <c r="L10" s="56"/>
      <c r="M10" s="30"/>
      <c r="N10" s="30"/>
      <c r="O10" s="30"/>
      <c r="P10" s="30"/>
      <c r="Q10" s="30"/>
      <c r="R10" s="30"/>
      <c r="S10" s="56"/>
      <c r="T10" s="30"/>
      <c r="U10" s="30"/>
      <c r="V10" s="56"/>
    </row>
    <row r="11" spans="1:38" s="54" customFormat="1" ht="27" customHeight="1">
      <c r="A11" s="48"/>
      <c r="B11" s="49"/>
      <c r="C11" s="59" t="s">
        <v>29</v>
      </c>
      <c r="D11" s="50"/>
      <c r="E11" s="51"/>
      <c r="F11" s="55">
        <v>2022</v>
      </c>
      <c r="G11" s="52">
        <v>2021</v>
      </c>
      <c r="H11" s="52">
        <v>2020</v>
      </c>
      <c r="I11" s="52">
        <v>2019</v>
      </c>
      <c r="J11" s="53" t="s">
        <v>36</v>
      </c>
      <c r="K11" s="53" t="s">
        <v>34</v>
      </c>
      <c r="L11" s="57" t="s">
        <v>35</v>
      </c>
      <c r="M11" s="53">
        <v>2022</v>
      </c>
      <c r="N11" s="52">
        <v>2021</v>
      </c>
      <c r="O11" s="52">
        <v>2020</v>
      </c>
      <c r="P11" s="52">
        <v>2019</v>
      </c>
      <c r="Q11" s="53" t="s">
        <v>36</v>
      </c>
      <c r="R11" s="53" t="s">
        <v>34</v>
      </c>
      <c r="S11" s="57" t="s">
        <v>35</v>
      </c>
      <c r="T11" s="53">
        <v>2021</v>
      </c>
      <c r="U11" s="52">
        <v>2020</v>
      </c>
      <c r="V11" s="77">
        <v>2019</v>
      </c>
      <c r="W11" s="48"/>
      <c r="X11" s="48"/>
      <c r="Y11" s="48"/>
      <c r="Z11" s="48"/>
      <c r="AA11" s="48"/>
      <c r="AB11" s="48"/>
      <c r="AC11" s="48"/>
      <c r="AD11" s="48"/>
      <c r="AE11" s="48"/>
      <c r="AF11" s="48"/>
      <c r="AG11" s="48"/>
      <c r="AH11" s="48"/>
      <c r="AI11" s="48"/>
      <c r="AJ11" s="48"/>
      <c r="AK11" s="48"/>
      <c r="AL11" s="48"/>
    </row>
    <row r="12" spans="1:38" ht="15">
      <c r="A12" s="9"/>
      <c r="B12" s="12"/>
      <c r="C12" s="31" t="s">
        <v>14</v>
      </c>
      <c r="D12" s="26"/>
      <c r="E12" s="32"/>
      <c r="F12" s="26"/>
      <c r="G12" s="26"/>
      <c r="H12" s="26"/>
      <c r="I12" s="26"/>
      <c r="J12" s="26"/>
      <c r="K12" s="26"/>
      <c r="L12" s="32"/>
      <c r="M12" s="26"/>
      <c r="N12" s="26"/>
      <c r="O12" s="26"/>
      <c r="P12" s="26"/>
      <c r="Q12" s="26"/>
      <c r="R12" s="26"/>
      <c r="S12" s="32"/>
      <c r="T12" s="26"/>
      <c r="U12" s="26"/>
      <c r="V12" s="32"/>
    </row>
    <row r="13" spans="1:38" ht="15">
      <c r="A13" s="9"/>
      <c r="B13" s="12"/>
      <c r="C13" s="33"/>
      <c r="D13" s="26" t="s">
        <v>5</v>
      </c>
      <c r="E13" s="32"/>
      <c r="F13" s="74">
        <v>0</v>
      </c>
      <c r="G13" s="74">
        <v>7</v>
      </c>
      <c r="H13" s="71">
        <v>0</v>
      </c>
      <c r="I13" s="71">
        <v>4</v>
      </c>
      <c r="J13" s="64">
        <f t="shared" ref="J13:J31" si="0">IFERROR(F13/G13-1,"n/a")</f>
        <v>-1</v>
      </c>
      <c r="K13" s="64" t="str">
        <f>IFERROR(F13/H13-1,"n/a")</f>
        <v>n/a</v>
      </c>
      <c r="L13" s="60">
        <f>IFERROR(F13/I13-1,"n/a")</f>
        <v>-1</v>
      </c>
      <c r="M13" s="68">
        <f>F13+'Jul-22'!M13</f>
        <v>227</v>
      </c>
      <c r="N13" s="68">
        <f>G13+'Jul-22'!N13</f>
        <v>13</v>
      </c>
      <c r="O13" s="68">
        <f>H13+'Jul-22'!O13</f>
        <v>145</v>
      </c>
      <c r="P13" s="68">
        <f>I13+'Jul-22'!P13</f>
        <v>250</v>
      </c>
      <c r="Q13" s="64">
        <f>IFERROR(M13/N13-1,"n/a")</f>
        <v>16.46153846153846</v>
      </c>
      <c r="R13" s="64">
        <f>IFERROR(M13/O13-1,"n/a")</f>
        <v>0.56551724137931036</v>
      </c>
      <c r="S13" s="60">
        <f>IFERROR(M13/P13-1,"n/a")</f>
        <v>-9.1999999999999971E-2</v>
      </c>
      <c r="T13" s="68">
        <v>111</v>
      </c>
      <c r="U13" s="70">
        <v>145</v>
      </c>
      <c r="V13" s="78">
        <v>386</v>
      </c>
    </row>
    <row r="14" spans="1:38" ht="15">
      <c r="A14" s="9"/>
      <c r="B14" s="12"/>
      <c r="C14" s="33"/>
      <c r="D14" s="26" t="s">
        <v>11</v>
      </c>
      <c r="E14" s="32"/>
      <c r="F14" s="74">
        <v>0</v>
      </c>
      <c r="G14" s="74">
        <v>1816</v>
      </c>
      <c r="H14" s="71">
        <v>0</v>
      </c>
      <c r="I14" s="74">
        <v>9607</v>
      </c>
      <c r="J14" s="64">
        <f t="shared" si="0"/>
        <v>-1</v>
      </c>
      <c r="K14" s="64" t="str">
        <f>IFERROR(F14/H14-1,"n/a")</f>
        <v>n/a</v>
      </c>
      <c r="L14" s="60">
        <f>IFERROR(F14/I14-1,"n/a")</f>
        <v>-1</v>
      </c>
      <c r="M14" s="68">
        <f>F14+'Jul-22'!M14</f>
        <v>194169</v>
      </c>
      <c r="N14" s="68">
        <f>G14+'Jul-22'!N14</f>
        <v>2583</v>
      </c>
      <c r="O14" s="68">
        <f>H14+'Jul-22'!O14</f>
        <v>258885</v>
      </c>
      <c r="P14" s="68">
        <f>I14+'Jul-22'!P14</f>
        <v>481131</v>
      </c>
      <c r="Q14" s="64">
        <f>IFERROR(M14/N14-1,"n/a")</f>
        <v>74.1718931475029</v>
      </c>
      <c r="R14" s="64">
        <f>IFERROR(M14/O14-1,"n/a")</f>
        <v>-0.24997972072541863</v>
      </c>
      <c r="S14" s="60">
        <f>IFERROR(M14/P14-1,"n/a")</f>
        <v>-0.59643215673070327</v>
      </c>
      <c r="T14" s="68">
        <v>80863</v>
      </c>
      <c r="U14" s="70">
        <v>258885</v>
      </c>
      <c r="V14" s="78">
        <v>733296</v>
      </c>
    </row>
    <row r="15" spans="1:38" ht="15">
      <c r="A15" s="9"/>
      <c r="B15" s="12"/>
      <c r="C15" s="31" t="s">
        <v>74</v>
      </c>
      <c r="D15" s="26"/>
      <c r="E15" s="32"/>
      <c r="F15" s="26"/>
      <c r="G15" s="26"/>
      <c r="H15" s="26"/>
      <c r="I15" s="26"/>
      <c r="J15" s="64"/>
      <c r="K15" s="64"/>
      <c r="L15" s="61"/>
      <c r="M15" s="87"/>
      <c r="N15" s="87"/>
      <c r="O15" s="87"/>
      <c r="P15" s="87"/>
      <c r="Q15" s="64"/>
      <c r="R15" s="65"/>
      <c r="S15" s="61"/>
      <c r="T15" s="43"/>
      <c r="U15" s="44"/>
      <c r="V15" s="79"/>
    </row>
    <row r="16" spans="1:38" ht="15">
      <c r="A16" s="9"/>
      <c r="B16" s="12"/>
      <c r="C16" s="33"/>
      <c r="D16" s="26" t="s">
        <v>5</v>
      </c>
      <c r="E16" s="32"/>
      <c r="F16" s="74">
        <v>57</v>
      </c>
      <c r="G16" s="74">
        <v>24</v>
      </c>
      <c r="H16" s="71">
        <v>0</v>
      </c>
      <c r="I16" s="74">
        <v>69</v>
      </c>
      <c r="J16" s="64">
        <f t="shared" si="0"/>
        <v>1.375</v>
      </c>
      <c r="K16" s="64" t="str">
        <f>IFERROR(F16/H16-1,"n/a")</f>
        <v>n/a</v>
      </c>
      <c r="L16" s="60">
        <f>IFERROR(F16/I16-1,"n/a")</f>
        <v>-0.17391304347826086</v>
      </c>
      <c r="M16" s="68">
        <f>F16+'Jul-22'!M16</f>
        <v>448</v>
      </c>
      <c r="N16" s="68">
        <f>G16+'Jul-22'!N16</f>
        <v>38</v>
      </c>
      <c r="O16" s="68">
        <f>H16+'Jul-22'!O16</f>
        <v>43</v>
      </c>
      <c r="P16" s="68">
        <f>I16+'Jul-22'!P16</f>
        <v>499</v>
      </c>
      <c r="Q16" s="64">
        <f>IFERROR(M16/N16-1,"n/a")</f>
        <v>10.789473684210526</v>
      </c>
      <c r="R16" s="64">
        <f>IFERROR(M16/O16-1,"n/a")</f>
        <v>9.4186046511627914</v>
      </c>
      <c r="S16" s="60">
        <f>IFERROR(M16/P16-1,"n/a")</f>
        <v>-0.10220440881763526</v>
      </c>
      <c r="T16" s="68">
        <v>283</v>
      </c>
      <c r="U16" s="70">
        <v>43</v>
      </c>
      <c r="V16" s="78">
        <v>827</v>
      </c>
    </row>
    <row r="17" spans="1:38" ht="15">
      <c r="A17" s="9"/>
      <c r="B17" s="12"/>
      <c r="C17" s="33"/>
      <c r="D17" s="26" t="s">
        <v>11</v>
      </c>
      <c r="E17" s="32"/>
      <c r="F17" s="74">
        <v>227186</v>
      </c>
      <c r="G17" s="74">
        <v>49688</v>
      </c>
      <c r="H17" s="71">
        <v>0</v>
      </c>
      <c r="I17" s="74">
        <v>291759</v>
      </c>
      <c r="J17" s="64">
        <f t="shared" si="0"/>
        <v>3.572250845274513</v>
      </c>
      <c r="K17" s="64" t="str">
        <f>IFERROR(F17/H17-1,"n/a")</f>
        <v>n/a</v>
      </c>
      <c r="L17" s="60">
        <f>IFERROR(F17/I17-1,"n/a")</f>
        <v>-0.2213230782940715</v>
      </c>
      <c r="M17" s="68">
        <f>F17+'Jul-22'!M17</f>
        <v>1032303</v>
      </c>
      <c r="N17" s="68">
        <f>G17+'Jul-22'!N17</f>
        <v>78164</v>
      </c>
      <c r="O17" s="68">
        <f>H17+'Jul-22'!O17</f>
        <v>140552</v>
      </c>
      <c r="P17" s="68">
        <f>I17+'Jul-22'!P17</f>
        <v>1593408</v>
      </c>
      <c r="Q17" s="64">
        <f>IFERROR(M17/N17-1,"n/a")</f>
        <v>12.206885522747045</v>
      </c>
      <c r="R17" s="64">
        <f>IFERROR(M17/O17-1,"n/a")</f>
        <v>6.3446340144572826</v>
      </c>
      <c r="S17" s="60">
        <f>IFERROR(M17/P17-1,"n/a")</f>
        <v>-0.35214144776479095</v>
      </c>
      <c r="T17" s="68">
        <v>465109</v>
      </c>
      <c r="U17" s="70">
        <v>140552</v>
      </c>
      <c r="V17" s="78">
        <v>2552942</v>
      </c>
    </row>
    <row r="18" spans="1:38" ht="15">
      <c r="A18" s="9"/>
      <c r="B18" s="12"/>
      <c r="C18" s="31" t="s">
        <v>15</v>
      </c>
      <c r="D18" s="26"/>
      <c r="E18" s="32"/>
      <c r="F18" s="72"/>
      <c r="G18" s="72"/>
      <c r="H18" s="72"/>
      <c r="I18" s="72"/>
      <c r="J18" s="64"/>
      <c r="K18" s="64"/>
      <c r="L18" s="60"/>
      <c r="M18" s="87"/>
      <c r="N18" s="87"/>
      <c r="O18" s="87"/>
      <c r="P18" s="87"/>
      <c r="Q18" s="64"/>
      <c r="R18" s="64"/>
      <c r="S18" s="60"/>
      <c r="T18" s="43"/>
      <c r="U18" s="44"/>
      <c r="V18" s="79"/>
    </row>
    <row r="19" spans="1:38" ht="15">
      <c r="A19" s="9"/>
      <c r="B19" s="12"/>
      <c r="C19" s="33"/>
      <c r="D19" s="26" t="s">
        <v>5</v>
      </c>
      <c r="E19" s="32"/>
      <c r="F19" s="74">
        <v>68</v>
      </c>
      <c r="G19" s="71">
        <v>0</v>
      </c>
      <c r="H19" s="71">
        <v>0</v>
      </c>
      <c r="I19" s="74">
        <v>27</v>
      </c>
      <c r="J19" s="64" t="str">
        <f t="shared" si="0"/>
        <v>n/a</v>
      </c>
      <c r="K19" s="64" t="str">
        <f>IFERROR(F19/H19-1,"n/a")</f>
        <v>n/a</v>
      </c>
      <c r="L19" s="60">
        <f>IFERROR(F19/I19-1,"n/a")</f>
        <v>1.5185185185185186</v>
      </c>
      <c r="M19" s="68">
        <f>F19+'Jul-22'!M19</f>
        <v>295</v>
      </c>
      <c r="N19" s="68">
        <f>G19+'Jul-22'!N19</f>
        <v>0</v>
      </c>
      <c r="O19" s="68">
        <f>H19+'Jul-22'!O19</f>
        <v>4</v>
      </c>
      <c r="P19" s="68">
        <f>I19+'Jul-22'!P19</f>
        <v>128</v>
      </c>
      <c r="Q19" s="64" t="str">
        <f>IFERROR(M19/N19-1,"n/a")</f>
        <v>n/a</v>
      </c>
      <c r="R19" s="64">
        <f>IFERROR(M19/O19-1,"n/a")</f>
        <v>72.75</v>
      </c>
      <c r="S19" s="60">
        <f>IFERROR(M19/P19-1,"n/a")</f>
        <v>1.3046875</v>
      </c>
      <c r="T19" s="68">
        <v>23</v>
      </c>
      <c r="U19" s="70">
        <v>4</v>
      </c>
      <c r="V19" s="78">
        <v>191</v>
      </c>
    </row>
    <row r="20" spans="1:38" ht="15">
      <c r="A20" s="9"/>
      <c r="B20" s="12"/>
      <c r="C20" s="33"/>
      <c r="D20" s="26" t="s">
        <v>11</v>
      </c>
      <c r="E20" s="32"/>
      <c r="F20" s="74">
        <f>83975+18581</f>
        <v>102556</v>
      </c>
      <c r="G20" s="71">
        <v>0</v>
      </c>
      <c r="H20" s="71">
        <v>0</v>
      </c>
      <c r="I20" s="74">
        <f>27978+22373</f>
        <v>50351</v>
      </c>
      <c r="J20" s="64" t="str">
        <f t="shared" si="0"/>
        <v>n/a</v>
      </c>
      <c r="K20" s="64" t="str">
        <f>IFERROR(F20/H20-1,"n/a")</f>
        <v>n/a</v>
      </c>
      <c r="L20" s="60">
        <f t="shared" ref="L20:L31" si="1">IFERROR(F20/I20-1,"n/a")</f>
        <v>1.036821512978888</v>
      </c>
      <c r="M20" s="68">
        <f>F20+'Jul-22'!M20</f>
        <v>342146</v>
      </c>
      <c r="N20" s="68">
        <f>G20+'Jul-22'!N20</f>
        <v>0</v>
      </c>
      <c r="O20" s="68">
        <f>H20+'Jul-22'!O20</f>
        <v>1753</v>
      </c>
      <c r="P20" s="68">
        <f>I20+'Jul-22'!P20</f>
        <v>167542</v>
      </c>
      <c r="Q20" s="64" t="str">
        <f>IFERROR(M20/N20-1,"n/a")</f>
        <v>n/a</v>
      </c>
      <c r="R20" s="64">
        <f>IFERROR(M20/O20-1,"n/a")</f>
        <v>194.17741015402169</v>
      </c>
      <c r="S20" s="60">
        <f>IFERROR(M20/P20-1,"n/a")</f>
        <v>1.0421506249179311</v>
      </c>
      <c r="T20" s="68">
        <v>8611</v>
      </c>
      <c r="U20" s="70">
        <v>1753</v>
      </c>
      <c r="V20" s="78">
        <v>254421</v>
      </c>
    </row>
    <row r="21" spans="1:38" ht="15">
      <c r="A21" s="9"/>
      <c r="B21" s="12"/>
      <c r="C21" s="31" t="s">
        <v>10</v>
      </c>
      <c r="D21" s="26"/>
      <c r="E21" s="34"/>
      <c r="F21" s="72"/>
      <c r="G21" s="72"/>
      <c r="H21" s="72"/>
      <c r="I21" s="72"/>
      <c r="J21" s="64"/>
      <c r="K21" s="64"/>
      <c r="L21" s="60"/>
      <c r="M21" s="87"/>
      <c r="N21" s="87"/>
      <c r="O21" s="87"/>
      <c r="P21" s="87"/>
      <c r="Q21" s="64"/>
      <c r="R21" s="64"/>
      <c r="S21" s="60"/>
      <c r="T21" s="43"/>
      <c r="U21" s="44"/>
      <c r="V21" s="79"/>
    </row>
    <row r="22" spans="1:38" ht="15">
      <c r="A22" s="9"/>
      <c r="B22" s="12"/>
      <c r="C22" s="33"/>
      <c r="D22" s="26" t="s">
        <v>5</v>
      </c>
      <c r="E22" s="34"/>
      <c r="F22" s="73">
        <v>81</v>
      </c>
      <c r="G22" s="74">
        <v>44</v>
      </c>
      <c r="H22" s="71">
        <v>0</v>
      </c>
      <c r="I22" s="74">
        <v>93</v>
      </c>
      <c r="J22" s="64">
        <f t="shared" si="0"/>
        <v>0.84090909090909083</v>
      </c>
      <c r="K22" s="64" t="str">
        <f>IFERROR(F22/H22-1,"n/a")</f>
        <v>n/a</v>
      </c>
      <c r="L22" s="60">
        <f t="shared" si="1"/>
        <v>-0.12903225806451613</v>
      </c>
      <c r="M22" s="68">
        <f>F22+'Jul-22'!M22</f>
        <v>764</v>
      </c>
      <c r="N22" s="68">
        <f>G22+'Jul-22'!N22</f>
        <v>73</v>
      </c>
      <c r="O22" s="68">
        <f>H22+'Jul-22'!O22</f>
        <v>406</v>
      </c>
      <c r="P22" s="68">
        <f>I22+'Jul-22'!P22</f>
        <v>780</v>
      </c>
      <c r="Q22" s="64">
        <f>IFERROR(M22/N22-1,"n/a")</f>
        <v>9.4657534246575334</v>
      </c>
      <c r="R22" s="64">
        <f>IFERROR(M22/O22-1,"n/a")</f>
        <v>0.88177339901477825</v>
      </c>
      <c r="S22" s="60">
        <f>IFERROR(M22/P22-1,"n/a")</f>
        <v>-2.0512820512820551E-2</v>
      </c>
      <c r="T22" s="68">
        <v>411</v>
      </c>
      <c r="U22" s="70">
        <v>406</v>
      </c>
      <c r="V22" s="78">
        <v>1205</v>
      </c>
    </row>
    <row r="23" spans="1:38" ht="15">
      <c r="A23" s="9"/>
      <c r="B23" s="12"/>
      <c r="C23" s="33"/>
      <c r="D23" s="26" t="s">
        <v>11</v>
      </c>
      <c r="E23" s="32"/>
      <c r="F23" s="74">
        <v>278520</v>
      </c>
      <c r="G23" s="74">
        <v>64775</v>
      </c>
      <c r="H23" s="71">
        <v>0</v>
      </c>
      <c r="I23" s="74">
        <v>315639</v>
      </c>
      <c r="J23" s="64">
        <f t="shared" si="0"/>
        <v>3.2998070243149362</v>
      </c>
      <c r="K23" s="64" t="str">
        <f>IFERROR(F23/H23-1,"n/a")</f>
        <v>n/a</v>
      </c>
      <c r="L23" s="60">
        <f t="shared" si="1"/>
        <v>-0.11759953617898933</v>
      </c>
      <c r="M23" s="68">
        <f>F23+'Jul-22'!M23</f>
        <v>1920562</v>
      </c>
      <c r="N23" s="68">
        <f>G23+'Jul-22'!N23</f>
        <v>100033</v>
      </c>
      <c r="O23" s="68">
        <f>H23+'Jul-22'!O23</f>
        <v>833999</v>
      </c>
      <c r="P23" s="68">
        <f>I23+'Jul-22'!P23</f>
        <v>2649237</v>
      </c>
      <c r="Q23" s="64">
        <f>IFERROR(M23/N23-1,"n/a")</f>
        <v>18.199284236202054</v>
      </c>
      <c r="R23" s="64">
        <f>IFERROR(M23/O23-1,"n/a")</f>
        <v>1.302834895485486</v>
      </c>
      <c r="S23" s="60">
        <f>IFERROR(M23/P23-1,"n/a")</f>
        <v>-0.27505089201154898</v>
      </c>
      <c r="T23" s="68">
        <v>687449</v>
      </c>
      <c r="U23" s="70">
        <v>833999</v>
      </c>
      <c r="V23" s="78">
        <v>3859183</v>
      </c>
    </row>
    <row r="24" spans="1:38" ht="15">
      <c r="A24" s="9"/>
      <c r="B24" s="12"/>
      <c r="C24" s="31" t="s">
        <v>16</v>
      </c>
      <c r="D24" s="26"/>
      <c r="E24" s="32"/>
      <c r="F24" s="72"/>
      <c r="G24" s="72"/>
      <c r="H24" s="72"/>
      <c r="I24" s="72"/>
      <c r="J24" s="64"/>
      <c r="K24" s="64"/>
      <c r="L24" s="60"/>
      <c r="M24" s="87"/>
      <c r="N24" s="87"/>
      <c r="O24" s="87"/>
      <c r="P24" s="87"/>
      <c r="Q24" s="64"/>
      <c r="R24" s="64"/>
      <c r="S24" s="60"/>
      <c r="T24" s="43"/>
      <c r="U24" s="44"/>
      <c r="V24" s="79"/>
    </row>
    <row r="25" spans="1:38" ht="15">
      <c r="A25" s="9"/>
      <c r="B25" s="12"/>
      <c r="C25" s="33"/>
      <c r="D25" s="26" t="s">
        <v>5</v>
      </c>
      <c r="E25" s="32"/>
      <c r="F25" s="74">
        <v>32</v>
      </c>
      <c r="G25" s="74">
        <v>17</v>
      </c>
      <c r="H25" s="74">
        <v>2</v>
      </c>
      <c r="I25" s="74">
        <v>35</v>
      </c>
      <c r="J25" s="64">
        <f t="shared" si="0"/>
        <v>0.88235294117647056</v>
      </c>
      <c r="K25" s="64">
        <f>IFERROR(F25/H25-1,"n/a")</f>
        <v>15</v>
      </c>
      <c r="L25" s="60">
        <f t="shared" si="1"/>
        <v>-8.5714285714285743E-2</v>
      </c>
      <c r="M25" s="68">
        <f>F25+'Jul-22'!M25</f>
        <v>188</v>
      </c>
      <c r="N25" s="68">
        <f>G25+'Jul-22'!N25</f>
        <v>54</v>
      </c>
      <c r="O25" s="68">
        <f>H25+'Jul-22'!O25</f>
        <v>11</v>
      </c>
      <c r="P25" s="68">
        <f>I25+'Jul-22'!P25</f>
        <v>204</v>
      </c>
      <c r="Q25" s="64">
        <f>IFERROR(M25/N25-1,"n/a")</f>
        <v>2.4814814814814814</v>
      </c>
      <c r="R25" s="64">
        <f>IFERROR(M25/O25-1,"n/a")</f>
        <v>16.09090909090909</v>
      </c>
      <c r="S25" s="60">
        <f>IFERROR(M25/P25-1,"n/a")</f>
        <v>-7.8431372549019662E-2</v>
      </c>
      <c r="T25" s="68">
        <v>107</v>
      </c>
      <c r="U25" s="70">
        <v>32</v>
      </c>
      <c r="V25" s="78">
        <v>372</v>
      </c>
    </row>
    <row r="26" spans="1:38" ht="15">
      <c r="A26" s="9"/>
      <c r="B26" s="12"/>
      <c r="C26" s="33"/>
      <c r="D26" s="26" t="s">
        <v>11</v>
      </c>
      <c r="E26" s="32"/>
      <c r="F26" s="74">
        <v>96458</v>
      </c>
      <c r="G26" s="74">
        <v>24100</v>
      </c>
      <c r="H26" s="74">
        <v>2541</v>
      </c>
      <c r="I26" s="74">
        <v>108905</v>
      </c>
      <c r="J26" s="64">
        <f t="shared" si="0"/>
        <v>3.0024066390041497</v>
      </c>
      <c r="K26" s="64">
        <f>IFERROR(F26/H26-1,"n/a")</f>
        <v>36.960645415190868</v>
      </c>
      <c r="L26" s="60">
        <f t="shared" si="1"/>
        <v>-0.11429227308204404</v>
      </c>
      <c r="M26" s="68">
        <f>F26+'Jul-22'!M26</f>
        <v>346507</v>
      </c>
      <c r="N26" s="68">
        <f>G26+'Jul-22'!N26</f>
        <v>69550</v>
      </c>
      <c r="O26" s="68">
        <f>H26+'Jul-22'!O26</f>
        <v>42762</v>
      </c>
      <c r="P26" s="68">
        <f>I26+'Jul-22'!P26</f>
        <v>586040</v>
      </c>
      <c r="Q26" s="64">
        <f>IFERROR(M26/N26-1,"n/a")</f>
        <v>3.9821279654924515</v>
      </c>
      <c r="R26" s="64">
        <f>IFERROR(M26/O26-1,"n/a")</f>
        <v>7.1031523315092837</v>
      </c>
      <c r="S26" s="60">
        <f>IFERROR(M26/P26-1,"n/a")</f>
        <v>-0.40873148590539898</v>
      </c>
      <c r="T26" s="68">
        <v>147132</v>
      </c>
      <c r="U26" s="70">
        <v>59180</v>
      </c>
      <c r="V26" s="78">
        <v>902015</v>
      </c>
    </row>
    <row r="27" spans="1:38" ht="15">
      <c r="A27" s="9"/>
      <c r="B27" s="12"/>
      <c r="C27" s="31" t="s">
        <v>17</v>
      </c>
      <c r="D27" s="26"/>
      <c r="E27" s="32"/>
      <c r="F27" s="72"/>
      <c r="G27" s="72"/>
      <c r="H27" s="72"/>
      <c r="I27" s="72"/>
      <c r="J27" s="64"/>
      <c r="K27" s="64"/>
      <c r="L27" s="60"/>
      <c r="M27" s="87"/>
      <c r="N27" s="87"/>
      <c r="O27" s="87"/>
      <c r="P27" s="87"/>
      <c r="Q27" s="64"/>
      <c r="R27" s="64"/>
      <c r="S27" s="60"/>
      <c r="T27" s="43"/>
      <c r="U27" s="44"/>
      <c r="V27" s="79"/>
    </row>
    <row r="28" spans="1:38" ht="15">
      <c r="B28" s="12"/>
      <c r="C28" s="33"/>
      <c r="D28" s="26" t="s">
        <v>5</v>
      </c>
      <c r="E28" s="32"/>
      <c r="F28" s="74">
        <v>72</v>
      </c>
      <c r="G28" s="74">
        <v>16</v>
      </c>
      <c r="H28" s="74">
        <v>3</v>
      </c>
      <c r="I28" s="74">
        <v>44</v>
      </c>
      <c r="J28" s="64">
        <f t="shared" si="0"/>
        <v>3.5</v>
      </c>
      <c r="K28" s="64">
        <f>IFERROR(F28/H28-1,"n/a")</f>
        <v>23</v>
      </c>
      <c r="L28" s="60">
        <f t="shared" si="1"/>
        <v>0.63636363636363646</v>
      </c>
      <c r="M28" s="68">
        <f>F28+'Jul-22'!M28</f>
        <v>346</v>
      </c>
      <c r="N28" s="68">
        <f>G28+'Jul-22'!N28</f>
        <v>56</v>
      </c>
      <c r="O28" s="68">
        <f>H28+'Jul-22'!O28</f>
        <v>5</v>
      </c>
      <c r="P28" s="68">
        <f>I28+'Jul-22'!P28</f>
        <v>216</v>
      </c>
      <c r="Q28" s="64">
        <f>IFERROR(M28/N28-1,"n/a")</f>
        <v>5.1785714285714288</v>
      </c>
      <c r="R28" s="64">
        <f>IFERROR(M28/O28-1,"n/a")</f>
        <v>68.2</v>
      </c>
      <c r="S28" s="60">
        <f>IFERROR(M28/P28-1,"n/a")</f>
        <v>0.60185185185185186</v>
      </c>
      <c r="T28" s="68">
        <v>127</v>
      </c>
      <c r="U28" s="70">
        <v>37</v>
      </c>
      <c r="V28" s="78">
        <f>282+81</f>
        <v>363</v>
      </c>
    </row>
    <row r="29" spans="1:38" ht="15">
      <c r="A29" s="9"/>
      <c r="B29" s="12"/>
      <c r="C29" s="33"/>
      <c r="D29" s="26" t="s">
        <v>11</v>
      </c>
      <c r="E29" s="32"/>
      <c r="F29" s="74">
        <f>151084+25399+7611</f>
        <v>184094</v>
      </c>
      <c r="G29" s="74">
        <v>25181</v>
      </c>
      <c r="H29" s="71">
        <v>0</v>
      </c>
      <c r="I29" s="74">
        <f>100123+26729+22999</f>
        <v>149851</v>
      </c>
      <c r="J29" s="64">
        <f t="shared" si="0"/>
        <v>6.310829593741313</v>
      </c>
      <c r="K29" s="64" t="str">
        <f>IFERROR(F29/H29-1,"n/a")</f>
        <v>n/a</v>
      </c>
      <c r="L29" s="60">
        <f t="shared" si="1"/>
        <v>0.22851365689918657</v>
      </c>
      <c r="M29" s="68">
        <f>F29+'Jul-22'!M29</f>
        <v>543174</v>
      </c>
      <c r="N29" s="68">
        <f>G29+'Jul-22'!N29</f>
        <v>81814</v>
      </c>
      <c r="O29" s="68">
        <f>H29+'Jul-22'!O29</f>
        <v>9186</v>
      </c>
      <c r="P29" s="68">
        <f>I29+'Jul-22'!P29</f>
        <v>592980</v>
      </c>
      <c r="Q29" s="64">
        <f>IFERROR(M29/N29-1,"n/a")</f>
        <v>5.6391326667807462</v>
      </c>
      <c r="R29" s="64">
        <f>IFERROR(M29/O29-1,"n/a")</f>
        <v>58.130633572828216</v>
      </c>
      <c r="S29" s="60">
        <f>IFERROR(M29/P29-1,"n/a")</f>
        <v>-8.3992714762723852E-2</v>
      </c>
      <c r="T29" s="68">
        <v>165083</v>
      </c>
      <c r="U29" s="70">
        <f>20768+8294</f>
        <v>29062</v>
      </c>
      <c r="V29" s="78">
        <f>659951+168729+38484</f>
        <v>867164</v>
      </c>
    </row>
    <row r="30" spans="1:38" ht="15" customHeight="1" thickBot="1">
      <c r="A30" s="9"/>
      <c r="B30" s="12"/>
      <c r="C30" s="35" t="s">
        <v>12</v>
      </c>
      <c r="D30" s="36"/>
      <c r="E30" s="37"/>
      <c r="F30" s="75">
        <f t="shared" ref="F30:I31" si="2">F13+F16+F19+F22+F25+F28</f>
        <v>310</v>
      </c>
      <c r="G30" s="75">
        <f t="shared" si="2"/>
        <v>108</v>
      </c>
      <c r="H30" s="75">
        <f t="shared" si="2"/>
        <v>5</v>
      </c>
      <c r="I30" s="75">
        <f t="shared" si="2"/>
        <v>272</v>
      </c>
      <c r="J30" s="66">
        <f t="shared" si="0"/>
        <v>1.8703703703703702</v>
      </c>
      <c r="K30" s="66">
        <f>IFERROR(F30/H30-1,"n/a")</f>
        <v>61</v>
      </c>
      <c r="L30" s="62">
        <f t="shared" si="1"/>
        <v>0.13970588235294112</v>
      </c>
      <c r="M30" s="46">
        <f t="shared" ref="M30:P31" si="3">M13+M16+M19+M22+M25+M28</f>
        <v>2268</v>
      </c>
      <c r="N30" s="46">
        <f t="shared" si="3"/>
        <v>234</v>
      </c>
      <c r="O30" s="46">
        <f t="shared" si="3"/>
        <v>614</v>
      </c>
      <c r="P30" s="46">
        <f t="shared" si="3"/>
        <v>2077</v>
      </c>
      <c r="Q30" s="66">
        <f>IFERROR(M30/N30-1,"n/a")</f>
        <v>8.6923076923076916</v>
      </c>
      <c r="R30" s="66">
        <f>IFERROR(M30/O30-1,"n/a")</f>
        <v>2.6938110749185666</v>
      </c>
      <c r="S30" s="62">
        <f>IFERROR(M30/P30-1,"n/a")</f>
        <v>9.1959557053442387E-2</v>
      </c>
      <c r="T30" s="46">
        <f t="shared" ref="T30:V31" si="4">T13+T16+T19+T22+T25+T28</f>
        <v>1062</v>
      </c>
      <c r="U30" s="46">
        <f t="shared" si="4"/>
        <v>667</v>
      </c>
      <c r="V30" s="80">
        <f t="shared" si="4"/>
        <v>3344</v>
      </c>
    </row>
    <row r="31" spans="1:38" s="22" customFormat="1" ht="15" customHeight="1" thickTop="1" thickBot="1">
      <c r="A31" s="9"/>
      <c r="B31" s="12"/>
      <c r="C31" s="38" t="s">
        <v>13</v>
      </c>
      <c r="D31" s="39"/>
      <c r="E31" s="40"/>
      <c r="F31" s="76">
        <f t="shared" si="2"/>
        <v>888814</v>
      </c>
      <c r="G31" s="76">
        <f t="shared" si="2"/>
        <v>165560</v>
      </c>
      <c r="H31" s="76">
        <f t="shared" si="2"/>
        <v>2541</v>
      </c>
      <c r="I31" s="76">
        <f t="shared" si="2"/>
        <v>926112</v>
      </c>
      <c r="J31" s="67">
        <f t="shared" si="0"/>
        <v>4.368531046146412</v>
      </c>
      <c r="K31" s="67">
        <f>IFERROR(F31/H31-1,"n/a")</f>
        <v>348.78905942542303</v>
      </c>
      <c r="L31" s="63">
        <f t="shared" si="1"/>
        <v>-4.0273746587885739E-2</v>
      </c>
      <c r="M31" s="47">
        <f t="shared" si="3"/>
        <v>4378861</v>
      </c>
      <c r="N31" s="47">
        <f t="shared" si="3"/>
        <v>332144</v>
      </c>
      <c r="O31" s="47">
        <f t="shared" si="3"/>
        <v>1287137</v>
      </c>
      <c r="P31" s="47">
        <f t="shared" si="3"/>
        <v>6070338</v>
      </c>
      <c r="Q31" s="67">
        <f>IFERROR(M31/N31-1,"n/a")</f>
        <v>12.183622163880726</v>
      </c>
      <c r="R31" s="67">
        <f>IFERROR(M31/O31-1,"n/a")</f>
        <v>2.4020162577876327</v>
      </c>
      <c r="S31" s="63">
        <f>IFERROR(M31/P31-1,"n/a")</f>
        <v>-0.27864626318995744</v>
      </c>
      <c r="T31" s="47">
        <f t="shared" si="4"/>
        <v>1554247</v>
      </c>
      <c r="U31" s="47">
        <f t="shared" si="4"/>
        <v>1323431</v>
      </c>
      <c r="V31" s="81">
        <f t="shared" si="4"/>
        <v>9169021</v>
      </c>
      <c r="W31" s="9"/>
      <c r="X31" s="21"/>
      <c r="Y31" s="21"/>
      <c r="Z31" s="21"/>
      <c r="AA31" s="21"/>
      <c r="AB31" s="21"/>
      <c r="AC31" s="21"/>
      <c r="AD31" s="21"/>
      <c r="AE31" s="21"/>
      <c r="AF31" s="21"/>
      <c r="AG31" s="21"/>
      <c r="AH31" s="21"/>
      <c r="AI31" s="21"/>
      <c r="AJ31" s="21"/>
      <c r="AK31" s="21"/>
      <c r="AL31" s="21"/>
    </row>
    <row r="32" spans="1:38" ht="15" customHeight="1" thickTop="1">
      <c r="A32" s="9"/>
      <c r="B32" s="9"/>
      <c r="C32" s="9"/>
      <c r="D32" s="9"/>
      <c r="E32" s="9"/>
      <c r="F32" s="9"/>
      <c r="G32" s="41"/>
      <c r="H32" s="41"/>
      <c r="I32" s="41"/>
      <c r="J32" s="41"/>
      <c r="K32" s="9"/>
      <c r="L32" s="9"/>
      <c r="M32" s="9"/>
      <c r="N32" s="9"/>
      <c r="O32" s="9"/>
      <c r="P32" s="9"/>
      <c r="Q32" s="9"/>
      <c r="R32" s="9"/>
      <c r="S32" s="9"/>
      <c r="T32" s="83"/>
      <c r="U32" s="9"/>
      <c r="V32" s="9"/>
    </row>
    <row r="33" spans="1:22" ht="23.1" customHeight="1">
      <c r="A33" s="9"/>
      <c r="B33" s="9"/>
      <c r="C33" s="9"/>
      <c r="D33" s="9"/>
      <c r="E33" s="9"/>
      <c r="F33" s="9"/>
      <c r="G33" s="41"/>
      <c r="H33" s="41"/>
      <c r="I33" s="41"/>
      <c r="J33" s="41"/>
      <c r="K33" s="9"/>
      <c r="L33" s="9"/>
      <c r="M33" s="9"/>
      <c r="N33" s="9"/>
      <c r="O33" s="9"/>
      <c r="P33" s="9"/>
      <c r="Q33" s="9"/>
      <c r="R33" s="9"/>
      <c r="S33" s="9"/>
      <c r="T33" s="9"/>
      <c r="U33" s="9"/>
      <c r="V33" s="9"/>
    </row>
    <row r="34" spans="1:22" ht="15">
      <c r="A34" s="9"/>
      <c r="B34" s="10"/>
      <c r="C34" s="86" t="s">
        <v>63</v>
      </c>
      <c r="D34" s="24"/>
      <c r="E34" s="24"/>
      <c r="F34" s="24"/>
      <c r="G34" s="24"/>
      <c r="H34" s="24"/>
      <c r="I34" s="24"/>
      <c r="J34" s="24"/>
      <c r="K34" s="24"/>
      <c r="L34" s="24"/>
      <c r="M34" s="24"/>
      <c r="N34" s="24"/>
      <c r="O34" s="24"/>
      <c r="P34" s="24"/>
      <c r="Q34" s="24"/>
      <c r="R34" s="24"/>
      <c r="S34" s="24"/>
      <c r="T34" s="24"/>
      <c r="U34" s="24"/>
      <c r="V34" s="24"/>
    </row>
    <row r="35" spans="1:22" ht="15">
      <c r="A35" s="9"/>
      <c r="B35" s="10"/>
      <c r="C35" s="24"/>
      <c r="D35" s="24"/>
      <c r="E35" s="24"/>
      <c r="F35" s="24"/>
      <c r="G35" s="24"/>
      <c r="H35" s="24"/>
      <c r="I35" s="24"/>
      <c r="J35" s="24"/>
      <c r="K35" s="24"/>
      <c r="L35" s="24"/>
      <c r="M35" s="24"/>
      <c r="N35" s="24"/>
      <c r="O35" s="24"/>
      <c r="P35" s="24"/>
      <c r="Q35" s="24"/>
      <c r="R35" s="24"/>
      <c r="S35" s="24"/>
      <c r="T35" s="24"/>
      <c r="U35" s="24"/>
      <c r="V35" s="24"/>
    </row>
    <row r="36" spans="1:22" ht="15" customHeight="1">
      <c r="A36" s="9"/>
      <c r="B36" s="9"/>
      <c r="C36" s="27" t="s">
        <v>7</v>
      </c>
      <c r="D36" s="28"/>
      <c r="E36" s="28"/>
      <c r="F36" s="158" t="str">
        <f>F9</f>
        <v>August</v>
      </c>
      <c r="G36" s="158"/>
      <c r="H36" s="158"/>
      <c r="I36" s="158"/>
      <c r="J36" s="158"/>
      <c r="K36" s="158"/>
      <c r="L36" s="159"/>
      <c r="M36" s="157" t="s">
        <v>70</v>
      </c>
      <c r="N36" s="158"/>
      <c r="O36" s="158"/>
      <c r="P36" s="158"/>
      <c r="Q36" s="158"/>
      <c r="R36" s="158"/>
      <c r="S36" s="159"/>
      <c r="T36" s="157" t="s">
        <v>58</v>
      </c>
      <c r="U36" s="158"/>
      <c r="V36" s="160"/>
    </row>
    <row r="37" spans="1:22" ht="15" customHeight="1">
      <c r="A37" s="9"/>
      <c r="B37" s="9"/>
      <c r="C37" s="29"/>
      <c r="D37" s="30"/>
      <c r="E37" s="30"/>
      <c r="F37" s="29"/>
      <c r="G37" s="30"/>
      <c r="H37" s="30"/>
      <c r="I37" s="30"/>
      <c r="J37" s="30"/>
      <c r="K37" s="30"/>
      <c r="L37" s="56"/>
      <c r="M37" s="30"/>
      <c r="N37" s="30"/>
      <c r="O37" s="30"/>
      <c r="P37" s="30"/>
      <c r="Q37" s="30"/>
      <c r="R37" s="30"/>
      <c r="S37" s="56"/>
      <c r="T37" s="30"/>
      <c r="U37" s="30"/>
      <c r="V37" s="56"/>
    </row>
    <row r="38" spans="1:22" s="9" customFormat="1" ht="33.6" customHeight="1">
      <c r="C38" s="59" t="s">
        <v>29</v>
      </c>
      <c r="D38" s="50"/>
      <c r="E38" s="51"/>
      <c r="F38" s="55">
        <v>2022</v>
      </c>
      <c r="G38" s="52">
        <v>2021</v>
      </c>
      <c r="H38" s="52">
        <v>2020</v>
      </c>
      <c r="I38" s="52">
        <v>2019</v>
      </c>
      <c r="J38" s="53" t="s">
        <v>36</v>
      </c>
      <c r="K38" s="53" t="s">
        <v>34</v>
      </c>
      <c r="L38" s="57" t="s">
        <v>35</v>
      </c>
      <c r="M38" s="53" t="s">
        <v>53</v>
      </c>
      <c r="N38" s="52" t="s">
        <v>54</v>
      </c>
      <c r="O38" s="52" t="s">
        <v>59</v>
      </c>
      <c r="P38" s="52" t="s">
        <v>64</v>
      </c>
      <c r="Q38" s="53" t="s">
        <v>66</v>
      </c>
      <c r="R38" s="53" t="s">
        <v>67</v>
      </c>
      <c r="S38" s="57" t="s">
        <v>68</v>
      </c>
      <c r="T38" s="53" t="s">
        <v>54</v>
      </c>
      <c r="U38" s="53" t="s">
        <v>65</v>
      </c>
      <c r="V38" s="57" t="s">
        <v>73</v>
      </c>
    </row>
    <row r="39" spans="1:22" s="9" customFormat="1" ht="15" customHeight="1">
      <c r="C39" s="31" t="s">
        <v>14</v>
      </c>
      <c r="D39" s="26"/>
      <c r="E39" s="32"/>
      <c r="F39" s="26"/>
      <c r="G39" s="26"/>
      <c r="H39" s="26"/>
      <c r="I39" s="26"/>
      <c r="J39" s="26"/>
      <c r="K39" s="26"/>
      <c r="L39" s="32"/>
      <c r="M39" s="26"/>
      <c r="N39" s="26"/>
      <c r="O39" s="26"/>
      <c r="Q39" s="26"/>
      <c r="R39" s="26"/>
      <c r="S39" s="32"/>
      <c r="T39" s="33"/>
      <c r="U39" s="88"/>
      <c r="V39" s="85"/>
    </row>
    <row r="40" spans="1:22" s="9" customFormat="1" ht="15" customHeight="1">
      <c r="C40" s="33"/>
      <c r="D40" s="26" t="s">
        <v>5</v>
      </c>
      <c r="E40" s="32"/>
      <c r="F40" s="74">
        <f t="shared" ref="F40:I41" si="5">F13</f>
        <v>0</v>
      </c>
      <c r="G40" s="74">
        <f t="shared" si="5"/>
        <v>7</v>
      </c>
      <c r="H40" s="71">
        <f t="shared" si="5"/>
        <v>0</v>
      </c>
      <c r="I40" s="71">
        <f t="shared" si="5"/>
        <v>4</v>
      </c>
      <c r="J40" s="64">
        <f>IFERROR(F40/G40-1,"n/a")</f>
        <v>-1</v>
      </c>
      <c r="K40" s="64" t="str">
        <f>IFERROR(F40/H40-1,"n/a")</f>
        <v>n/a</v>
      </c>
      <c r="L40" s="60">
        <f>IFERROR(F40/I40-1,"n/a")</f>
        <v>-1</v>
      </c>
      <c r="M40" s="70">
        <f>+M13-'Mar-22'!M10</f>
        <v>30</v>
      </c>
      <c r="N40" s="70">
        <f>+N13-'Mar-22'!N10</f>
        <v>13</v>
      </c>
      <c r="O40" s="82">
        <f>+O13-'Mar-22'!O10</f>
        <v>0</v>
      </c>
      <c r="P40" s="70">
        <f>+P13-'Mar-22'!P10</f>
        <v>50</v>
      </c>
      <c r="Q40" s="64">
        <f>IFERROR(M40/N40-1,"n/a")</f>
        <v>1.3076923076923075</v>
      </c>
      <c r="R40" s="64" t="str">
        <f>IFERROR(M40/O40-1,"n/a")</f>
        <v>n/a</v>
      </c>
      <c r="S40" s="60">
        <f>IFERROR(M40/P40-1,"n/a")</f>
        <v>-0.4</v>
      </c>
      <c r="T40" s="89">
        <v>308</v>
      </c>
      <c r="U40" s="70">
        <v>145</v>
      </c>
      <c r="V40" s="78">
        <v>331</v>
      </c>
    </row>
    <row r="41" spans="1:22" s="9" customFormat="1" ht="15" customHeight="1">
      <c r="C41" s="33"/>
      <c r="D41" s="26" t="s">
        <v>11</v>
      </c>
      <c r="E41" s="32"/>
      <c r="F41" s="74">
        <f t="shared" si="5"/>
        <v>0</v>
      </c>
      <c r="G41" s="74">
        <f t="shared" si="5"/>
        <v>1816</v>
      </c>
      <c r="H41" s="71">
        <f t="shared" si="5"/>
        <v>0</v>
      </c>
      <c r="I41" s="74">
        <f t="shared" si="5"/>
        <v>9607</v>
      </c>
      <c r="J41" s="64">
        <f>IFERROR(F41/G41-1,"n/a")</f>
        <v>-1</v>
      </c>
      <c r="K41" s="64" t="str">
        <f>IFERROR(F41/H41-1,"n/a")</f>
        <v>n/a</v>
      </c>
      <c r="L41" s="60">
        <f>IFERROR(F41/I41-1,"n/a")</f>
        <v>-1</v>
      </c>
      <c r="M41" s="82">
        <f>+M14-'Mar-22'!M11</f>
        <v>37841</v>
      </c>
      <c r="N41" s="82">
        <f>+N14-'Mar-22'!N11</f>
        <v>2583</v>
      </c>
      <c r="O41" s="82">
        <f>+O14-'Mar-22'!O11</f>
        <v>0</v>
      </c>
      <c r="P41" s="82">
        <f>+P14-'Mar-22'!P11</f>
        <v>95751</v>
      </c>
      <c r="Q41" s="64">
        <f>IFERROR(M41/N41-1,"n/a")</f>
        <v>13.650019357336431</v>
      </c>
      <c r="R41" s="64" t="str">
        <f>IFERROR(M41/O41-1,"n/a")</f>
        <v>n/a</v>
      </c>
      <c r="S41" s="60">
        <f>IFERROR(M41/P41-1,"n/a")</f>
        <v>-0.60479786111894396</v>
      </c>
      <c r="T41" s="89">
        <v>237191</v>
      </c>
      <c r="U41" s="84">
        <v>258885</v>
      </c>
      <c r="V41" s="78">
        <v>606801</v>
      </c>
    </row>
    <row r="42" spans="1:22" s="9" customFormat="1" ht="15" customHeight="1">
      <c r="C42" s="31" t="s">
        <v>20</v>
      </c>
      <c r="D42" s="26"/>
      <c r="E42" s="32"/>
      <c r="F42" s="26"/>
      <c r="G42" s="26"/>
      <c r="H42" s="26"/>
      <c r="I42" s="26"/>
      <c r="J42" s="64"/>
      <c r="K42" s="64"/>
      <c r="L42" s="61"/>
      <c r="M42" s="87"/>
      <c r="N42" s="87"/>
      <c r="O42" s="87"/>
      <c r="P42" s="87"/>
      <c r="Q42" s="65"/>
      <c r="R42" s="65"/>
      <c r="S42" s="61"/>
      <c r="T42" s="90"/>
      <c r="U42" s="44"/>
      <c r="V42" s="79"/>
    </row>
    <row r="43" spans="1:22" s="9" customFormat="1" ht="15" customHeight="1">
      <c r="C43" s="33"/>
      <c r="D43" s="26" t="s">
        <v>5</v>
      </c>
      <c r="E43" s="32"/>
      <c r="F43" s="74">
        <f t="shared" ref="F43:I44" si="6">F16</f>
        <v>57</v>
      </c>
      <c r="G43" s="74">
        <f t="shared" si="6"/>
        <v>24</v>
      </c>
      <c r="H43" s="71">
        <f t="shared" si="6"/>
        <v>0</v>
      </c>
      <c r="I43" s="74">
        <f t="shared" si="6"/>
        <v>69</v>
      </c>
      <c r="J43" s="64">
        <f>IFERROR(F43/G43-1,"n/a")</f>
        <v>1.375</v>
      </c>
      <c r="K43" s="64" t="str">
        <f>IFERROR(F43/H43-1,"n/a")</f>
        <v>n/a</v>
      </c>
      <c r="L43" s="60">
        <f>IFERROR(F43/I43-1,"n/a")</f>
        <v>-0.17391304347826086</v>
      </c>
      <c r="M43" s="70">
        <f>+M16-'Mar-22'!M13</f>
        <v>395</v>
      </c>
      <c r="N43" s="70">
        <f>+N16-'Mar-22'!N13</f>
        <v>38</v>
      </c>
      <c r="O43" s="82">
        <f>+O16-'Mar-22'!O13</f>
        <v>0</v>
      </c>
      <c r="P43" s="70">
        <f>+P16-'Mar-22'!P13</f>
        <v>410</v>
      </c>
      <c r="Q43" s="64">
        <f>IFERROR(M43/N43-1,"n/a")</f>
        <v>9.3947368421052637</v>
      </c>
      <c r="R43" s="64" t="str">
        <f>IFERROR(M43/O43-1,"n/a")</f>
        <v>n/a</v>
      </c>
      <c r="S43" s="60">
        <f>IFERROR(M43/P43-1,"n/a")</f>
        <v>-3.6585365853658569E-2</v>
      </c>
      <c r="T43" s="89">
        <v>336</v>
      </c>
      <c r="U43" s="70">
        <v>43</v>
      </c>
      <c r="V43" s="78">
        <v>781</v>
      </c>
    </row>
    <row r="44" spans="1:22" s="9" customFormat="1" ht="15" customHeight="1">
      <c r="C44" s="33"/>
      <c r="D44" s="26" t="s">
        <v>11</v>
      </c>
      <c r="E44" s="32"/>
      <c r="F44" s="74">
        <f t="shared" si="6"/>
        <v>227186</v>
      </c>
      <c r="G44" s="74">
        <f t="shared" si="6"/>
        <v>49688</v>
      </c>
      <c r="H44" s="71">
        <f t="shared" si="6"/>
        <v>0</v>
      </c>
      <c r="I44" s="74">
        <f t="shared" si="6"/>
        <v>291759</v>
      </c>
      <c r="J44" s="64">
        <f>IFERROR(F44/G44-1,"n/a")</f>
        <v>3.572250845274513</v>
      </c>
      <c r="K44" s="64" t="str">
        <f>IFERROR(F44/H44-1,"n/a")</f>
        <v>n/a</v>
      </c>
      <c r="L44" s="60">
        <f>IFERROR(F44/I44-1,"n/a")</f>
        <v>-0.2213230782940715</v>
      </c>
      <c r="M44" s="82">
        <f>+M17-'Mar-22'!M14</f>
        <v>963849</v>
      </c>
      <c r="N44" s="82">
        <f>+N17-'Mar-22'!N14</f>
        <v>78164</v>
      </c>
      <c r="O44" s="82">
        <f>+O17-'Mar-22'!O14</f>
        <v>0</v>
      </c>
      <c r="P44" s="82">
        <f>+P17-'Mar-22'!P14</f>
        <v>1341508</v>
      </c>
      <c r="Q44" s="64">
        <f>IFERROR(M44/N44-1,"n/a")</f>
        <v>11.33111150913464</v>
      </c>
      <c r="R44" s="64" t="str">
        <f>IFERROR(M44/O44-1,"n/a")</f>
        <v>n/a</v>
      </c>
      <c r="S44" s="60">
        <f>IFERROR(M44/P44-1,"n/a")</f>
        <v>-0.28151826153850745</v>
      </c>
      <c r="T44" s="89">
        <v>533563</v>
      </c>
      <c r="U44" s="84">
        <v>140552</v>
      </c>
      <c r="V44" s="78">
        <v>2441594</v>
      </c>
    </row>
    <row r="45" spans="1:22" s="9" customFormat="1" ht="15" customHeight="1">
      <c r="C45" s="31" t="s">
        <v>15</v>
      </c>
      <c r="D45" s="26"/>
      <c r="E45" s="32"/>
      <c r="F45" s="87"/>
      <c r="G45" s="87"/>
      <c r="H45" s="87"/>
      <c r="I45" s="72"/>
      <c r="J45" s="64"/>
      <c r="K45" s="64"/>
      <c r="L45" s="60"/>
      <c r="M45" s="87"/>
      <c r="N45" s="87"/>
      <c r="O45" s="87"/>
      <c r="P45" s="87"/>
      <c r="Q45" s="64"/>
      <c r="R45" s="64"/>
      <c r="S45" s="60"/>
      <c r="T45" s="90"/>
      <c r="U45" s="44"/>
      <c r="V45" s="79"/>
    </row>
    <row r="46" spans="1:22" s="9" customFormat="1" ht="15" customHeight="1">
      <c r="C46" s="33"/>
      <c r="D46" s="26" t="s">
        <v>5</v>
      </c>
      <c r="E46" s="32"/>
      <c r="F46" s="74">
        <f t="shared" ref="F46:I47" si="7">F19</f>
        <v>68</v>
      </c>
      <c r="G46" s="71">
        <f t="shared" si="7"/>
        <v>0</v>
      </c>
      <c r="H46" s="71">
        <f t="shared" si="7"/>
        <v>0</v>
      </c>
      <c r="I46" s="74">
        <f t="shared" si="7"/>
        <v>27</v>
      </c>
      <c r="J46" s="64" t="str">
        <f>IFERROR(F46/G46-1,"n/a")</f>
        <v>n/a</v>
      </c>
      <c r="K46" s="64" t="str">
        <f>IFERROR(F46/H46-1,"n/a")</f>
        <v>n/a</v>
      </c>
      <c r="L46" s="60">
        <f>IFERROR(F46/I46-1,"n/a")</f>
        <v>1.5185185185185186</v>
      </c>
      <c r="M46" s="70">
        <f>+M19-'Mar-22'!M16</f>
        <v>285</v>
      </c>
      <c r="N46" s="82">
        <f>+N19-'Mar-22'!N16</f>
        <v>0</v>
      </c>
      <c r="O46" s="82">
        <f>+O19-'Mar-22'!O16</f>
        <v>1</v>
      </c>
      <c r="P46" s="82">
        <f>+P19-'Mar-22'!P16</f>
        <v>122</v>
      </c>
      <c r="Q46" s="64" t="str">
        <f>IFERROR(M46/N46-1,"n/a")</f>
        <v>n/a</v>
      </c>
      <c r="R46" s="64">
        <f>IFERROR(M46/O46-1,"n/a")</f>
        <v>284</v>
      </c>
      <c r="S46" s="60">
        <f>IFERROR(M46/P46-1,"n/a")</f>
        <v>1.3360655737704916</v>
      </c>
      <c r="T46" s="89">
        <v>33</v>
      </c>
      <c r="U46" s="70">
        <v>4</v>
      </c>
      <c r="V46" s="78">
        <v>188</v>
      </c>
    </row>
    <row r="47" spans="1:22" s="9" customFormat="1" ht="15" customHeight="1">
      <c r="C47" s="33"/>
      <c r="D47" s="26" t="s">
        <v>11</v>
      </c>
      <c r="E47" s="32"/>
      <c r="F47" s="74">
        <f t="shared" si="7"/>
        <v>102556</v>
      </c>
      <c r="G47" s="71">
        <f t="shared" si="7"/>
        <v>0</v>
      </c>
      <c r="H47" s="71">
        <f t="shared" si="7"/>
        <v>0</v>
      </c>
      <c r="I47" s="74">
        <f t="shared" si="7"/>
        <v>50351</v>
      </c>
      <c r="J47" s="64" t="str">
        <f>IFERROR(F47/G47-1,"n/a")</f>
        <v>n/a</v>
      </c>
      <c r="K47" s="64" t="str">
        <f>IFERROR(F47/H47-1,"n/a")</f>
        <v>n/a</v>
      </c>
      <c r="L47" s="60">
        <f>IFERROR(F47/I47-1,"n/a")</f>
        <v>1.036821512978888</v>
      </c>
      <c r="M47" s="82">
        <f>+M20-'Mar-22'!M17</f>
        <v>340674</v>
      </c>
      <c r="N47" s="82">
        <f>+N20-'Mar-22'!N17</f>
        <v>0</v>
      </c>
      <c r="O47" s="82">
        <f>+O20-'Mar-22'!O17</f>
        <v>111</v>
      </c>
      <c r="P47" s="82">
        <f>+P20-'Mar-22'!P17</f>
        <v>162404</v>
      </c>
      <c r="Q47" s="64" t="str">
        <f>IFERROR(M47/N47-1,"n/a")</f>
        <v>n/a</v>
      </c>
      <c r="R47" s="64">
        <f>IFERROR(M47/O47-1,"n/a")</f>
        <v>3068.135135135135</v>
      </c>
      <c r="S47" s="60">
        <f>IFERROR(M47/P47-1,"n/a")</f>
        <v>1.0976946380631021</v>
      </c>
      <c r="T47" s="82">
        <v>10083</v>
      </c>
      <c r="U47" s="84">
        <v>1753</v>
      </c>
      <c r="V47" s="78">
        <f>176097+74816</f>
        <v>250913</v>
      </c>
    </row>
    <row r="48" spans="1:22" s="9" customFormat="1" ht="15" customHeight="1">
      <c r="C48" s="31" t="s">
        <v>10</v>
      </c>
      <c r="D48" s="26"/>
      <c r="E48" s="34"/>
      <c r="F48" s="72"/>
      <c r="G48" s="72"/>
      <c r="H48" s="72"/>
      <c r="I48" s="72"/>
      <c r="J48" s="64"/>
      <c r="K48" s="64"/>
      <c r="L48" s="60"/>
      <c r="M48" s="87"/>
      <c r="N48" s="87"/>
      <c r="O48" s="87"/>
      <c r="P48" s="87"/>
      <c r="Q48" s="64"/>
      <c r="R48" s="64"/>
      <c r="S48" s="60"/>
      <c r="T48" s="90"/>
      <c r="U48" s="44"/>
      <c r="V48" s="79"/>
    </row>
    <row r="49" spans="3:22" s="9" customFormat="1" ht="15" customHeight="1">
      <c r="C49" s="33"/>
      <c r="D49" s="26" t="s">
        <v>5</v>
      </c>
      <c r="E49" s="34"/>
      <c r="F49" s="73">
        <f t="shared" ref="F49:I50" si="8">F22</f>
        <v>81</v>
      </c>
      <c r="G49" s="74">
        <f t="shared" si="8"/>
        <v>44</v>
      </c>
      <c r="H49" s="71">
        <f t="shared" si="8"/>
        <v>0</v>
      </c>
      <c r="I49" s="74">
        <f t="shared" si="8"/>
        <v>93</v>
      </c>
      <c r="J49" s="64">
        <f>IFERROR(F49/G49-1,"n/a")</f>
        <v>0.84090909090909083</v>
      </c>
      <c r="K49" s="64" t="str">
        <f>IFERROR(F49/H49-1,"n/a")</f>
        <v>n/a</v>
      </c>
      <c r="L49" s="60">
        <f>IFERROR(F49/I49-1,"n/a")</f>
        <v>-0.12903225806451613</v>
      </c>
      <c r="M49" s="70">
        <f>+M22-'Mar-22'!M19</f>
        <v>431</v>
      </c>
      <c r="N49" s="70">
        <f>+N22-'Mar-22'!N19</f>
        <v>73</v>
      </c>
      <c r="O49" s="70">
        <f>+O22-'Mar-22'!O19</f>
        <v>42</v>
      </c>
      <c r="P49" s="70">
        <f>+P22-'Mar-22'!P19</f>
        <v>464</v>
      </c>
      <c r="Q49" s="64">
        <f>IFERROR(M49/N49-1,"n/a")</f>
        <v>4.904109589041096</v>
      </c>
      <c r="R49" s="64">
        <f>IFERROR(M49/O49-1,"n/a")</f>
        <v>9.2619047619047628</v>
      </c>
      <c r="S49" s="60">
        <f>IFERROR(M49/P49-1,"n/a")</f>
        <v>-7.1120689655172376E-2</v>
      </c>
      <c r="T49" s="89">
        <v>744</v>
      </c>
      <c r="U49" s="84">
        <v>406</v>
      </c>
      <c r="V49" s="78">
        <v>1253</v>
      </c>
    </row>
    <row r="50" spans="3:22" s="9" customFormat="1" ht="15" customHeight="1">
      <c r="C50" s="33"/>
      <c r="D50" s="26" t="s">
        <v>11</v>
      </c>
      <c r="E50" s="32"/>
      <c r="F50" s="73">
        <f t="shared" si="8"/>
        <v>278520</v>
      </c>
      <c r="G50" s="74">
        <f t="shared" si="8"/>
        <v>64775</v>
      </c>
      <c r="H50" s="71">
        <f t="shared" si="8"/>
        <v>0</v>
      </c>
      <c r="I50" s="74">
        <f t="shared" si="8"/>
        <v>315639</v>
      </c>
      <c r="J50" s="64">
        <f>IFERROR(F50/G50-1,"n/a")</f>
        <v>3.2998070243149362</v>
      </c>
      <c r="K50" s="64" t="str">
        <f>IFERROR(F50/H50-1,"n/a")</f>
        <v>n/a</v>
      </c>
      <c r="L50" s="60">
        <f>IFERROR(F50/I50-1,"n/a")</f>
        <v>-0.11759953617898933</v>
      </c>
      <c r="M50" s="82">
        <f>+M23-'Mar-22'!M20</f>
        <v>1317232</v>
      </c>
      <c r="N50" s="82">
        <f>+N23-'Mar-22'!N20</f>
        <v>100033</v>
      </c>
      <c r="O50" s="82">
        <f>+O23-'Mar-22'!O20</f>
        <v>0</v>
      </c>
      <c r="P50" s="82">
        <f>+P23-'Mar-22'!P20</f>
        <v>1583513</v>
      </c>
      <c r="Q50" s="64">
        <f>IFERROR(M50/N50-1,"n/a")</f>
        <v>12.167974568392431</v>
      </c>
      <c r="R50" s="64" t="str">
        <f>IFERROR(M50/O50-1,"n/a")</f>
        <v>n/a</v>
      </c>
      <c r="S50" s="60">
        <f>IFERROR(M50/P50-1,"n/a")</f>
        <v>-0.16815839213192441</v>
      </c>
      <c r="T50" s="82">
        <v>1290779</v>
      </c>
      <c r="U50" s="84">
        <v>833999</v>
      </c>
      <c r="V50" s="78">
        <v>3627458</v>
      </c>
    </row>
    <row r="51" spans="3:22" s="9" customFormat="1" ht="15" customHeight="1">
      <c r="C51" s="31" t="s">
        <v>16</v>
      </c>
      <c r="D51" s="26"/>
      <c r="E51" s="32"/>
      <c r="F51" s="72"/>
      <c r="G51" s="72"/>
      <c r="H51" s="72"/>
      <c r="I51" s="72"/>
      <c r="J51" s="64"/>
      <c r="K51" s="64"/>
      <c r="L51" s="60"/>
      <c r="M51" s="87"/>
      <c r="N51" s="87"/>
      <c r="O51" s="87"/>
      <c r="P51" s="87"/>
      <c r="Q51" s="64"/>
      <c r="R51" s="64"/>
      <c r="S51" s="60"/>
      <c r="T51" s="90"/>
      <c r="U51" s="44"/>
      <c r="V51" s="79"/>
    </row>
    <row r="52" spans="3:22" s="9" customFormat="1" ht="15" customHeight="1">
      <c r="C52" s="33"/>
      <c r="D52" s="26" t="s">
        <v>5</v>
      </c>
      <c r="E52" s="32"/>
      <c r="F52" s="74">
        <f t="shared" ref="F52:I53" si="9">F25</f>
        <v>32</v>
      </c>
      <c r="G52" s="74">
        <f t="shared" si="9"/>
        <v>17</v>
      </c>
      <c r="H52" s="71">
        <f t="shared" si="9"/>
        <v>2</v>
      </c>
      <c r="I52" s="74">
        <f t="shared" si="9"/>
        <v>35</v>
      </c>
      <c r="J52" s="64">
        <f>IFERROR(F52/G52-1,"n/a")</f>
        <v>0.88235294117647056</v>
      </c>
      <c r="K52" s="64">
        <f>IFERROR(F52/H52-1,"n/a")</f>
        <v>15</v>
      </c>
      <c r="L52" s="60">
        <f>IFERROR(F52/I52-1,"n/a")</f>
        <v>-8.5714285714285743E-2</v>
      </c>
      <c r="M52" s="70">
        <f>+M25-'Mar-22'!M22</f>
        <v>165</v>
      </c>
      <c r="N52" s="70">
        <f>+N25-'Mar-22'!N22</f>
        <v>45</v>
      </c>
      <c r="O52" s="82">
        <f>+O25-'Mar-22'!O22</f>
        <v>2</v>
      </c>
      <c r="P52" s="70">
        <f>+P25-'Mar-22'!P22</f>
        <v>184</v>
      </c>
      <c r="Q52" s="64">
        <f>IFERROR(M52/N52-1,"n/a")</f>
        <v>2.6666666666666665</v>
      </c>
      <c r="R52" s="64">
        <f>IFERROR(M52/O52-1,"n/a")</f>
        <v>81.5</v>
      </c>
      <c r="S52" s="60">
        <f>IFERROR(M52/P52-1,"n/a")</f>
        <v>-0.10326086956521741</v>
      </c>
      <c r="T52" s="89">
        <v>121</v>
      </c>
      <c r="U52" s="70">
        <v>41</v>
      </c>
      <c r="V52" s="78">
        <v>361</v>
      </c>
    </row>
    <row r="53" spans="3:22" s="9" customFormat="1" ht="15" customHeight="1">
      <c r="C53" s="33"/>
      <c r="D53" s="26" t="s">
        <v>11</v>
      </c>
      <c r="E53" s="32"/>
      <c r="F53" s="74">
        <f t="shared" si="9"/>
        <v>96458</v>
      </c>
      <c r="G53" s="74">
        <f t="shared" si="9"/>
        <v>24100</v>
      </c>
      <c r="H53" s="71">
        <f t="shared" si="9"/>
        <v>2541</v>
      </c>
      <c r="I53" s="74">
        <f t="shared" si="9"/>
        <v>108905</v>
      </c>
      <c r="J53" s="64">
        <f>IFERROR(F53/G53-1,"n/a")</f>
        <v>3.0024066390041497</v>
      </c>
      <c r="K53" s="64">
        <f>IFERROR(F53/H53-1,"n/a")</f>
        <v>36.960645415190868</v>
      </c>
      <c r="L53" s="60">
        <f>IFERROR(F53/I53-1,"n/a")</f>
        <v>-0.11429227308204404</v>
      </c>
      <c r="M53" s="82">
        <f>+M26-'Mar-22'!M23</f>
        <v>319986</v>
      </c>
      <c r="N53" s="82">
        <f>+N26-'Mar-22'!N23</f>
        <v>61586</v>
      </c>
      <c r="O53" s="82">
        <f>+O26-'Mar-22'!O23</f>
        <v>2541</v>
      </c>
      <c r="P53" s="82">
        <f>+P26-'Mar-22'!P23</f>
        <v>509765</v>
      </c>
      <c r="Q53" s="64">
        <f>IFERROR(M53/N53-1,"n/a")</f>
        <v>4.1957587763452731</v>
      </c>
      <c r="R53" s="64">
        <f>IFERROR(M53/O53-1,"n/a")</f>
        <v>124.92916174734357</v>
      </c>
      <c r="S53" s="60">
        <f>IFERROR(M53/P53-1,"n/a")</f>
        <v>-0.37228723039047407</v>
      </c>
      <c r="T53" s="82">
        <v>165689</v>
      </c>
      <c r="U53" s="84">
        <v>67144</v>
      </c>
      <c r="V53" s="78">
        <v>865961</v>
      </c>
    </row>
    <row r="54" spans="3:22" ht="15" customHeight="1">
      <c r="C54" s="31" t="s">
        <v>17</v>
      </c>
      <c r="D54" s="26"/>
      <c r="E54" s="32"/>
      <c r="F54" s="72"/>
      <c r="G54" s="72"/>
      <c r="H54" s="72"/>
      <c r="I54" s="72"/>
      <c r="J54" s="64"/>
      <c r="K54" s="64"/>
      <c r="L54" s="60"/>
      <c r="M54" s="87"/>
      <c r="N54" s="87"/>
      <c r="O54" s="87"/>
      <c r="P54" s="87"/>
      <c r="Q54" s="64"/>
      <c r="R54" s="64"/>
      <c r="S54" s="60"/>
      <c r="T54" s="90"/>
      <c r="U54" s="44"/>
      <c r="V54" s="79"/>
    </row>
    <row r="55" spans="3:22" ht="15.6" customHeight="1">
      <c r="C55" s="33"/>
      <c r="D55" s="26" t="s">
        <v>5</v>
      </c>
      <c r="E55" s="32"/>
      <c r="F55" s="74">
        <f t="shared" ref="F55:I56" si="10">F28</f>
        <v>72</v>
      </c>
      <c r="G55" s="74">
        <f t="shared" si="10"/>
        <v>16</v>
      </c>
      <c r="H55" s="71">
        <f t="shared" si="10"/>
        <v>3</v>
      </c>
      <c r="I55" s="74">
        <f t="shared" si="10"/>
        <v>44</v>
      </c>
      <c r="J55" s="64">
        <f>IFERROR(F55/G55-1,"n/a")</f>
        <v>3.5</v>
      </c>
      <c r="K55" s="64">
        <f>IFERROR(F55/H55-1,"n/a")</f>
        <v>23</v>
      </c>
      <c r="L55" s="60">
        <f>IFERROR(F55/I55-1,"n/a")</f>
        <v>0.63636363636363646</v>
      </c>
      <c r="M55" s="70">
        <f>+M28-'Mar-22'!M25</f>
        <v>330</v>
      </c>
      <c r="N55" s="70">
        <f>+N28-'Mar-22'!N25</f>
        <v>53</v>
      </c>
      <c r="O55" s="70">
        <f>+O28-'Mar-22'!O25</f>
        <v>4</v>
      </c>
      <c r="P55" s="70">
        <f>+P28-'Mar-22'!P25</f>
        <v>212</v>
      </c>
      <c r="Q55" s="64">
        <f>IFERROR(M55/N55-1,"n/a")</f>
        <v>5.2264150943396226</v>
      </c>
      <c r="R55" s="64">
        <f>IFERROR(M55/O55-1,"n/a")</f>
        <v>81.5</v>
      </c>
      <c r="S55" s="60">
        <f>IFERROR(M55/P55-1,"n/a")</f>
        <v>0.55660377358490565</v>
      </c>
      <c r="T55" s="89">
        <v>140</v>
      </c>
      <c r="U55" s="70">
        <v>40</v>
      </c>
      <c r="V55" s="78">
        <v>360</v>
      </c>
    </row>
    <row r="56" spans="3:22" ht="15.6" customHeight="1">
      <c r="C56" s="33"/>
      <c r="D56" s="26" t="s">
        <v>11</v>
      </c>
      <c r="E56" s="32"/>
      <c r="F56" s="74">
        <f t="shared" si="10"/>
        <v>184094</v>
      </c>
      <c r="G56" s="74">
        <f t="shared" si="10"/>
        <v>25181</v>
      </c>
      <c r="H56" s="71">
        <f t="shared" si="10"/>
        <v>0</v>
      </c>
      <c r="I56" s="74">
        <f t="shared" si="10"/>
        <v>149851</v>
      </c>
      <c r="J56" s="64">
        <f>IFERROR(F56/G56-1,"n/a")</f>
        <v>6.310829593741313</v>
      </c>
      <c r="K56" s="64" t="str">
        <f>IFERROR(F56/H56-1,"n/a")</f>
        <v>n/a</v>
      </c>
      <c r="L56" s="60">
        <f>IFERROR(F56/I56-1,"n/a")</f>
        <v>0.22851365689918657</v>
      </c>
      <c r="M56" s="82">
        <f>+M29-'Mar-22'!M26</f>
        <v>531574</v>
      </c>
      <c r="N56" s="82">
        <f>+N29-'Mar-22'!N26</f>
        <v>79675</v>
      </c>
      <c r="O56" s="82">
        <f>+O29-'Mar-22'!O26</f>
        <v>8294</v>
      </c>
      <c r="P56" s="82">
        <f>+P29-'Mar-22'!P26</f>
        <v>586871</v>
      </c>
      <c r="Q56" s="64">
        <f>IFERROR(M56/N56-1,"n/a")</f>
        <v>5.6717791026043303</v>
      </c>
      <c r="R56" s="64">
        <f>IFERROR(M56/O56-1,"n/a")</f>
        <v>63.091391367253436</v>
      </c>
      <c r="S56" s="60">
        <f>IFERROR(M56/P56-1,"n/a")</f>
        <v>-9.4223432406780994E-2</v>
      </c>
      <c r="T56" s="82">
        <v>174336</v>
      </c>
      <c r="U56" s="84">
        <v>21928</v>
      </c>
      <c r="V56" s="78">
        <f>706948+155011</f>
        <v>861959</v>
      </c>
    </row>
    <row r="57" spans="3:22" ht="26.85" customHeight="1" thickBot="1">
      <c r="C57" s="35" t="s">
        <v>12</v>
      </c>
      <c r="D57" s="36"/>
      <c r="E57" s="37"/>
      <c r="F57" s="75">
        <f t="shared" ref="F57:I58" si="11">F40+F43+F46+F49+F52+F55</f>
        <v>310</v>
      </c>
      <c r="G57" s="75">
        <f t="shared" si="11"/>
        <v>108</v>
      </c>
      <c r="H57" s="75">
        <f t="shared" si="11"/>
        <v>5</v>
      </c>
      <c r="I57" s="75">
        <f t="shared" si="11"/>
        <v>272</v>
      </c>
      <c r="J57" s="66">
        <f>IFERROR(F57/G57-1,"n/a")</f>
        <v>1.8703703703703702</v>
      </c>
      <c r="K57" s="66">
        <f>IFERROR(F57/H57-1,"n/a")</f>
        <v>61</v>
      </c>
      <c r="L57" s="62">
        <f>IFERROR(F57/I57-1,"n/a")</f>
        <v>0.13970588235294112</v>
      </c>
      <c r="M57" s="46">
        <f t="shared" ref="M57:P58" si="12">M40+M43+M46+M49+M52+M55</f>
        <v>1636</v>
      </c>
      <c r="N57" s="46">
        <f t="shared" si="12"/>
        <v>222</v>
      </c>
      <c r="O57" s="46">
        <f t="shared" si="12"/>
        <v>49</v>
      </c>
      <c r="P57" s="46">
        <f t="shared" si="12"/>
        <v>1442</v>
      </c>
      <c r="Q57" s="66">
        <f>IFERROR(M57/N57-1,"n/a")</f>
        <v>6.3693693693693696</v>
      </c>
      <c r="R57" s="66">
        <f>IFERROR(M57/O57-1,"n/a")</f>
        <v>32.387755102040813</v>
      </c>
      <c r="S57" s="62">
        <f>IFERROR(M57/P57-1,"n/a")</f>
        <v>0.13453536754507622</v>
      </c>
      <c r="T57" s="46">
        <f t="shared" ref="T57:V58" si="13">T40+T43+T46+T49+T52+T55</f>
        <v>1682</v>
      </c>
      <c r="U57" s="46">
        <f t="shared" si="13"/>
        <v>679</v>
      </c>
      <c r="V57" s="80">
        <f t="shared" si="13"/>
        <v>3274</v>
      </c>
    </row>
    <row r="58" spans="3:22" ht="26.85" customHeight="1" thickTop="1" thickBot="1">
      <c r="C58" s="38" t="s">
        <v>13</v>
      </c>
      <c r="D58" s="39"/>
      <c r="E58" s="40"/>
      <c r="F58" s="76">
        <f t="shared" si="11"/>
        <v>888814</v>
      </c>
      <c r="G58" s="76">
        <f t="shared" si="11"/>
        <v>165560</v>
      </c>
      <c r="H58" s="76">
        <f t="shared" si="11"/>
        <v>2541</v>
      </c>
      <c r="I58" s="76">
        <f t="shared" si="11"/>
        <v>926112</v>
      </c>
      <c r="J58" s="67">
        <f>IFERROR(F58/G58-1,"n/a")</f>
        <v>4.368531046146412</v>
      </c>
      <c r="K58" s="67">
        <f>IFERROR(F58/H58-1,"n/a")</f>
        <v>348.78905942542303</v>
      </c>
      <c r="L58" s="63">
        <f>IFERROR(F58/I58-1,"n/a")</f>
        <v>-4.0273746587885739E-2</v>
      </c>
      <c r="M58" s="47">
        <f t="shared" si="12"/>
        <v>3511156</v>
      </c>
      <c r="N58" s="47">
        <f t="shared" si="12"/>
        <v>322041</v>
      </c>
      <c r="O58" s="47">
        <f t="shared" si="12"/>
        <v>10946</v>
      </c>
      <c r="P58" s="47">
        <f t="shared" si="12"/>
        <v>4279812</v>
      </c>
      <c r="Q58" s="67">
        <f>IFERROR(M58/N58-1,"n/a")</f>
        <v>9.9028229324837529</v>
      </c>
      <c r="R58" s="67">
        <f>IFERROR(M58/O58-1,"n/a")</f>
        <v>319.77069249040744</v>
      </c>
      <c r="S58" s="63">
        <f>IFERROR(M58/P58-1,"n/a")</f>
        <v>-0.17960041235456137</v>
      </c>
      <c r="T58" s="47">
        <f t="shared" si="13"/>
        <v>2411641</v>
      </c>
      <c r="U58" s="47">
        <f t="shared" si="13"/>
        <v>1324261</v>
      </c>
      <c r="V58" s="81">
        <f t="shared" si="13"/>
        <v>8654686</v>
      </c>
    </row>
    <row r="59" spans="3:22" ht="12" customHeight="1" thickTop="1"/>
  </sheetData>
  <mergeCells count="6">
    <mergeCell ref="F9:L9"/>
    <mergeCell ref="M9:S9"/>
    <mergeCell ref="T9:V9"/>
    <mergeCell ref="F36:L36"/>
    <mergeCell ref="M36:S36"/>
    <mergeCell ref="T36:V36"/>
  </mergeCells>
  <pageMargins left="0.7" right="0.7" top="0.75" bottom="0.75" header="0.3" footer="0.3"/>
  <pageSetup paperSize="9" scale="52" orientation="landscape" horizontalDpi="4294967293" verticalDpi="4294967293" r:id="rId1"/>
  <colBreaks count="2" manualBreakCount="2">
    <brk id="3" max="1048575" man="1"/>
    <brk id="5" max="1048575" man="1"/>
  </colBreaks>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AT59"/>
  <sheetViews>
    <sheetView showGridLines="0" zoomScaleNormal="100" zoomScalePageLayoutView="40" workbookViewId="0"/>
  </sheetViews>
  <sheetFormatPr defaultColWidth="0" defaultRowHeight="26.85" customHeight="1" zeroHeight="1"/>
  <cols>
    <col min="1" max="3" width="2.5703125" customWidth="1"/>
    <col min="4" max="4" width="9.140625" customWidth="1"/>
    <col min="5" max="6" width="15.42578125" customWidth="1"/>
    <col min="7" max="8" width="11.140625" bestFit="1" customWidth="1"/>
    <col min="9" max="9" width="10.5703125" bestFit="1" customWidth="1"/>
    <col min="10" max="10" width="9" bestFit="1" customWidth="1"/>
    <col min="11" max="12" width="9.140625" customWidth="1"/>
    <col min="13" max="13" width="11" bestFit="1" customWidth="1"/>
    <col min="14" max="14" width="10.140625" bestFit="1" customWidth="1"/>
    <col min="15" max="15" width="12.140625" bestFit="1" customWidth="1"/>
    <col min="16" max="16" width="11.42578125" customWidth="1"/>
    <col min="17" max="19" width="8.85546875" customWidth="1"/>
    <col min="20" max="21" width="10.42578125" bestFit="1" customWidth="1"/>
    <col min="22" max="22" width="11.140625" bestFit="1" customWidth="1"/>
    <col min="23" max="23" width="3.140625" style="9" customWidth="1"/>
    <col min="24" max="38" width="0" style="9" hidden="1" customWidth="1"/>
    <col min="39" max="46" width="0" hidden="1" customWidth="1"/>
    <col min="47" max="16384" width="9.140625" hidden="1"/>
  </cols>
  <sheetData>
    <row r="1" spans="1:38" ht="15">
      <c r="A1" s="9"/>
      <c r="B1" s="9"/>
      <c r="C1" s="9"/>
      <c r="D1" s="9"/>
      <c r="E1" s="9"/>
      <c r="F1" s="9"/>
      <c r="G1" s="9"/>
      <c r="H1" s="9"/>
      <c r="I1" s="9"/>
      <c r="J1" s="9"/>
      <c r="K1" s="9"/>
      <c r="L1" s="9"/>
      <c r="M1" s="9"/>
      <c r="N1" s="9"/>
      <c r="O1" s="9"/>
      <c r="P1" s="9"/>
      <c r="Q1" s="9"/>
      <c r="R1" s="9"/>
      <c r="S1" s="9"/>
      <c r="T1" s="9"/>
      <c r="U1" s="9"/>
      <c r="V1" s="9"/>
    </row>
    <row r="2" spans="1:38" ht="19.5" thickBot="1">
      <c r="A2" s="9"/>
      <c r="B2" s="8" t="s">
        <v>6</v>
      </c>
      <c r="C2" s="23"/>
      <c r="D2" s="23"/>
      <c r="E2" s="23"/>
      <c r="F2" s="23"/>
      <c r="G2" s="23"/>
      <c r="H2" s="23"/>
      <c r="I2" s="23"/>
      <c r="J2" s="23"/>
      <c r="K2" s="23"/>
      <c r="L2" s="23"/>
      <c r="M2" s="23"/>
      <c r="N2" s="23"/>
      <c r="O2" s="23"/>
      <c r="P2" s="23"/>
      <c r="Q2" s="23"/>
      <c r="R2" s="23"/>
      <c r="S2" s="23"/>
      <c r="T2" s="23"/>
      <c r="U2" s="23"/>
      <c r="V2" s="23"/>
    </row>
    <row r="3" spans="1:38" ht="15">
      <c r="A3" s="9"/>
      <c r="B3" s="10"/>
      <c r="C3" s="24"/>
      <c r="D3" s="24"/>
      <c r="E3" s="24"/>
      <c r="F3" s="24"/>
      <c r="G3" s="24"/>
      <c r="H3" s="24"/>
      <c r="I3" s="24"/>
      <c r="J3" s="24"/>
      <c r="K3" s="24"/>
      <c r="L3" s="24"/>
      <c r="M3" s="24"/>
      <c r="N3" s="24"/>
      <c r="O3" s="24"/>
      <c r="P3" s="24"/>
      <c r="Q3" s="24"/>
      <c r="R3" s="24"/>
      <c r="S3" s="24"/>
      <c r="T3" s="24"/>
      <c r="U3" s="24"/>
      <c r="V3" s="25"/>
    </row>
    <row r="4" spans="1:38" ht="15.75">
      <c r="A4" s="9"/>
      <c r="B4" s="11" t="s">
        <v>7</v>
      </c>
      <c r="C4" s="26"/>
      <c r="D4" s="24"/>
      <c r="E4" s="58" t="s">
        <v>56</v>
      </c>
      <c r="F4" s="24"/>
      <c r="G4" s="24"/>
      <c r="H4" s="24"/>
      <c r="I4" s="24"/>
      <c r="J4" s="24"/>
      <c r="K4" s="24"/>
      <c r="L4" s="24"/>
      <c r="M4" s="24"/>
      <c r="N4" s="24"/>
      <c r="O4" s="24"/>
      <c r="P4" s="24"/>
      <c r="Q4" s="24"/>
      <c r="R4" s="24"/>
      <c r="S4" s="24"/>
      <c r="T4" s="24"/>
      <c r="U4" s="24"/>
      <c r="V4" s="24"/>
    </row>
    <row r="5" spans="1:38" ht="15">
      <c r="A5" s="9"/>
      <c r="B5" s="10"/>
      <c r="C5" s="24"/>
      <c r="D5" s="24"/>
      <c r="E5" s="24"/>
      <c r="F5" s="24"/>
      <c r="G5" s="24"/>
      <c r="H5" s="24"/>
      <c r="I5" s="24"/>
      <c r="J5" s="24"/>
      <c r="K5" s="24"/>
      <c r="L5" s="24"/>
      <c r="M5" s="24"/>
      <c r="N5" s="24"/>
      <c r="O5" s="24"/>
      <c r="P5" s="24"/>
      <c r="Q5" s="24"/>
      <c r="R5" s="24"/>
      <c r="S5" s="24"/>
      <c r="T5" s="24"/>
      <c r="U5" s="24"/>
      <c r="V5" s="24"/>
    </row>
    <row r="6" spans="1:38" ht="15">
      <c r="A6" s="9"/>
      <c r="B6" s="10"/>
      <c r="C6" s="24"/>
      <c r="D6" s="24"/>
      <c r="E6" s="24"/>
      <c r="F6" s="24"/>
      <c r="G6" s="24"/>
      <c r="H6" s="24"/>
      <c r="I6" s="24"/>
      <c r="J6" s="24"/>
      <c r="K6" s="24"/>
      <c r="L6" s="24"/>
      <c r="M6" s="24"/>
      <c r="N6" s="24"/>
      <c r="O6" s="24"/>
      <c r="P6" s="24"/>
      <c r="Q6" s="24"/>
      <c r="R6" s="24"/>
      <c r="S6" s="24"/>
      <c r="T6" s="24"/>
      <c r="U6" s="24"/>
      <c r="V6" s="24"/>
    </row>
    <row r="7" spans="1:38" ht="15">
      <c r="A7" s="9"/>
      <c r="B7" s="10"/>
      <c r="C7" s="86" t="s">
        <v>62</v>
      </c>
      <c r="D7" s="24"/>
      <c r="E7" s="24"/>
      <c r="F7" s="24"/>
      <c r="G7" s="24"/>
      <c r="H7" s="24"/>
      <c r="I7" s="24"/>
      <c r="J7" s="24"/>
      <c r="K7" s="24"/>
      <c r="L7" s="24"/>
      <c r="M7" s="24"/>
      <c r="N7" s="24"/>
      <c r="O7" s="24"/>
      <c r="P7" s="24"/>
      <c r="Q7" s="24"/>
      <c r="R7" s="24"/>
      <c r="S7" s="24"/>
      <c r="T7" s="24"/>
      <c r="U7" s="24"/>
      <c r="V7" s="24"/>
    </row>
    <row r="8" spans="1:38" ht="15">
      <c r="A8" s="9"/>
      <c r="B8" s="10"/>
      <c r="C8" s="24"/>
      <c r="D8" s="24"/>
      <c r="E8" s="24"/>
      <c r="F8" s="24"/>
      <c r="G8" s="24"/>
      <c r="H8" s="24"/>
      <c r="I8" s="24"/>
      <c r="J8" s="24"/>
      <c r="K8" s="24"/>
      <c r="L8" s="24"/>
      <c r="M8" s="24"/>
      <c r="N8" s="24"/>
      <c r="O8" s="24"/>
      <c r="P8" s="24"/>
      <c r="Q8" s="24"/>
      <c r="R8" s="24"/>
      <c r="S8" s="24"/>
      <c r="T8" s="24"/>
      <c r="U8" s="24"/>
      <c r="V8" s="24"/>
    </row>
    <row r="9" spans="1:38" s="20" customFormat="1" ht="15">
      <c r="A9" s="9"/>
      <c r="B9"/>
      <c r="C9" s="27" t="s">
        <v>7</v>
      </c>
      <c r="D9" s="28"/>
      <c r="E9" s="28"/>
      <c r="F9" s="158" t="s">
        <v>55</v>
      </c>
      <c r="G9" s="158"/>
      <c r="H9" s="158"/>
      <c r="I9" s="158"/>
      <c r="J9" s="158"/>
      <c r="K9" s="158"/>
      <c r="L9" s="159"/>
      <c r="M9" s="157" t="s">
        <v>60</v>
      </c>
      <c r="N9" s="158"/>
      <c r="O9" s="158"/>
      <c r="P9" s="158"/>
      <c r="Q9" s="158"/>
      <c r="R9" s="158"/>
      <c r="S9" s="159"/>
      <c r="T9" s="157" t="s">
        <v>57</v>
      </c>
      <c r="U9" s="158"/>
      <c r="V9" s="160"/>
      <c r="W9" s="9"/>
      <c r="X9" s="19"/>
      <c r="Y9" s="19"/>
      <c r="Z9" s="19"/>
      <c r="AA9" s="19"/>
      <c r="AB9" s="19"/>
      <c r="AC9" s="19"/>
      <c r="AD9" s="19"/>
      <c r="AE9" s="19"/>
      <c r="AF9" s="19"/>
      <c r="AG9" s="19"/>
      <c r="AH9" s="19"/>
      <c r="AI9" s="19"/>
      <c r="AJ9" s="19"/>
      <c r="AK9" s="19"/>
      <c r="AL9" s="19"/>
    </row>
    <row r="10" spans="1:38" ht="15.75">
      <c r="A10" s="9"/>
      <c r="B10" s="18"/>
      <c r="C10" s="29"/>
      <c r="D10" s="30"/>
      <c r="E10" s="30"/>
      <c r="F10" s="29"/>
      <c r="G10" s="30"/>
      <c r="H10" s="30"/>
      <c r="I10" s="30"/>
      <c r="J10" s="30"/>
      <c r="K10" s="30"/>
      <c r="L10" s="56"/>
      <c r="M10" s="30"/>
      <c r="N10" s="30"/>
      <c r="O10" s="30"/>
      <c r="P10" s="30"/>
      <c r="Q10" s="30"/>
      <c r="R10" s="30"/>
      <c r="S10" s="56"/>
      <c r="T10" s="30"/>
      <c r="U10" s="30"/>
      <c r="V10" s="56"/>
    </row>
    <row r="11" spans="1:38" s="54" customFormat="1" ht="27" customHeight="1">
      <c r="A11" s="48"/>
      <c r="B11" s="49"/>
      <c r="C11" s="59" t="s">
        <v>29</v>
      </c>
      <c r="D11" s="50"/>
      <c r="E11" s="51"/>
      <c r="F11" s="55">
        <v>2022</v>
      </c>
      <c r="G11" s="52">
        <v>2021</v>
      </c>
      <c r="H11" s="52">
        <v>2020</v>
      </c>
      <c r="I11" s="52">
        <v>2019</v>
      </c>
      <c r="J11" s="53" t="s">
        <v>36</v>
      </c>
      <c r="K11" s="53" t="s">
        <v>34</v>
      </c>
      <c r="L11" s="57" t="s">
        <v>35</v>
      </c>
      <c r="M11" s="53">
        <v>2022</v>
      </c>
      <c r="N11" s="52">
        <v>2021</v>
      </c>
      <c r="O11" s="52">
        <v>2020</v>
      </c>
      <c r="P11" s="52">
        <v>2019</v>
      </c>
      <c r="Q11" s="53" t="s">
        <v>36</v>
      </c>
      <c r="R11" s="53" t="s">
        <v>34</v>
      </c>
      <c r="S11" s="57" t="s">
        <v>35</v>
      </c>
      <c r="T11" s="53">
        <v>2021</v>
      </c>
      <c r="U11" s="52">
        <v>2020</v>
      </c>
      <c r="V11" s="77">
        <v>2019</v>
      </c>
      <c r="W11" s="48"/>
      <c r="X11" s="48"/>
      <c r="Y11" s="48"/>
      <c r="Z11" s="48"/>
      <c r="AA11" s="48"/>
      <c r="AB11" s="48"/>
      <c r="AC11" s="48"/>
      <c r="AD11" s="48"/>
      <c r="AE11" s="48"/>
      <c r="AF11" s="48"/>
      <c r="AG11" s="48"/>
      <c r="AH11" s="48"/>
      <c r="AI11" s="48"/>
      <c r="AJ11" s="48"/>
      <c r="AK11" s="48"/>
      <c r="AL11" s="48"/>
    </row>
    <row r="12" spans="1:38" ht="15">
      <c r="A12" s="9"/>
      <c r="B12" s="12"/>
      <c r="C12" s="31" t="s">
        <v>14</v>
      </c>
      <c r="D12" s="26"/>
      <c r="E12" s="32"/>
      <c r="F12" s="26"/>
      <c r="G12" s="26"/>
      <c r="H12" s="26"/>
      <c r="I12" s="26"/>
      <c r="J12" s="26"/>
      <c r="K12" s="26"/>
      <c r="L12" s="32"/>
      <c r="M12" s="26"/>
      <c r="N12" s="26"/>
      <c r="O12" s="26"/>
      <c r="P12" s="26"/>
      <c r="Q12" s="26"/>
      <c r="R12" s="26"/>
      <c r="S12" s="32"/>
      <c r="T12" s="26"/>
      <c r="U12" s="26"/>
      <c r="V12" s="32"/>
    </row>
    <row r="13" spans="1:38" ht="15">
      <c r="A13" s="9"/>
      <c r="B13" s="12"/>
      <c r="C13" s="33"/>
      <c r="D13" s="26" t="s">
        <v>5</v>
      </c>
      <c r="E13" s="32"/>
      <c r="F13" s="74">
        <v>1</v>
      </c>
      <c r="G13" s="74">
        <v>6</v>
      </c>
      <c r="H13" s="71">
        <v>0</v>
      </c>
      <c r="I13" s="71">
        <v>6</v>
      </c>
      <c r="J13" s="64">
        <f t="shared" ref="J13:J31" si="0">IFERROR(F13/G13-1,"n/a")</f>
        <v>-0.83333333333333337</v>
      </c>
      <c r="K13" s="64" t="str">
        <f>IFERROR(F13/H13-1,"n/a")</f>
        <v>n/a</v>
      </c>
      <c r="L13" s="60">
        <f>IFERROR(F13/I13-1,"n/a")</f>
        <v>-0.83333333333333337</v>
      </c>
      <c r="M13" s="68">
        <f>F13+'Jun-22'!M10</f>
        <v>227</v>
      </c>
      <c r="N13" s="68">
        <f>G13+'Jun-22'!N10</f>
        <v>6</v>
      </c>
      <c r="O13" s="68">
        <f>H13+'Jun-22'!O10</f>
        <v>145</v>
      </c>
      <c r="P13" s="68">
        <f>I13+'Jun-22'!P10</f>
        <v>246</v>
      </c>
      <c r="Q13" s="64">
        <f>IFERROR(M13/N13-1,"n/a")</f>
        <v>36.833333333333336</v>
      </c>
      <c r="R13" s="64">
        <f>IFERROR(M13/O13-1,"n/a")</f>
        <v>0.56551724137931036</v>
      </c>
      <c r="S13" s="60">
        <f>IFERROR(M13/P13-1,"n/a")</f>
        <v>-7.7235772357723609E-2</v>
      </c>
      <c r="T13" s="68">
        <v>111</v>
      </c>
      <c r="U13" s="70">
        <v>145</v>
      </c>
      <c r="V13" s="78">
        <v>386</v>
      </c>
    </row>
    <row r="14" spans="1:38" ht="15">
      <c r="A14" s="9"/>
      <c r="B14" s="12"/>
      <c r="C14" s="33"/>
      <c r="D14" s="26" t="s">
        <v>11</v>
      </c>
      <c r="E14" s="32"/>
      <c r="F14" s="74">
        <v>3145</v>
      </c>
      <c r="G14" s="74">
        <v>767</v>
      </c>
      <c r="H14" s="71">
        <v>0</v>
      </c>
      <c r="I14" s="74">
        <v>10620</v>
      </c>
      <c r="J14" s="64">
        <f t="shared" si="0"/>
        <v>3.1003911342894392</v>
      </c>
      <c r="K14" s="64" t="str">
        <f>IFERROR(F14/H14-1,"n/a")</f>
        <v>n/a</v>
      </c>
      <c r="L14" s="60">
        <f>IFERROR(F14/I14-1,"n/a")</f>
        <v>-0.70386064030131834</v>
      </c>
      <c r="M14" s="68">
        <f>F14+'Jun-22'!M11</f>
        <v>194169</v>
      </c>
      <c r="N14" s="68">
        <f>G14+'Jun-22'!N11</f>
        <v>767</v>
      </c>
      <c r="O14" s="68">
        <f>H14+'Jun-22'!O11</f>
        <v>258885</v>
      </c>
      <c r="P14" s="68">
        <f>I14+'Jun-22'!P11</f>
        <v>471524</v>
      </c>
      <c r="Q14" s="64">
        <f>IFERROR(M14/N14-1,"n/a")</f>
        <v>252.15384615384616</v>
      </c>
      <c r="R14" s="64">
        <f>IFERROR(M14/O14-1,"n/a")</f>
        <v>-0.24997972072541863</v>
      </c>
      <c r="S14" s="60">
        <f>IFERROR(M14/P14-1,"n/a")</f>
        <v>-0.58820971997183602</v>
      </c>
      <c r="T14" s="68">
        <v>80863</v>
      </c>
      <c r="U14" s="70">
        <v>258885</v>
      </c>
      <c r="V14" s="78">
        <v>733296</v>
      </c>
    </row>
    <row r="15" spans="1:38" ht="15">
      <c r="A15" s="9"/>
      <c r="B15" s="12"/>
      <c r="C15" s="31" t="s">
        <v>74</v>
      </c>
      <c r="D15" s="26"/>
      <c r="E15" s="32"/>
      <c r="F15" s="26"/>
      <c r="G15" s="26"/>
      <c r="H15" s="26"/>
      <c r="I15" s="26"/>
      <c r="J15" s="64"/>
      <c r="K15" s="64"/>
      <c r="L15" s="61"/>
      <c r="M15" s="87"/>
      <c r="N15" s="87"/>
      <c r="O15" s="87"/>
      <c r="P15" s="87"/>
      <c r="Q15" s="64"/>
      <c r="R15" s="65"/>
      <c r="S15" s="61"/>
      <c r="T15" s="43"/>
      <c r="U15" s="44"/>
      <c r="V15" s="79"/>
    </row>
    <row r="16" spans="1:38" ht="15">
      <c r="A16" s="9"/>
      <c r="B16" s="12"/>
      <c r="C16" s="33"/>
      <c r="D16" s="26" t="s">
        <v>5</v>
      </c>
      <c r="E16" s="32"/>
      <c r="F16" s="74">
        <v>71</v>
      </c>
      <c r="G16" s="74">
        <v>10</v>
      </c>
      <c r="H16" s="71">
        <v>0</v>
      </c>
      <c r="I16" s="74">
        <v>68</v>
      </c>
      <c r="J16" s="64">
        <f t="shared" si="0"/>
        <v>6.1</v>
      </c>
      <c r="K16" s="64" t="str">
        <f>IFERROR(F16/H16-1,"n/a")</f>
        <v>n/a</v>
      </c>
      <c r="L16" s="60">
        <f>IFERROR(F16/I16-1,"n/a")</f>
        <v>4.4117647058823595E-2</v>
      </c>
      <c r="M16" s="68">
        <f>F16+'Jun-22'!M13</f>
        <v>391</v>
      </c>
      <c r="N16" s="68">
        <f>G16+'Jun-22'!N13</f>
        <v>14</v>
      </c>
      <c r="O16" s="68">
        <f>H16+'Jun-22'!O13</f>
        <v>43</v>
      </c>
      <c r="P16" s="68">
        <f>I16+'Jun-22'!P13</f>
        <v>430</v>
      </c>
      <c r="Q16" s="64">
        <f>IFERROR(M16/N16-1,"n/a")</f>
        <v>26.928571428571427</v>
      </c>
      <c r="R16" s="64">
        <f>IFERROR(M16/O16-1,"n/a")</f>
        <v>8.0930232558139537</v>
      </c>
      <c r="S16" s="60">
        <f>IFERROR(M16/P16-1,"n/a")</f>
        <v>-9.0697674418604657E-2</v>
      </c>
      <c r="T16" s="68">
        <v>283</v>
      </c>
      <c r="U16" s="70">
        <v>43</v>
      </c>
      <c r="V16" s="78">
        <v>827</v>
      </c>
    </row>
    <row r="17" spans="1:38" ht="15">
      <c r="A17" s="9"/>
      <c r="B17" s="12"/>
      <c r="C17" s="33"/>
      <c r="D17" s="26" t="s">
        <v>11</v>
      </c>
      <c r="E17" s="32"/>
      <c r="F17" s="74">
        <v>271417</v>
      </c>
      <c r="G17" s="74">
        <v>23553</v>
      </c>
      <c r="H17" s="71">
        <v>0</v>
      </c>
      <c r="I17" s="74">
        <v>261197</v>
      </c>
      <c r="J17" s="64">
        <f t="shared" si="0"/>
        <v>10.523670020804143</v>
      </c>
      <c r="K17" s="64" t="str">
        <f>IFERROR(F17/H17-1,"n/a")</f>
        <v>n/a</v>
      </c>
      <c r="L17" s="60">
        <f>IFERROR(F17/I17-1,"n/a")</f>
        <v>3.9127555063802388E-2</v>
      </c>
      <c r="M17" s="68">
        <f>F17+'Jun-22'!M14</f>
        <v>805117</v>
      </c>
      <c r="N17" s="68">
        <f>G17+'Jun-22'!N14</f>
        <v>28476</v>
      </c>
      <c r="O17" s="68">
        <f>H17+'Jun-22'!O14</f>
        <v>140552</v>
      </c>
      <c r="P17" s="68">
        <f>I17+'Jun-22'!P14</f>
        <v>1301649</v>
      </c>
      <c r="Q17" s="64">
        <f>IFERROR(M17/N17-1,"n/a")</f>
        <v>27.273528585475489</v>
      </c>
      <c r="R17" s="64">
        <f>IFERROR(M17/O17-1,"n/a")</f>
        <v>4.7282500426888268</v>
      </c>
      <c r="S17" s="60">
        <f>IFERROR(M17/P17-1,"n/a")</f>
        <v>-0.38146382012355096</v>
      </c>
      <c r="T17" s="68">
        <v>465109</v>
      </c>
      <c r="U17" s="70">
        <v>140552</v>
      </c>
      <c r="V17" s="78">
        <v>2552942</v>
      </c>
    </row>
    <row r="18" spans="1:38" ht="15">
      <c r="A18" s="9"/>
      <c r="B18" s="12"/>
      <c r="C18" s="31" t="s">
        <v>15</v>
      </c>
      <c r="D18" s="26"/>
      <c r="E18" s="32"/>
      <c r="F18" s="72"/>
      <c r="G18" s="72"/>
      <c r="H18" s="72"/>
      <c r="I18" s="72"/>
      <c r="J18" s="64"/>
      <c r="K18" s="64"/>
      <c r="L18" s="60"/>
      <c r="M18" s="87"/>
      <c r="N18" s="87"/>
      <c r="O18" s="87"/>
      <c r="P18" s="87"/>
      <c r="Q18" s="64"/>
      <c r="R18" s="64"/>
      <c r="S18" s="60"/>
      <c r="T18" s="43"/>
      <c r="U18" s="44"/>
      <c r="V18" s="79"/>
    </row>
    <row r="19" spans="1:38" ht="15">
      <c r="A19" s="9"/>
      <c r="B19" s="12"/>
      <c r="C19" s="33"/>
      <c r="D19" s="26" t="s">
        <v>5</v>
      </c>
      <c r="E19" s="32"/>
      <c r="F19" s="74">
        <v>60</v>
      </c>
      <c r="G19" s="71">
        <v>0</v>
      </c>
      <c r="H19" s="71">
        <v>1</v>
      </c>
      <c r="I19" s="74">
        <v>32</v>
      </c>
      <c r="J19" s="64" t="str">
        <f t="shared" si="0"/>
        <v>n/a</v>
      </c>
      <c r="K19" s="64">
        <f>IFERROR(F19/H19-1,"n/a")</f>
        <v>59</v>
      </c>
      <c r="L19" s="60">
        <f>IFERROR(F19/I19-1,"n/a")</f>
        <v>0.875</v>
      </c>
      <c r="M19" s="68">
        <f>F19+'Jun-22'!M16</f>
        <v>227</v>
      </c>
      <c r="N19" s="68">
        <f>G19+'Jun-22'!N16</f>
        <v>0</v>
      </c>
      <c r="O19" s="68">
        <f>H19+'Jun-22'!O16</f>
        <v>4</v>
      </c>
      <c r="P19" s="68">
        <f>I19+'Jun-22'!P16</f>
        <v>101</v>
      </c>
      <c r="Q19" s="64" t="str">
        <f>IFERROR(M19/N19-1,"n/a")</f>
        <v>n/a</v>
      </c>
      <c r="R19" s="64">
        <f>IFERROR(M19/O19-1,"n/a")</f>
        <v>55.75</v>
      </c>
      <c r="S19" s="60">
        <f>IFERROR(M19/P19-1,"n/a")</f>
        <v>1.2475247524752477</v>
      </c>
      <c r="T19" s="68">
        <v>23</v>
      </c>
      <c r="U19" s="70">
        <v>4</v>
      </c>
      <c r="V19" s="78">
        <v>191</v>
      </c>
    </row>
    <row r="20" spans="1:38" ht="15">
      <c r="A20" s="9"/>
      <c r="B20" s="12"/>
      <c r="C20" s="33"/>
      <c r="D20" s="26" t="s">
        <v>11</v>
      </c>
      <c r="E20" s="32"/>
      <c r="F20" s="74">
        <f>66070+15120</f>
        <v>81190</v>
      </c>
      <c r="G20" s="71">
        <v>0</v>
      </c>
      <c r="H20" s="71">
        <v>111</v>
      </c>
      <c r="I20" s="74">
        <f>26433+14218</f>
        <v>40651</v>
      </c>
      <c r="J20" s="64" t="str">
        <f t="shared" si="0"/>
        <v>n/a</v>
      </c>
      <c r="K20" s="64">
        <f>IFERROR(F20/H20-1,"n/a")</f>
        <v>730.4414414414415</v>
      </c>
      <c r="L20" s="60">
        <f t="shared" ref="L20:L31" si="1">IFERROR(F20/I20-1,"n/a")</f>
        <v>0.99724484022533266</v>
      </c>
      <c r="M20" s="68">
        <f>F20+'Jun-22'!M17</f>
        <v>239590</v>
      </c>
      <c r="N20" s="68">
        <f>G20+'Jun-22'!N17</f>
        <v>0</v>
      </c>
      <c r="O20" s="68">
        <f>H20+'Jun-22'!O17</f>
        <v>1753</v>
      </c>
      <c r="P20" s="68">
        <f>I20+'Jun-22'!P17</f>
        <v>117191</v>
      </c>
      <c r="Q20" s="64" t="str">
        <f>IFERROR(M20/N20-1,"n/a")</f>
        <v>n/a</v>
      </c>
      <c r="R20" s="64">
        <f>IFERROR(M20/O20-1,"n/a")</f>
        <v>135.67427267541359</v>
      </c>
      <c r="S20" s="60">
        <f>IFERROR(M20/P20-1,"n/a")</f>
        <v>1.0444402727171882</v>
      </c>
      <c r="T20" s="68">
        <v>8611</v>
      </c>
      <c r="U20" s="70">
        <v>1753</v>
      </c>
      <c r="V20" s="78">
        <v>254421</v>
      </c>
    </row>
    <row r="21" spans="1:38" ht="15">
      <c r="A21" s="9"/>
      <c r="B21" s="12"/>
      <c r="C21" s="31" t="s">
        <v>10</v>
      </c>
      <c r="D21" s="26"/>
      <c r="E21" s="34"/>
      <c r="F21" s="72"/>
      <c r="G21" s="72"/>
      <c r="H21" s="72"/>
      <c r="I21" s="72"/>
      <c r="J21" s="64"/>
      <c r="K21" s="64"/>
      <c r="L21" s="60"/>
      <c r="M21" s="87"/>
      <c r="N21" s="87"/>
      <c r="O21" s="87"/>
      <c r="P21" s="87"/>
      <c r="Q21" s="64"/>
      <c r="R21" s="64"/>
      <c r="S21" s="60"/>
      <c r="T21" s="43"/>
      <c r="U21" s="44"/>
      <c r="V21" s="79"/>
    </row>
    <row r="22" spans="1:38" ht="15">
      <c r="A22" s="9"/>
      <c r="B22" s="12"/>
      <c r="C22" s="33"/>
      <c r="D22" s="26" t="s">
        <v>5</v>
      </c>
      <c r="E22" s="34"/>
      <c r="F22" s="73">
        <v>83</v>
      </c>
      <c r="G22" s="74">
        <v>22</v>
      </c>
      <c r="H22" s="71">
        <v>0</v>
      </c>
      <c r="I22" s="74">
        <v>95</v>
      </c>
      <c r="J22" s="64">
        <f t="shared" si="0"/>
        <v>2.7727272727272729</v>
      </c>
      <c r="K22" s="64" t="str">
        <f>IFERROR(F22/H22-1,"n/a")</f>
        <v>n/a</v>
      </c>
      <c r="L22" s="60">
        <f t="shared" si="1"/>
        <v>-0.12631578947368416</v>
      </c>
      <c r="M22" s="68">
        <f>F22+'Jun-22'!M19</f>
        <v>683</v>
      </c>
      <c r="N22" s="68">
        <f>G22+'Jun-22'!N19</f>
        <v>29</v>
      </c>
      <c r="O22" s="68">
        <f>H22+'Jun-22'!O19</f>
        <v>406</v>
      </c>
      <c r="P22" s="68">
        <f>I22+'Jun-22'!P19</f>
        <v>687</v>
      </c>
      <c r="Q22" s="64">
        <f>IFERROR(M22/N22-1,"n/a")</f>
        <v>22.551724137931036</v>
      </c>
      <c r="R22" s="64">
        <f>IFERROR(M22/O22-1,"n/a")</f>
        <v>0.68226600985221686</v>
      </c>
      <c r="S22" s="60">
        <f>IFERROR(M22/P22-1,"n/a")</f>
        <v>-5.8224163027656983E-3</v>
      </c>
      <c r="T22" s="68">
        <v>411</v>
      </c>
      <c r="U22" s="70">
        <v>406</v>
      </c>
      <c r="V22" s="78">
        <v>1205</v>
      </c>
    </row>
    <row r="23" spans="1:38" ht="15">
      <c r="A23" s="9"/>
      <c r="B23" s="12"/>
      <c r="C23" s="33"/>
      <c r="D23" s="26" t="s">
        <v>11</v>
      </c>
      <c r="E23" s="32"/>
      <c r="F23" s="73">
        <v>288977</v>
      </c>
      <c r="G23" s="74">
        <v>30147</v>
      </c>
      <c r="H23" s="71">
        <v>0</v>
      </c>
      <c r="I23" s="74">
        <v>321844</v>
      </c>
      <c r="J23" s="64">
        <f t="shared" si="0"/>
        <v>8.5855972401897365</v>
      </c>
      <c r="K23" s="64" t="str">
        <f>IFERROR(F23/H23-1,"n/a")</f>
        <v>n/a</v>
      </c>
      <c r="L23" s="60">
        <f t="shared" si="1"/>
        <v>-0.10212090329476398</v>
      </c>
      <c r="M23" s="68">
        <f>F23+'Jun-22'!M20</f>
        <v>1642042</v>
      </c>
      <c r="N23" s="68">
        <f>G23+'Jun-22'!N20</f>
        <v>35258</v>
      </c>
      <c r="O23" s="68">
        <f>H23+'Jun-22'!O20</f>
        <v>833999</v>
      </c>
      <c r="P23" s="68">
        <f>I23+'Jun-22'!P20</f>
        <v>2333598</v>
      </c>
      <c r="Q23" s="64">
        <f>IFERROR(M23/N23-1,"n/a")</f>
        <v>45.572182199784443</v>
      </c>
      <c r="R23" s="64">
        <f>IFERROR(M23/O23-1,"n/a")</f>
        <v>0.96887766052477287</v>
      </c>
      <c r="S23" s="60">
        <f>IFERROR(M23/P23-1,"n/a")</f>
        <v>-0.29634752858032964</v>
      </c>
      <c r="T23" s="68">
        <v>687449</v>
      </c>
      <c r="U23" s="70">
        <v>833999</v>
      </c>
      <c r="V23" s="78">
        <v>3859183</v>
      </c>
    </row>
    <row r="24" spans="1:38" ht="15">
      <c r="A24" s="9"/>
      <c r="B24" s="12"/>
      <c r="C24" s="31" t="s">
        <v>16</v>
      </c>
      <c r="D24" s="26"/>
      <c r="E24" s="32"/>
      <c r="F24" s="72"/>
      <c r="G24" s="72"/>
      <c r="H24" s="72"/>
      <c r="I24" s="72"/>
      <c r="J24" s="64"/>
      <c r="K24" s="64"/>
      <c r="L24" s="60"/>
      <c r="M24" s="87"/>
      <c r="N24" s="87"/>
      <c r="O24" s="87"/>
      <c r="P24" s="87"/>
      <c r="Q24" s="64"/>
      <c r="R24" s="64"/>
      <c r="S24" s="60"/>
      <c r="T24" s="43"/>
      <c r="U24" s="44"/>
      <c r="V24" s="79"/>
    </row>
    <row r="25" spans="1:38" ht="15">
      <c r="A25" s="9"/>
      <c r="B25" s="12"/>
      <c r="C25" s="33"/>
      <c r="D25" s="26" t="s">
        <v>5</v>
      </c>
      <c r="E25" s="32"/>
      <c r="F25" s="74">
        <v>33</v>
      </c>
      <c r="G25" s="74">
        <v>9</v>
      </c>
      <c r="H25" s="71">
        <v>0</v>
      </c>
      <c r="I25" s="74">
        <v>36</v>
      </c>
      <c r="J25" s="64">
        <f t="shared" si="0"/>
        <v>2.6666666666666665</v>
      </c>
      <c r="K25" s="64" t="str">
        <f>IFERROR(F25/H25-1,"n/a")</f>
        <v>n/a</v>
      </c>
      <c r="L25" s="60">
        <f t="shared" si="1"/>
        <v>-8.333333333333337E-2</v>
      </c>
      <c r="M25" s="68">
        <f>F25+'Jun-22'!M22</f>
        <v>156</v>
      </c>
      <c r="N25" s="68">
        <f>G25+'Jun-22'!N22</f>
        <v>37</v>
      </c>
      <c r="O25" s="68">
        <f>H25+'Jun-22'!O22</f>
        <v>9</v>
      </c>
      <c r="P25" s="68">
        <f>I25+'Jun-22'!P22</f>
        <v>169</v>
      </c>
      <c r="Q25" s="64">
        <f>IFERROR(M25/N25-1,"n/a")</f>
        <v>3.2162162162162158</v>
      </c>
      <c r="R25" s="64">
        <f>IFERROR(M25/O25-1,"n/a")</f>
        <v>16.333333333333332</v>
      </c>
      <c r="S25" s="60">
        <f>IFERROR(M25/P25-1,"n/a")</f>
        <v>-7.6923076923076872E-2</v>
      </c>
      <c r="T25" s="68">
        <v>107</v>
      </c>
      <c r="U25" s="70">
        <v>32</v>
      </c>
      <c r="V25" s="78">
        <v>372</v>
      </c>
    </row>
    <row r="26" spans="1:38" ht="15">
      <c r="A26" s="9"/>
      <c r="B26" s="12"/>
      <c r="C26" s="33"/>
      <c r="D26" s="26" t="s">
        <v>11</v>
      </c>
      <c r="E26" s="32"/>
      <c r="F26" s="74">
        <v>73604</v>
      </c>
      <c r="G26" s="74">
        <v>14049</v>
      </c>
      <c r="H26" s="71">
        <v>0</v>
      </c>
      <c r="I26" s="74">
        <v>102764</v>
      </c>
      <c r="J26" s="64">
        <f t="shared" si="0"/>
        <v>4.2390917503025127</v>
      </c>
      <c r="K26" s="64" t="str">
        <f>IFERROR(F26/H26-1,"n/a")</f>
        <v>n/a</v>
      </c>
      <c r="L26" s="60">
        <f t="shared" si="1"/>
        <v>-0.28375695768946319</v>
      </c>
      <c r="M26" s="68">
        <f>F26+'Jun-22'!M23</f>
        <v>250049</v>
      </c>
      <c r="N26" s="68">
        <f>G26+'Jun-22'!N23</f>
        <v>45450</v>
      </c>
      <c r="O26" s="68">
        <f>H26+'Jun-22'!O23</f>
        <v>40221</v>
      </c>
      <c r="P26" s="68">
        <f>I26+'Jun-22'!P23</f>
        <v>477135</v>
      </c>
      <c r="Q26" s="64">
        <f>IFERROR(M26/N26-1,"n/a")</f>
        <v>4.5016281628162815</v>
      </c>
      <c r="R26" s="64">
        <f>IFERROR(M26/O26-1,"n/a")</f>
        <v>5.216876755923523</v>
      </c>
      <c r="S26" s="60">
        <f>IFERROR(M26/P26-1,"n/a")</f>
        <v>-0.47593657979397863</v>
      </c>
      <c r="T26" s="68">
        <v>147132</v>
      </c>
      <c r="U26" s="70">
        <v>59180</v>
      </c>
      <c r="V26" s="78">
        <v>902015</v>
      </c>
    </row>
    <row r="27" spans="1:38" ht="15">
      <c r="A27" s="9"/>
      <c r="B27" s="12"/>
      <c r="C27" s="31" t="s">
        <v>17</v>
      </c>
      <c r="D27" s="26"/>
      <c r="E27" s="32"/>
      <c r="F27" s="72"/>
      <c r="G27" s="72"/>
      <c r="H27" s="72"/>
      <c r="I27" s="72"/>
      <c r="J27" s="64"/>
      <c r="K27" s="64"/>
      <c r="L27" s="60"/>
      <c r="M27" s="87"/>
      <c r="N27" s="87"/>
      <c r="O27" s="87"/>
      <c r="P27" s="87"/>
      <c r="Q27" s="64"/>
      <c r="R27" s="64"/>
      <c r="S27" s="60"/>
      <c r="T27" s="43"/>
      <c r="U27" s="44"/>
      <c r="V27" s="79"/>
    </row>
    <row r="28" spans="1:38" ht="15">
      <c r="B28" s="12"/>
      <c r="C28" s="33"/>
      <c r="D28" s="26" t="s">
        <v>5</v>
      </c>
      <c r="E28" s="32"/>
      <c r="F28" s="74">
        <v>65</v>
      </c>
      <c r="G28" s="74">
        <v>16</v>
      </c>
      <c r="H28" s="71">
        <v>1</v>
      </c>
      <c r="I28" s="74">
        <v>46</v>
      </c>
      <c r="J28" s="64">
        <f t="shared" si="0"/>
        <v>3.0625</v>
      </c>
      <c r="K28" s="64">
        <f>IFERROR(F28/H28-1,"n/a")</f>
        <v>64</v>
      </c>
      <c r="L28" s="60">
        <f t="shared" si="1"/>
        <v>0.41304347826086962</v>
      </c>
      <c r="M28" s="68">
        <f>F28+'Jun-22'!M25</f>
        <v>274</v>
      </c>
      <c r="N28" s="68">
        <f>G28+'Jun-22'!N25</f>
        <v>40</v>
      </c>
      <c r="O28" s="68">
        <f>H28+'Jun-22'!O25</f>
        <v>2</v>
      </c>
      <c r="P28" s="68">
        <f>I28+'Jun-22'!P25</f>
        <v>172</v>
      </c>
      <c r="Q28" s="64">
        <f>IFERROR(M28/N28-1,"n/a")</f>
        <v>5.85</v>
      </c>
      <c r="R28" s="64">
        <f>IFERROR(M28/O28-1,"n/a")</f>
        <v>136</v>
      </c>
      <c r="S28" s="60">
        <f>IFERROR(M28/P28-1,"n/a")</f>
        <v>0.59302325581395343</v>
      </c>
      <c r="T28" s="68">
        <v>127</v>
      </c>
      <c r="U28" s="70">
        <v>37</v>
      </c>
      <c r="V28" s="78">
        <f>282+81</f>
        <v>363</v>
      </c>
    </row>
    <row r="29" spans="1:38" ht="15">
      <c r="A29" s="9"/>
      <c r="B29" s="12"/>
      <c r="C29" s="33"/>
      <c r="D29" s="26" t="s">
        <v>11</v>
      </c>
      <c r="E29" s="32"/>
      <c r="F29" s="74">
        <f>112886+3567+22453</f>
        <v>138906</v>
      </c>
      <c r="G29" s="74">
        <v>23981</v>
      </c>
      <c r="H29" s="71">
        <v>6081</v>
      </c>
      <c r="I29" s="74">
        <f>99976+21772+10200</f>
        <v>131948</v>
      </c>
      <c r="J29" s="64">
        <f t="shared" si="0"/>
        <v>4.792335599015888</v>
      </c>
      <c r="K29" s="64">
        <f>IFERROR(F29/H29-1,"n/a")</f>
        <v>21.842624568327576</v>
      </c>
      <c r="L29" s="60">
        <f t="shared" si="1"/>
        <v>5.2732894776730266E-2</v>
      </c>
      <c r="M29" s="68">
        <f>F29+'Jun-22'!M26</f>
        <v>359080</v>
      </c>
      <c r="N29" s="68">
        <f>G29+'Jun-22'!N26</f>
        <v>56633</v>
      </c>
      <c r="O29" s="68">
        <f>H29+'Jun-22'!O26</f>
        <v>9186</v>
      </c>
      <c r="P29" s="68">
        <f>I29+'Jun-22'!P26</f>
        <v>443129</v>
      </c>
      <c r="Q29" s="64">
        <f>IFERROR(M29/N29-1,"n/a")</f>
        <v>5.3404728691752155</v>
      </c>
      <c r="R29" s="64">
        <f>IFERROR(M29/O29-1,"n/a")</f>
        <v>38.089919442630091</v>
      </c>
      <c r="S29" s="60">
        <f>IFERROR(M29/P29-1,"n/a")</f>
        <v>-0.18967163060869408</v>
      </c>
      <c r="T29" s="68">
        <v>165083</v>
      </c>
      <c r="U29" s="70">
        <f>20768+8294</f>
        <v>29062</v>
      </c>
      <c r="V29" s="78">
        <f>659951+168729+38484</f>
        <v>867164</v>
      </c>
    </row>
    <row r="30" spans="1:38" ht="15" customHeight="1" thickBot="1">
      <c r="A30" s="9"/>
      <c r="B30" s="12"/>
      <c r="C30" s="35" t="s">
        <v>12</v>
      </c>
      <c r="D30" s="36"/>
      <c r="E30" s="37"/>
      <c r="F30" s="75">
        <f t="shared" ref="F30:I31" si="2">F13+F16+F19+F22+F25+F28</f>
        <v>313</v>
      </c>
      <c r="G30" s="75">
        <f t="shared" si="2"/>
        <v>63</v>
      </c>
      <c r="H30" s="75">
        <f t="shared" si="2"/>
        <v>2</v>
      </c>
      <c r="I30" s="75">
        <f t="shared" si="2"/>
        <v>283</v>
      </c>
      <c r="J30" s="66">
        <f t="shared" si="0"/>
        <v>3.9682539682539684</v>
      </c>
      <c r="K30" s="66">
        <f>IFERROR(F30/H30-1,"n/a")</f>
        <v>155.5</v>
      </c>
      <c r="L30" s="62">
        <f t="shared" si="1"/>
        <v>0.10600706713780927</v>
      </c>
      <c r="M30" s="46">
        <f t="shared" ref="M30:P31" si="3">M13+M16+M19+M22+M25+M28</f>
        <v>1958</v>
      </c>
      <c r="N30" s="46">
        <f t="shared" si="3"/>
        <v>126</v>
      </c>
      <c r="O30" s="46">
        <f t="shared" si="3"/>
        <v>609</v>
      </c>
      <c r="P30" s="46">
        <f t="shared" si="3"/>
        <v>1805</v>
      </c>
      <c r="Q30" s="66">
        <f>IFERROR(M30/N30-1,"n/a")</f>
        <v>14.53968253968254</v>
      </c>
      <c r="R30" s="66">
        <f>IFERROR(M30/O30-1,"n/a")</f>
        <v>2.2151067323481115</v>
      </c>
      <c r="S30" s="62">
        <f>IFERROR(M30/P30-1,"n/a")</f>
        <v>8.476454293628799E-2</v>
      </c>
      <c r="T30" s="46">
        <f t="shared" ref="T30:V31" si="4">T13+T16+T19+T22+T25+T28</f>
        <v>1062</v>
      </c>
      <c r="U30" s="46">
        <f t="shared" si="4"/>
        <v>667</v>
      </c>
      <c r="V30" s="80">
        <f t="shared" si="4"/>
        <v>3344</v>
      </c>
    </row>
    <row r="31" spans="1:38" s="22" customFormat="1" ht="15" customHeight="1" thickTop="1" thickBot="1">
      <c r="A31" s="9"/>
      <c r="B31" s="12"/>
      <c r="C31" s="38" t="s">
        <v>13</v>
      </c>
      <c r="D31" s="39"/>
      <c r="E31" s="40"/>
      <c r="F31" s="76">
        <f t="shared" si="2"/>
        <v>857239</v>
      </c>
      <c r="G31" s="76">
        <f t="shared" si="2"/>
        <v>92497</v>
      </c>
      <c r="H31" s="76">
        <f t="shared" si="2"/>
        <v>6192</v>
      </c>
      <c r="I31" s="76">
        <f t="shared" si="2"/>
        <v>869024</v>
      </c>
      <c r="J31" s="67">
        <f t="shared" si="0"/>
        <v>8.2677492242991661</v>
      </c>
      <c r="K31" s="67">
        <f>IFERROR(F31/H31-1,"n/a")</f>
        <v>137.44299095607235</v>
      </c>
      <c r="L31" s="63">
        <f t="shared" si="1"/>
        <v>-1.3561190484957852E-2</v>
      </c>
      <c r="M31" s="47">
        <f t="shared" si="3"/>
        <v>3490047</v>
      </c>
      <c r="N31" s="47">
        <f t="shared" si="3"/>
        <v>166584</v>
      </c>
      <c r="O31" s="47">
        <f t="shared" si="3"/>
        <v>1284596</v>
      </c>
      <c r="P31" s="47">
        <f t="shared" si="3"/>
        <v>5144226</v>
      </c>
      <c r="Q31" s="67">
        <f>IFERROR(M31/N31-1,"n/a")</f>
        <v>19.950673534072902</v>
      </c>
      <c r="R31" s="67">
        <f>IFERROR(M31/O31-1,"n/a")</f>
        <v>1.7168440505808831</v>
      </c>
      <c r="S31" s="63">
        <f>IFERROR(M31/P31-1,"n/a")</f>
        <v>-0.32156032802602375</v>
      </c>
      <c r="T31" s="47">
        <f t="shared" si="4"/>
        <v>1554247</v>
      </c>
      <c r="U31" s="47">
        <f t="shared" si="4"/>
        <v>1323431</v>
      </c>
      <c r="V31" s="81">
        <f t="shared" si="4"/>
        <v>9169021</v>
      </c>
      <c r="W31" s="9"/>
      <c r="X31" s="21"/>
      <c r="Y31" s="21"/>
      <c r="Z31" s="21"/>
      <c r="AA31" s="21"/>
      <c r="AB31" s="21"/>
      <c r="AC31" s="21"/>
      <c r="AD31" s="21"/>
      <c r="AE31" s="21"/>
      <c r="AF31" s="21"/>
      <c r="AG31" s="21"/>
      <c r="AH31" s="21"/>
      <c r="AI31" s="21"/>
      <c r="AJ31" s="21"/>
      <c r="AK31" s="21"/>
      <c r="AL31" s="21"/>
    </row>
    <row r="32" spans="1:38" ht="15" customHeight="1" thickTop="1">
      <c r="A32" s="9"/>
      <c r="B32" s="9"/>
      <c r="C32" s="9"/>
      <c r="D32" s="9"/>
      <c r="E32" s="9"/>
      <c r="F32" s="9"/>
      <c r="G32" s="41"/>
      <c r="H32" s="41"/>
      <c r="I32" s="41"/>
      <c r="J32" s="41"/>
      <c r="K32" s="9"/>
      <c r="L32" s="9"/>
      <c r="M32" s="9"/>
      <c r="N32" s="9"/>
      <c r="O32" s="9"/>
      <c r="P32" s="9"/>
      <c r="Q32" s="9"/>
      <c r="R32" s="9"/>
      <c r="S32" s="9"/>
      <c r="T32" s="83"/>
      <c r="U32" s="9"/>
      <c r="V32" s="9"/>
    </row>
    <row r="33" spans="1:22" ht="23.1" customHeight="1">
      <c r="A33" s="9"/>
      <c r="B33" s="9"/>
      <c r="C33" s="9"/>
      <c r="D33" s="9"/>
      <c r="E33" s="9"/>
      <c r="F33" s="9"/>
      <c r="G33" s="41"/>
      <c r="H33" s="41"/>
      <c r="I33" s="41"/>
      <c r="J33" s="41"/>
      <c r="K33" s="9"/>
      <c r="L33" s="9"/>
      <c r="M33" s="9"/>
      <c r="N33" s="9"/>
      <c r="O33" s="9"/>
      <c r="P33" s="9"/>
      <c r="Q33" s="9"/>
      <c r="R33" s="9"/>
      <c r="S33" s="9"/>
      <c r="T33" s="9"/>
      <c r="U33" s="9"/>
      <c r="V33" s="9"/>
    </row>
    <row r="34" spans="1:22" ht="15">
      <c r="A34" s="9"/>
      <c r="B34" s="10"/>
      <c r="C34" s="86" t="s">
        <v>63</v>
      </c>
      <c r="D34" s="24"/>
      <c r="E34" s="24"/>
      <c r="F34" s="24"/>
      <c r="G34" s="24"/>
      <c r="H34" s="24"/>
      <c r="I34" s="24"/>
      <c r="J34" s="24"/>
      <c r="K34" s="24"/>
      <c r="L34" s="24"/>
      <c r="M34" s="24"/>
      <c r="N34" s="24"/>
      <c r="O34" s="24"/>
      <c r="P34" s="24"/>
      <c r="Q34" s="24"/>
      <c r="R34" s="24"/>
      <c r="S34" s="24"/>
      <c r="T34" s="24"/>
      <c r="U34" s="24"/>
      <c r="V34" s="24"/>
    </row>
    <row r="35" spans="1:22" ht="15">
      <c r="A35" s="9"/>
      <c r="B35" s="10"/>
      <c r="C35" s="24"/>
      <c r="D35" s="24"/>
      <c r="E35" s="24"/>
      <c r="F35" s="24"/>
      <c r="G35" s="24"/>
      <c r="H35" s="24"/>
      <c r="I35" s="24"/>
      <c r="J35" s="24"/>
      <c r="K35" s="24"/>
      <c r="L35" s="24"/>
      <c r="M35" s="24"/>
      <c r="N35" s="24"/>
      <c r="O35" s="24"/>
      <c r="P35" s="24"/>
      <c r="Q35" s="24"/>
      <c r="R35" s="24"/>
      <c r="S35" s="24"/>
      <c r="T35" s="24"/>
      <c r="U35" s="24"/>
      <c r="V35" s="24"/>
    </row>
    <row r="36" spans="1:22" ht="15" customHeight="1">
      <c r="A36" s="9"/>
      <c r="B36" s="9"/>
      <c r="C36" s="27" t="s">
        <v>7</v>
      </c>
      <c r="D36" s="28"/>
      <c r="E36" s="28"/>
      <c r="F36" s="158" t="str">
        <f>F9</f>
        <v>July</v>
      </c>
      <c r="G36" s="158"/>
      <c r="H36" s="158"/>
      <c r="I36" s="158"/>
      <c r="J36" s="158"/>
      <c r="K36" s="158"/>
      <c r="L36" s="159"/>
      <c r="M36" s="157" t="s">
        <v>61</v>
      </c>
      <c r="N36" s="158"/>
      <c r="O36" s="158"/>
      <c r="P36" s="158"/>
      <c r="Q36" s="158"/>
      <c r="R36" s="158"/>
      <c r="S36" s="159"/>
      <c r="T36" s="157" t="s">
        <v>58</v>
      </c>
      <c r="U36" s="158"/>
      <c r="V36" s="160"/>
    </row>
    <row r="37" spans="1:22" ht="15" customHeight="1">
      <c r="A37" s="9"/>
      <c r="B37" s="9"/>
      <c r="C37" s="29"/>
      <c r="D37" s="30"/>
      <c r="E37" s="30"/>
      <c r="F37" s="29"/>
      <c r="G37" s="30"/>
      <c r="H37" s="30"/>
      <c r="I37" s="30"/>
      <c r="J37" s="30"/>
      <c r="K37" s="30"/>
      <c r="L37" s="56"/>
      <c r="M37" s="30"/>
      <c r="N37" s="30"/>
      <c r="O37" s="30"/>
      <c r="P37" s="30"/>
      <c r="Q37" s="30"/>
      <c r="R37" s="30"/>
      <c r="S37" s="56"/>
      <c r="T37" s="30"/>
      <c r="U37" s="30"/>
      <c r="V37" s="56"/>
    </row>
    <row r="38" spans="1:22" s="9" customFormat="1" ht="34.35" customHeight="1">
      <c r="C38" s="59" t="s">
        <v>29</v>
      </c>
      <c r="D38" s="50"/>
      <c r="E38" s="51"/>
      <c r="F38" s="55">
        <v>2022</v>
      </c>
      <c r="G38" s="52">
        <v>2021</v>
      </c>
      <c r="H38" s="52">
        <v>2020</v>
      </c>
      <c r="I38" s="52">
        <v>2019</v>
      </c>
      <c r="J38" s="53" t="s">
        <v>36</v>
      </c>
      <c r="K38" s="53" t="s">
        <v>34</v>
      </c>
      <c r="L38" s="57" t="s">
        <v>35</v>
      </c>
      <c r="M38" s="53" t="s">
        <v>53</v>
      </c>
      <c r="N38" s="52" t="s">
        <v>54</v>
      </c>
      <c r="O38" s="52" t="s">
        <v>59</v>
      </c>
      <c r="P38" s="52" t="s">
        <v>64</v>
      </c>
      <c r="Q38" s="53" t="s">
        <v>66</v>
      </c>
      <c r="R38" s="53" t="s">
        <v>67</v>
      </c>
      <c r="S38" s="57" t="s">
        <v>68</v>
      </c>
      <c r="T38" s="53" t="s">
        <v>54</v>
      </c>
      <c r="U38" s="53" t="s">
        <v>65</v>
      </c>
      <c r="V38" s="57" t="s">
        <v>73</v>
      </c>
    </row>
    <row r="39" spans="1:22" s="9" customFormat="1" ht="15" customHeight="1">
      <c r="C39" s="31" t="s">
        <v>14</v>
      </c>
      <c r="D39" s="26"/>
      <c r="E39" s="32"/>
      <c r="F39" s="26"/>
      <c r="G39" s="26"/>
      <c r="H39" s="26"/>
      <c r="I39" s="26"/>
      <c r="J39" s="26"/>
      <c r="K39" s="26"/>
      <c r="L39" s="32"/>
      <c r="M39" s="26"/>
      <c r="N39" s="26"/>
      <c r="O39" s="26"/>
      <c r="Q39" s="26"/>
      <c r="R39" s="26"/>
      <c r="S39" s="32"/>
      <c r="T39" s="33"/>
      <c r="U39" s="88"/>
      <c r="V39" s="85"/>
    </row>
    <row r="40" spans="1:22" s="9" customFormat="1" ht="15" customHeight="1">
      <c r="C40" s="33"/>
      <c r="D40" s="26" t="s">
        <v>5</v>
      </c>
      <c r="E40" s="32"/>
      <c r="F40" s="74">
        <f t="shared" ref="F40:I41" si="5">F13</f>
        <v>1</v>
      </c>
      <c r="G40" s="74">
        <f t="shared" si="5"/>
        <v>6</v>
      </c>
      <c r="H40" s="71">
        <f t="shared" si="5"/>
        <v>0</v>
      </c>
      <c r="I40" s="71">
        <f t="shared" si="5"/>
        <v>6</v>
      </c>
      <c r="J40" s="64">
        <f>IFERROR(F40/G40-1,"n/a")</f>
        <v>-0.83333333333333337</v>
      </c>
      <c r="K40" s="64" t="str">
        <f>IFERROR(F40/H40-1,"n/a")</f>
        <v>n/a</v>
      </c>
      <c r="L40" s="60">
        <f>IFERROR(F40/I40-1,"n/a")</f>
        <v>-0.83333333333333337</v>
      </c>
      <c r="M40" s="70">
        <f>+M13-'Mar-22'!M10</f>
        <v>30</v>
      </c>
      <c r="N40" s="70">
        <f>+N13-'Mar-22'!N10</f>
        <v>6</v>
      </c>
      <c r="O40" s="82">
        <f>+O13-'Mar-22'!O10</f>
        <v>0</v>
      </c>
      <c r="P40" s="70">
        <f>+P13-'Mar-22'!P10</f>
        <v>46</v>
      </c>
      <c r="Q40" s="64">
        <f>IFERROR(M40/N40-1,"n/a")</f>
        <v>4</v>
      </c>
      <c r="R40" s="64" t="str">
        <f>IFERROR(M40/O40-1,"n/a")</f>
        <v>n/a</v>
      </c>
      <c r="S40" s="60">
        <f>IFERROR(M40/P40-1,"n/a")</f>
        <v>-0.34782608695652173</v>
      </c>
      <c r="T40" s="89">
        <v>308</v>
      </c>
      <c r="U40" s="70">
        <v>145</v>
      </c>
      <c r="V40" s="78">
        <v>331</v>
      </c>
    </row>
    <row r="41" spans="1:22" s="9" customFormat="1" ht="15" customHeight="1">
      <c r="C41" s="33"/>
      <c r="D41" s="26" t="s">
        <v>11</v>
      </c>
      <c r="E41" s="32"/>
      <c r="F41" s="74">
        <f t="shared" si="5"/>
        <v>3145</v>
      </c>
      <c r="G41" s="74">
        <f t="shared" si="5"/>
        <v>767</v>
      </c>
      <c r="H41" s="71">
        <f t="shared" si="5"/>
        <v>0</v>
      </c>
      <c r="I41" s="74">
        <f t="shared" si="5"/>
        <v>10620</v>
      </c>
      <c r="J41" s="64">
        <f>IFERROR(F41/G41-1,"n/a")</f>
        <v>3.1003911342894392</v>
      </c>
      <c r="K41" s="64" t="str">
        <f>IFERROR(F41/H41-1,"n/a")</f>
        <v>n/a</v>
      </c>
      <c r="L41" s="60">
        <f>IFERROR(F41/I41-1,"n/a")</f>
        <v>-0.70386064030131834</v>
      </c>
      <c r="M41" s="82">
        <f>+M14-'Mar-22'!M11</f>
        <v>37841</v>
      </c>
      <c r="N41" s="82">
        <f>+N14-'Mar-22'!N11</f>
        <v>767</v>
      </c>
      <c r="O41" s="82">
        <f>+O14-'Mar-22'!O11</f>
        <v>0</v>
      </c>
      <c r="P41" s="82">
        <f>+P14-'Mar-22'!P11</f>
        <v>86144</v>
      </c>
      <c r="Q41" s="64">
        <f>IFERROR(M41/N41-1,"n/a")</f>
        <v>48.336375488917859</v>
      </c>
      <c r="R41" s="64" t="str">
        <f>IFERROR(M41/O41-1,"n/a")</f>
        <v>n/a</v>
      </c>
      <c r="S41" s="60">
        <f>IFERROR(M41/P41-1,"n/a")</f>
        <v>-0.56072390416047546</v>
      </c>
      <c r="T41" s="89">
        <v>237191</v>
      </c>
      <c r="U41" s="84">
        <v>258885</v>
      </c>
      <c r="V41" s="78">
        <v>606801</v>
      </c>
    </row>
    <row r="42" spans="1:22" s="9" customFormat="1" ht="15" customHeight="1">
      <c r="C42" s="31" t="s">
        <v>20</v>
      </c>
      <c r="D42" s="26"/>
      <c r="E42" s="32"/>
      <c r="F42" s="26"/>
      <c r="G42" s="26"/>
      <c r="H42" s="26"/>
      <c r="I42" s="26"/>
      <c r="J42" s="64"/>
      <c r="K42" s="64"/>
      <c r="L42" s="61"/>
      <c r="M42" s="87"/>
      <c r="N42" s="87"/>
      <c r="O42" s="87"/>
      <c r="P42" s="87"/>
      <c r="Q42" s="65"/>
      <c r="R42" s="65"/>
      <c r="S42" s="61"/>
      <c r="T42" s="90"/>
      <c r="U42" s="44"/>
      <c r="V42" s="79"/>
    </row>
    <row r="43" spans="1:22" s="9" customFormat="1" ht="15" customHeight="1">
      <c r="C43" s="33"/>
      <c r="D43" s="26" t="s">
        <v>5</v>
      </c>
      <c r="E43" s="32"/>
      <c r="F43" s="74">
        <f t="shared" ref="F43:I44" si="6">F16</f>
        <v>71</v>
      </c>
      <c r="G43" s="74">
        <f t="shared" si="6"/>
        <v>10</v>
      </c>
      <c r="H43" s="71">
        <f t="shared" si="6"/>
        <v>0</v>
      </c>
      <c r="I43" s="74">
        <f t="shared" si="6"/>
        <v>68</v>
      </c>
      <c r="J43" s="64">
        <f>IFERROR(F43/G43-1,"n/a")</f>
        <v>6.1</v>
      </c>
      <c r="K43" s="64" t="str">
        <f>IFERROR(F43/H43-1,"n/a")</f>
        <v>n/a</v>
      </c>
      <c r="L43" s="60">
        <f>IFERROR(F43/I43-1,"n/a")</f>
        <v>4.4117647058823595E-2</v>
      </c>
      <c r="M43" s="70">
        <f>+M16-'Mar-22'!M13</f>
        <v>338</v>
      </c>
      <c r="N43" s="70">
        <f>+N16-'Mar-22'!N13</f>
        <v>14</v>
      </c>
      <c r="O43" s="82">
        <f>+O16-'Mar-22'!O13</f>
        <v>0</v>
      </c>
      <c r="P43" s="70">
        <f>+P16-'Mar-22'!P13</f>
        <v>341</v>
      </c>
      <c r="Q43" s="64">
        <f>IFERROR(M43/N43-1,"n/a")</f>
        <v>23.142857142857142</v>
      </c>
      <c r="R43" s="64" t="str">
        <f>IFERROR(M43/O43-1,"n/a")</f>
        <v>n/a</v>
      </c>
      <c r="S43" s="60">
        <f>IFERROR(M43/P43-1,"n/a")</f>
        <v>-8.7976539589442737E-3</v>
      </c>
      <c r="T43" s="89">
        <v>336</v>
      </c>
      <c r="U43" s="70">
        <v>43</v>
      </c>
      <c r="V43" s="78">
        <v>781</v>
      </c>
    </row>
    <row r="44" spans="1:22" s="9" customFormat="1" ht="15" customHeight="1">
      <c r="C44" s="33"/>
      <c r="D44" s="26" t="s">
        <v>11</v>
      </c>
      <c r="E44" s="32"/>
      <c r="F44" s="74">
        <f t="shared" si="6"/>
        <v>271417</v>
      </c>
      <c r="G44" s="74">
        <f t="shared" si="6"/>
        <v>23553</v>
      </c>
      <c r="H44" s="71">
        <f t="shared" si="6"/>
        <v>0</v>
      </c>
      <c r="I44" s="74">
        <f t="shared" si="6"/>
        <v>261197</v>
      </c>
      <c r="J44" s="64">
        <f>IFERROR(F44/G44-1,"n/a")</f>
        <v>10.523670020804143</v>
      </c>
      <c r="K44" s="64" t="str">
        <f>IFERROR(F44/H44-1,"n/a")</f>
        <v>n/a</v>
      </c>
      <c r="L44" s="60">
        <f>IFERROR(F44/I44-1,"n/a")</f>
        <v>3.9127555063802388E-2</v>
      </c>
      <c r="M44" s="82">
        <f>+M17-'Mar-22'!M14</f>
        <v>736663</v>
      </c>
      <c r="N44" s="82">
        <f>+N17-'Mar-22'!N14</f>
        <v>28476</v>
      </c>
      <c r="O44" s="82">
        <f>+O17-'Mar-22'!O14</f>
        <v>0</v>
      </c>
      <c r="P44" s="82">
        <f>+P17-'Mar-22'!P14</f>
        <v>1049749</v>
      </c>
      <c r="Q44" s="64">
        <f>IFERROR(M44/N44-1,"n/a")</f>
        <v>24.869609495715689</v>
      </c>
      <c r="R44" s="64" t="str">
        <f>IFERROR(M44/O44-1,"n/a")</f>
        <v>n/a</v>
      </c>
      <c r="S44" s="60">
        <f>IFERROR(M44/P44-1,"n/a")</f>
        <v>-0.29824843843623572</v>
      </c>
      <c r="T44" s="89">
        <v>533563</v>
      </c>
      <c r="U44" s="84">
        <v>140552</v>
      </c>
      <c r="V44" s="78">
        <v>2441594</v>
      </c>
    </row>
    <row r="45" spans="1:22" s="9" customFormat="1" ht="15" customHeight="1">
      <c r="C45" s="31" t="s">
        <v>15</v>
      </c>
      <c r="D45" s="26"/>
      <c r="E45" s="32"/>
      <c r="F45" s="87"/>
      <c r="G45" s="87"/>
      <c r="H45" s="87"/>
      <c r="I45" s="72"/>
      <c r="J45" s="64"/>
      <c r="K45" s="64"/>
      <c r="L45" s="60"/>
      <c r="M45" s="87"/>
      <c r="N45" s="87"/>
      <c r="O45" s="87"/>
      <c r="P45" s="87"/>
      <c r="Q45" s="64"/>
      <c r="R45" s="64"/>
      <c r="S45" s="60"/>
      <c r="T45" s="90"/>
      <c r="U45" s="44"/>
      <c r="V45" s="79"/>
    </row>
    <row r="46" spans="1:22" s="9" customFormat="1" ht="15" customHeight="1">
      <c r="C46" s="33"/>
      <c r="D46" s="26" t="s">
        <v>5</v>
      </c>
      <c r="E46" s="32"/>
      <c r="F46" s="74">
        <f t="shared" ref="F46:I47" si="7">F19</f>
        <v>60</v>
      </c>
      <c r="G46" s="71">
        <f t="shared" si="7"/>
        <v>0</v>
      </c>
      <c r="H46" s="71">
        <f t="shared" si="7"/>
        <v>1</v>
      </c>
      <c r="I46" s="74">
        <f t="shared" si="7"/>
        <v>32</v>
      </c>
      <c r="J46" s="64" t="str">
        <f>IFERROR(F46/G46-1,"n/a")</f>
        <v>n/a</v>
      </c>
      <c r="K46" s="64">
        <f>IFERROR(F46/H46-1,"n/a")</f>
        <v>59</v>
      </c>
      <c r="L46" s="60">
        <f>IFERROR(F46/I46-1,"n/a")</f>
        <v>0.875</v>
      </c>
      <c r="M46" s="70">
        <f>+M19-'Mar-22'!M16</f>
        <v>217</v>
      </c>
      <c r="N46" s="82">
        <f>+N19-'Mar-22'!N16</f>
        <v>0</v>
      </c>
      <c r="O46" s="82">
        <f>+O19-'Mar-22'!O16</f>
        <v>1</v>
      </c>
      <c r="P46" s="82">
        <f>+P19-'Mar-22'!P16</f>
        <v>95</v>
      </c>
      <c r="Q46" s="64" t="str">
        <f>IFERROR(M46/N46-1,"n/a")</f>
        <v>n/a</v>
      </c>
      <c r="R46" s="64">
        <f>IFERROR(M46/O46-1,"n/a")</f>
        <v>216</v>
      </c>
      <c r="S46" s="60">
        <f>IFERROR(M46/P46-1,"n/a")</f>
        <v>1.2842105263157895</v>
      </c>
      <c r="T46" s="89">
        <v>33</v>
      </c>
      <c r="U46" s="70">
        <v>4</v>
      </c>
      <c r="V46" s="78">
        <v>188</v>
      </c>
    </row>
    <row r="47" spans="1:22" s="9" customFormat="1" ht="15" customHeight="1">
      <c r="C47" s="33"/>
      <c r="D47" s="26" t="s">
        <v>11</v>
      </c>
      <c r="E47" s="32"/>
      <c r="F47" s="74">
        <f t="shared" si="7"/>
        <v>81190</v>
      </c>
      <c r="G47" s="71">
        <f t="shared" si="7"/>
        <v>0</v>
      </c>
      <c r="H47" s="71">
        <f t="shared" si="7"/>
        <v>111</v>
      </c>
      <c r="I47" s="74">
        <f t="shared" si="7"/>
        <v>40651</v>
      </c>
      <c r="J47" s="64" t="str">
        <f>IFERROR(F47/G47-1,"n/a")</f>
        <v>n/a</v>
      </c>
      <c r="K47" s="64">
        <f>IFERROR(F47/H47-1,"n/a")</f>
        <v>730.4414414414415</v>
      </c>
      <c r="L47" s="60">
        <f>IFERROR(F47/I47-1,"n/a")</f>
        <v>0.99724484022533266</v>
      </c>
      <c r="M47" s="82">
        <f>+M20-'Mar-22'!M17</f>
        <v>238118</v>
      </c>
      <c r="N47" s="82">
        <f>+N20-'Mar-22'!N17</f>
        <v>0</v>
      </c>
      <c r="O47" s="82">
        <f>+O20-'Mar-22'!O17</f>
        <v>111</v>
      </c>
      <c r="P47" s="82">
        <f>+P20-'Mar-22'!P17</f>
        <v>112053</v>
      </c>
      <c r="Q47" s="64" t="str">
        <f>IFERROR(M47/N47-1,"n/a")</f>
        <v>n/a</v>
      </c>
      <c r="R47" s="64">
        <f>IFERROR(M47/O47-1,"n/a")</f>
        <v>2144.2072072072074</v>
      </c>
      <c r="S47" s="60">
        <f>IFERROR(M47/P47-1,"n/a")</f>
        <v>1.1250479683721095</v>
      </c>
      <c r="T47" s="82">
        <v>10083</v>
      </c>
      <c r="U47" s="84">
        <v>1753</v>
      </c>
      <c r="V47" s="78">
        <f>176097+74816</f>
        <v>250913</v>
      </c>
    </row>
    <row r="48" spans="1:22" s="9" customFormat="1" ht="15" customHeight="1">
      <c r="C48" s="31" t="s">
        <v>10</v>
      </c>
      <c r="D48" s="26"/>
      <c r="E48" s="34"/>
      <c r="F48" s="72"/>
      <c r="G48" s="72"/>
      <c r="H48" s="72"/>
      <c r="I48" s="72"/>
      <c r="J48" s="64"/>
      <c r="K48" s="64"/>
      <c r="L48" s="60"/>
      <c r="M48" s="87"/>
      <c r="N48" s="87"/>
      <c r="O48" s="87"/>
      <c r="P48" s="87"/>
      <c r="Q48" s="64"/>
      <c r="R48" s="64"/>
      <c r="S48" s="60"/>
      <c r="T48" s="90"/>
      <c r="U48" s="44"/>
      <c r="V48" s="79"/>
    </row>
    <row r="49" spans="3:22" s="9" customFormat="1" ht="15" customHeight="1">
      <c r="C49" s="33"/>
      <c r="D49" s="26" t="s">
        <v>5</v>
      </c>
      <c r="E49" s="34"/>
      <c r="F49" s="73">
        <f t="shared" ref="F49:I50" si="8">F22</f>
        <v>83</v>
      </c>
      <c r="G49" s="74">
        <f t="shared" si="8"/>
        <v>22</v>
      </c>
      <c r="H49" s="71">
        <f t="shared" si="8"/>
        <v>0</v>
      </c>
      <c r="I49" s="74">
        <f t="shared" si="8"/>
        <v>95</v>
      </c>
      <c r="J49" s="64">
        <f>IFERROR(F49/G49-1,"n/a")</f>
        <v>2.7727272727272729</v>
      </c>
      <c r="K49" s="64" t="str">
        <f>IFERROR(F49/H49-1,"n/a")</f>
        <v>n/a</v>
      </c>
      <c r="L49" s="60">
        <f>IFERROR(F49/I49-1,"n/a")</f>
        <v>-0.12631578947368416</v>
      </c>
      <c r="M49" s="70">
        <f>+M22-'Mar-22'!M19</f>
        <v>350</v>
      </c>
      <c r="N49" s="70">
        <f>+N22-'Mar-22'!N19</f>
        <v>29</v>
      </c>
      <c r="O49" s="70">
        <f>+O22-'Mar-22'!O19</f>
        <v>42</v>
      </c>
      <c r="P49" s="70">
        <f>+P22-'Mar-22'!P19</f>
        <v>371</v>
      </c>
      <c r="Q49" s="64">
        <f>IFERROR(M49/N49-1,"n/a")</f>
        <v>11.068965517241379</v>
      </c>
      <c r="R49" s="64">
        <f>IFERROR(M49/O49-1,"n/a")</f>
        <v>7.3333333333333339</v>
      </c>
      <c r="S49" s="60">
        <f>IFERROR(M49/P49-1,"n/a")</f>
        <v>-5.6603773584905648E-2</v>
      </c>
      <c r="T49" s="89">
        <v>744</v>
      </c>
      <c r="U49" s="84">
        <v>406</v>
      </c>
      <c r="V49" s="78">
        <v>1253</v>
      </c>
    </row>
    <row r="50" spans="3:22" s="9" customFormat="1" ht="15" customHeight="1">
      <c r="C50" s="33"/>
      <c r="D50" s="26" t="s">
        <v>11</v>
      </c>
      <c r="E50" s="32"/>
      <c r="F50" s="73">
        <f t="shared" si="8"/>
        <v>288977</v>
      </c>
      <c r="G50" s="74">
        <f t="shared" si="8"/>
        <v>30147</v>
      </c>
      <c r="H50" s="71">
        <f t="shared" si="8"/>
        <v>0</v>
      </c>
      <c r="I50" s="74">
        <f t="shared" si="8"/>
        <v>321844</v>
      </c>
      <c r="J50" s="64">
        <f>IFERROR(F50/G50-1,"n/a")</f>
        <v>8.5855972401897365</v>
      </c>
      <c r="K50" s="64" t="str">
        <f>IFERROR(F50/H50-1,"n/a")</f>
        <v>n/a</v>
      </c>
      <c r="L50" s="60">
        <f>IFERROR(F50/I50-1,"n/a")</f>
        <v>-0.10212090329476398</v>
      </c>
      <c r="M50" s="82">
        <f>+M23-'Mar-22'!M20</f>
        <v>1038712</v>
      </c>
      <c r="N50" s="82">
        <f>+N23-'Mar-22'!N20</f>
        <v>35258</v>
      </c>
      <c r="O50" s="82">
        <f>+O23-'Mar-22'!O20</f>
        <v>0</v>
      </c>
      <c r="P50" s="82">
        <f>+P23-'Mar-22'!P20</f>
        <v>1267874</v>
      </c>
      <c r="Q50" s="64">
        <f>IFERROR(M50/N50-1,"n/a")</f>
        <v>28.460321061886663</v>
      </c>
      <c r="R50" s="64" t="str">
        <f>IFERROR(M50/O50-1,"n/a")</f>
        <v>n/a</v>
      </c>
      <c r="S50" s="60">
        <f>IFERROR(M50/P50-1,"n/a")</f>
        <v>-0.18074508981176363</v>
      </c>
      <c r="T50" s="82">
        <v>1290779</v>
      </c>
      <c r="U50" s="84">
        <v>833999</v>
      </c>
      <c r="V50" s="78">
        <v>3627458</v>
      </c>
    </row>
    <row r="51" spans="3:22" s="9" customFormat="1" ht="15" customHeight="1">
      <c r="C51" s="31" t="s">
        <v>16</v>
      </c>
      <c r="D51" s="26"/>
      <c r="E51" s="32"/>
      <c r="F51" s="72"/>
      <c r="G51" s="72"/>
      <c r="H51" s="72"/>
      <c r="I51" s="72"/>
      <c r="J51" s="64"/>
      <c r="K51" s="64"/>
      <c r="L51" s="60"/>
      <c r="M51" s="87"/>
      <c r="N51" s="87"/>
      <c r="O51" s="87"/>
      <c r="P51" s="87"/>
      <c r="Q51" s="64"/>
      <c r="R51" s="64"/>
      <c r="S51" s="60"/>
      <c r="T51" s="90"/>
      <c r="U51" s="44"/>
      <c r="V51" s="79"/>
    </row>
    <row r="52" spans="3:22" s="9" customFormat="1" ht="15" customHeight="1">
      <c r="C52" s="33"/>
      <c r="D52" s="26" t="s">
        <v>5</v>
      </c>
      <c r="E52" s="32"/>
      <c r="F52" s="74">
        <f t="shared" ref="F52:I53" si="9">F25</f>
        <v>33</v>
      </c>
      <c r="G52" s="74">
        <f t="shared" si="9"/>
        <v>9</v>
      </c>
      <c r="H52" s="71">
        <f t="shared" si="9"/>
        <v>0</v>
      </c>
      <c r="I52" s="74">
        <f t="shared" si="9"/>
        <v>36</v>
      </c>
      <c r="J52" s="64">
        <f>IFERROR(F52/G52-1,"n/a")</f>
        <v>2.6666666666666665</v>
      </c>
      <c r="K52" s="64" t="str">
        <f>IFERROR(F52/H52-1,"n/a")</f>
        <v>n/a</v>
      </c>
      <c r="L52" s="60">
        <f>IFERROR(F52/I52-1,"n/a")</f>
        <v>-8.333333333333337E-2</v>
      </c>
      <c r="M52" s="70">
        <f>+M25-'Mar-22'!M22</f>
        <v>133</v>
      </c>
      <c r="N52" s="70">
        <f>+N25-'Mar-22'!N22</f>
        <v>28</v>
      </c>
      <c r="O52" s="82">
        <f>+O25-'Mar-22'!O22</f>
        <v>0</v>
      </c>
      <c r="P52" s="70">
        <f>+P25-'Mar-22'!P22</f>
        <v>149</v>
      </c>
      <c r="Q52" s="64">
        <f>IFERROR(M52/N52-1,"n/a")</f>
        <v>3.75</v>
      </c>
      <c r="R52" s="64" t="str">
        <f>IFERROR(M52/O52-1,"n/a")</f>
        <v>n/a</v>
      </c>
      <c r="S52" s="60">
        <f>IFERROR(M52/P52-1,"n/a")</f>
        <v>-0.10738255033557043</v>
      </c>
      <c r="T52" s="89">
        <v>121</v>
      </c>
      <c r="U52" s="70">
        <v>41</v>
      </c>
      <c r="V52" s="78">
        <v>361</v>
      </c>
    </row>
    <row r="53" spans="3:22" s="9" customFormat="1" ht="15" customHeight="1">
      <c r="C53" s="33"/>
      <c r="D53" s="26" t="s">
        <v>11</v>
      </c>
      <c r="E53" s="32"/>
      <c r="F53" s="74">
        <f t="shared" si="9"/>
        <v>73604</v>
      </c>
      <c r="G53" s="74">
        <f t="shared" si="9"/>
        <v>14049</v>
      </c>
      <c r="H53" s="71">
        <f t="shared" si="9"/>
        <v>0</v>
      </c>
      <c r="I53" s="74">
        <f t="shared" si="9"/>
        <v>102764</v>
      </c>
      <c r="J53" s="64">
        <f>IFERROR(F53/G53-1,"n/a")</f>
        <v>4.2390917503025127</v>
      </c>
      <c r="K53" s="64" t="str">
        <f>IFERROR(F53/H53-1,"n/a")</f>
        <v>n/a</v>
      </c>
      <c r="L53" s="60">
        <f>IFERROR(F53/I53-1,"n/a")</f>
        <v>-0.28375695768946319</v>
      </c>
      <c r="M53" s="82">
        <f>+M26-'Mar-22'!M23</f>
        <v>223528</v>
      </c>
      <c r="N53" s="82">
        <f>+N26-'Mar-22'!N23</f>
        <v>37486</v>
      </c>
      <c r="O53" s="82">
        <f>+O26-'Mar-22'!O23</f>
        <v>0</v>
      </c>
      <c r="P53" s="82">
        <f>+P26-'Mar-22'!P23</f>
        <v>400860</v>
      </c>
      <c r="Q53" s="64">
        <f>IFERROR(M53/N53-1,"n/a")</f>
        <v>4.9629728431947928</v>
      </c>
      <c r="R53" s="64" t="str">
        <f>IFERROR(M53/O53-1,"n/a")</f>
        <v>n/a</v>
      </c>
      <c r="S53" s="60">
        <f>IFERROR(M53/P53-1,"n/a")</f>
        <v>-0.44237888539639769</v>
      </c>
      <c r="T53" s="82">
        <v>165689</v>
      </c>
      <c r="U53" s="84">
        <v>67144</v>
      </c>
      <c r="V53" s="78">
        <v>865961</v>
      </c>
    </row>
    <row r="54" spans="3:22" ht="15" customHeight="1">
      <c r="C54" s="31" t="s">
        <v>17</v>
      </c>
      <c r="D54" s="26"/>
      <c r="E54" s="32"/>
      <c r="F54" s="72"/>
      <c r="G54" s="72"/>
      <c r="H54" s="72"/>
      <c r="I54" s="72"/>
      <c r="J54" s="64"/>
      <c r="K54" s="64"/>
      <c r="L54" s="60"/>
      <c r="M54" s="87"/>
      <c r="N54" s="87"/>
      <c r="O54" s="87"/>
      <c r="P54" s="87"/>
      <c r="Q54" s="64"/>
      <c r="R54" s="64"/>
      <c r="S54" s="60"/>
      <c r="T54" s="90"/>
      <c r="U54" s="44"/>
      <c r="V54" s="79"/>
    </row>
    <row r="55" spans="3:22" ht="15.6" customHeight="1">
      <c r="C55" s="33"/>
      <c r="D55" s="26" t="s">
        <v>5</v>
      </c>
      <c r="E55" s="32"/>
      <c r="F55" s="74">
        <f t="shared" ref="F55:I56" si="10">F28</f>
        <v>65</v>
      </c>
      <c r="G55" s="74">
        <f t="shared" si="10"/>
        <v>16</v>
      </c>
      <c r="H55" s="71">
        <f t="shared" si="10"/>
        <v>1</v>
      </c>
      <c r="I55" s="74">
        <f t="shared" si="10"/>
        <v>46</v>
      </c>
      <c r="J55" s="64">
        <f>IFERROR(F55/G55-1,"n/a")</f>
        <v>3.0625</v>
      </c>
      <c r="K55" s="64">
        <f>IFERROR(F55/H55-1,"n/a")</f>
        <v>64</v>
      </c>
      <c r="L55" s="60">
        <f>IFERROR(F55/I55-1,"n/a")</f>
        <v>0.41304347826086962</v>
      </c>
      <c r="M55" s="70">
        <f>+M28-'Mar-22'!M25</f>
        <v>258</v>
      </c>
      <c r="N55" s="70">
        <f>+N28-'Mar-22'!N25</f>
        <v>37</v>
      </c>
      <c r="O55" s="70">
        <f>+O28-'Mar-22'!O25</f>
        <v>1</v>
      </c>
      <c r="P55" s="70">
        <f>+P28-'Mar-22'!P25</f>
        <v>168</v>
      </c>
      <c r="Q55" s="64">
        <f>IFERROR(M55/N55-1,"n/a")</f>
        <v>5.9729729729729728</v>
      </c>
      <c r="R55" s="64">
        <f>IFERROR(M55/O55-1,"n/a")</f>
        <v>257</v>
      </c>
      <c r="S55" s="60">
        <f>IFERROR(M55/P55-1,"n/a")</f>
        <v>0.53571428571428581</v>
      </c>
      <c r="T55" s="89">
        <v>140</v>
      </c>
      <c r="U55" s="70">
        <v>40</v>
      </c>
      <c r="V55" s="78">
        <v>360</v>
      </c>
    </row>
    <row r="56" spans="3:22" ht="15.6" customHeight="1">
      <c r="C56" s="33"/>
      <c r="D56" s="26" t="s">
        <v>11</v>
      </c>
      <c r="E56" s="32"/>
      <c r="F56" s="74">
        <f t="shared" si="10"/>
        <v>138906</v>
      </c>
      <c r="G56" s="74">
        <f t="shared" si="10"/>
        <v>23981</v>
      </c>
      <c r="H56" s="71">
        <f t="shared" si="10"/>
        <v>6081</v>
      </c>
      <c r="I56" s="74">
        <f t="shared" si="10"/>
        <v>131948</v>
      </c>
      <c r="J56" s="64">
        <f>IFERROR(F56/G56-1,"n/a")</f>
        <v>4.792335599015888</v>
      </c>
      <c r="K56" s="64">
        <f>IFERROR(F56/H56-1,"n/a")</f>
        <v>21.842624568327576</v>
      </c>
      <c r="L56" s="60">
        <f>IFERROR(F56/I56-1,"n/a")</f>
        <v>5.2732894776730266E-2</v>
      </c>
      <c r="M56" s="82">
        <f>+M29-'Mar-22'!M26</f>
        <v>347480</v>
      </c>
      <c r="N56" s="82">
        <f>+N29-'Mar-22'!N26</f>
        <v>54494</v>
      </c>
      <c r="O56" s="82">
        <f>+O29-'Mar-22'!O26</f>
        <v>8294</v>
      </c>
      <c r="P56" s="82">
        <f>+P29-'Mar-22'!P26</f>
        <v>437020</v>
      </c>
      <c r="Q56" s="64">
        <f>IFERROR(M56/N56-1,"n/a")</f>
        <v>5.3764818145116893</v>
      </c>
      <c r="R56" s="64">
        <f>IFERROR(M56/O56-1,"n/a")</f>
        <v>40.895346033277065</v>
      </c>
      <c r="S56" s="60">
        <f>IFERROR(M56/P56-1,"n/a")</f>
        <v>-0.20488764816255545</v>
      </c>
      <c r="T56" s="82">
        <v>174336</v>
      </c>
      <c r="U56" s="84">
        <v>21928</v>
      </c>
      <c r="V56" s="78">
        <f>706948+155011</f>
        <v>861959</v>
      </c>
    </row>
    <row r="57" spans="3:22" ht="26.85" customHeight="1" thickBot="1">
      <c r="C57" s="35" t="s">
        <v>12</v>
      </c>
      <c r="D57" s="36"/>
      <c r="E57" s="37"/>
      <c r="F57" s="75">
        <f t="shared" ref="F57:I58" si="11">F40+F43+F46+F49+F52+F55</f>
        <v>313</v>
      </c>
      <c r="G57" s="75">
        <f t="shared" si="11"/>
        <v>63</v>
      </c>
      <c r="H57" s="75">
        <f t="shared" si="11"/>
        <v>2</v>
      </c>
      <c r="I57" s="75">
        <f t="shared" si="11"/>
        <v>283</v>
      </c>
      <c r="J57" s="66">
        <f>IFERROR(F57/G57-1,"n/a")</f>
        <v>3.9682539682539684</v>
      </c>
      <c r="K57" s="66">
        <f>IFERROR(F57/H57-1,"n/a")</f>
        <v>155.5</v>
      </c>
      <c r="L57" s="62">
        <f>IFERROR(F57/I57-1,"n/a")</f>
        <v>0.10600706713780927</v>
      </c>
      <c r="M57" s="46">
        <f t="shared" ref="M57:P58" si="12">M40+M43+M46+M49+M52+M55</f>
        <v>1326</v>
      </c>
      <c r="N57" s="46">
        <f t="shared" si="12"/>
        <v>114</v>
      </c>
      <c r="O57" s="46">
        <f t="shared" si="12"/>
        <v>44</v>
      </c>
      <c r="P57" s="46">
        <f t="shared" si="12"/>
        <v>1170</v>
      </c>
      <c r="Q57" s="66">
        <f>IFERROR(M57/N57-1,"n/a")</f>
        <v>10.631578947368421</v>
      </c>
      <c r="R57" s="66">
        <f>IFERROR(M57/O57-1,"n/a")</f>
        <v>29.136363636363637</v>
      </c>
      <c r="S57" s="62">
        <f>IFERROR(M57/P57-1,"n/a")</f>
        <v>0.1333333333333333</v>
      </c>
      <c r="T57" s="46">
        <f t="shared" ref="T57:V58" si="13">T40+T43+T46+T49+T52+T55</f>
        <v>1682</v>
      </c>
      <c r="U57" s="46">
        <f t="shared" si="13"/>
        <v>679</v>
      </c>
      <c r="V57" s="80">
        <f t="shared" si="13"/>
        <v>3274</v>
      </c>
    </row>
    <row r="58" spans="3:22" ht="26.85" customHeight="1" thickTop="1" thickBot="1">
      <c r="C58" s="38" t="s">
        <v>13</v>
      </c>
      <c r="D58" s="39"/>
      <c r="E58" s="40"/>
      <c r="F58" s="76">
        <f t="shared" si="11"/>
        <v>857239</v>
      </c>
      <c r="G58" s="76">
        <f t="shared" si="11"/>
        <v>92497</v>
      </c>
      <c r="H58" s="76">
        <f t="shared" si="11"/>
        <v>6192</v>
      </c>
      <c r="I58" s="76">
        <f t="shared" si="11"/>
        <v>869024</v>
      </c>
      <c r="J58" s="67">
        <f>IFERROR(F58/G58-1,"n/a")</f>
        <v>8.2677492242991661</v>
      </c>
      <c r="K58" s="67">
        <f>IFERROR(F58/H58-1,"n/a")</f>
        <v>137.44299095607235</v>
      </c>
      <c r="L58" s="63">
        <f>IFERROR(F58/I58-1,"n/a")</f>
        <v>-1.3561190484957852E-2</v>
      </c>
      <c r="M58" s="47">
        <f t="shared" si="12"/>
        <v>2622342</v>
      </c>
      <c r="N58" s="47">
        <f t="shared" si="12"/>
        <v>156481</v>
      </c>
      <c r="O58" s="47">
        <f t="shared" si="12"/>
        <v>8405</v>
      </c>
      <c r="P58" s="47">
        <f t="shared" si="12"/>
        <v>3353700</v>
      </c>
      <c r="Q58" s="67">
        <f>IFERROR(M58/N58-1,"n/a")</f>
        <v>15.758213457224837</v>
      </c>
      <c r="R58" s="67">
        <f>IFERROR(M58/O58-1,"n/a")</f>
        <v>310.99785841760854</v>
      </c>
      <c r="S58" s="63">
        <f>IFERROR(M58/P58-1,"n/a")</f>
        <v>-0.21807496198228826</v>
      </c>
      <c r="T58" s="47">
        <f t="shared" si="13"/>
        <v>2411641</v>
      </c>
      <c r="U58" s="47">
        <f t="shared" si="13"/>
        <v>1324261</v>
      </c>
      <c r="V58" s="81">
        <f t="shared" si="13"/>
        <v>8654686</v>
      </c>
    </row>
    <row r="59" spans="3:22" ht="12" customHeight="1" thickTop="1"/>
  </sheetData>
  <customSheetViews>
    <customSheetView guid="{5F6D01E3-9E6F-4D7F-980F-63899AF95899}" scale="70" showPageBreaks="1" showGridLines="0" fitToPage="1" hiddenColumns="1">
      <selection activeCell="A60" sqref="A60:XFD1048576"/>
      <rowBreaks count="1" manualBreakCount="1">
        <brk id="59" max="16383" man="1"/>
      </rowBreaks>
      <colBreaks count="2" manualBreakCount="2">
        <brk id="3" max="1048575" man="1"/>
        <brk id="5" max="1048575" man="1"/>
      </colBreaks>
      <pageMargins left="0.7" right="0.7" top="0.75" bottom="0.75" header="0.3" footer="0.3"/>
      <pageSetup paperSize="9" scale="51" orientation="landscape" horizontalDpi="4294967293" verticalDpi="4294967293" r:id="rId1"/>
    </customSheetView>
  </customSheetViews>
  <mergeCells count="6">
    <mergeCell ref="F36:L36"/>
    <mergeCell ref="F9:L9"/>
    <mergeCell ref="M9:S9"/>
    <mergeCell ref="T9:V9"/>
    <mergeCell ref="M36:S36"/>
    <mergeCell ref="T36:V36"/>
  </mergeCells>
  <pageMargins left="0.7" right="0.7" top="0.75" bottom="0.75" header="0.3" footer="0.3"/>
  <pageSetup paperSize="9" scale="52" orientation="landscape" horizontalDpi="4294967293" verticalDpi="4294967293" r:id="rId2"/>
  <colBreaks count="2" manualBreakCount="2">
    <brk id="3" max="1048575" man="1"/>
    <brk id="5" max="1048575" man="1"/>
  </colBreaks>
  <drawing r:id="rId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AL48"/>
  <sheetViews>
    <sheetView showGridLines="0" zoomScaleNormal="100" workbookViewId="0"/>
  </sheetViews>
  <sheetFormatPr defaultColWidth="0" defaultRowHeight="0" customHeight="1" zeroHeight="1"/>
  <cols>
    <col min="1" max="3" width="2.5703125" customWidth="1"/>
    <col min="4" max="4" width="9.140625" customWidth="1"/>
    <col min="5" max="6" width="15.42578125" customWidth="1"/>
    <col min="7" max="8" width="11.140625" bestFit="1" customWidth="1"/>
    <col min="9" max="9" width="10.5703125" bestFit="1" customWidth="1"/>
    <col min="10" max="10" width="9" bestFit="1" customWidth="1"/>
    <col min="11" max="12" width="9.140625" customWidth="1"/>
    <col min="13" max="13" width="11.5703125" bestFit="1" customWidth="1"/>
    <col min="14" max="14" width="10.140625" bestFit="1" customWidth="1"/>
    <col min="15" max="15" width="12.140625" bestFit="1" customWidth="1"/>
    <col min="16" max="16" width="12.5703125" bestFit="1" customWidth="1"/>
    <col min="17" max="17" width="8.85546875" customWidth="1"/>
    <col min="18" max="19" width="9.140625" customWidth="1"/>
    <col min="20" max="20" width="12.140625" bestFit="1" customWidth="1"/>
    <col min="21" max="21" width="11.85546875" bestFit="1" customWidth="1"/>
    <col min="22" max="22" width="12.42578125" customWidth="1"/>
    <col min="23" max="23" width="3.140625" style="9" customWidth="1"/>
    <col min="24" max="38" width="0" style="9" hidden="1" customWidth="1"/>
    <col min="39" max="16384" width="9.140625" hidden="1"/>
  </cols>
  <sheetData>
    <row r="1" spans="1:38" ht="15">
      <c r="A1" s="9"/>
      <c r="B1" s="9"/>
      <c r="C1" s="9"/>
      <c r="D1" s="9"/>
      <c r="E1" s="9"/>
      <c r="F1" s="9"/>
      <c r="G1" s="9"/>
      <c r="H1" s="9"/>
      <c r="I1" s="9"/>
      <c r="J1" s="9"/>
      <c r="K1" s="9"/>
      <c r="L1" s="9"/>
      <c r="M1" s="9"/>
      <c r="N1" s="9"/>
      <c r="O1" s="9"/>
      <c r="P1" s="9"/>
      <c r="Q1" s="9"/>
      <c r="R1" s="9"/>
      <c r="S1" s="9"/>
      <c r="T1" s="9"/>
      <c r="U1" s="9"/>
      <c r="V1" s="9"/>
    </row>
    <row r="2" spans="1:38" ht="19.5" thickBot="1">
      <c r="A2" s="9"/>
      <c r="B2" s="8" t="s">
        <v>6</v>
      </c>
      <c r="C2" s="23"/>
      <c r="D2" s="23"/>
      <c r="E2" s="23"/>
      <c r="F2" s="23"/>
      <c r="G2" s="23"/>
      <c r="H2" s="23"/>
      <c r="I2" s="23"/>
      <c r="J2" s="23"/>
      <c r="K2" s="23"/>
      <c r="L2" s="23"/>
      <c r="M2" s="23"/>
      <c r="N2" s="23"/>
      <c r="O2" s="23"/>
      <c r="P2" s="23"/>
      <c r="Q2" s="23"/>
      <c r="R2" s="23"/>
      <c r="S2" s="23"/>
      <c r="T2" s="23"/>
      <c r="U2" s="23"/>
      <c r="V2" s="23"/>
    </row>
    <row r="3" spans="1:38" ht="15">
      <c r="A3" s="9"/>
      <c r="B3" s="10"/>
      <c r="C3" s="24"/>
      <c r="D3" s="24"/>
      <c r="E3" s="24"/>
      <c r="F3" s="24"/>
      <c r="G3" s="24"/>
      <c r="H3" s="24"/>
      <c r="I3" s="24"/>
      <c r="J3" s="24"/>
      <c r="K3" s="24"/>
      <c r="L3" s="24"/>
      <c r="M3" s="24"/>
      <c r="N3" s="24"/>
      <c r="O3" s="24"/>
      <c r="P3" s="24"/>
      <c r="Q3" s="24"/>
      <c r="R3" s="24"/>
      <c r="S3" s="24"/>
      <c r="T3" s="24"/>
      <c r="U3" s="24"/>
      <c r="V3" s="25"/>
    </row>
    <row r="4" spans="1:38" ht="15.75">
      <c r="A4" s="9"/>
      <c r="B4" s="11" t="s">
        <v>7</v>
      </c>
      <c r="C4" s="26"/>
      <c r="D4" s="24"/>
      <c r="E4" s="58" t="s">
        <v>50</v>
      </c>
      <c r="F4" s="24"/>
      <c r="G4" s="24"/>
      <c r="H4" s="24"/>
      <c r="I4" s="24"/>
      <c r="J4" s="24"/>
      <c r="K4" s="24"/>
      <c r="L4" s="24"/>
      <c r="M4" s="24"/>
      <c r="N4" s="24"/>
      <c r="O4" s="24"/>
      <c r="P4" s="24"/>
      <c r="Q4" s="24"/>
      <c r="R4" s="24"/>
      <c r="S4" s="24"/>
      <c r="T4" s="24"/>
      <c r="U4" s="24"/>
      <c r="V4" s="24"/>
    </row>
    <row r="5" spans="1:38" ht="15">
      <c r="A5" s="9"/>
      <c r="B5" s="10"/>
      <c r="C5" s="24"/>
      <c r="D5" s="24"/>
      <c r="E5" s="24"/>
      <c r="F5" s="24"/>
      <c r="G5" s="24"/>
      <c r="H5" s="24"/>
      <c r="I5" s="24"/>
      <c r="J5" s="24"/>
      <c r="K5" s="24"/>
      <c r="L5" s="24"/>
      <c r="M5" s="24"/>
      <c r="N5" s="24"/>
      <c r="O5" s="24"/>
      <c r="P5" s="24"/>
      <c r="Q5" s="24"/>
      <c r="R5" s="24"/>
      <c r="S5" s="24"/>
      <c r="T5" s="24"/>
      <c r="U5" s="24"/>
      <c r="V5" s="24"/>
    </row>
    <row r="6" spans="1:38" s="20" customFormat="1" ht="15">
      <c r="A6" s="9"/>
      <c r="B6"/>
      <c r="C6" s="27" t="s">
        <v>7</v>
      </c>
      <c r="D6" s="28"/>
      <c r="E6" s="28"/>
      <c r="F6" s="158" t="s">
        <v>51</v>
      </c>
      <c r="G6" s="158"/>
      <c r="H6" s="158"/>
      <c r="I6" s="158"/>
      <c r="J6" s="158"/>
      <c r="K6" s="158"/>
      <c r="L6" s="159"/>
      <c r="M6" s="157" t="s">
        <v>52</v>
      </c>
      <c r="N6" s="158"/>
      <c r="O6" s="158"/>
      <c r="P6" s="158"/>
      <c r="Q6" s="158"/>
      <c r="R6" s="158"/>
      <c r="S6" s="159"/>
      <c r="T6" s="157" t="s">
        <v>9</v>
      </c>
      <c r="U6" s="158"/>
      <c r="V6" s="158"/>
      <c r="W6" s="9"/>
      <c r="X6" s="19"/>
      <c r="Y6" s="19"/>
      <c r="Z6" s="19"/>
      <c r="AA6" s="19"/>
      <c r="AB6" s="19"/>
      <c r="AC6" s="19"/>
      <c r="AD6" s="19"/>
      <c r="AE6" s="19"/>
      <c r="AF6" s="19"/>
      <c r="AG6" s="19"/>
      <c r="AH6" s="19"/>
      <c r="AI6" s="19"/>
      <c r="AJ6" s="19"/>
      <c r="AK6" s="19"/>
      <c r="AL6" s="19"/>
    </row>
    <row r="7" spans="1:38" ht="15.75">
      <c r="A7" s="9"/>
      <c r="B7" s="18"/>
      <c r="C7" s="29"/>
      <c r="D7" s="30"/>
      <c r="E7" s="30"/>
      <c r="F7" s="29"/>
      <c r="G7" s="30"/>
      <c r="H7" s="30"/>
      <c r="I7" s="30"/>
      <c r="J7" s="30"/>
      <c r="K7" s="30"/>
      <c r="L7" s="56"/>
      <c r="M7" s="30"/>
      <c r="N7" s="30"/>
      <c r="O7" s="30"/>
      <c r="P7" s="30"/>
      <c r="Q7" s="30"/>
      <c r="R7" s="30"/>
      <c r="S7" s="56"/>
      <c r="T7" s="30"/>
      <c r="U7" s="30"/>
      <c r="V7" s="30"/>
    </row>
    <row r="8" spans="1:38" s="54" customFormat="1" ht="22.5">
      <c r="A8" s="48"/>
      <c r="B8" s="49"/>
      <c r="C8" s="59" t="s">
        <v>29</v>
      </c>
      <c r="D8" s="50"/>
      <c r="E8" s="51"/>
      <c r="F8" s="55">
        <v>2022</v>
      </c>
      <c r="G8" s="52">
        <v>2021</v>
      </c>
      <c r="H8" s="52">
        <v>2020</v>
      </c>
      <c r="I8" s="52">
        <v>2019</v>
      </c>
      <c r="J8" s="53" t="s">
        <v>36</v>
      </c>
      <c r="K8" s="53" t="s">
        <v>34</v>
      </c>
      <c r="L8" s="57" t="s">
        <v>35</v>
      </c>
      <c r="M8" s="53">
        <v>2022</v>
      </c>
      <c r="N8" s="52">
        <v>2021</v>
      </c>
      <c r="O8" s="52">
        <v>2020</v>
      </c>
      <c r="P8" s="52">
        <v>2019</v>
      </c>
      <c r="Q8" s="53" t="s">
        <v>36</v>
      </c>
      <c r="R8" s="53" t="s">
        <v>34</v>
      </c>
      <c r="S8" s="57" t="s">
        <v>35</v>
      </c>
      <c r="T8" s="53">
        <v>2021</v>
      </c>
      <c r="U8" s="52">
        <v>2020</v>
      </c>
      <c r="V8" s="52">
        <v>2019</v>
      </c>
      <c r="W8" s="48"/>
      <c r="X8" s="48"/>
      <c r="Y8" s="48"/>
      <c r="Z8" s="48"/>
      <c r="AA8" s="48"/>
      <c r="AB8" s="48"/>
      <c r="AC8" s="48"/>
      <c r="AD8" s="48"/>
      <c r="AE8" s="48"/>
      <c r="AF8" s="48"/>
      <c r="AG8" s="48"/>
      <c r="AH8" s="48"/>
      <c r="AI8" s="48"/>
      <c r="AJ8" s="48"/>
      <c r="AK8" s="48"/>
      <c r="AL8" s="48"/>
    </row>
    <row r="9" spans="1:38" ht="15">
      <c r="A9" s="9"/>
      <c r="B9" s="12"/>
      <c r="C9" s="31" t="s">
        <v>14</v>
      </c>
      <c r="D9" s="26"/>
      <c r="E9" s="32"/>
      <c r="F9" s="26"/>
      <c r="G9" s="26"/>
      <c r="H9" s="26"/>
      <c r="I9" s="26"/>
      <c r="J9" s="26"/>
      <c r="K9" s="26"/>
      <c r="L9" s="32"/>
      <c r="M9" s="26"/>
      <c r="N9" s="26"/>
      <c r="O9" s="26"/>
      <c r="P9" s="26"/>
      <c r="Q9" s="26"/>
      <c r="R9" s="26"/>
      <c r="S9" s="32"/>
      <c r="T9" s="26"/>
      <c r="U9" s="26"/>
      <c r="V9" s="26"/>
    </row>
    <row r="10" spans="1:38" ht="15">
      <c r="A10" s="9"/>
      <c r="B10" s="12"/>
      <c r="C10" s="33"/>
      <c r="D10" s="26" t="s">
        <v>5</v>
      </c>
      <c r="E10" s="32"/>
      <c r="F10" s="71">
        <v>1</v>
      </c>
      <c r="G10" s="71">
        <v>0</v>
      </c>
      <c r="H10" s="71">
        <v>0</v>
      </c>
      <c r="I10" s="71">
        <v>5</v>
      </c>
      <c r="J10" s="64" t="str">
        <f t="shared" ref="J10:J28" si="0">IFERROR(F10/G10-1,"n/a")</f>
        <v>n/a</v>
      </c>
      <c r="K10" s="64" t="str">
        <f>IFERROR(F10/H10-1,"n/a")</f>
        <v>n/a</v>
      </c>
      <c r="L10" s="60">
        <f>IFERROR(F10/I10-1,"n/a")</f>
        <v>-0.8</v>
      </c>
      <c r="M10" s="68">
        <f>F10+'May-22'!M10</f>
        <v>226</v>
      </c>
      <c r="N10" s="68">
        <f>G10+'May-22'!N10</f>
        <v>0</v>
      </c>
      <c r="O10" s="68">
        <f>H10+'May-22'!O10</f>
        <v>145</v>
      </c>
      <c r="P10" s="68">
        <f>I10+'May-22'!P10</f>
        <v>240</v>
      </c>
      <c r="Q10" s="64" t="str">
        <f>IFERROR(M10/N10-1,"n/a")</f>
        <v>n/a</v>
      </c>
      <c r="R10" s="64">
        <f>IFERROR(M10/O10-1,"n/a")</f>
        <v>0.55862068965517242</v>
      </c>
      <c r="S10" s="60">
        <f>IFERROR(M10/P10-1,"n/a")</f>
        <v>-5.8333333333333348E-2</v>
      </c>
      <c r="T10" s="68">
        <v>111</v>
      </c>
      <c r="U10" s="70">
        <v>145</v>
      </c>
      <c r="V10" s="70">
        <v>386</v>
      </c>
    </row>
    <row r="11" spans="1:38" ht="15">
      <c r="A11" s="9"/>
      <c r="B11" s="12"/>
      <c r="C11" s="33"/>
      <c r="D11" s="26" t="s">
        <v>11</v>
      </c>
      <c r="E11" s="32"/>
      <c r="F11" s="71">
        <v>0</v>
      </c>
      <c r="G11" s="71">
        <v>0</v>
      </c>
      <c r="H11" s="71">
        <v>0</v>
      </c>
      <c r="I11" s="71">
        <v>13509</v>
      </c>
      <c r="J11" s="64" t="str">
        <f t="shared" si="0"/>
        <v>n/a</v>
      </c>
      <c r="K11" s="64" t="str">
        <f>IFERROR(F11/H11-1,"n/a")</f>
        <v>n/a</v>
      </c>
      <c r="L11" s="60">
        <f>IFERROR(F11/I11-1,"n/a")</f>
        <v>-1</v>
      </c>
      <c r="M11" s="68">
        <f>F11+'May-22'!M11</f>
        <v>191024</v>
      </c>
      <c r="N11" s="68">
        <f>G11+'May-22'!N11</f>
        <v>0</v>
      </c>
      <c r="O11" s="68">
        <f>H11+'May-22'!O11</f>
        <v>258885</v>
      </c>
      <c r="P11" s="68">
        <f>I11+'May-22'!P11</f>
        <v>460904</v>
      </c>
      <c r="Q11" s="64" t="str">
        <f>IFERROR(M11/N11-1,"n/a")</f>
        <v>n/a</v>
      </c>
      <c r="R11" s="64">
        <f>IFERROR(M11/O11-1,"n/a")</f>
        <v>-0.26212797187940595</v>
      </c>
      <c r="S11" s="60">
        <f>IFERROR(M11/P11-1,"n/a")</f>
        <v>-0.58554492909586375</v>
      </c>
      <c r="T11" s="68">
        <v>80863</v>
      </c>
      <c r="U11" s="70">
        <v>258885</v>
      </c>
      <c r="V11" s="70">
        <v>733296</v>
      </c>
    </row>
    <row r="12" spans="1:38" ht="15">
      <c r="A12" s="9"/>
      <c r="B12" s="12"/>
      <c r="C12" s="31" t="s">
        <v>74</v>
      </c>
      <c r="D12" s="26"/>
      <c r="E12" s="32"/>
      <c r="F12" s="26"/>
      <c r="G12" s="26"/>
      <c r="H12" s="26"/>
      <c r="I12" s="26"/>
      <c r="J12" s="64"/>
      <c r="K12" s="64"/>
      <c r="L12" s="61"/>
      <c r="M12" s="43"/>
      <c r="N12" s="43"/>
      <c r="O12" s="43"/>
      <c r="P12" s="43"/>
      <c r="Q12" s="64"/>
      <c r="R12" s="65"/>
      <c r="S12" s="61"/>
      <c r="T12" s="43"/>
      <c r="U12" s="44"/>
      <c r="V12" s="44"/>
    </row>
    <row r="13" spans="1:38" ht="15">
      <c r="A13" s="9"/>
      <c r="B13" s="12"/>
      <c r="C13" s="33"/>
      <c r="D13" s="26" t="s">
        <v>5</v>
      </c>
      <c r="E13" s="32"/>
      <c r="F13" s="71">
        <v>68</v>
      </c>
      <c r="G13" s="74">
        <v>4</v>
      </c>
      <c r="H13" s="71">
        <v>0</v>
      </c>
      <c r="I13" s="71">
        <v>70</v>
      </c>
      <c r="J13" s="64">
        <f t="shared" si="0"/>
        <v>16</v>
      </c>
      <c r="K13" s="64" t="str">
        <f>IFERROR(F13/H13-1,"n/a")</f>
        <v>n/a</v>
      </c>
      <c r="L13" s="60">
        <f>IFERROR(F13/I13-1,"n/a")</f>
        <v>-2.8571428571428581E-2</v>
      </c>
      <c r="M13" s="68">
        <f>F13+'May-22'!M13</f>
        <v>320</v>
      </c>
      <c r="N13" s="68">
        <f>G13+'May-22'!N13</f>
        <v>4</v>
      </c>
      <c r="O13" s="68">
        <f>H13+'May-22'!O13</f>
        <v>43</v>
      </c>
      <c r="P13" s="68">
        <f>I13+'May-22'!P13</f>
        <v>362</v>
      </c>
      <c r="Q13" s="64">
        <f>IFERROR(M13/N13-1,"n/a")</f>
        <v>79</v>
      </c>
      <c r="R13" s="64">
        <f>IFERROR(M13/O13-1,"n/a")</f>
        <v>6.441860465116279</v>
      </c>
      <c r="S13" s="60">
        <f>IFERROR(M13/P13-1,"n/a")</f>
        <v>-0.11602209944751385</v>
      </c>
      <c r="T13" s="68">
        <v>283</v>
      </c>
      <c r="U13" s="70">
        <v>43</v>
      </c>
      <c r="V13" s="70">
        <v>827</v>
      </c>
    </row>
    <row r="14" spans="1:38" ht="15">
      <c r="A14" s="9"/>
      <c r="B14" s="12"/>
      <c r="C14" s="33"/>
      <c r="D14" s="26" t="s">
        <v>11</v>
      </c>
      <c r="E14" s="32"/>
      <c r="F14" s="71">
        <v>182336</v>
      </c>
      <c r="G14" s="74">
        <v>4923</v>
      </c>
      <c r="H14" s="71">
        <v>0</v>
      </c>
      <c r="I14" s="71">
        <v>275367</v>
      </c>
      <c r="J14" s="64">
        <f t="shared" si="0"/>
        <v>36.037578712167381</v>
      </c>
      <c r="K14" s="64" t="str">
        <f>IFERROR(F14/H14-1,"n/a")</f>
        <v>n/a</v>
      </c>
      <c r="L14" s="60">
        <f>IFERROR(F14/I14-1,"n/a")</f>
        <v>-0.33784367771011048</v>
      </c>
      <c r="M14" s="68">
        <f>F14+'May-22'!M14</f>
        <v>533700</v>
      </c>
      <c r="N14" s="68">
        <f>G14+'May-22'!N14</f>
        <v>4923</v>
      </c>
      <c r="O14" s="68">
        <f>H14+'May-22'!O14</f>
        <v>140552</v>
      </c>
      <c r="P14" s="68">
        <f>I14+'May-22'!P14</f>
        <v>1040452</v>
      </c>
      <c r="Q14" s="64">
        <f>IFERROR(M14/N14-1,"n/a")</f>
        <v>107.40950639853747</v>
      </c>
      <c r="R14" s="64">
        <f>IFERROR(M14/O14-1,"n/a")</f>
        <v>2.7971711537366954</v>
      </c>
      <c r="S14" s="60">
        <f>IFERROR(M14/P14-1,"n/a")</f>
        <v>-0.487049859099699</v>
      </c>
      <c r="T14" s="68">
        <v>465109</v>
      </c>
      <c r="U14" s="70">
        <v>140552</v>
      </c>
      <c r="V14" s="70">
        <v>2552942</v>
      </c>
    </row>
    <row r="15" spans="1:38" ht="15">
      <c r="A15" s="9"/>
      <c r="B15" s="12"/>
      <c r="C15" s="31" t="s">
        <v>15</v>
      </c>
      <c r="D15" s="26"/>
      <c r="E15" s="32"/>
      <c r="F15" s="72"/>
      <c r="G15" s="72"/>
      <c r="H15" s="72"/>
      <c r="I15" s="72"/>
      <c r="J15" s="64"/>
      <c r="K15" s="64"/>
      <c r="L15" s="60"/>
      <c r="M15" s="43"/>
      <c r="N15" s="43"/>
      <c r="O15" s="43"/>
      <c r="P15" s="43"/>
      <c r="Q15" s="64"/>
      <c r="R15" s="64"/>
      <c r="S15" s="60"/>
      <c r="T15" s="43"/>
      <c r="U15" s="44"/>
      <c r="V15" s="44"/>
    </row>
    <row r="16" spans="1:38" ht="15">
      <c r="A16" s="9"/>
      <c r="B16" s="12"/>
      <c r="C16" s="33"/>
      <c r="D16" s="26" t="s">
        <v>5</v>
      </c>
      <c r="E16" s="32"/>
      <c r="F16" s="71">
        <v>63</v>
      </c>
      <c r="G16" s="71">
        <v>0</v>
      </c>
      <c r="H16" s="71">
        <v>0</v>
      </c>
      <c r="I16" s="71">
        <v>27</v>
      </c>
      <c r="J16" s="64" t="str">
        <f t="shared" si="0"/>
        <v>n/a</v>
      </c>
      <c r="K16" s="64" t="str">
        <f>IFERROR(F16/H16-1,"n/a")</f>
        <v>n/a</v>
      </c>
      <c r="L16" s="60">
        <f>IFERROR(F16/I16-1,"n/a")</f>
        <v>1.3333333333333335</v>
      </c>
      <c r="M16" s="68">
        <f>F16+'May-22'!M16</f>
        <v>167</v>
      </c>
      <c r="N16" s="68">
        <f>G16+'May-22'!N16</f>
        <v>0</v>
      </c>
      <c r="O16" s="68">
        <f>H16+'May-22'!O16</f>
        <v>3</v>
      </c>
      <c r="P16" s="68">
        <f>I16+'May-22'!P16</f>
        <v>69</v>
      </c>
      <c r="Q16" s="64" t="str">
        <f>IFERROR(M16/N16-1,"n/a")</f>
        <v>n/a</v>
      </c>
      <c r="R16" s="64">
        <f>IFERROR(M16/O16-1,"n/a")</f>
        <v>54.666666666666664</v>
      </c>
      <c r="S16" s="60">
        <f>IFERROR(M16/P16-1,"n/a")</f>
        <v>1.4202898550724639</v>
      </c>
      <c r="T16" s="68">
        <v>23</v>
      </c>
      <c r="U16" s="70">
        <v>4</v>
      </c>
      <c r="V16" s="70">
        <v>191</v>
      </c>
    </row>
    <row r="17" spans="1:38" ht="15">
      <c r="A17" s="9"/>
      <c r="B17" s="12"/>
      <c r="C17" s="33"/>
      <c r="D17" s="26" t="s">
        <v>11</v>
      </c>
      <c r="E17" s="32"/>
      <c r="F17" s="71">
        <f>68807+7503</f>
        <v>76310</v>
      </c>
      <c r="G17" s="71">
        <v>0</v>
      </c>
      <c r="H17" s="71">
        <v>0</v>
      </c>
      <c r="I17" s="73">
        <f>22769+11039</f>
        <v>33808</v>
      </c>
      <c r="J17" s="64" t="str">
        <f t="shared" si="0"/>
        <v>n/a</v>
      </c>
      <c r="K17" s="64" t="str">
        <f>IFERROR(F17/H17-1,"n/a")</f>
        <v>n/a</v>
      </c>
      <c r="L17" s="60">
        <f t="shared" ref="L17:L28" si="1">IFERROR(F17/I17-1,"n/a")</f>
        <v>1.257158069096072</v>
      </c>
      <c r="M17" s="68">
        <f>F17+'May-22'!M17</f>
        <v>158400</v>
      </c>
      <c r="N17" s="68">
        <f>G17+'May-22'!N17</f>
        <v>0</v>
      </c>
      <c r="O17" s="68">
        <f>H17+'May-22'!O17</f>
        <v>1642</v>
      </c>
      <c r="P17" s="68">
        <f>I17+'May-22'!P17</f>
        <v>76540</v>
      </c>
      <c r="Q17" s="64" t="str">
        <f>IFERROR(M17/N17-1,"n/a")</f>
        <v>n/a</v>
      </c>
      <c r="R17" s="64">
        <f>IFERROR(M17/O17-1,"n/a")</f>
        <v>95.467722289890375</v>
      </c>
      <c r="S17" s="60">
        <f>IFERROR(M17/P17-1,"n/a")</f>
        <v>1.069506140580089</v>
      </c>
      <c r="T17" s="68">
        <v>8611</v>
      </c>
      <c r="U17" s="70">
        <v>1753</v>
      </c>
      <c r="V17" s="70">
        <v>254421</v>
      </c>
    </row>
    <row r="18" spans="1:38" ht="15">
      <c r="A18" s="9"/>
      <c r="B18" s="12"/>
      <c r="C18" s="31" t="s">
        <v>10</v>
      </c>
      <c r="D18" s="26"/>
      <c r="E18" s="34"/>
      <c r="F18" s="72"/>
      <c r="G18" s="72"/>
      <c r="H18" s="72"/>
      <c r="I18" s="72"/>
      <c r="J18" s="64"/>
      <c r="K18" s="64"/>
      <c r="L18" s="60"/>
      <c r="M18" s="43"/>
      <c r="N18" s="43"/>
      <c r="O18" s="43"/>
      <c r="P18" s="43"/>
      <c r="Q18" s="64"/>
      <c r="R18" s="64"/>
      <c r="S18" s="60"/>
      <c r="T18" s="43"/>
      <c r="U18" s="44"/>
      <c r="V18" s="44"/>
    </row>
    <row r="19" spans="1:38" ht="15">
      <c r="A19" s="9"/>
      <c r="B19" s="12"/>
      <c r="C19" s="33"/>
      <c r="D19" s="26" t="s">
        <v>5</v>
      </c>
      <c r="E19" s="34"/>
      <c r="F19" s="74">
        <v>76</v>
      </c>
      <c r="G19" s="71">
        <v>7</v>
      </c>
      <c r="H19" s="71">
        <v>0</v>
      </c>
      <c r="I19" s="71">
        <v>92</v>
      </c>
      <c r="J19" s="64">
        <f t="shared" si="0"/>
        <v>9.8571428571428577</v>
      </c>
      <c r="K19" s="64" t="str">
        <f>IFERROR(F19/H19-1,"n/a")</f>
        <v>n/a</v>
      </c>
      <c r="L19" s="60">
        <f t="shared" si="1"/>
        <v>-0.17391304347826086</v>
      </c>
      <c r="M19" s="68">
        <f>F19+'May-22'!M19</f>
        <v>600</v>
      </c>
      <c r="N19" s="68">
        <f>G19+'May-22'!N19</f>
        <v>7</v>
      </c>
      <c r="O19" s="68">
        <f>H19+'May-22'!O19</f>
        <v>406</v>
      </c>
      <c r="P19" s="68">
        <f>I19+'May-22'!P19</f>
        <v>592</v>
      </c>
      <c r="Q19" s="64">
        <f>IFERROR(M19/N19-1,"n/a")</f>
        <v>84.714285714285708</v>
      </c>
      <c r="R19" s="64">
        <f>IFERROR(M19/O19-1,"n/a")</f>
        <v>0.47783251231527091</v>
      </c>
      <c r="S19" s="60">
        <f>IFERROR(M19/P19-1,"n/a")</f>
        <v>1.3513513513513598E-2</v>
      </c>
      <c r="T19" s="68">
        <v>411</v>
      </c>
      <c r="U19" s="70">
        <v>406</v>
      </c>
      <c r="V19" s="70">
        <v>1205</v>
      </c>
    </row>
    <row r="20" spans="1:38" ht="15">
      <c r="A20" s="9"/>
      <c r="B20" s="12"/>
      <c r="C20" s="33"/>
      <c r="D20" s="26" t="s">
        <v>11</v>
      </c>
      <c r="E20" s="32"/>
      <c r="F20" s="74">
        <v>251675</v>
      </c>
      <c r="G20" s="71">
        <v>5111</v>
      </c>
      <c r="H20" s="71">
        <v>0</v>
      </c>
      <c r="I20" s="74">
        <v>310947</v>
      </c>
      <c r="J20" s="64">
        <f t="shared" si="0"/>
        <v>48.241831344159657</v>
      </c>
      <c r="K20" s="64" t="str">
        <f>IFERROR(F20/H20-1,"n/a")</f>
        <v>n/a</v>
      </c>
      <c r="L20" s="60">
        <f t="shared" si="1"/>
        <v>-0.19061769369056458</v>
      </c>
      <c r="M20" s="68">
        <f>F20+'May-22'!M20</f>
        <v>1353065</v>
      </c>
      <c r="N20" s="68">
        <f>G20+'May-22'!N20</f>
        <v>5111</v>
      </c>
      <c r="O20" s="68">
        <f>H20+'May-22'!O20</f>
        <v>833999</v>
      </c>
      <c r="P20" s="68">
        <f>I20+'May-22'!P20</f>
        <v>2011754</v>
      </c>
      <c r="Q20" s="64">
        <f>IFERROR(M20/N20-1,"n/a")</f>
        <v>263.73586382312658</v>
      </c>
      <c r="R20" s="64">
        <f>IFERROR(M20/O20-1,"n/a")</f>
        <v>0.62238204122546903</v>
      </c>
      <c r="S20" s="60">
        <f>IFERROR(M20/P20-1,"n/a")</f>
        <v>-0.32742025118379281</v>
      </c>
      <c r="T20" s="68">
        <v>687449</v>
      </c>
      <c r="U20" s="70">
        <v>833999</v>
      </c>
      <c r="V20" s="70">
        <v>3859183</v>
      </c>
    </row>
    <row r="21" spans="1:38" ht="15">
      <c r="A21" s="9"/>
      <c r="B21" s="12"/>
      <c r="C21" s="31" t="s">
        <v>16</v>
      </c>
      <c r="D21" s="26"/>
      <c r="E21" s="32"/>
      <c r="F21" s="72"/>
      <c r="G21" s="72"/>
      <c r="H21" s="72"/>
      <c r="I21" s="72"/>
      <c r="J21" s="64"/>
      <c r="K21" s="64"/>
      <c r="L21" s="60"/>
      <c r="M21" s="43"/>
      <c r="N21" s="43"/>
      <c r="O21" s="43"/>
      <c r="P21" s="43"/>
      <c r="Q21" s="64"/>
      <c r="R21" s="64"/>
      <c r="S21" s="60"/>
      <c r="T21" s="43"/>
      <c r="U21" s="44"/>
      <c r="V21" s="44"/>
    </row>
    <row r="22" spans="1:38" ht="15">
      <c r="A22" s="9"/>
      <c r="B22" s="12"/>
      <c r="C22" s="33"/>
      <c r="D22" s="26" t="s">
        <v>5</v>
      </c>
      <c r="E22" s="32"/>
      <c r="F22" s="74">
        <v>40</v>
      </c>
      <c r="G22" s="74">
        <v>5</v>
      </c>
      <c r="H22" s="71">
        <v>0</v>
      </c>
      <c r="I22" s="74">
        <v>40</v>
      </c>
      <c r="J22" s="64">
        <f t="shared" si="0"/>
        <v>7</v>
      </c>
      <c r="K22" s="64" t="str">
        <f>IFERROR(F22/H22-1,"n/a")</f>
        <v>n/a</v>
      </c>
      <c r="L22" s="60">
        <f t="shared" si="1"/>
        <v>0</v>
      </c>
      <c r="M22" s="68">
        <f>F22+'May-22'!M22</f>
        <v>123</v>
      </c>
      <c r="N22" s="68">
        <f>G22+'May-22'!N22</f>
        <v>28</v>
      </c>
      <c r="O22" s="68">
        <f>H22+'May-22'!O22</f>
        <v>9</v>
      </c>
      <c r="P22" s="68">
        <f>I22+'May-22'!P22</f>
        <v>133</v>
      </c>
      <c r="Q22" s="64">
        <f>IFERROR(M22/N22-1,"n/a")</f>
        <v>3.3928571428571432</v>
      </c>
      <c r="R22" s="64">
        <f>IFERROR(M22/O22-1,"n/a")</f>
        <v>12.666666666666666</v>
      </c>
      <c r="S22" s="60">
        <f>IFERROR(M22/P22-1,"n/a")</f>
        <v>-7.5187969924812026E-2</v>
      </c>
      <c r="T22" s="68">
        <v>107</v>
      </c>
      <c r="U22" s="70">
        <v>32</v>
      </c>
      <c r="V22" s="70">
        <v>372</v>
      </c>
    </row>
    <row r="23" spans="1:38" ht="15">
      <c r="A23" s="9"/>
      <c r="B23" s="12"/>
      <c r="C23" s="33"/>
      <c r="D23" s="26" t="s">
        <v>11</v>
      </c>
      <c r="E23" s="32"/>
      <c r="F23" s="74">
        <v>70422</v>
      </c>
      <c r="G23" s="74">
        <v>5859</v>
      </c>
      <c r="H23" s="71">
        <v>0</v>
      </c>
      <c r="I23" s="74">
        <v>102192</v>
      </c>
      <c r="J23" s="64">
        <f t="shared" si="0"/>
        <v>11.019457245263697</v>
      </c>
      <c r="K23" s="64" t="str">
        <f>IFERROR(F23/H23-1,"n/a")</f>
        <v>n/a</v>
      </c>
      <c r="L23" s="60">
        <f t="shared" si="1"/>
        <v>-0.31088539220291211</v>
      </c>
      <c r="M23" s="68">
        <f>F23+'May-22'!M23</f>
        <v>176445</v>
      </c>
      <c r="N23" s="68">
        <f>G23+'May-22'!N23</f>
        <v>31401</v>
      </c>
      <c r="O23" s="68">
        <f>H23+'May-22'!O23</f>
        <v>40221</v>
      </c>
      <c r="P23" s="68">
        <f>I23+'May-22'!P23</f>
        <v>374371</v>
      </c>
      <c r="Q23" s="64">
        <f>IFERROR(M23/N23-1,"n/a")</f>
        <v>4.6190885640584698</v>
      </c>
      <c r="R23" s="64">
        <f>IFERROR(M23/O23-1,"n/a")</f>
        <v>3.3868874468561199</v>
      </c>
      <c r="S23" s="60">
        <f>IFERROR(M23/P23-1,"n/a")</f>
        <v>-0.52868945511270904</v>
      </c>
      <c r="T23" s="68">
        <v>147132</v>
      </c>
      <c r="U23" s="70">
        <v>59180</v>
      </c>
      <c r="V23" s="70">
        <v>902015</v>
      </c>
    </row>
    <row r="24" spans="1:38" ht="15">
      <c r="A24" s="9"/>
      <c r="B24" s="12"/>
      <c r="C24" s="31" t="s">
        <v>17</v>
      </c>
      <c r="D24" s="26"/>
      <c r="E24" s="32"/>
      <c r="F24" s="72"/>
      <c r="G24" s="72"/>
      <c r="H24" s="72"/>
      <c r="I24" s="72"/>
      <c r="J24" s="64"/>
      <c r="K24" s="64"/>
      <c r="L24" s="60"/>
      <c r="M24" s="43"/>
      <c r="N24" s="43"/>
      <c r="O24" s="43"/>
      <c r="P24" s="43"/>
      <c r="Q24" s="64"/>
      <c r="R24" s="64"/>
      <c r="S24" s="60"/>
      <c r="T24" s="43"/>
      <c r="U24" s="44"/>
      <c r="V24" s="44"/>
    </row>
    <row r="25" spans="1:38" ht="15">
      <c r="B25" s="12"/>
      <c r="C25" s="33"/>
      <c r="D25" s="26" t="s">
        <v>5</v>
      </c>
      <c r="E25" s="32"/>
      <c r="F25" s="74">
        <v>80</v>
      </c>
      <c r="G25" s="74">
        <v>10</v>
      </c>
      <c r="H25" s="71">
        <v>0</v>
      </c>
      <c r="I25" s="74">
        <v>46</v>
      </c>
      <c r="J25" s="64">
        <f t="shared" si="0"/>
        <v>7</v>
      </c>
      <c r="K25" s="64" t="str">
        <f>IFERROR(F25/H25-1,"n/a")</f>
        <v>n/a</v>
      </c>
      <c r="L25" s="60">
        <f t="shared" si="1"/>
        <v>0.73913043478260865</v>
      </c>
      <c r="M25" s="68">
        <f>F25+'May-22'!M25</f>
        <v>209</v>
      </c>
      <c r="N25" s="68">
        <f>G25+'May-22'!N25</f>
        <v>24</v>
      </c>
      <c r="O25" s="68">
        <f>H25+'May-22'!O25</f>
        <v>1</v>
      </c>
      <c r="P25" s="68">
        <f>I25+'May-22'!P25</f>
        <v>126</v>
      </c>
      <c r="Q25" s="64">
        <f>IFERROR(M25/N25-1,"n/a")</f>
        <v>7.7083333333333339</v>
      </c>
      <c r="R25" s="64">
        <f>IFERROR(M25/O25-1,"n/a")</f>
        <v>208</v>
      </c>
      <c r="S25" s="60">
        <f>IFERROR(M25/P25-1,"n/a")</f>
        <v>0.65873015873015883</v>
      </c>
      <c r="T25" s="68">
        <v>127</v>
      </c>
      <c r="U25" s="70">
        <v>37</v>
      </c>
      <c r="V25" s="70">
        <f>282+81</f>
        <v>363</v>
      </c>
    </row>
    <row r="26" spans="1:38" ht="15">
      <c r="A26" s="9"/>
      <c r="B26" s="12"/>
      <c r="C26" s="33"/>
      <c r="D26" s="26" t="s">
        <v>11</v>
      </c>
      <c r="E26" s="32"/>
      <c r="F26" s="74">
        <f>77597+19398</f>
        <v>96995</v>
      </c>
      <c r="G26" s="74">
        <v>17608</v>
      </c>
      <c r="H26" s="71">
        <v>2213</v>
      </c>
      <c r="I26" s="74">
        <f>96544+20022</f>
        <v>116566</v>
      </c>
      <c r="J26" s="64">
        <f t="shared" si="0"/>
        <v>4.508575647432985</v>
      </c>
      <c r="K26" s="64">
        <f>IFERROR(F26/H26-1,"n/a")</f>
        <v>42.829643018526887</v>
      </c>
      <c r="L26" s="60">
        <f t="shared" si="1"/>
        <v>-0.1678962990923597</v>
      </c>
      <c r="M26" s="68">
        <f>F26+'May-22'!M26</f>
        <v>220174</v>
      </c>
      <c r="N26" s="68">
        <f>G26+'May-22'!N26</f>
        <v>32652</v>
      </c>
      <c r="O26" s="68">
        <f>H26+'May-22'!O26</f>
        <v>3105</v>
      </c>
      <c r="P26" s="68">
        <f>I26+'May-22'!P26</f>
        <v>311181</v>
      </c>
      <c r="Q26" s="64">
        <f>IFERROR(M26/N26-1,"n/a")</f>
        <v>5.7430478990567195</v>
      </c>
      <c r="R26" s="64">
        <f>IFERROR(M26/O26-1,"n/a")</f>
        <v>69.909500805152973</v>
      </c>
      <c r="S26" s="60">
        <f>IFERROR(M26/P26-1,"n/a")</f>
        <v>-0.29245680166848231</v>
      </c>
      <c r="T26" s="68">
        <v>165083</v>
      </c>
      <c r="U26" s="70">
        <f>20768+8294</f>
        <v>29062</v>
      </c>
      <c r="V26" s="70">
        <f>659951+168729+38484</f>
        <v>867164</v>
      </c>
    </row>
    <row r="27" spans="1:38" ht="15.75" thickBot="1">
      <c r="A27" s="9"/>
      <c r="B27" s="12"/>
      <c r="C27" s="35" t="s">
        <v>12</v>
      </c>
      <c r="D27" s="36"/>
      <c r="E27" s="37"/>
      <c r="F27" s="75">
        <f t="shared" ref="F27:I28" si="2">F10+F13+F16+F19+F22+F25</f>
        <v>328</v>
      </c>
      <c r="G27" s="75">
        <f t="shared" si="2"/>
        <v>26</v>
      </c>
      <c r="H27" s="75">
        <f t="shared" si="2"/>
        <v>0</v>
      </c>
      <c r="I27" s="75">
        <f t="shared" si="2"/>
        <v>280</v>
      </c>
      <c r="J27" s="66">
        <f t="shared" si="0"/>
        <v>11.615384615384615</v>
      </c>
      <c r="K27" s="66" t="str">
        <f>IFERROR(F27/H27-1,"n/a")</f>
        <v>n/a</v>
      </c>
      <c r="L27" s="62">
        <f t="shared" si="1"/>
        <v>0.17142857142857149</v>
      </c>
      <c r="M27" s="46">
        <f t="shared" ref="M27:P28" si="3">M10+M13+M16+M19+M22+M25</f>
        <v>1645</v>
      </c>
      <c r="N27" s="46">
        <f t="shared" si="3"/>
        <v>63</v>
      </c>
      <c r="O27" s="46">
        <f t="shared" si="3"/>
        <v>607</v>
      </c>
      <c r="P27" s="46">
        <f t="shared" si="3"/>
        <v>1522</v>
      </c>
      <c r="Q27" s="66">
        <f>IFERROR(M27/N27-1,"n/a")</f>
        <v>25.111111111111111</v>
      </c>
      <c r="R27" s="66">
        <f>IFERROR(M27/O27-1,"n/a")</f>
        <v>1.7100494233937398</v>
      </c>
      <c r="S27" s="62">
        <f>IFERROR(M27/P27-1,"n/a")</f>
        <v>8.0814717477003972E-2</v>
      </c>
      <c r="T27" s="46">
        <f t="shared" ref="T27:V28" si="4">T10+T13+T16+T19+T22+T25</f>
        <v>1062</v>
      </c>
      <c r="U27" s="46">
        <f t="shared" si="4"/>
        <v>667</v>
      </c>
      <c r="V27" s="46">
        <f t="shared" si="4"/>
        <v>3344</v>
      </c>
    </row>
    <row r="28" spans="1:38" s="22" customFormat="1" ht="16.5" thickTop="1" thickBot="1">
      <c r="A28" s="9"/>
      <c r="B28" s="12"/>
      <c r="C28" s="38" t="s">
        <v>13</v>
      </c>
      <c r="D28" s="39"/>
      <c r="E28" s="40"/>
      <c r="F28" s="76">
        <f t="shared" si="2"/>
        <v>677738</v>
      </c>
      <c r="G28" s="76">
        <f t="shared" si="2"/>
        <v>33501</v>
      </c>
      <c r="H28" s="76">
        <f t="shared" si="2"/>
        <v>2213</v>
      </c>
      <c r="I28" s="76">
        <f t="shared" si="2"/>
        <v>852389</v>
      </c>
      <c r="J28" s="67">
        <f t="shared" si="0"/>
        <v>19.230381182651264</v>
      </c>
      <c r="K28" s="67">
        <f>IFERROR(F28/H28-1,"n/a")</f>
        <v>305.25305015815633</v>
      </c>
      <c r="L28" s="63">
        <f t="shared" si="1"/>
        <v>-0.20489588673715875</v>
      </c>
      <c r="M28" s="47">
        <f t="shared" si="3"/>
        <v>2632808</v>
      </c>
      <c r="N28" s="47">
        <f t="shared" si="3"/>
        <v>74087</v>
      </c>
      <c r="O28" s="47">
        <f t="shared" si="3"/>
        <v>1278404</v>
      </c>
      <c r="P28" s="47">
        <f t="shared" si="3"/>
        <v>4275202</v>
      </c>
      <c r="Q28" s="67">
        <f>IFERROR(M28/N28-1,"n/a")</f>
        <v>34.536706844655605</v>
      </c>
      <c r="R28" s="67">
        <f>IFERROR(M28/O28-1,"n/a")</f>
        <v>1.0594491256285181</v>
      </c>
      <c r="S28" s="63">
        <f>IFERROR(M28/P28-1,"n/a")</f>
        <v>-0.38416757851441874</v>
      </c>
      <c r="T28" s="47">
        <f t="shared" si="4"/>
        <v>1554247</v>
      </c>
      <c r="U28" s="47">
        <f t="shared" si="4"/>
        <v>1323431</v>
      </c>
      <c r="V28" s="47">
        <f t="shared" si="4"/>
        <v>9169021</v>
      </c>
      <c r="W28" s="9"/>
      <c r="X28" s="21"/>
      <c r="Y28" s="21"/>
      <c r="Z28" s="21"/>
      <c r="AA28" s="21"/>
      <c r="AB28" s="21"/>
      <c r="AC28" s="21"/>
      <c r="AD28" s="21"/>
      <c r="AE28" s="21"/>
      <c r="AF28" s="21"/>
      <c r="AG28" s="21"/>
      <c r="AH28" s="21"/>
      <c r="AI28" s="21"/>
      <c r="AJ28" s="21"/>
      <c r="AK28" s="21"/>
      <c r="AL28" s="21"/>
    </row>
    <row r="29" spans="1:38" ht="15.75" thickTop="1">
      <c r="A29" s="9"/>
      <c r="B29" s="9"/>
      <c r="C29" s="9"/>
      <c r="D29" s="9"/>
      <c r="E29" s="9"/>
      <c r="F29" s="9"/>
      <c r="G29" s="41"/>
      <c r="H29" s="41"/>
      <c r="I29" s="41"/>
      <c r="J29" s="41"/>
      <c r="K29" s="9"/>
      <c r="L29" s="9"/>
      <c r="M29" s="9"/>
      <c r="N29" s="9"/>
      <c r="O29" s="9"/>
      <c r="P29" s="9"/>
      <c r="Q29" s="9"/>
      <c r="R29" s="9"/>
      <c r="S29" s="9"/>
      <c r="T29" s="9"/>
      <c r="U29" s="9"/>
      <c r="V29" s="9"/>
    </row>
    <row r="30" spans="1:38" ht="15" hidden="1">
      <c r="A30" s="9"/>
      <c r="B30" s="9"/>
      <c r="C30" s="9"/>
      <c r="D30" s="9"/>
      <c r="E30" s="9"/>
      <c r="F30" s="9"/>
      <c r="G30" s="41"/>
      <c r="H30" s="41"/>
      <c r="I30" s="41"/>
      <c r="J30" s="41"/>
      <c r="K30" s="9"/>
      <c r="L30" s="9"/>
      <c r="M30" s="9"/>
      <c r="N30" s="9"/>
      <c r="O30" s="9"/>
      <c r="P30" s="9"/>
      <c r="Q30" s="9"/>
      <c r="R30" s="9"/>
      <c r="S30" s="9"/>
      <c r="T30" s="9"/>
      <c r="U30" s="9"/>
      <c r="V30" s="9"/>
    </row>
    <row r="31" spans="1:38" ht="15" hidden="1">
      <c r="A31" s="9"/>
      <c r="B31" s="9"/>
      <c r="C31" s="9"/>
      <c r="D31" s="9"/>
      <c r="E31" s="9"/>
      <c r="F31" s="9"/>
      <c r="G31" s="41"/>
      <c r="H31" s="41"/>
      <c r="I31" s="41"/>
      <c r="J31" s="41"/>
      <c r="K31" s="9"/>
      <c r="L31" s="9"/>
      <c r="M31" s="9"/>
      <c r="N31" s="9"/>
      <c r="O31" s="9"/>
      <c r="P31" s="9"/>
      <c r="Q31" s="9"/>
      <c r="R31" s="9"/>
      <c r="S31" s="9"/>
      <c r="T31" s="9"/>
      <c r="U31" s="9"/>
      <c r="V31" s="9"/>
    </row>
    <row r="32" spans="1:38" ht="15" hidden="1">
      <c r="A32" s="9"/>
      <c r="B32" s="9"/>
      <c r="C32" s="9"/>
      <c r="D32" s="9"/>
      <c r="E32" s="9"/>
      <c r="F32" s="9"/>
      <c r="G32" s="41"/>
      <c r="H32" s="41"/>
      <c r="I32" s="41"/>
      <c r="J32" s="41"/>
      <c r="K32" s="9"/>
      <c r="L32" s="9"/>
      <c r="M32" s="9"/>
      <c r="N32" s="9"/>
      <c r="O32" s="9"/>
      <c r="P32" s="9"/>
      <c r="Q32" s="9"/>
      <c r="R32" s="9"/>
      <c r="S32" s="9"/>
      <c r="T32" s="9"/>
      <c r="U32" s="9"/>
      <c r="V32" s="9"/>
    </row>
    <row r="33" spans="7:10" s="9" customFormat="1" ht="15" hidden="1">
      <c r="G33" s="41"/>
      <c r="H33" s="41"/>
      <c r="I33" s="41"/>
      <c r="J33" s="41"/>
    </row>
    <row r="34" spans="7:10" s="9" customFormat="1" ht="15" hidden="1">
      <c r="G34" s="41"/>
      <c r="H34" s="41"/>
      <c r="I34" s="41"/>
      <c r="J34" s="41"/>
    </row>
    <row r="35" spans="7:10" s="9" customFormat="1" ht="15" hidden="1">
      <c r="G35" s="41"/>
      <c r="H35" s="41"/>
      <c r="I35" s="41"/>
      <c r="J35" s="41"/>
    </row>
    <row r="36" spans="7:10" s="9" customFormat="1" ht="15" hidden="1">
      <c r="G36" s="41"/>
      <c r="H36" s="41"/>
      <c r="I36" s="41"/>
      <c r="J36" s="41"/>
    </row>
    <row r="37" spans="7:10" s="9" customFormat="1" ht="15" hidden="1">
      <c r="G37" s="41"/>
      <c r="H37" s="41"/>
      <c r="I37" s="41"/>
      <c r="J37" s="41"/>
    </row>
    <row r="38" spans="7:10" s="9" customFormat="1" ht="15" hidden="1">
      <c r="G38" s="41"/>
      <c r="H38" s="41"/>
      <c r="I38" s="41"/>
      <c r="J38" s="41"/>
    </row>
    <row r="39" spans="7:10" s="9" customFormat="1" ht="15" hidden="1">
      <c r="G39" s="41"/>
      <c r="H39" s="41"/>
      <c r="I39" s="41"/>
      <c r="J39" s="41"/>
    </row>
    <row r="40" spans="7:10" s="9" customFormat="1" ht="15" hidden="1">
      <c r="G40" s="41"/>
      <c r="H40" s="41"/>
      <c r="I40" s="41"/>
      <c r="J40" s="41"/>
    </row>
    <row r="41" spans="7:10" s="9" customFormat="1" ht="15" hidden="1">
      <c r="G41" s="41"/>
      <c r="H41" s="41"/>
      <c r="I41" s="41"/>
      <c r="J41" s="41"/>
    </row>
    <row r="42" spans="7:10" s="9" customFormat="1" ht="15" hidden="1">
      <c r="G42" s="41"/>
      <c r="H42" s="41"/>
      <c r="I42" s="41"/>
      <c r="J42" s="41"/>
    </row>
    <row r="43" spans="7:10" s="9" customFormat="1" ht="15" hidden="1">
      <c r="G43" s="41"/>
      <c r="H43" s="41"/>
      <c r="I43" s="41"/>
      <c r="J43" s="41"/>
    </row>
    <row r="44" spans="7:10" s="9" customFormat="1" ht="15" hidden="1">
      <c r="G44" s="41"/>
      <c r="H44" s="41"/>
      <c r="I44" s="41"/>
      <c r="J44" s="41"/>
    </row>
    <row r="45" spans="7:10" s="9" customFormat="1" ht="15" hidden="1">
      <c r="G45" s="41"/>
      <c r="H45" s="41"/>
      <c r="I45" s="41"/>
      <c r="J45" s="41"/>
    </row>
    <row r="46" spans="7:10" s="9" customFormat="1" ht="15" hidden="1">
      <c r="G46" s="41"/>
      <c r="H46" s="41"/>
      <c r="I46" s="41"/>
      <c r="J46" s="41"/>
    </row>
    <row r="47" spans="7:10" s="9" customFormat="1" ht="15" hidden="1">
      <c r="G47" s="41"/>
      <c r="H47" s="41"/>
      <c r="I47" s="41"/>
      <c r="J47" s="41"/>
    </row>
    <row r="48" spans="7:10" s="9" customFormat="1" ht="15" hidden="1"/>
  </sheetData>
  <customSheetViews>
    <customSheetView guid="{5F6D01E3-9E6F-4D7F-980F-63899AF95899}" scale="85" showGridLines="0" fitToPage="1" hiddenRows="1" hiddenColumns="1" topLeftCell="A4">
      <selection activeCell="F16" sqref="F16"/>
      <pageMargins left="0.7" right="0.7" top="0.75" bottom="0.75" header="0.3" footer="0.3"/>
      <pageSetup paperSize="9" scale="85" orientation="landscape" horizontalDpi="4294967293" verticalDpi="4294967293" r:id="rId1"/>
    </customSheetView>
  </customSheetViews>
  <mergeCells count="3">
    <mergeCell ref="F6:L6"/>
    <mergeCell ref="M6:S6"/>
    <mergeCell ref="T6:V6"/>
  </mergeCells>
  <pageMargins left="0.7" right="0.7" top="0.75" bottom="0.75" header="0.3" footer="0.3"/>
  <pageSetup paperSize="9" scale="85" orientation="landscape" horizontalDpi="4294967293" verticalDpi="4294967293" r:id="rId2"/>
  <drawing r:id="rId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AL48"/>
  <sheetViews>
    <sheetView showGridLines="0" zoomScaleNormal="100" workbookViewId="0"/>
  </sheetViews>
  <sheetFormatPr defaultColWidth="0" defaultRowHeight="15" customHeight="1" zeroHeight="1"/>
  <cols>
    <col min="1" max="3" width="2.5703125" customWidth="1"/>
    <col min="4" max="4" width="9.140625" customWidth="1"/>
    <col min="5" max="6" width="15.42578125" customWidth="1"/>
    <col min="7" max="8" width="11.140625" bestFit="1" customWidth="1"/>
    <col min="9" max="9" width="10.5703125" bestFit="1" customWidth="1"/>
    <col min="10" max="10" width="9" bestFit="1" customWidth="1"/>
    <col min="11" max="12" width="9.140625" customWidth="1"/>
    <col min="13" max="13" width="12.140625" bestFit="1" customWidth="1"/>
    <col min="14" max="14" width="10.140625" bestFit="1" customWidth="1"/>
    <col min="15" max="15" width="12.140625" bestFit="1" customWidth="1"/>
    <col min="16" max="16" width="12.5703125" bestFit="1" customWidth="1"/>
    <col min="17" max="17" width="8.85546875" customWidth="1"/>
    <col min="18" max="19" width="9.140625" customWidth="1"/>
    <col min="20" max="20" width="12.140625" bestFit="1" customWidth="1"/>
    <col min="21" max="21" width="11.85546875" bestFit="1" customWidth="1"/>
    <col min="22" max="22" width="12.42578125" customWidth="1"/>
    <col min="23" max="23" width="3.140625" style="9" customWidth="1"/>
    <col min="24" max="38" width="0" style="9" hidden="1" customWidth="1"/>
    <col min="39" max="16384" width="9.140625" hidden="1"/>
  </cols>
  <sheetData>
    <row r="1" spans="1:38">
      <c r="A1" s="9"/>
      <c r="B1" s="9"/>
      <c r="C1" s="9"/>
      <c r="D1" s="9"/>
      <c r="E1" s="9"/>
      <c r="F1" s="9"/>
      <c r="G1" s="9"/>
      <c r="H1" s="9"/>
      <c r="I1" s="9"/>
      <c r="J1" s="9"/>
      <c r="K1" s="9"/>
      <c r="L1" s="9"/>
      <c r="M1" s="9"/>
      <c r="N1" s="9"/>
      <c r="O1" s="9"/>
      <c r="P1" s="9"/>
      <c r="Q1" s="9"/>
      <c r="R1" s="9"/>
      <c r="S1" s="9"/>
      <c r="T1" s="9"/>
      <c r="U1" s="9"/>
      <c r="V1" s="9"/>
    </row>
    <row r="2" spans="1:38" ht="19.5" thickBot="1">
      <c r="A2" s="9"/>
      <c r="B2" s="8" t="s">
        <v>6</v>
      </c>
      <c r="C2" s="23"/>
      <c r="D2" s="23"/>
      <c r="E2" s="23"/>
      <c r="F2" s="23"/>
      <c r="G2" s="23"/>
      <c r="H2" s="23"/>
      <c r="I2" s="23"/>
      <c r="J2" s="23"/>
      <c r="K2" s="23"/>
      <c r="L2" s="23"/>
      <c r="M2" s="23"/>
      <c r="N2" s="23"/>
      <c r="O2" s="23"/>
      <c r="P2" s="23"/>
      <c r="Q2" s="23"/>
      <c r="R2" s="23"/>
      <c r="S2" s="23"/>
      <c r="T2" s="23"/>
      <c r="U2" s="23"/>
      <c r="V2" s="23"/>
    </row>
    <row r="3" spans="1:38">
      <c r="A3" s="9"/>
      <c r="B3" s="10"/>
      <c r="C3" s="24"/>
      <c r="D3" s="24"/>
      <c r="E3" s="24"/>
      <c r="F3" s="24"/>
      <c r="G3" s="24"/>
      <c r="H3" s="24"/>
      <c r="I3" s="24"/>
      <c r="J3" s="24"/>
      <c r="K3" s="24"/>
      <c r="L3" s="24"/>
      <c r="M3" s="24"/>
      <c r="N3" s="24"/>
      <c r="O3" s="24"/>
      <c r="P3" s="24"/>
      <c r="Q3" s="24"/>
      <c r="R3" s="24"/>
      <c r="S3" s="24"/>
      <c r="T3" s="24"/>
      <c r="U3" s="24"/>
      <c r="V3" s="25"/>
    </row>
    <row r="4" spans="1:38" ht="15.75">
      <c r="A4" s="9"/>
      <c r="B4" s="11" t="s">
        <v>7</v>
      </c>
      <c r="C4" s="26"/>
      <c r="D4" s="24"/>
      <c r="E4" s="58" t="s">
        <v>48</v>
      </c>
      <c r="F4" s="24"/>
      <c r="G4" s="24"/>
      <c r="H4" s="24"/>
      <c r="I4" s="24"/>
      <c r="J4" s="24"/>
      <c r="K4" s="24"/>
      <c r="L4" s="24"/>
      <c r="M4" s="24"/>
      <c r="N4" s="24"/>
      <c r="O4" s="24"/>
      <c r="P4" s="24"/>
      <c r="Q4" s="24"/>
      <c r="R4" s="24"/>
      <c r="S4" s="24"/>
      <c r="T4" s="24"/>
      <c r="U4" s="24"/>
      <c r="V4" s="24"/>
    </row>
    <row r="5" spans="1:38">
      <c r="A5" s="9"/>
      <c r="B5" s="10"/>
      <c r="C5" s="24"/>
      <c r="D5" s="24"/>
      <c r="E5" s="24"/>
      <c r="F5" s="24"/>
      <c r="G5" s="24"/>
      <c r="H5" s="24"/>
      <c r="I5" s="24"/>
      <c r="J5" s="24"/>
      <c r="K5" s="24"/>
      <c r="L5" s="24"/>
      <c r="M5" s="24"/>
      <c r="N5" s="24"/>
      <c r="O5" s="24"/>
      <c r="P5" s="24"/>
      <c r="Q5" s="24"/>
      <c r="R5" s="24"/>
      <c r="S5" s="24"/>
      <c r="T5" s="24"/>
      <c r="U5" s="24"/>
      <c r="V5" s="24"/>
    </row>
    <row r="6" spans="1:38" s="20" customFormat="1">
      <c r="A6" s="9"/>
      <c r="B6"/>
      <c r="C6" s="27" t="s">
        <v>7</v>
      </c>
      <c r="D6" s="28"/>
      <c r="E6" s="28"/>
      <c r="F6" s="158" t="s">
        <v>47</v>
      </c>
      <c r="G6" s="158"/>
      <c r="H6" s="158"/>
      <c r="I6" s="158"/>
      <c r="J6" s="158"/>
      <c r="K6" s="158"/>
      <c r="L6" s="159"/>
      <c r="M6" s="157" t="s">
        <v>49</v>
      </c>
      <c r="N6" s="158"/>
      <c r="O6" s="158"/>
      <c r="P6" s="158"/>
      <c r="Q6" s="158"/>
      <c r="R6" s="158"/>
      <c r="S6" s="159"/>
      <c r="T6" s="157" t="s">
        <v>9</v>
      </c>
      <c r="U6" s="158"/>
      <c r="V6" s="158"/>
      <c r="W6" s="9"/>
      <c r="X6" s="19"/>
      <c r="Y6" s="19"/>
      <c r="Z6" s="19"/>
      <c r="AA6" s="19"/>
      <c r="AB6" s="19"/>
      <c r="AC6" s="19"/>
      <c r="AD6" s="19"/>
      <c r="AE6" s="19"/>
      <c r="AF6" s="19"/>
      <c r="AG6" s="19"/>
      <c r="AH6" s="19"/>
      <c r="AI6" s="19"/>
      <c r="AJ6" s="19"/>
      <c r="AK6" s="19"/>
      <c r="AL6" s="19"/>
    </row>
    <row r="7" spans="1:38" ht="15.75">
      <c r="A7" s="9"/>
      <c r="B7" s="18"/>
      <c r="C7" s="29"/>
      <c r="D7" s="30"/>
      <c r="E7" s="30"/>
      <c r="F7" s="29"/>
      <c r="G7" s="30"/>
      <c r="H7" s="30"/>
      <c r="I7" s="30"/>
      <c r="J7" s="30"/>
      <c r="K7" s="30"/>
      <c r="L7" s="56"/>
      <c r="M7" s="30"/>
      <c r="N7" s="30"/>
      <c r="O7" s="30"/>
      <c r="P7" s="30"/>
      <c r="Q7" s="30"/>
      <c r="R7" s="30"/>
      <c r="S7" s="56"/>
      <c r="T7" s="30"/>
      <c r="U7" s="30"/>
      <c r="V7" s="30"/>
    </row>
    <row r="8" spans="1:38" s="54" customFormat="1" ht="22.5">
      <c r="A8" s="48"/>
      <c r="B8" s="49"/>
      <c r="C8" s="59" t="s">
        <v>29</v>
      </c>
      <c r="D8" s="50"/>
      <c r="E8" s="51"/>
      <c r="F8" s="55">
        <v>2022</v>
      </c>
      <c r="G8" s="52">
        <v>2021</v>
      </c>
      <c r="H8" s="52">
        <v>2020</v>
      </c>
      <c r="I8" s="52">
        <v>2019</v>
      </c>
      <c r="J8" s="53" t="s">
        <v>36</v>
      </c>
      <c r="K8" s="53" t="s">
        <v>34</v>
      </c>
      <c r="L8" s="57" t="s">
        <v>35</v>
      </c>
      <c r="M8" s="53">
        <v>2022</v>
      </c>
      <c r="N8" s="52">
        <v>2021</v>
      </c>
      <c r="O8" s="52">
        <v>2020</v>
      </c>
      <c r="P8" s="52">
        <v>2019</v>
      </c>
      <c r="Q8" s="53" t="s">
        <v>36</v>
      </c>
      <c r="R8" s="53" t="s">
        <v>34</v>
      </c>
      <c r="S8" s="57" t="s">
        <v>35</v>
      </c>
      <c r="T8" s="53">
        <v>2021</v>
      </c>
      <c r="U8" s="52">
        <v>2020</v>
      </c>
      <c r="V8" s="52">
        <v>2019</v>
      </c>
      <c r="W8" s="48"/>
      <c r="X8" s="48"/>
      <c r="Y8" s="48"/>
      <c r="Z8" s="48"/>
      <c r="AA8" s="48"/>
      <c r="AB8" s="48"/>
      <c r="AC8" s="48"/>
      <c r="AD8" s="48"/>
      <c r="AE8" s="48"/>
      <c r="AF8" s="48"/>
      <c r="AG8" s="48"/>
      <c r="AH8" s="48"/>
      <c r="AI8" s="48"/>
      <c r="AJ8" s="48"/>
      <c r="AK8" s="48"/>
      <c r="AL8" s="48"/>
    </row>
    <row r="9" spans="1:38">
      <c r="A9" s="9"/>
      <c r="B9" s="12"/>
      <c r="C9" s="31" t="s">
        <v>14</v>
      </c>
      <c r="D9" s="26"/>
      <c r="E9" s="32"/>
      <c r="F9" s="26"/>
      <c r="G9" s="26"/>
      <c r="H9" s="26"/>
      <c r="I9" s="26"/>
      <c r="J9" s="26"/>
      <c r="K9" s="26"/>
      <c r="L9" s="32"/>
      <c r="M9" s="26"/>
      <c r="N9" s="26"/>
      <c r="O9" s="26"/>
      <c r="P9" s="26"/>
      <c r="Q9" s="26"/>
      <c r="R9" s="26"/>
      <c r="S9" s="32"/>
      <c r="T9" s="26"/>
      <c r="U9" s="26"/>
      <c r="V9" s="26"/>
    </row>
    <row r="10" spans="1:38">
      <c r="A10" s="9"/>
      <c r="B10" s="12"/>
      <c r="C10" s="33"/>
      <c r="D10" s="26" t="s">
        <v>5</v>
      </c>
      <c r="E10" s="32"/>
      <c r="F10" s="68">
        <v>3</v>
      </c>
      <c r="G10" s="68">
        <v>0</v>
      </c>
      <c r="H10" s="68">
        <v>0</v>
      </c>
      <c r="I10" s="68">
        <v>8</v>
      </c>
      <c r="J10" s="64" t="str">
        <f t="shared" ref="J10:J28" si="0">IFERROR(F10/G10-1,"n/a")</f>
        <v>n/a</v>
      </c>
      <c r="K10" s="64" t="str">
        <f>IFERROR(F10/H10-1,"n/a")</f>
        <v>n/a</v>
      </c>
      <c r="L10" s="60">
        <f>IFERROR(F10/I10-1,"n/a")</f>
        <v>-0.625</v>
      </c>
      <c r="M10" s="68">
        <f>F10+'Apr-22'!M10</f>
        <v>225</v>
      </c>
      <c r="N10" s="68">
        <f>G10+'Apr-22'!N10</f>
        <v>0</v>
      </c>
      <c r="O10" s="68">
        <f>H10+'Apr-22'!O10</f>
        <v>145</v>
      </c>
      <c r="P10" s="68">
        <f>I10+'Apr-22'!P10</f>
        <v>235</v>
      </c>
      <c r="Q10" s="64" t="str">
        <f>IFERROR(M10/N10-1,"n/a")</f>
        <v>n/a</v>
      </c>
      <c r="R10" s="64">
        <f>IFERROR(M10/O10-1,"n/a")</f>
        <v>0.55172413793103448</v>
      </c>
      <c r="S10" s="60">
        <f>IFERROR(M10/P10-1,"n/a")</f>
        <v>-4.2553191489361653E-2</v>
      </c>
      <c r="T10" s="68">
        <v>111</v>
      </c>
      <c r="U10" s="70">
        <v>145</v>
      </c>
      <c r="V10" s="70">
        <v>386</v>
      </c>
    </row>
    <row r="11" spans="1:38">
      <c r="A11" s="9"/>
      <c r="B11" s="12"/>
      <c r="C11" s="33"/>
      <c r="D11" s="26" t="s">
        <v>11</v>
      </c>
      <c r="E11" s="32"/>
      <c r="F11" s="68">
        <v>3881</v>
      </c>
      <c r="G11" s="68">
        <v>0</v>
      </c>
      <c r="H11" s="68">
        <v>0</v>
      </c>
      <c r="I11" s="68">
        <v>15340</v>
      </c>
      <c r="J11" s="64" t="str">
        <f t="shared" si="0"/>
        <v>n/a</v>
      </c>
      <c r="K11" s="64" t="str">
        <f>IFERROR(F11/H11-1,"n/a")</f>
        <v>n/a</v>
      </c>
      <c r="L11" s="60">
        <f>IFERROR(F11/I11-1,"n/a")</f>
        <v>-0.74700130378096485</v>
      </c>
      <c r="M11" s="68">
        <f>F11+'Apr-22'!M11</f>
        <v>191024</v>
      </c>
      <c r="N11" s="68">
        <f>G11+'Apr-22'!N11</f>
        <v>0</v>
      </c>
      <c r="O11" s="68">
        <f>H11+'Apr-22'!O11</f>
        <v>258885</v>
      </c>
      <c r="P11" s="68">
        <f>I11+'Apr-22'!P11</f>
        <v>447395</v>
      </c>
      <c r="Q11" s="64" t="str">
        <f>IFERROR(M11/N11-1,"n/a")</f>
        <v>n/a</v>
      </c>
      <c r="R11" s="64">
        <f>IFERROR(M11/O11-1,"n/a")</f>
        <v>-0.26212797187940595</v>
      </c>
      <c r="S11" s="60">
        <f>IFERROR(M11/P11-1,"n/a")</f>
        <v>-0.57303054347947557</v>
      </c>
      <c r="T11" s="68">
        <v>80863</v>
      </c>
      <c r="U11" s="70">
        <v>258885</v>
      </c>
      <c r="V11" s="70">
        <v>733296</v>
      </c>
    </row>
    <row r="12" spans="1:38">
      <c r="A12" s="9"/>
      <c r="B12" s="12"/>
      <c r="C12" s="31" t="s">
        <v>74</v>
      </c>
      <c r="D12" s="26"/>
      <c r="E12" s="32"/>
      <c r="F12" s="45"/>
      <c r="G12" s="45"/>
      <c r="H12" s="45"/>
      <c r="I12" s="45"/>
      <c r="J12" s="64"/>
      <c r="K12" s="64"/>
      <c r="L12" s="61"/>
      <c r="M12" s="43"/>
      <c r="N12" s="43"/>
      <c r="O12" s="43"/>
      <c r="P12" s="43"/>
      <c r="Q12" s="64"/>
      <c r="R12" s="65"/>
      <c r="S12" s="61"/>
      <c r="T12" s="43"/>
      <c r="U12" s="44"/>
      <c r="V12" s="44"/>
    </row>
    <row r="13" spans="1:38">
      <c r="A13" s="9"/>
      <c r="B13" s="12"/>
      <c r="C13" s="33"/>
      <c r="D13" s="26" t="s">
        <v>5</v>
      </c>
      <c r="E13" s="32"/>
      <c r="F13" s="68">
        <v>103</v>
      </c>
      <c r="G13" s="68">
        <v>0</v>
      </c>
      <c r="H13" s="68">
        <v>0</v>
      </c>
      <c r="I13" s="68">
        <v>113</v>
      </c>
      <c r="J13" s="64" t="str">
        <f t="shared" si="0"/>
        <v>n/a</v>
      </c>
      <c r="K13" s="64" t="str">
        <f>IFERROR(F13/H13-1,"n/a")</f>
        <v>n/a</v>
      </c>
      <c r="L13" s="60">
        <f>IFERROR(F13/I13-1,"n/a")</f>
        <v>-8.8495575221238965E-2</v>
      </c>
      <c r="M13" s="68">
        <f>F13+'Apr-22'!M13</f>
        <v>252</v>
      </c>
      <c r="N13" s="68">
        <f>G13+'Apr-22'!N13</f>
        <v>0</v>
      </c>
      <c r="O13" s="68">
        <f>H13+'Apr-22'!O13</f>
        <v>43</v>
      </c>
      <c r="P13" s="68">
        <f>I13+'Apr-22'!P13</f>
        <v>292</v>
      </c>
      <c r="Q13" s="64" t="str">
        <f>IFERROR(M13/N13-1,"n/a")</f>
        <v>n/a</v>
      </c>
      <c r="R13" s="64">
        <f>IFERROR(M13/O13-1,"n/a")</f>
        <v>4.8604651162790695</v>
      </c>
      <c r="S13" s="60">
        <f>IFERROR(M13/P13-1,"n/a")</f>
        <v>-0.13698630136986301</v>
      </c>
      <c r="T13" s="68">
        <v>283</v>
      </c>
      <c r="U13" s="70">
        <v>43</v>
      </c>
      <c r="V13" s="70">
        <v>827</v>
      </c>
    </row>
    <row r="14" spans="1:38">
      <c r="A14" s="9"/>
      <c r="B14" s="12"/>
      <c r="C14" s="33"/>
      <c r="D14" s="26" t="s">
        <v>11</v>
      </c>
      <c r="E14" s="32"/>
      <c r="F14" s="68">
        <v>168018</v>
      </c>
      <c r="G14" s="68">
        <v>0</v>
      </c>
      <c r="H14" s="68">
        <v>0</v>
      </c>
      <c r="I14" s="68">
        <v>300445</v>
      </c>
      <c r="J14" s="64" t="str">
        <f t="shared" si="0"/>
        <v>n/a</v>
      </c>
      <c r="K14" s="64" t="str">
        <f>IFERROR(F14/H14-1,"n/a")</f>
        <v>n/a</v>
      </c>
      <c r="L14" s="60">
        <f>IFERROR(F14/I14-1,"n/a")</f>
        <v>-0.44076952520428037</v>
      </c>
      <c r="M14" s="68">
        <f>F14+'Apr-22'!M14</f>
        <v>351364</v>
      </c>
      <c r="N14" s="68">
        <f>G14+'Apr-22'!N14</f>
        <v>0</v>
      </c>
      <c r="O14" s="68">
        <f>H14+'Apr-22'!O14</f>
        <v>140552</v>
      </c>
      <c r="P14" s="68">
        <f>I14+'Apr-22'!P14</f>
        <v>765085</v>
      </c>
      <c r="Q14" s="64" t="str">
        <f>IFERROR(M14/N14-1,"n/a")</f>
        <v>n/a</v>
      </c>
      <c r="R14" s="64">
        <f>IFERROR(M14/O14-1,"n/a")</f>
        <v>1.4998861631282372</v>
      </c>
      <c r="S14" s="60">
        <f>IFERROR(M14/P14-1,"n/a")</f>
        <v>-0.54075168118575068</v>
      </c>
      <c r="T14" s="68">
        <v>465109</v>
      </c>
      <c r="U14" s="70">
        <v>140552</v>
      </c>
      <c r="V14" s="70">
        <v>2552942</v>
      </c>
    </row>
    <row r="15" spans="1:38">
      <c r="A15" s="9"/>
      <c r="B15" s="12"/>
      <c r="C15" s="31" t="s">
        <v>15</v>
      </c>
      <c r="D15" s="26"/>
      <c r="E15" s="32"/>
      <c r="F15" s="43"/>
      <c r="G15" s="43"/>
      <c r="H15" s="43"/>
      <c r="I15" s="43"/>
      <c r="J15" s="64"/>
      <c r="K15" s="64"/>
      <c r="L15" s="60"/>
      <c r="M15" s="43"/>
      <c r="N15" s="43"/>
      <c r="O15" s="43"/>
      <c r="P15" s="43"/>
      <c r="Q15" s="64"/>
      <c r="R15" s="64"/>
      <c r="S15" s="60"/>
      <c r="T15" s="43"/>
      <c r="U15" s="44"/>
      <c r="V15" s="44"/>
    </row>
    <row r="16" spans="1:38">
      <c r="A16" s="9"/>
      <c r="B16" s="12"/>
      <c r="C16" s="33"/>
      <c r="D16" s="26" t="s">
        <v>5</v>
      </c>
      <c r="E16" s="32"/>
      <c r="F16" s="68">
        <v>68</v>
      </c>
      <c r="G16" s="68">
        <v>0</v>
      </c>
      <c r="H16" s="68">
        <v>0</v>
      </c>
      <c r="I16" s="68">
        <v>23</v>
      </c>
      <c r="J16" s="64" t="str">
        <f t="shared" si="0"/>
        <v>n/a</v>
      </c>
      <c r="K16" s="64" t="str">
        <f>IFERROR(F16/H16-1,"n/a")</f>
        <v>n/a</v>
      </c>
      <c r="L16" s="60">
        <f>IFERROR(F16/I16-1,"n/a")</f>
        <v>1.9565217391304346</v>
      </c>
      <c r="M16" s="68">
        <f>F16+'Apr-22'!M16</f>
        <v>104</v>
      </c>
      <c r="N16" s="68">
        <f>G16+'Apr-22'!N16</f>
        <v>0</v>
      </c>
      <c r="O16" s="68">
        <f>H16+'Apr-22'!O16</f>
        <v>3</v>
      </c>
      <c r="P16" s="68">
        <f>I16+'Apr-22'!P16</f>
        <v>42</v>
      </c>
      <c r="Q16" s="64" t="str">
        <f>IFERROR(M16/N16-1,"n/a")</f>
        <v>n/a</v>
      </c>
      <c r="R16" s="64">
        <f>IFERROR(M16/O16-1,"n/a")</f>
        <v>33.666666666666664</v>
      </c>
      <c r="S16" s="60">
        <f>IFERROR(M16/P16-1,"n/a")</f>
        <v>1.4761904761904763</v>
      </c>
      <c r="T16" s="68">
        <v>23</v>
      </c>
      <c r="U16" s="70">
        <v>4</v>
      </c>
      <c r="V16" s="70">
        <v>191</v>
      </c>
    </row>
    <row r="17" spans="1:38">
      <c r="A17" s="9"/>
      <c r="B17" s="12"/>
      <c r="C17" s="33"/>
      <c r="D17" s="26" t="s">
        <v>11</v>
      </c>
      <c r="E17" s="32"/>
      <c r="F17" s="68">
        <v>59794</v>
      </c>
      <c r="G17" s="68">
        <v>0</v>
      </c>
      <c r="H17" s="68">
        <v>0</v>
      </c>
      <c r="I17" s="68">
        <v>23341</v>
      </c>
      <c r="J17" s="64" t="str">
        <f t="shared" si="0"/>
        <v>n/a</v>
      </c>
      <c r="K17" s="64" t="str">
        <f>IFERROR(F17/H17-1,"n/a")</f>
        <v>n/a</v>
      </c>
      <c r="L17" s="60">
        <f t="shared" ref="L17:L28" si="1">IFERROR(F17/I17-1,"n/a")</f>
        <v>1.5617582794224756</v>
      </c>
      <c r="M17" s="68">
        <f>F17+'Apr-22'!M17</f>
        <v>82090</v>
      </c>
      <c r="N17" s="68">
        <f>G17+'Apr-22'!N17</f>
        <v>0</v>
      </c>
      <c r="O17" s="68">
        <f>H17+'Apr-22'!O17</f>
        <v>1642</v>
      </c>
      <c r="P17" s="68">
        <f>I17+'Apr-22'!P17</f>
        <v>42732</v>
      </c>
      <c r="Q17" s="64" t="str">
        <f>IFERROR(M17/N17-1,"n/a")</f>
        <v>n/a</v>
      </c>
      <c r="R17" s="64">
        <f>IFERROR(M17/O17-1,"n/a")</f>
        <v>48.993909866017056</v>
      </c>
      <c r="S17" s="60">
        <f>IFERROR(M17/P17-1,"n/a")</f>
        <v>0.92104277824581104</v>
      </c>
      <c r="T17" s="68">
        <v>8611</v>
      </c>
      <c r="U17" s="70">
        <v>1753</v>
      </c>
      <c r="V17" s="70">
        <v>254421</v>
      </c>
    </row>
    <row r="18" spans="1:38">
      <c r="A18" s="9"/>
      <c r="B18" s="12"/>
      <c r="C18" s="31" t="s">
        <v>10</v>
      </c>
      <c r="D18" s="26"/>
      <c r="E18" s="34"/>
      <c r="F18" s="43"/>
      <c r="G18" s="43"/>
      <c r="H18" s="43"/>
      <c r="I18" s="43"/>
      <c r="J18" s="64"/>
      <c r="K18" s="64"/>
      <c r="L18" s="60"/>
      <c r="M18" s="43"/>
      <c r="N18" s="43"/>
      <c r="O18" s="43"/>
      <c r="P18" s="43"/>
      <c r="Q18" s="64"/>
      <c r="R18" s="64"/>
      <c r="S18" s="60"/>
      <c r="T18" s="43"/>
      <c r="U18" s="44"/>
      <c r="V18" s="44"/>
    </row>
    <row r="19" spans="1:38">
      <c r="A19" s="9"/>
      <c r="B19" s="12"/>
      <c r="C19" s="33"/>
      <c r="D19" s="26" t="s">
        <v>5</v>
      </c>
      <c r="E19" s="34"/>
      <c r="F19" s="68">
        <v>80</v>
      </c>
      <c r="G19" s="68">
        <v>0</v>
      </c>
      <c r="H19" s="68">
        <v>0</v>
      </c>
      <c r="I19" s="68">
        <v>82</v>
      </c>
      <c r="J19" s="64" t="str">
        <f t="shared" si="0"/>
        <v>n/a</v>
      </c>
      <c r="K19" s="64" t="str">
        <f>IFERROR(F19/H19-1,"n/a")</f>
        <v>n/a</v>
      </c>
      <c r="L19" s="60">
        <f t="shared" si="1"/>
        <v>-2.4390243902439046E-2</v>
      </c>
      <c r="M19" s="68">
        <f>F19+'Apr-22'!M19</f>
        <v>524</v>
      </c>
      <c r="N19" s="68">
        <f>G19+'Apr-22'!N19</f>
        <v>0</v>
      </c>
      <c r="O19" s="68">
        <f>H19+'Apr-22'!O19</f>
        <v>406</v>
      </c>
      <c r="P19" s="68">
        <f>I19+'Apr-22'!P19</f>
        <v>500</v>
      </c>
      <c r="Q19" s="64" t="str">
        <f>IFERROR(M19/N19-1,"n/a")</f>
        <v>n/a</v>
      </c>
      <c r="R19" s="64">
        <f>IFERROR(M19/O19-1,"n/a")</f>
        <v>0.29064039408866993</v>
      </c>
      <c r="S19" s="60">
        <f>IFERROR(M19/P19-1,"n/a")</f>
        <v>4.8000000000000043E-2</v>
      </c>
      <c r="T19" s="68">
        <v>411</v>
      </c>
      <c r="U19" s="70">
        <v>406</v>
      </c>
      <c r="V19" s="70">
        <v>1205</v>
      </c>
    </row>
    <row r="20" spans="1:38">
      <c r="A20" s="9"/>
      <c r="B20" s="12"/>
      <c r="C20" s="33"/>
      <c r="D20" s="26" t="s">
        <v>11</v>
      </c>
      <c r="E20" s="32"/>
      <c r="F20" s="68">
        <v>231087</v>
      </c>
      <c r="G20" s="68">
        <v>0</v>
      </c>
      <c r="H20" s="68">
        <v>0</v>
      </c>
      <c r="I20" s="68">
        <v>287713</v>
      </c>
      <c r="J20" s="64" t="str">
        <f t="shared" si="0"/>
        <v>n/a</v>
      </c>
      <c r="K20" s="64" t="str">
        <f>IFERROR(F20/H20-1,"n/a")</f>
        <v>n/a</v>
      </c>
      <c r="L20" s="60">
        <f t="shared" si="1"/>
        <v>-0.19681418635932335</v>
      </c>
      <c r="M20" s="68">
        <f>F20+'Apr-22'!M20</f>
        <v>1101390</v>
      </c>
      <c r="N20" s="68">
        <f>G20+'Apr-22'!N20</f>
        <v>0</v>
      </c>
      <c r="O20" s="68">
        <f>H20+'Apr-22'!O20</f>
        <v>833999</v>
      </c>
      <c r="P20" s="68">
        <f>I20+'Apr-22'!P20</f>
        <v>1700807</v>
      </c>
      <c r="Q20" s="64" t="str">
        <f>IFERROR(M20/N20-1,"n/a")</f>
        <v>n/a</v>
      </c>
      <c r="R20" s="64">
        <f>IFERROR(M20/O20-1,"n/a")</f>
        <v>0.32061309426030493</v>
      </c>
      <c r="S20" s="60">
        <f>IFERROR(M20/P20-1,"n/a")</f>
        <v>-0.35243093425650296</v>
      </c>
      <c r="T20" s="68">
        <v>687449</v>
      </c>
      <c r="U20" s="70">
        <v>833999</v>
      </c>
      <c r="V20" s="70">
        <v>3859183</v>
      </c>
    </row>
    <row r="21" spans="1:38">
      <c r="A21" s="9"/>
      <c r="B21" s="12"/>
      <c r="C21" s="31" t="s">
        <v>16</v>
      </c>
      <c r="D21" s="26"/>
      <c r="E21" s="32"/>
      <c r="F21" s="43"/>
      <c r="G21" s="43"/>
      <c r="H21" s="43"/>
      <c r="I21" s="43"/>
      <c r="J21" s="64"/>
      <c r="K21" s="64"/>
      <c r="L21" s="60"/>
      <c r="M21" s="43"/>
      <c r="N21" s="43"/>
      <c r="O21" s="43"/>
      <c r="P21" s="43"/>
      <c r="Q21" s="64"/>
      <c r="R21" s="64"/>
      <c r="S21" s="60"/>
      <c r="T21" s="43"/>
      <c r="U21" s="44"/>
      <c r="V21" s="44"/>
    </row>
    <row r="22" spans="1:38">
      <c r="A22" s="9"/>
      <c r="B22" s="12"/>
      <c r="C22" s="33"/>
      <c r="D22" s="26" t="s">
        <v>5</v>
      </c>
      <c r="E22" s="32"/>
      <c r="F22" s="68">
        <v>38</v>
      </c>
      <c r="G22" s="68">
        <v>9</v>
      </c>
      <c r="H22" s="68">
        <v>0</v>
      </c>
      <c r="I22" s="68">
        <v>44</v>
      </c>
      <c r="J22" s="64">
        <f t="shared" si="0"/>
        <v>3.2222222222222223</v>
      </c>
      <c r="K22" s="64" t="str">
        <f>IFERROR(F22/H22-1,"n/a")</f>
        <v>n/a</v>
      </c>
      <c r="L22" s="60">
        <f t="shared" si="1"/>
        <v>-0.13636363636363635</v>
      </c>
      <c r="M22" s="68">
        <f>F22+'Apr-22'!M22</f>
        <v>83</v>
      </c>
      <c r="N22" s="68">
        <f>G22+'Apr-22'!N22</f>
        <v>23</v>
      </c>
      <c r="O22" s="68">
        <f>H22+'Apr-22'!O22</f>
        <v>9</v>
      </c>
      <c r="P22" s="68">
        <f>I22+'Apr-22'!P22</f>
        <v>93</v>
      </c>
      <c r="Q22" s="64">
        <f>IFERROR(M22/N22-1,"n/a")</f>
        <v>2.6086956521739131</v>
      </c>
      <c r="R22" s="64">
        <f>IFERROR(M22/O22-1,"n/a")</f>
        <v>8.2222222222222214</v>
      </c>
      <c r="S22" s="60">
        <f>IFERROR(M22/P22-1,"n/a")</f>
        <v>-0.10752688172043012</v>
      </c>
      <c r="T22" s="68">
        <v>107</v>
      </c>
      <c r="U22" s="70">
        <v>32</v>
      </c>
      <c r="V22" s="70">
        <v>372</v>
      </c>
    </row>
    <row r="23" spans="1:38">
      <c r="A23" s="9"/>
      <c r="B23" s="12"/>
      <c r="C23" s="33"/>
      <c r="D23" s="26" t="s">
        <v>11</v>
      </c>
      <c r="E23" s="32"/>
      <c r="F23" s="68">
        <v>48885</v>
      </c>
      <c r="G23" s="68">
        <v>11576</v>
      </c>
      <c r="H23" s="68">
        <v>0</v>
      </c>
      <c r="I23" s="68">
        <v>102078</v>
      </c>
      <c r="J23" s="64">
        <f t="shared" si="0"/>
        <v>3.2229612992398069</v>
      </c>
      <c r="K23" s="64" t="str">
        <f>IFERROR(F23/H23-1,"n/a")</f>
        <v>n/a</v>
      </c>
      <c r="L23" s="60">
        <f t="shared" si="1"/>
        <v>-0.52110151060953391</v>
      </c>
      <c r="M23" s="68">
        <f>F23+'Apr-22'!M23</f>
        <v>106023</v>
      </c>
      <c r="N23" s="68">
        <f>G23+'Apr-22'!N23</f>
        <v>25542</v>
      </c>
      <c r="O23" s="68">
        <f>H23+'Apr-22'!O23</f>
        <v>40221</v>
      </c>
      <c r="P23" s="68">
        <f>I23+'Apr-22'!P23</f>
        <v>272179</v>
      </c>
      <c r="Q23" s="64">
        <f>IFERROR(M23/N23-1,"n/a")</f>
        <v>3.1509278834860233</v>
      </c>
      <c r="R23" s="64">
        <f>IFERROR(M23/O23-1,"n/a")</f>
        <v>1.6360110390094729</v>
      </c>
      <c r="S23" s="60">
        <f>IFERROR(M23/P23-1,"n/a")</f>
        <v>-0.61046590662762368</v>
      </c>
      <c r="T23" s="68">
        <v>147132</v>
      </c>
      <c r="U23" s="70">
        <v>59180</v>
      </c>
      <c r="V23" s="70">
        <v>902015</v>
      </c>
    </row>
    <row r="24" spans="1:38">
      <c r="A24" s="9"/>
      <c r="B24" s="12"/>
      <c r="C24" s="31" t="s">
        <v>17</v>
      </c>
      <c r="D24" s="26"/>
      <c r="E24" s="32"/>
      <c r="F24" s="43"/>
      <c r="G24" s="43"/>
      <c r="H24" s="43"/>
      <c r="I24" s="43"/>
      <c r="J24" s="64"/>
      <c r="K24" s="64"/>
      <c r="L24" s="60"/>
      <c r="M24" s="43"/>
      <c r="N24" s="43"/>
      <c r="O24" s="43"/>
      <c r="P24" s="43"/>
      <c r="Q24" s="64"/>
      <c r="R24" s="64"/>
      <c r="S24" s="60"/>
      <c r="T24" s="43"/>
      <c r="U24" s="44"/>
      <c r="V24" s="44"/>
    </row>
    <row r="25" spans="1:38">
      <c r="B25" s="12"/>
      <c r="C25" s="33"/>
      <c r="D25" s="26" t="s">
        <v>5</v>
      </c>
      <c r="E25" s="32"/>
      <c r="F25" s="68">
        <v>62</v>
      </c>
      <c r="G25" s="68">
        <v>9</v>
      </c>
      <c r="H25" s="68">
        <v>0</v>
      </c>
      <c r="I25" s="68">
        <v>45</v>
      </c>
      <c r="J25" s="64">
        <f t="shared" si="0"/>
        <v>5.8888888888888893</v>
      </c>
      <c r="K25" s="64" t="str">
        <f>IFERROR(F25/H25-1,"n/a")</f>
        <v>n/a</v>
      </c>
      <c r="L25" s="60">
        <f t="shared" si="1"/>
        <v>0.37777777777777777</v>
      </c>
      <c r="M25" s="68">
        <f>F25+'Apr-22'!M25</f>
        <v>129</v>
      </c>
      <c r="N25" s="68">
        <f>G25+'Apr-22'!N25</f>
        <v>14</v>
      </c>
      <c r="O25" s="68">
        <f>H25+'Apr-22'!O25</f>
        <v>1</v>
      </c>
      <c r="P25" s="68">
        <f>I25+'Apr-22'!P25</f>
        <v>80</v>
      </c>
      <c r="Q25" s="64">
        <f>IFERROR(M25/N25-1,"n/a")</f>
        <v>8.2142857142857135</v>
      </c>
      <c r="R25" s="64">
        <f>IFERROR(M25/O25-1,"n/a")</f>
        <v>128</v>
      </c>
      <c r="S25" s="60">
        <f>IFERROR(M25/P25-1,"n/a")</f>
        <v>0.61250000000000004</v>
      </c>
      <c r="T25" s="68">
        <v>127</v>
      </c>
      <c r="U25" s="70">
        <v>37</v>
      </c>
      <c r="V25" s="70">
        <f>282+81</f>
        <v>363</v>
      </c>
    </row>
    <row r="26" spans="1:38">
      <c r="A26" s="9"/>
      <c r="B26" s="12"/>
      <c r="C26" s="33"/>
      <c r="D26" s="26" t="s">
        <v>11</v>
      </c>
      <c r="E26" s="32"/>
      <c r="F26" s="68">
        <f>56524+11398</f>
        <v>67922</v>
      </c>
      <c r="G26" s="68">
        <v>12905</v>
      </c>
      <c r="H26" s="68">
        <v>0</v>
      </c>
      <c r="I26" s="68">
        <v>112132</v>
      </c>
      <c r="J26" s="64">
        <f t="shared" si="0"/>
        <v>4.2632313056954665</v>
      </c>
      <c r="K26" s="64" t="str">
        <f>IFERROR(F26/H26-1,"n/a")</f>
        <v>n/a</v>
      </c>
      <c r="L26" s="60">
        <f t="shared" si="1"/>
        <v>-0.39426747048121857</v>
      </c>
      <c r="M26" s="68">
        <f>F26+'Apr-22'!M26</f>
        <v>123179</v>
      </c>
      <c r="N26" s="68">
        <f>G26+'Apr-22'!N26</f>
        <v>15044</v>
      </c>
      <c r="O26" s="68">
        <f>H26+'Apr-22'!O26</f>
        <v>892</v>
      </c>
      <c r="P26" s="68">
        <f>I26+'Apr-22'!P26</f>
        <v>194615</v>
      </c>
      <c r="Q26" s="64">
        <f>IFERROR(M26/N26-1,"n/a")</f>
        <v>7.1879154480191438</v>
      </c>
      <c r="R26" s="64">
        <f>IFERROR(M26/O26-1,"n/a")</f>
        <v>137.09304932735427</v>
      </c>
      <c r="S26" s="60">
        <f>IFERROR(M26/P26-1,"n/a")</f>
        <v>-0.36706317601418181</v>
      </c>
      <c r="T26" s="68">
        <v>165083</v>
      </c>
      <c r="U26" s="70">
        <f>20768+8294</f>
        <v>29062</v>
      </c>
      <c r="V26" s="70">
        <f>659951+168729+38484</f>
        <v>867164</v>
      </c>
    </row>
    <row r="27" spans="1:38" ht="15.75" thickBot="1">
      <c r="A27" s="9"/>
      <c r="B27" s="12"/>
      <c r="C27" s="35" t="s">
        <v>12</v>
      </c>
      <c r="D27" s="36"/>
      <c r="E27" s="37"/>
      <c r="F27" s="46">
        <f t="shared" ref="F27:I28" si="2">F10+F13+F16+F19+F22+F25</f>
        <v>354</v>
      </c>
      <c r="G27" s="46">
        <f t="shared" si="2"/>
        <v>18</v>
      </c>
      <c r="H27" s="46">
        <f t="shared" si="2"/>
        <v>0</v>
      </c>
      <c r="I27" s="46">
        <f t="shared" si="2"/>
        <v>315</v>
      </c>
      <c r="J27" s="66">
        <f t="shared" si="0"/>
        <v>18.666666666666668</v>
      </c>
      <c r="K27" s="66" t="str">
        <f>IFERROR(F27/H27-1,"n/a")</f>
        <v>n/a</v>
      </c>
      <c r="L27" s="62">
        <f t="shared" si="1"/>
        <v>0.12380952380952381</v>
      </c>
      <c r="M27" s="46">
        <f t="shared" ref="M27:P28" si="3">M10+M13+M16+M19+M22+M25</f>
        <v>1317</v>
      </c>
      <c r="N27" s="46">
        <f t="shared" si="3"/>
        <v>37</v>
      </c>
      <c r="O27" s="46">
        <f t="shared" si="3"/>
        <v>607</v>
      </c>
      <c r="P27" s="46">
        <f t="shared" si="3"/>
        <v>1242</v>
      </c>
      <c r="Q27" s="66">
        <f>IFERROR(M27/N27-1,"n/a")</f>
        <v>34.594594594594597</v>
      </c>
      <c r="R27" s="66">
        <f>IFERROR(M27/O27-1,"n/a")</f>
        <v>1.1696869851729819</v>
      </c>
      <c r="S27" s="62">
        <f>IFERROR(M27/P27-1,"n/a")</f>
        <v>6.0386473429951737E-2</v>
      </c>
      <c r="T27" s="46">
        <f t="shared" ref="T27:V28" si="4">T10+T13+T16+T19+T22+T25</f>
        <v>1062</v>
      </c>
      <c r="U27" s="46">
        <f t="shared" si="4"/>
        <v>667</v>
      </c>
      <c r="V27" s="46">
        <f t="shared" si="4"/>
        <v>3344</v>
      </c>
    </row>
    <row r="28" spans="1:38" s="22" customFormat="1" ht="16.5" thickTop="1" thickBot="1">
      <c r="A28" s="9"/>
      <c r="B28" s="12"/>
      <c r="C28" s="38" t="s">
        <v>13</v>
      </c>
      <c r="D28" s="39"/>
      <c r="E28" s="40"/>
      <c r="F28" s="47">
        <f t="shared" si="2"/>
        <v>579587</v>
      </c>
      <c r="G28" s="47">
        <f t="shared" si="2"/>
        <v>24481</v>
      </c>
      <c r="H28" s="47">
        <f t="shared" si="2"/>
        <v>0</v>
      </c>
      <c r="I28" s="47">
        <f t="shared" si="2"/>
        <v>841049</v>
      </c>
      <c r="J28" s="67">
        <f t="shared" si="0"/>
        <v>22.674972427596913</v>
      </c>
      <c r="K28" s="67" t="str">
        <f>IFERROR(F28/H28-1,"n/a")</f>
        <v>n/a</v>
      </c>
      <c r="L28" s="63">
        <f t="shared" si="1"/>
        <v>-0.31087606072892304</v>
      </c>
      <c r="M28" s="47">
        <f t="shared" si="3"/>
        <v>1955070</v>
      </c>
      <c r="N28" s="47">
        <f t="shared" si="3"/>
        <v>40586</v>
      </c>
      <c r="O28" s="47">
        <f t="shared" si="3"/>
        <v>1276191</v>
      </c>
      <c r="P28" s="47">
        <f t="shared" si="3"/>
        <v>3422813</v>
      </c>
      <c r="Q28" s="67">
        <f>IFERROR(M28/N28-1,"n/a")</f>
        <v>47.171044202434338</v>
      </c>
      <c r="R28" s="67">
        <f>IFERROR(M28/O28-1,"n/a")</f>
        <v>0.53195720703248961</v>
      </c>
      <c r="S28" s="63">
        <f>IFERROR(M28/P28-1,"n/a")</f>
        <v>-0.42881191581310463</v>
      </c>
      <c r="T28" s="47">
        <f t="shared" si="4"/>
        <v>1554247</v>
      </c>
      <c r="U28" s="47">
        <f t="shared" si="4"/>
        <v>1323431</v>
      </c>
      <c r="V28" s="47">
        <f t="shared" si="4"/>
        <v>9169021</v>
      </c>
      <c r="W28" s="9"/>
      <c r="X28" s="21"/>
      <c r="Y28" s="21"/>
      <c r="Z28" s="21"/>
      <c r="AA28" s="21"/>
      <c r="AB28" s="21"/>
      <c r="AC28" s="21"/>
      <c r="AD28" s="21"/>
      <c r="AE28" s="21"/>
      <c r="AF28" s="21"/>
      <c r="AG28" s="21"/>
      <c r="AH28" s="21"/>
      <c r="AI28" s="21"/>
      <c r="AJ28" s="21"/>
      <c r="AK28" s="21"/>
      <c r="AL28" s="21"/>
    </row>
    <row r="29" spans="1:38" ht="15.75" thickTop="1">
      <c r="A29" s="9"/>
      <c r="B29" s="9"/>
      <c r="C29" s="9"/>
      <c r="D29" s="9"/>
      <c r="E29" s="9"/>
      <c r="F29" s="9"/>
      <c r="G29" s="41"/>
      <c r="H29" s="41"/>
      <c r="I29" s="41"/>
      <c r="J29" s="41"/>
      <c r="K29" s="9"/>
      <c r="L29" s="9"/>
      <c r="M29" s="9"/>
      <c r="N29" s="9"/>
      <c r="O29" s="9"/>
      <c r="P29" s="9"/>
      <c r="Q29" s="9"/>
      <c r="R29" s="9"/>
      <c r="S29" s="9"/>
      <c r="T29" s="9"/>
      <c r="U29" s="9"/>
      <c r="V29" s="9"/>
    </row>
    <row r="30" spans="1:38" hidden="1">
      <c r="A30" s="9"/>
      <c r="B30" s="9"/>
      <c r="C30" s="9"/>
      <c r="D30" s="9"/>
      <c r="E30" s="9"/>
      <c r="F30" s="9"/>
      <c r="G30" s="41"/>
      <c r="H30" s="41"/>
      <c r="I30" s="41"/>
      <c r="J30" s="41"/>
      <c r="K30" s="9"/>
      <c r="L30" s="9"/>
      <c r="M30" s="9"/>
      <c r="N30" s="9"/>
      <c r="O30" s="9"/>
      <c r="P30" s="9"/>
      <c r="Q30" s="9"/>
      <c r="R30" s="9"/>
      <c r="S30" s="9"/>
      <c r="T30" s="9"/>
      <c r="U30" s="9"/>
      <c r="V30" s="9"/>
    </row>
    <row r="31" spans="1:38" hidden="1">
      <c r="A31" s="9"/>
      <c r="B31" s="9"/>
      <c r="C31" s="9"/>
      <c r="D31" s="9"/>
      <c r="E31" s="9"/>
      <c r="F31" s="9"/>
      <c r="G31" s="41"/>
      <c r="H31" s="41"/>
      <c r="I31" s="41"/>
      <c r="J31" s="41"/>
      <c r="K31" s="9"/>
      <c r="L31" s="9"/>
      <c r="M31" s="9"/>
      <c r="N31" s="9"/>
      <c r="O31" s="9"/>
      <c r="P31" s="9"/>
      <c r="Q31" s="9"/>
      <c r="R31" s="9"/>
      <c r="S31" s="9"/>
      <c r="T31" s="9"/>
      <c r="U31" s="9"/>
      <c r="V31" s="9"/>
    </row>
    <row r="32" spans="1:38" hidden="1">
      <c r="A32" s="9"/>
      <c r="B32" s="9"/>
      <c r="C32" s="9"/>
      <c r="D32" s="9"/>
      <c r="E32" s="9"/>
      <c r="F32" s="9"/>
      <c r="G32" s="41"/>
      <c r="H32" s="41"/>
      <c r="I32" s="41"/>
      <c r="J32" s="41"/>
      <c r="K32" s="9"/>
      <c r="L32" s="9"/>
      <c r="M32" s="9"/>
      <c r="N32" s="9"/>
      <c r="O32" s="9"/>
      <c r="P32" s="9"/>
      <c r="Q32" s="9"/>
      <c r="R32" s="9"/>
      <c r="S32" s="9"/>
      <c r="T32" s="9"/>
      <c r="U32" s="9"/>
      <c r="V32" s="9"/>
    </row>
    <row r="33" spans="7:10" s="9" customFormat="1" hidden="1">
      <c r="G33" s="41"/>
      <c r="H33" s="41"/>
      <c r="I33" s="41"/>
      <c r="J33" s="41"/>
    </row>
    <row r="34" spans="7:10" s="9" customFormat="1" hidden="1">
      <c r="G34" s="41"/>
      <c r="H34" s="41"/>
      <c r="I34" s="41"/>
      <c r="J34" s="41"/>
    </row>
    <row r="35" spans="7:10" s="9" customFormat="1" hidden="1">
      <c r="G35" s="41"/>
      <c r="H35" s="41"/>
      <c r="I35" s="41"/>
      <c r="J35" s="41"/>
    </row>
    <row r="36" spans="7:10" s="9" customFormat="1" hidden="1">
      <c r="G36" s="41"/>
      <c r="H36" s="41"/>
      <c r="I36" s="41"/>
      <c r="J36" s="41"/>
    </row>
    <row r="37" spans="7:10" s="9" customFormat="1" hidden="1">
      <c r="G37" s="41"/>
      <c r="H37" s="41"/>
      <c r="I37" s="41"/>
      <c r="J37" s="41"/>
    </row>
    <row r="38" spans="7:10" s="9" customFormat="1" hidden="1">
      <c r="G38" s="41"/>
      <c r="H38" s="41"/>
      <c r="I38" s="41"/>
      <c r="J38" s="41"/>
    </row>
    <row r="39" spans="7:10" s="9" customFormat="1" hidden="1">
      <c r="G39" s="41"/>
      <c r="H39" s="41"/>
      <c r="I39" s="41"/>
      <c r="J39" s="41"/>
    </row>
    <row r="40" spans="7:10" s="9" customFormat="1" hidden="1">
      <c r="G40" s="41"/>
      <c r="H40" s="41"/>
      <c r="I40" s="41"/>
      <c r="J40" s="41"/>
    </row>
    <row r="41" spans="7:10" s="9" customFormat="1" hidden="1">
      <c r="G41" s="41"/>
      <c r="H41" s="41"/>
      <c r="I41" s="41"/>
      <c r="J41" s="41"/>
    </row>
    <row r="42" spans="7:10" s="9" customFormat="1" hidden="1">
      <c r="G42" s="41"/>
      <c r="H42" s="41"/>
      <c r="I42" s="41"/>
      <c r="J42" s="41"/>
    </row>
    <row r="43" spans="7:10" s="9" customFormat="1" hidden="1">
      <c r="G43" s="41"/>
      <c r="H43" s="41"/>
      <c r="I43" s="41"/>
      <c r="J43" s="41"/>
    </row>
    <row r="44" spans="7:10" s="9" customFormat="1" hidden="1">
      <c r="G44" s="41"/>
      <c r="H44" s="41"/>
      <c r="I44" s="41"/>
      <c r="J44" s="41"/>
    </row>
    <row r="45" spans="7:10" s="9" customFormat="1" hidden="1">
      <c r="G45" s="41"/>
      <c r="H45" s="41"/>
      <c r="I45" s="41"/>
      <c r="J45" s="41"/>
    </row>
    <row r="46" spans="7:10" s="9" customFormat="1" hidden="1">
      <c r="G46" s="41"/>
      <c r="H46" s="41"/>
      <c r="I46" s="41"/>
      <c r="J46" s="41"/>
    </row>
    <row r="47" spans="7:10" s="9" customFormat="1" hidden="1">
      <c r="G47" s="41"/>
      <c r="H47" s="41"/>
      <c r="I47" s="41"/>
      <c r="J47" s="41"/>
    </row>
    <row r="48" spans="7:10" s="9" customFormat="1" hidden="1"/>
  </sheetData>
  <customSheetViews>
    <customSheetView guid="{5F6D01E3-9E6F-4D7F-980F-63899AF95899}" scale="79" showGridLines="0" fitToPage="1" hiddenRows="1" hiddenColumns="1">
      <pageMargins left="0.7" right="0.7" top="0.75" bottom="0.75" header="0.3" footer="0.3"/>
      <pageSetup paperSize="9" scale="85" orientation="landscape" horizontalDpi="4294967293" verticalDpi="4294967293" r:id="rId1"/>
    </customSheetView>
  </customSheetViews>
  <mergeCells count="3">
    <mergeCell ref="F6:L6"/>
    <mergeCell ref="M6:S6"/>
    <mergeCell ref="T6:V6"/>
  </mergeCells>
  <pageMargins left="0.7" right="0.7" top="0.75" bottom="0.75" header="0.3" footer="0.3"/>
  <pageSetup paperSize="9" scale="85" orientation="landscape" horizontalDpi="4294967293" verticalDpi="4294967293" r:id="rId2"/>
  <drawing r:id="rId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AL48"/>
  <sheetViews>
    <sheetView showGridLines="0" zoomScaleNormal="100" workbookViewId="0"/>
  </sheetViews>
  <sheetFormatPr defaultColWidth="0" defaultRowHeight="15" customHeight="1" zeroHeight="1"/>
  <cols>
    <col min="1" max="3" width="2.5703125" customWidth="1"/>
    <col min="4" max="4" width="9.140625" customWidth="1"/>
    <col min="5" max="6" width="15.42578125" customWidth="1"/>
    <col min="7" max="8" width="11.140625" bestFit="1" customWidth="1"/>
    <col min="9" max="9" width="10.5703125" bestFit="1" customWidth="1"/>
    <col min="10" max="10" width="9" bestFit="1" customWidth="1"/>
    <col min="11" max="12" width="9.140625" customWidth="1"/>
    <col min="13" max="13" width="11" bestFit="1" customWidth="1"/>
    <col min="14" max="14" width="10.140625" bestFit="1" customWidth="1"/>
    <col min="15" max="15" width="12.140625" bestFit="1" customWidth="1"/>
    <col min="16" max="16" width="12.5703125" bestFit="1" customWidth="1"/>
    <col min="17" max="17" width="8.85546875" customWidth="1"/>
    <col min="18" max="19" width="9.140625" customWidth="1"/>
    <col min="20" max="20" width="12.140625" bestFit="1" customWidth="1"/>
    <col min="21" max="21" width="11.85546875" bestFit="1" customWidth="1"/>
    <col min="22" max="22" width="12.42578125" customWidth="1"/>
    <col min="23" max="23" width="3.140625" style="9" customWidth="1"/>
    <col min="24" max="38" width="0" style="9" hidden="1" customWidth="1"/>
    <col min="39" max="16384" width="9.140625" hidden="1"/>
  </cols>
  <sheetData>
    <row r="1" spans="1:38">
      <c r="A1" s="9"/>
      <c r="B1" s="9"/>
      <c r="C1" s="9"/>
      <c r="D1" s="9"/>
      <c r="E1" s="9"/>
      <c r="F1" s="9"/>
      <c r="G1" s="9"/>
      <c r="H1" s="9"/>
      <c r="I1" s="9"/>
      <c r="J1" s="9"/>
      <c r="K1" s="9"/>
      <c r="L1" s="9"/>
      <c r="M1" s="9"/>
      <c r="N1" s="9"/>
      <c r="O1" s="9"/>
      <c r="P1" s="9"/>
      <c r="Q1" s="9"/>
      <c r="R1" s="9"/>
      <c r="S1" s="9"/>
      <c r="T1" s="9"/>
      <c r="U1" s="9"/>
      <c r="V1" s="9"/>
    </row>
    <row r="2" spans="1:38" ht="19.5" thickBot="1">
      <c r="A2" s="9"/>
      <c r="B2" s="8" t="s">
        <v>6</v>
      </c>
      <c r="C2" s="23"/>
      <c r="D2" s="23"/>
      <c r="E2" s="23"/>
      <c r="F2" s="23"/>
      <c r="G2" s="23"/>
      <c r="H2" s="23"/>
      <c r="I2" s="23"/>
      <c r="J2" s="23"/>
      <c r="K2" s="23"/>
      <c r="L2" s="23"/>
      <c r="M2" s="23"/>
      <c r="N2" s="23"/>
      <c r="O2" s="23"/>
      <c r="P2" s="23"/>
      <c r="Q2" s="23"/>
      <c r="R2" s="23"/>
      <c r="S2" s="23"/>
      <c r="T2" s="23"/>
      <c r="U2" s="23"/>
      <c r="V2" s="23"/>
    </row>
    <row r="3" spans="1:38">
      <c r="A3" s="9"/>
      <c r="B3" s="10"/>
      <c r="C3" s="24"/>
      <c r="D3" s="24"/>
      <c r="E3" s="24"/>
      <c r="F3" s="24"/>
      <c r="G3" s="24"/>
      <c r="H3" s="24"/>
      <c r="I3" s="24"/>
      <c r="J3" s="24"/>
      <c r="K3" s="24"/>
      <c r="L3" s="24"/>
      <c r="M3" s="24"/>
      <c r="N3" s="24"/>
      <c r="O3" s="24"/>
      <c r="P3" s="24"/>
      <c r="Q3" s="24"/>
      <c r="R3" s="24"/>
      <c r="S3" s="24"/>
      <c r="T3" s="24"/>
      <c r="U3" s="24"/>
      <c r="V3" s="25"/>
    </row>
    <row r="4" spans="1:38" ht="15.75">
      <c r="A4" s="9"/>
      <c r="B4" s="11" t="s">
        <v>7</v>
      </c>
      <c r="C4" s="26"/>
      <c r="D4" s="24"/>
      <c r="E4" s="58" t="s">
        <v>44</v>
      </c>
      <c r="F4" s="24"/>
      <c r="G4" s="24"/>
      <c r="H4" s="24"/>
      <c r="I4" s="24"/>
      <c r="J4" s="24"/>
      <c r="K4" s="24"/>
      <c r="L4" s="24"/>
      <c r="M4" s="24"/>
      <c r="N4" s="24"/>
      <c r="O4" s="24"/>
      <c r="P4" s="24"/>
      <c r="Q4" s="24"/>
      <c r="R4" s="24"/>
      <c r="S4" s="24"/>
      <c r="T4" s="24"/>
      <c r="U4" s="24"/>
      <c r="V4" s="24"/>
    </row>
    <row r="5" spans="1:38">
      <c r="A5" s="9"/>
      <c r="B5" s="10"/>
      <c r="C5" s="24"/>
      <c r="D5" s="24"/>
      <c r="E5" s="24"/>
      <c r="F5" s="24"/>
      <c r="G5" s="24"/>
      <c r="H5" s="24"/>
      <c r="I5" s="24"/>
      <c r="J5" s="24"/>
      <c r="K5" s="24"/>
      <c r="L5" s="24"/>
      <c r="M5" s="24"/>
      <c r="N5" s="24"/>
      <c r="O5" s="24"/>
      <c r="P5" s="24"/>
      <c r="Q5" s="24"/>
      <c r="R5" s="24"/>
      <c r="S5" s="24"/>
      <c r="T5" s="24"/>
      <c r="U5" s="24"/>
      <c r="V5" s="24"/>
    </row>
    <row r="6" spans="1:38" s="20" customFormat="1">
      <c r="A6" s="9"/>
      <c r="B6"/>
      <c r="C6" s="27" t="s">
        <v>7</v>
      </c>
      <c r="D6" s="28"/>
      <c r="E6" s="28"/>
      <c r="F6" s="158" t="s">
        <v>45</v>
      </c>
      <c r="G6" s="158"/>
      <c r="H6" s="158"/>
      <c r="I6" s="158"/>
      <c r="J6" s="158"/>
      <c r="K6" s="158"/>
      <c r="L6" s="159"/>
      <c r="M6" s="157" t="s">
        <v>46</v>
      </c>
      <c r="N6" s="158"/>
      <c r="O6" s="158"/>
      <c r="P6" s="158"/>
      <c r="Q6" s="158"/>
      <c r="R6" s="158"/>
      <c r="S6" s="159"/>
      <c r="T6" s="157" t="s">
        <v>9</v>
      </c>
      <c r="U6" s="158"/>
      <c r="V6" s="158"/>
      <c r="W6" s="9"/>
      <c r="X6" s="19"/>
      <c r="Y6" s="19"/>
      <c r="Z6" s="19"/>
      <c r="AA6" s="19"/>
      <c r="AB6" s="19"/>
      <c r="AC6" s="19"/>
      <c r="AD6" s="19"/>
      <c r="AE6" s="19"/>
      <c r="AF6" s="19"/>
      <c r="AG6" s="19"/>
      <c r="AH6" s="19"/>
      <c r="AI6" s="19"/>
      <c r="AJ6" s="19"/>
      <c r="AK6" s="19"/>
      <c r="AL6" s="19"/>
    </row>
    <row r="7" spans="1:38" ht="15.75">
      <c r="A7" s="9"/>
      <c r="B7" s="18"/>
      <c r="C7" s="29"/>
      <c r="D7" s="30"/>
      <c r="E7" s="30"/>
      <c r="F7" s="29"/>
      <c r="G7" s="30"/>
      <c r="H7" s="30"/>
      <c r="I7" s="30"/>
      <c r="J7" s="30"/>
      <c r="K7" s="30"/>
      <c r="L7" s="56"/>
      <c r="M7" s="30"/>
      <c r="N7" s="30"/>
      <c r="O7" s="30"/>
      <c r="P7" s="30"/>
      <c r="Q7" s="30"/>
      <c r="R7" s="30"/>
      <c r="S7" s="56"/>
      <c r="T7" s="30"/>
      <c r="U7" s="30"/>
      <c r="V7" s="30"/>
    </row>
    <row r="8" spans="1:38" s="54" customFormat="1" ht="22.5">
      <c r="A8" s="48"/>
      <c r="B8" s="49"/>
      <c r="C8" s="59" t="s">
        <v>29</v>
      </c>
      <c r="D8" s="50"/>
      <c r="E8" s="51"/>
      <c r="F8" s="55">
        <v>2022</v>
      </c>
      <c r="G8" s="52">
        <v>2021</v>
      </c>
      <c r="H8" s="52">
        <v>2020</v>
      </c>
      <c r="I8" s="52">
        <v>2019</v>
      </c>
      <c r="J8" s="53" t="s">
        <v>36</v>
      </c>
      <c r="K8" s="53" t="s">
        <v>34</v>
      </c>
      <c r="L8" s="57" t="s">
        <v>35</v>
      </c>
      <c r="M8" s="53">
        <v>2022</v>
      </c>
      <c r="N8" s="52">
        <v>2021</v>
      </c>
      <c r="O8" s="52">
        <v>2020</v>
      </c>
      <c r="P8" s="52">
        <v>2019</v>
      </c>
      <c r="Q8" s="53" t="s">
        <v>36</v>
      </c>
      <c r="R8" s="53" t="s">
        <v>34</v>
      </c>
      <c r="S8" s="57" t="s">
        <v>35</v>
      </c>
      <c r="T8" s="53">
        <v>2021</v>
      </c>
      <c r="U8" s="52">
        <v>2020</v>
      </c>
      <c r="V8" s="52">
        <v>2019</v>
      </c>
      <c r="W8" s="48"/>
      <c r="X8" s="48"/>
      <c r="Y8" s="48"/>
      <c r="Z8" s="48"/>
      <c r="AA8" s="48"/>
      <c r="AB8" s="48"/>
      <c r="AC8" s="48"/>
      <c r="AD8" s="48"/>
      <c r="AE8" s="48"/>
      <c r="AF8" s="48"/>
      <c r="AG8" s="48"/>
      <c r="AH8" s="48"/>
      <c r="AI8" s="48"/>
      <c r="AJ8" s="48"/>
      <c r="AK8" s="48"/>
      <c r="AL8" s="48"/>
    </row>
    <row r="9" spans="1:38">
      <c r="A9" s="9"/>
      <c r="B9" s="12"/>
      <c r="C9" s="31" t="s">
        <v>14</v>
      </c>
      <c r="D9" s="26"/>
      <c r="E9" s="32"/>
      <c r="F9" s="26"/>
      <c r="G9" s="26"/>
      <c r="H9" s="26"/>
      <c r="I9" s="26"/>
      <c r="J9" s="26"/>
      <c r="K9" s="26"/>
      <c r="L9" s="32"/>
      <c r="M9" s="26"/>
      <c r="N9" s="26"/>
      <c r="O9" s="26"/>
      <c r="P9" s="26"/>
      <c r="Q9" s="26"/>
      <c r="R9" s="26"/>
      <c r="S9" s="32"/>
      <c r="T9" s="26"/>
      <c r="U9" s="26"/>
      <c r="V9" s="26"/>
    </row>
    <row r="10" spans="1:38">
      <c r="A10" s="9"/>
      <c r="B10" s="12"/>
      <c r="C10" s="33"/>
      <c r="D10" s="26" t="s">
        <v>5</v>
      </c>
      <c r="E10" s="32"/>
      <c r="F10" s="68">
        <v>25</v>
      </c>
      <c r="G10" s="68">
        <v>0</v>
      </c>
      <c r="H10" s="68">
        <v>0</v>
      </c>
      <c r="I10" s="68">
        <v>27</v>
      </c>
      <c r="J10" s="64" t="str">
        <f t="shared" ref="J10:J28" si="0">IFERROR(F10/G10-1,"n/a")</f>
        <v>n/a</v>
      </c>
      <c r="K10" s="64" t="str">
        <f>IFERROR(F10/H10-1,"n/a")</f>
        <v>n/a</v>
      </c>
      <c r="L10" s="60">
        <f>IFERROR(F10/I10-1,"n/a")</f>
        <v>-7.407407407407407E-2</v>
      </c>
      <c r="M10" s="68">
        <f>F10+'Mar-22'!M10</f>
        <v>222</v>
      </c>
      <c r="N10" s="68">
        <f>G10+'Mar-22'!N10</f>
        <v>0</v>
      </c>
      <c r="O10" s="68">
        <f>H10+'Mar-22'!O10</f>
        <v>145</v>
      </c>
      <c r="P10" s="68">
        <f>I10+'Mar-22'!P10</f>
        <v>227</v>
      </c>
      <c r="Q10" s="64" t="str">
        <f>IFERROR(M10/N10-1,"n/a")</f>
        <v>n/a</v>
      </c>
      <c r="R10" s="64">
        <f>IFERROR(M10/O10-1,"n/a")</f>
        <v>0.53103448275862064</v>
      </c>
      <c r="S10" s="60">
        <f>IFERROR(M10/P10-1,"n/a")</f>
        <v>-2.2026431718061623E-2</v>
      </c>
      <c r="T10" s="68">
        <v>111</v>
      </c>
      <c r="U10" s="70">
        <v>145</v>
      </c>
      <c r="V10" s="70">
        <v>386</v>
      </c>
    </row>
    <row r="11" spans="1:38">
      <c r="A11" s="9"/>
      <c r="B11" s="12"/>
      <c r="C11" s="33"/>
      <c r="D11" s="26" t="s">
        <v>11</v>
      </c>
      <c r="E11" s="32"/>
      <c r="F11" s="68">
        <v>30815</v>
      </c>
      <c r="G11" s="68">
        <v>0</v>
      </c>
      <c r="H11" s="68">
        <v>0</v>
      </c>
      <c r="I11" s="68">
        <v>46675</v>
      </c>
      <c r="J11" s="64" t="str">
        <f t="shared" si="0"/>
        <v>n/a</v>
      </c>
      <c r="K11" s="64" t="str">
        <f>IFERROR(F11/H11-1,"n/a")</f>
        <v>n/a</v>
      </c>
      <c r="L11" s="60">
        <f>IFERROR(F11/I11-1,"n/a")</f>
        <v>-0.33979646491697912</v>
      </c>
      <c r="M11" s="68">
        <f>F11+'Mar-22'!M11</f>
        <v>187143</v>
      </c>
      <c r="N11" s="68">
        <f>G11+'Mar-22'!N11</f>
        <v>0</v>
      </c>
      <c r="O11" s="68">
        <f>H11+'Mar-22'!O11</f>
        <v>258885</v>
      </c>
      <c r="P11" s="68">
        <f>I11+'Mar-22'!P11</f>
        <v>432055</v>
      </c>
      <c r="Q11" s="64" t="str">
        <f>IFERROR(M11/N11-1,"n/a")</f>
        <v>n/a</v>
      </c>
      <c r="R11" s="64">
        <f>IFERROR(M11/O11-1,"n/a")</f>
        <v>-0.27711918419375403</v>
      </c>
      <c r="S11" s="60">
        <f>IFERROR(M11/P11-1,"n/a")</f>
        <v>-0.56685375704482066</v>
      </c>
      <c r="T11" s="68">
        <v>80863</v>
      </c>
      <c r="U11" s="70">
        <v>258885</v>
      </c>
      <c r="V11" s="70">
        <v>733296</v>
      </c>
    </row>
    <row r="12" spans="1:38">
      <c r="A12" s="9"/>
      <c r="B12" s="12"/>
      <c r="C12" s="31" t="s">
        <v>74</v>
      </c>
      <c r="D12" s="26"/>
      <c r="E12" s="32"/>
      <c r="F12" s="45"/>
      <c r="G12" s="45"/>
      <c r="H12" s="45"/>
      <c r="I12" s="45"/>
      <c r="J12" s="64"/>
      <c r="K12" s="64"/>
      <c r="L12" s="61"/>
      <c r="M12" s="43"/>
      <c r="N12" s="43"/>
      <c r="O12" s="43"/>
      <c r="P12" s="43"/>
      <c r="Q12" s="64"/>
      <c r="R12" s="65"/>
      <c r="S12" s="61"/>
      <c r="T12" s="43"/>
      <c r="U12" s="44"/>
      <c r="V12" s="44"/>
    </row>
    <row r="13" spans="1:38">
      <c r="A13" s="9"/>
      <c r="B13" s="12"/>
      <c r="C13" s="33"/>
      <c r="D13" s="26" t="s">
        <v>5</v>
      </c>
      <c r="E13" s="32"/>
      <c r="F13" s="68">
        <v>96</v>
      </c>
      <c r="G13" s="68">
        <v>0</v>
      </c>
      <c r="H13" s="68">
        <v>0</v>
      </c>
      <c r="I13" s="68">
        <v>90</v>
      </c>
      <c r="J13" s="64" t="str">
        <f t="shared" si="0"/>
        <v>n/a</v>
      </c>
      <c r="K13" s="64" t="str">
        <f>IFERROR(F13/H13-1,"n/a")</f>
        <v>n/a</v>
      </c>
      <c r="L13" s="60">
        <f>IFERROR(F13/I13-1,"n/a")</f>
        <v>6.6666666666666652E-2</v>
      </c>
      <c r="M13" s="68">
        <f>F13+'Mar-22'!M13</f>
        <v>149</v>
      </c>
      <c r="N13" s="68">
        <f>G13+'Mar-22'!N13</f>
        <v>0</v>
      </c>
      <c r="O13" s="68">
        <f>H13+'Mar-22'!O13</f>
        <v>43</v>
      </c>
      <c r="P13" s="68">
        <f>I13+'Mar-22'!P13</f>
        <v>179</v>
      </c>
      <c r="Q13" s="64" t="str">
        <f>IFERROR(M13/N13-1,"n/a")</f>
        <v>n/a</v>
      </c>
      <c r="R13" s="64">
        <f>IFERROR(M13/O13-1,"n/a")</f>
        <v>2.4651162790697674</v>
      </c>
      <c r="S13" s="60">
        <f>IFERROR(M13/P13-1,"n/a")</f>
        <v>-0.16759776536312854</v>
      </c>
      <c r="T13" s="68">
        <v>283</v>
      </c>
      <c r="U13" s="70">
        <v>43</v>
      </c>
      <c r="V13" s="70">
        <v>827</v>
      </c>
    </row>
    <row r="14" spans="1:38">
      <c r="A14" s="9"/>
      <c r="B14" s="12"/>
      <c r="C14" s="33"/>
      <c r="D14" s="26" t="s">
        <v>11</v>
      </c>
      <c r="E14" s="32"/>
      <c r="F14" s="68">
        <v>114892</v>
      </c>
      <c r="G14" s="68">
        <v>0</v>
      </c>
      <c r="H14" s="68">
        <v>0</v>
      </c>
      <c r="I14" s="68">
        <v>212740</v>
      </c>
      <c r="J14" s="64" t="str">
        <f t="shared" si="0"/>
        <v>n/a</v>
      </c>
      <c r="K14" s="64" t="str">
        <f>IFERROR(F14/H14-1,"n/a")</f>
        <v>n/a</v>
      </c>
      <c r="L14" s="60">
        <f>IFERROR(F14/I14-1,"n/a")</f>
        <v>-0.45994171288897245</v>
      </c>
      <c r="M14" s="68">
        <f>F14+'Mar-22'!M14</f>
        <v>183346</v>
      </c>
      <c r="N14" s="68">
        <f>G14+'Mar-22'!N14</f>
        <v>0</v>
      </c>
      <c r="O14" s="68">
        <f>H14+'Mar-22'!O14</f>
        <v>140552</v>
      </c>
      <c r="P14" s="68">
        <f>I14+'Mar-22'!P14</f>
        <v>464640</v>
      </c>
      <c r="Q14" s="64" t="str">
        <f>IFERROR(M14/N14-1,"n/a")</f>
        <v>n/a</v>
      </c>
      <c r="R14" s="64">
        <f>IFERROR(M14/O14-1,"n/a")</f>
        <v>0.30447094313848266</v>
      </c>
      <c r="S14" s="60">
        <f>IFERROR(M14/P14-1,"n/a")</f>
        <v>-0.60540203168044071</v>
      </c>
      <c r="T14" s="68">
        <v>465109</v>
      </c>
      <c r="U14" s="70">
        <v>140552</v>
      </c>
      <c r="V14" s="70">
        <v>2552942</v>
      </c>
    </row>
    <row r="15" spans="1:38">
      <c r="A15" s="9"/>
      <c r="B15" s="12"/>
      <c r="C15" s="31" t="s">
        <v>15</v>
      </c>
      <c r="D15" s="26"/>
      <c r="E15" s="32"/>
      <c r="F15" s="43"/>
      <c r="G15" s="43"/>
      <c r="H15" s="43"/>
      <c r="I15" s="43"/>
      <c r="J15" s="64"/>
      <c r="K15" s="64"/>
      <c r="L15" s="60"/>
      <c r="M15" s="43"/>
      <c r="N15" s="43"/>
      <c r="O15" s="43"/>
      <c r="P15" s="43"/>
      <c r="Q15" s="64"/>
      <c r="R15" s="64"/>
      <c r="S15" s="60"/>
      <c r="T15" s="43"/>
      <c r="U15" s="44"/>
      <c r="V15" s="44"/>
    </row>
    <row r="16" spans="1:38">
      <c r="A16" s="9"/>
      <c r="B16" s="12"/>
      <c r="C16" s="33"/>
      <c r="D16" s="26" t="s">
        <v>5</v>
      </c>
      <c r="E16" s="32"/>
      <c r="F16" s="68">
        <v>26</v>
      </c>
      <c r="G16" s="68">
        <v>0</v>
      </c>
      <c r="H16" s="68">
        <v>0</v>
      </c>
      <c r="I16" s="68">
        <v>13</v>
      </c>
      <c r="J16" s="64" t="str">
        <f t="shared" si="0"/>
        <v>n/a</v>
      </c>
      <c r="K16" s="64" t="str">
        <f>IFERROR(F16/H16-1,"n/a")</f>
        <v>n/a</v>
      </c>
      <c r="L16" s="60">
        <f>IFERROR(F16/I16-1,"n/a")</f>
        <v>1</v>
      </c>
      <c r="M16" s="68">
        <f>F16+'Mar-22'!M16</f>
        <v>36</v>
      </c>
      <c r="N16" s="68">
        <f>G16+'Mar-22'!N16</f>
        <v>0</v>
      </c>
      <c r="O16" s="68">
        <f>H16+'Mar-22'!O16</f>
        <v>3</v>
      </c>
      <c r="P16" s="68">
        <f>I16+'Mar-22'!P16</f>
        <v>19</v>
      </c>
      <c r="Q16" s="64" t="str">
        <f>IFERROR(M16/N16-1,"n/a")</f>
        <v>n/a</v>
      </c>
      <c r="R16" s="64">
        <f>IFERROR(M16/O16-1,"n/a")</f>
        <v>11</v>
      </c>
      <c r="S16" s="60">
        <f>IFERROR(M16/P16-1,"n/a")</f>
        <v>0.89473684210526305</v>
      </c>
      <c r="T16" s="68">
        <v>23</v>
      </c>
      <c r="U16" s="70">
        <v>4</v>
      </c>
      <c r="V16" s="70">
        <v>191</v>
      </c>
    </row>
    <row r="17" spans="1:38">
      <c r="A17" s="9"/>
      <c r="B17" s="12"/>
      <c r="C17" s="33"/>
      <c r="D17" s="26" t="s">
        <v>11</v>
      </c>
      <c r="E17" s="32"/>
      <c r="F17" s="68">
        <v>20824</v>
      </c>
      <c r="G17" s="68">
        <v>0</v>
      </c>
      <c r="H17" s="68">
        <v>0</v>
      </c>
      <c r="I17" s="68">
        <v>14253</v>
      </c>
      <c r="J17" s="64" t="str">
        <f t="shared" si="0"/>
        <v>n/a</v>
      </c>
      <c r="K17" s="64" t="str">
        <f>IFERROR(F17/H17-1,"n/a")</f>
        <v>n/a</v>
      </c>
      <c r="L17" s="60">
        <f t="shared" ref="L17:L28" si="1">IFERROR(F17/I17-1,"n/a")</f>
        <v>0.46102574896513016</v>
      </c>
      <c r="M17" s="68">
        <f>F17+'Mar-22'!M17</f>
        <v>22296</v>
      </c>
      <c r="N17" s="68">
        <f>G17+'Mar-22'!N17</f>
        <v>0</v>
      </c>
      <c r="O17" s="68">
        <f>H17+'Mar-22'!O17</f>
        <v>1642</v>
      </c>
      <c r="P17" s="68">
        <f>I17+'Mar-22'!P17</f>
        <v>19391</v>
      </c>
      <c r="Q17" s="64" t="str">
        <f>IFERROR(M17/N17-1,"n/a")</f>
        <v>n/a</v>
      </c>
      <c r="R17" s="64">
        <f>IFERROR(M17/O17-1,"n/a")</f>
        <v>12.578562728380025</v>
      </c>
      <c r="S17" s="60">
        <f>IFERROR(M17/P17-1,"n/a")</f>
        <v>0.14981176834613996</v>
      </c>
      <c r="T17" s="68">
        <v>8611</v>
      </c>
      <c r="U17" s="70">
        <v>1753</v>
      </c>
      <c r="V17" s="70">
        <v>254421</v>
      </c>
    </row>
    <row r="18" spans="1:38">
      <c r="A18" s="9"/>
      <c r="B18" s="12"/>
      <c r="C18" s="31" t="s">
        <v>10</v>
      </c>
      <c r="D18" s="26"/>
      <c r="E18" s="34"/>
      <c r="F18" s="43"/>
      <c r="G18" s="43"/>
      <c r="H18" s="43"/>
      <c r="I18" s="43"/>
      <c r="J18" s="64"/>
      <c r="K18" s="64"/>
      <c r="L18" s="60"/>
      <c r="M18" s="43"/>
      <c r="N18" s="43"/>
      <c r="O18" s="43"/>
      <c r="P18" s="43"/>
      <c r="Q18" s="64"/>
      <c r="R18" s="64"/>
      <c r="S18" s="60"/>
      <c r="T18" s="43"/>
      <c r="U18" s="44"/>
      <c r="V18" s="44"/>
    </row>
    <row r="19" spans="1:38">
      <c r="A19" s="9"/>
      <c r="B19" s="12"/>
      <c r="C19" s="33"/>
      <c r="D19" s="26" t="s">
        <v>5</v>
      </c>
      <c r="E19" s="34"/>
      <c r="F19" s="68">
        <v>111</v>
      </c>
      <c r="G19" s="68">
        <v>0</v>
      </c>
      <c r="H19" s="68">
        <v>42</v>
      </c>
      <c r="I19" s="68">
        <v>102</v>
      </c>
      <c r="J19" s="64" t="str">
        <f t="shared" si="0"/>
        <v>n/a</v>
      </c>
      <c r="K19" s="64">
        <f>IFERROR(F19/H19-1,"n/a")</f>
        <v>1.6428571428571428</v>
      </c>
      <c r="L19" s="60">
        <f t="shared" si="1"/>
        <v>8.8235294117646967E-2</v>
      </c>
      <c r="M19" s="68">
        <f>F19+'Mar-22'!M19</f>
        <v>444</v>
      </c>
      <c r="N19" s="68">
        <f>G19+'Mar-22'!N19</f>
        <v>0</v>
      </c>
      <c r="O19" s="68">
        <f>H19+'Mar-22'!O19</f>
        <v>406</v>
      </c>
      <c r="P19" s="68">
        <f>I19+'Mar-22'!P19</f>
        <v>418</v>
      </c>
      <c r="Q19" s="64" t="str">
        <f>IFERROR(M19/N19-1,"n/a")</f>
        <v>n/a</v>
      </c>
      <c r="R19" s="64">
        <f>IFERROR(M19/O19-1,"n/a")</f>
        <v>9.3596059113300489E-2</v>
      </c>
      <c r="S19" s="60">
        <f>IFERROR(M19/P19-1,"n/a")</f>
        <v>6.2200956937799035E-2</v>
      </c>
      <c r="T19" s="68">
        <v>411</v>
      </c>
      <c r="U19" s="70">
        <v>406</v>
      </c>
      <c r="V19" s="70">
        <v>1205</v>
      </c>
    </row>
    <row r="20" spans="1:38">
      <c r="A20" s="9"/>
      <c r="B20" s="12"/>
      <c r="C20" s="33"/>
      <c r="D20" s="26" t="s">
        <v>11</v>
      </c>
      <c r="E20" s="32"/>
      <c r="F20" s="68">
        <v>266973</v>
      </c>
      <c r="G20" s="68">
        <v>0</v>
      </c>
      <c r="H20" s="68">
        <v>0</v>
      </c>
      <c r="I20" s="68">
        <v>347370</v>
      </c>
      <c r="J20" s="64" t="str">
        <f t="shared" si="0"/>
        <v>n/a</v>
      </c>
      <c r="K20" s="64" t="str">
        <f>IFERROR(F20/H20-1,"n/a")</f>
        <v>n/a</v>
      </c>
      <c r="L20" s="60">
        <f t="shared" si="1"/>
        <v>-0.23144485706883156</v>
      </c>
      <c r="M20" s="68">
        <f>F20+'Mar-22'!M20</f>
        <v>870303</v>
      </c>
      <c r="N20" s="68">
        <f>G20+'Mar-22'!N20</f>
        <v>0</v>
      </c>
      <c r="O20" s="68">
        <f>H20+'Mar-22'!O20</f>
        <v>833999</v>
      </c>
      <c r="P20" s="68">
        <f>I20+'Mar-22'!P20</f>
        <v>1413094</v>
      </c>
      <c r="Q20" s="64" t="str">
        <f>IFERROR(M20/N20-1,"n/a")</f>
        <v>n/a</v>
      </c>
      <c r="R20" s="64">
        <f>IFERROR(M20/O20-1,"n/a")</f>
        <v>4.353002821346319E-2</v>
      </c>
      <c r="S20" s="60">
        <f>IFERROR(M20/P20-1,"n/a")</f>
        <v>-0.38411528178592502</v>
      </c>
      <c r="T20" s="68">
        <v>687449</v>
      </c>
      <c r="U20" s="70">
        <v>833999</v>
      </c>
      <c r="V20" s="70">
        <v>3859183</v>
      </c>
    </row>
    <row r="21" spans="1:38">
      <c r="A21" s="9"/>
      <c r="B21" s="12"/>
      <c r="C21" s="31" t="s">
        <v>16</v>
      </c>
      <c r="D21" s="26"/>
      <c r="E21" s="32"/>
      <c r="F21" s="43"/>
      <c r="G21" s="43"/>
      <c r="H21" s="43"/>
      <c r="I21" s="43"/>
      <c r="J21" s="64"/>
      <c r="K21" s="64"/>
      <c r="L21" s="60"/>
      <c r="M21" s="43"/>
      <c r="N21" s="43"/>
      <c r="O21" s="43"/>
      <c r="P21" s="43"/>
      <c r="Q21" s="64"/>
      <c r="R21" s="64"/>
      <c r="S21" s="60"/>
      <c r="T21" s="43"/>
      <c r="U21" s="44"/>
      <c r="V21" s="44"/>
    </row>
    <row r="22" spans="1:38">
      <c r="A22" s="9"/>
      <c r="B22" s="12"/>
      <c r="C22" s="33"/>
      <c r="D22" s="26" t="s">
        <v>5</v>
      </c>
      <c r="E22" s="32"/>
      <c r="F22" s="68">
        <v>22</v>
      </c>
      <c r="G22" s="68">
        <v>5</v>
      </c>
      <c r="H22" s="68">
        <v>0</v>
      </c>
      <c r="I22" s="68">
        <v>29</v>
      </c>
      <c r="J22" s="64">
        <f t="shared" si="0"/>
        <v>3.4000000000000004</v>
      </c>
      <c r="K22" s="64" t="str">
        <f>IFERROR(F22/H22-1,"n/a")</f>
        <v>n/a</v>
      </c>
      <c r="L22" s="60">
        <f t="shared" si="1"/>
        <v>-0.24137931034482762</v>
      </c>
      <c r="M22" s="68">
        <f>F22+'Mar-22'!M22</f>
        <v>45</v>
      </c>
      <c r="N22" s="68">
        <f>G22+'Mar-22'!N22</f>
        <v>14</v>
      </c>
      <c r="O22" s="68">
        <f>H22+'Mar-22'!O22</f>
        <v>9</v>
      </c>
      <c r="P22" s="68">
        <f>I22+'Mar-22'!P22</f>
        <v>49</v>
      </c>
      <c r="Q22" s="64">
        <f>IFERROR(M22/N22-1,"n/a")</f>
        <v>2.2142857142857144</v>
      </c>
      <c r="R22" s="64">
        <f>IFERROR(M22/O22-1,"n/a")</f>
        <v>4</v>
      </c>
      <c r="S22" s="60">
        <f>IFERROR(M22/P22-1,"n/a")</f>
        <v>-8.1632653061224469E-2</v>
      </c>
      <c r="T22" s="68">
        <v>107</v>
      </c>
      <c r="U22" s="70">
        <v>32</v>
      </c>
      <c r="V22" s="70">
        <v>372</v>
      </c>
    </row>
    <row r="23" spans="1:38">
      <c r="A23" s="9"/>
      <c r="B23" s="12"/>
      <c r="C23" s="33"/>
      <c r="D23" s="26" t="s">
        <v>11</v>
      </c>
      <c r="E23" s="32"/>
      <c r="F23" s="68">
        <v>30617</v>
      </c>
      <c r="G23" s="68">
        <v>6002</v>
      </c>
      <c r="H23" s="68">
        <v>0</v>
      </c>
      <c r="I23" s="68">
        <v>93826</v>
      </c>
      <c r="J23" s="64">
        <f t="shared" si="0"/>
        <v>4.1011329556814395</v>
      </c>
      <c r="K23" s="64" t="str">
        <f>IFERROR(F23/H23-1,"n/a")</f>
        <v>n/a</v>
      </c>
      <c r="L23" s="60">
        <f t="shared" si="1"/>
        <v>-0.6736832008185365</v>
      </c>
      <c r="M23" s="68">
        <f>F23+'Mar-22'!M23</f>
        <v>57138</v>
      </c>
      <c r="N23" s="68">
        <f>G23+'Mar-22'!N23</f>
        <v>13966</v>
      </c>
      <c r="O23" s="68">
        <f>H23+'Mar-22'!O23</f>
        <v>40221</v>
      </c>
      <c r="P23" s="68">
        <f>I23+'Mar-22'!P23</f>
        <v>170101</v>
      </c>
      <c r="Q23" s="64">
        <f>IFERROR(M23/N23-1,"n/a")</f>
        <v>3.0912215380209078</v>
      </c>
      <c r="R23" s="64">
        <f>IFERROR(M23/O23-1,"n/a")</f>
        <v>0.42060117848884904</v>
      </c>
      <c r="S23" s="60">
        <f>IFERROR(M23/P23-1,"n/a")</f>
        <v>-0.66409368551625203</v>
      </c>
      <c r="T23" s="68">
        <v>147132</v>
      </c>
      <c r="U23" s="70">
        <v>59180</v>
      </c>
      <c r="V23" s="70">
        <v>902015</v>
      </c>
    </row>
    <row r="24" spans="1:38">
      <c r="A24" s="9"/>
      <c r="B24" s="12"/>
      <c r="C24" s="31" t="s">
        <v>17</v>
      </c>
      <c r="D24" s="26"/>
      <c r="E24" s="32"/>
      <c r="F24" s="43"/>
      <c r="G24" s="43"/>
      <c r="H24" s="43"/>
      <c r="I24" s="43"/>
      <c r="J24" s="64"/>
      <c r="K24" s="64"/>
      <c r="L24" s="60"/>
      <c r="M24" s="43"/>
      <c r="N24" s="43"/>
      <c r="O24" s="43"/>
      <c r="P24" s="43"/>
      <c r="Q24" s="64"/>
      <c r="R24" s="64"/>
      <c r="S24" s="60"/>
      <c r="T24" s="43"/>
      <c r="U24" s="44"/>
      <c r="V24" s="44"/>
    </row>
    <row r="25" spans="1:38">
      <c r="B25" s="12"/>
      <c r="C25" s="33"/>
      <c r="D25" s="26" t="s">
        <v>5</v>
      </c>
      <c r="E25" s="32"/>
      <c r="F25" s="68">
        <v>51</v>
      </c>
      <c r="G25" s="68">
        <v>2</v>
      </c>
      <c r="H25" s="68">
        <v>0</v>
      </c>
      <c r="I25" s="68">
        <v>31</v>
      </c>
      <c r="J25" s="64">
        <f t="shared" si="0"/>
        <v>24.5</v>
      </c>
      <c r="K25" s="64" t="str">
        <f>IFERROR(F25/H25-1,"n/a")</f>
        <v>n/a</v>
      </c>
      <c r="L25" s="60">
        <f t="shared" si="1"/>
        <v>0.64516129032258074</v>
      </c>
      <c r="M25" s="68">
        <f>F25+'Mar-22'!M25</f>
        <v>67</v>
      </c>
      <c r="N25" s="68">
        <f>G25+'Mar-22'!N25</f>
        <v>5</v>
      </c>
      <c r="O25" s="68">
        <f>H25+'Mar-22'!O25</f>
        <v>1</v>
      </c>
      <c r="P25" s="68">
        <f>I25+'Mar-22'!P25</f>
        <v>35</v>
      </c>
      <c r="Q25" s="64">
        <f>IFERROR(M25/N25-1,"n/a")</f>
        <v>12.4</v>
      </c>
      <c r="R25" s="64">
        <f>IFERROR(M25/O25-1,"n/a")</f>
        <v>66</v>
      </c>
      <c r="S25" s="60">
        <f>IFERROR(M25/P25-1,"n/a")</f>
        <v>0.91428571428571437</v>
      </c>
      <c r="T25" s="68">
        <v>127</v>
      </c>
      <c r="U25" s="70">
        <v>37</v>
      </c>
      <c r="V25" s="70">
        <f>282+81</f>
        <v>363</v>
      </c>
    </row>
    <row r="26" spans="1:38">
      <c r="A26" s="9"/>
      <c r="B26" s="12"/>
      <c r="C26" s="33"/>
      <c r="D26" s="26" t="s">
        <v>11</v>
      </c>
      <c r="E26" s="32"/>
      <c r="F26" s="68">
        <f>42314+1343</f>
        <v>43657</v>
      </c>
      <c r="G26" s="68">
        <v>0</v>
      </c>
      <c r="H26" s="68">
        <v>0</v>
      </c>
      <c r="I26" s="68">
        <v>76374</v>
      </c>
      <c r="J26" s="64" t="str">
        <f t="shared" si="0"/>
        <v>n/a</v>
      </c>
      <c r="K26" s="64" t="str">
        <f>IFERROR(F26/H26-1,"n/a")</f>
        <v>n/a</v>
      </c>
      <c r="L26" s="60">
        <f t="shared" si="1"/>
        <v>-0.42837876764343885</v>
      </c>
      <c r="M26" s="68">
        <f>F26+'Mar-22'!M26</f>
        <v>55257</v>
      </c>
      <c r="N26" s="68">
        <f>G26+'Mar-22'!N26</f>
        <v>2139</v>
      </c>
      <c r="O26" s="68">
        <f>H26+'Mar-22'!O26</f>
        <v>892</v>
      </c>
      <c r="P26" s="68">
        <f>I26+'Mar-22'!P26</f>
        <v>82483</v>
      </c>
      <c r="Q26" s="64">
        <f>IFERROR(M26/N26-1,"n/a")</f>
        <v>24.833099579242635</v>
      </c>
      <c r="R26" s="64">
        <f>IFERROR(M26/O26-1,"n/a")</f>
        <v>60.947309417040358</v>
      </c>
      <c r="S26" s="60">
        <f>IFERROR(M26/P26-1,"n/a")</f>
        <v>-0.3300801377253495</v>
      </c>
      <c r="T26" s="68">
        <v>165083</v>
      </c>
      <c r="U26" s="70">
        <f>20768+8294</f>
        <v>29062</v>
      </c>
      <c r="V26" s="70">
        <f>659951+168729+38484</f>
        <v>867164</v>
      </c>
    </row>
    <row r="27" spans="1:38" ht="15.75" thickBot="1">
      <c r="A27" s="9"/>
      <c r="B27" s="12"/>
      <c r="C27" s="35" t="s">
        <v>12</v>
      </c>
      <c r="D27" s="36"/>
      <c r="E27" s="37"/>
      <c r="F27" s="46">
        <f t="shared" ref="F27:I28" si="2">F10+F13+F16+F19+F22+F25</f>
        <v>331</v>
      </c>
      <c r="G27" s="46">
        <f t="shared" si="2"/>
        <v>7</v>
      </c>
      <c r="H27" s="46">
        <f t="shared" si="2"/>
        <v>42</v>
      </c>
      <c r="I27" s="46">
        <f t="shared" si="2"/>
        <v>292</v>
      </c>
      <c r="J27" s="66">
        <f t="shared" si="0"/>
        <v>46.285714285714285</v>
      </c>
      <c r="K27" s="66">
        <f>IFERROR(F27/H27-1,"n/a")</f>
        <v>6.8809523809523814</v>
      </c>
      <c r="L27" s="62">
        <f t="shared" si="1"/>
        <v>0.13356164383561642</v>
      </c>
      <c r="M27" s="46">
        <f t="shared" ref="M27:P28" si="3">M10+M13+M16+M19+M22+M25</f>
        <v>963</v>
      </c>
      <c r="N27" s="46">
        <f t="shared" si="3"/>
        <v>19</v>
      </c>
      <c r="O27" s="46">
        <f t="shared" si="3"/>
        <v>607</v>
      </c>
      <c r="P27" s="46">
        <f t="shared" si="3"/>
        <v>927</v>
      </c>
      <c r="Q27" s="66">
        <f>IFERROR(M27/N27-1,"n/a")</f>
        <v>49.684210526315788</v>
      </c>
      <c r="R27" s="66">
        <f>IFERROR(M27/O27-1,"n/a")</f>
        <v>0.58649093904448102</v>
      </c>
      <c r="S27" s="62">
        <f>IFERROR(M27/P27-1,"n/a")</f>
        <v>3.8834951456310662E-2</v>
      </c>
      <c r="T27" s="46">
        <f t="shared" ref="T27:V28" si="4">T10+T13+T16+T19+T22+T25</f>
        <v>1062</v>
      </c>
      <c r="U27" s="46">
        <f t="shared" si="4"/>
        <v>667</v>
      </c>
      <c r="V27" s="46">
        <f t="shared" si="4"/>
        <v>3344</v>
      </c>
    </row>
    <row r="28" spans="1:38" s="22" customFormat="1" ht="16.5" thickTop="1" thickBot="1">
      <c r="A28" s="9"/>
      <c r="B28" s="12"/>
      <c r="C28" s="38" t="s">
        <v>13</v>
      </c>
      <c r="D28" s="39"/>
      <c r="E28" s="40"/>
      <c r="F28" s="47">
        <f t="shared" si="2"/>
        <v>507778</v>
      </c>
      <c r="G28" s="47">
        <f t="shared" si="2"/>
        <v>6002</v>
      </c>
      <c r="H28" s="47">
        <f t="shared" si="2"/>
        <v>0</v>
      </c>
      <c r="I28" s="47">
        <f t="shared" si="2"/>
        <v>791238</v>
      </c>
      <c r="J28" s="67">
        <f t="shared" si="0"/>
        <v>83.601466177940679</v>
      </c>
      <c r="K28" s="67" t="str">
        <f>IFERROR(F28/H28-1,"n/a")</f>
        <v>n/a</v>
      </c>
      <c r="L28" s="63">
        <f t="shared" si="1"/>
        <v>-0.35824871909589784</v>
      </c>
      <c r="M28" s="47">
        <f t="shared" si="3"/>
        <v>1375483</v>
      </c>
      <c r="N28" s="47">
        <f t="shared" si="3"/>
        <v>16105</v>
      </c>
      <c r="O28" s="47">
        <f t="shared" si="3"/>
        <v>1276191</v>
      </c>
      <c r="P28" s="47">
        <f t="shared" si="3"/>
        <v>2581764</v>
      </c>
      <c r="Q28" s="67">
        <f>IFERROR(M28/N28-1,"n/a")</f>
        <v>84.407202732070786</v>
      </c>
      <c r="R28" s="67">
        <f>IFERROR(M28/O28-1,"n/a")</f>
        <v>7.7803400901589104E-2</v>
      </c>
      <c r="S28" s="63">
        <f>IFERROR(M28/P28-1,"n/a")</f>
        <v>-0.46723131936149087</v>
      </c>
      <c r="T28" s="47">
        <f t="shared" si="4"/>
        <v>1554247</v>
      </c>
      <c r="U28" s="47">
        <f t="shared" si="4"/>
        <v>1323431</v>
      </c>
      <c r="V28" s="47">
        <f t="shared" si="4"/>
        <v>9169021</v>
      </c>
      <c r="W28" s="9"/>
      <c r="X28" s="21"/>
      <c r="Y28" s="21"/>
      <c r="Z28" s="21"/>
      <c r="AA28" s="21"/>
      <c r="AB28" s="21"/>
      <c r="AC28" s="21"/>
      <c r="AD28" s="21"/>
      <c r="AE28" s="21"/>
      <c r="AF28" s="21"/>
      <c r="AG28" s="21"/>
      <c r="AH28" s="21"/>
      <c r="AI28" s="21"/>
      <c r="AJ28" s="21"/>
      <c r="AK28" s="21"/>
      <c r="AL28" s="21"/>
    </row>
    <row r="29" spans="1:38" ht="15.75" thickTop="1">
      <c r="A29" s="9"/>
      <c r="B29" s="9"/>
      <c r="C29" s="9"/>
      <c r="D29" s="9"/>
      <c r="E29" s="9"/>
      <c r="F29" s="9"/>
      <c r="G29" s="41"/>
      <c r="H29" s="41"/>
      <c r="I29" s="41"/>
      <c r="J29" s="41"/>
      <c r="K29" s="9"/>
      <c r="L29" s="9"/>
      <c r="M29" s="9"/>
      <c r="N29" s="9"/>
      <c r="O29" s="9"/>
      <c r="P29" s="9"/>
      <c r="Q29" s="9"/>
      <c r="R29" s="9"/>
      <c r="S29" s="9"/>
      <c r="T29" s="9"/>
      <c r="U29" s="9"/>
      <c r="V29" s="9"/>
    </row>
    <row r="30" spans="1:38" hidden="1">
      <c r="A30" s="9"/>
      <c r="B30" s="9"/>
      <c r="C30" s="9"/>
      <c r="D30" s="9"/>
      <c r="E30" s="9"/>
      <c r="F30" s="9"/>
      <c r="G30" s="41"/>
      <c r="H30" s="41"/>
      <c r="I30" s="41"/>
      <c r="J30" s="41"/>
      <c r="K30" s="9"/>
      <c r="L30" s="9"/>
      <c r="M30" s="9"/>
      <c r="N30" s="9"/>
      <c r="O30" s="9"/>
      <c r="P30" s="9"/>
      <c r="Q30" s="9"/>
      <c r="R30" s="9"/>
      <c r="S30" s="9"/>
      <c r="T30" s="9"/>
      <c r="U30" s="9"/>
      <c r="V30" s="9"/>
    </row>
    <row r="31" spans="1:38" hidden="1">
      <c r="A31" s="9"/>
      <c r="B31" s="9"/>
      <c r="C31" s="9"/>
      <c r="D31" s="9"/>
      <c r="E31" s="9"/>
      <c r="F31" s="9"/>
      <c r="G31" s="41"/>
      <c r="H31" s="41"/>
      <c r="I31" s="41"/>
      <c r="J31" s="41"/>
      <c r="K31" s="9"/>
      <c r="L31" s="9"/>
      <c r="M31" s="9"/>
      <c r="N31" s="9"/>
      <c r="O31" s="9"/>
      <c r="P31" s="9"/>
      <c r="Q31" s="9"/>
      <c r="R31" s="9"/>
      <c r="S31" s="9"/>
      <c r="T31" s="9"/>
      <c r="U31" s="9"/>
      <c r="V31" s="9"/>
    </row>
    <row r="32" spans="1:38" hidden="1">
      <c r="A32" s="9"/>
      <c r="B32" s="9"/>
      <c r="C32" s="9"/>
      <c r="D32" s="9"/>
      <c r="E32" s="9"/>
      <c r="F32" s="9"/>
      <c r="G32" s="41"/>
      <c r="H32" s="41"/>
      <c r="I32" s="41"/>
      <c r="J32" s="41"/>
      <c r="K32" s="9"/>
      <c r="L32" s="9"/>
      <c r="M32" s="9"/>
      <c r="N32" s="9"/>
      <c r="O32" s="9"/>
      <c r="P32" s="9"/>
      <c r="Q32" s="9"/>
      <c r="R32" s="9"/>
      <c r="S32" s="9"/>
      <c r="T32" s="9"/>
      <c r="U32" s="9"/>
      <c r="V32" s="9"/>
    </row>
    <row r="33" spans="7:10" s="9" customFormat="1" hidden="1">
      <c r="G33" s="41"/>
      <c r="H33" s="41"/>
      <c r="I33" s="41"/>
      <c r="J33" s="41"/>
    </row>
    <row r="34" spans="7:10" s="9" customFormat="1" hidden="1">
      <c r="G34" s="41"/>
      <c r="H34" s="41"/>
      <c r="I34" s="41"/>
      <c r="J34" s="41"/>
    </row>
    <row r="35" spans="7:10" s="9" customFormat="1" hidden="1">
      <c r="G35" s="41"/>
      <c r="H35" s="41"/>
      <c r="I35" s="41"/>
      <c r="J35" s="41"/>
    </row>
    <row r="36" spans="7:10" s="9" customFormat="1" hidden="1">
      <c r="G36" s="41"/>
      <c r="H36" s="41"/>
      <c r="I36" s="41"/>
      <c r="J36" s="41"/>
    </row>
    <row r="37" spans="7:10" s="9" customFormat="1" hidden="1">
      <c r="G37" s="41"/>
      <c r="H37" s="41"/>
      <c r="I37" s="41"/>
      <c r="J37" s="41"/>
    </row>
    <row r="38" spans="7:10" s="9" customFormat="1" hidden="1">
      <c r="G38" s="41"/>
      <c r="H38" s="41"/>
      <c r="I38" s="41"/>
      <c r="J38" s="41"/>
    </row>
    <row r="39" spans="7:10" s="9" customFormat="1" hidden="1">
      <c r="G39" s="41"/>
      <c r="H39" s="41"/>
      <c r="I39" s="41"/>
      <c r="J39" s="41"/>
    </row>
    <row r="40" spans="7:10" s="9" customFormat="1" hidden="1">
      <c r="G40" s="41"/>
      <c r="H40" s="41"/>
      <c r="I40" s="41"/>
      <c r="J40" s="41"/>
    </row>
    <row r="41" spans="7:10" s="9" customFormat="1" hidden="1">
      <c r="G41" s="41"/>
      <c r="H41" s="41"/>
      <c r="I41" s="41"/>
      <c r="J41" s="41"/>
    </row>
    <row r="42" spans="7:10" s="9" customFormat="1" hidden="1">
      <c r="G42" s="41"/>
      <c r="H42" s="41"/>
      <c r="I42" s="41"/>
      <c r="J42" s="41"/>
    </row>
    <row r="43" spans="7:10" s="9" customFormat="1" hidden="1">
      <c r="G43" s="41"/>
      <c r="H43" s="41"/>
      <c r="I43" s="41"/>
      <c r="J43" s="41"/>
    </row>
    <row r="44" spans="7:10" s="9" customFormat="1" hidden="1">
      <c r="G44" s="41"/>
      <c r="H44" s="41"/>
      <c r="I44" s="41"/>
      <c r="J44" s="41"/>
    </row>
    <row r="45" spans="7:10" s="9" customFormat="1" hidden="1">
      <c r="G45" s="41"/>
      <c r="H45" s="41"/>
      <c r="I45" s="41"/>
      <c r="J45" s="41"/>
    </row>
    <row r="46" spans="7:10" s="9" customFormat="1" hidden="1">
      <c r="G46" s="41"/>
      <c r="H46" s="41"/>
      <c r="I46" s="41"/>
      <c r="J46" s="41"/>
    </row>
    <row r="47" spans="7:10" s="9" customFormat="1" hidden="1">
      <c r="G47" s="41"/>
      <c r="H47" s="41"/>
      <c r="I47" s="41"/>
      <c r="J47" s="41"/>
    </row>
    <row r="48" spans="7:10" s="9" customFormat="1" hidden="1"/>
  </sheetData>
  <customSheetViews>
    <customSheetView guid="{5F6D01E3-9E6F-4D7F-980F-63899AF95899}" scale="79" showGridLines="0" fitToPage="1" hiddenRows="1" hiddenColumns="1">
      <selection activeCell="F16" sqref="F16"/>
      <pageMargins left="0.7" right="0.7" top="0.75" bottom="0.75" header="0.3" footer="0.3"/>
      <pageSetup paperSize="9" scale="85" orientation="landscape" horizontalDpi="4294967293" verticalDpi="4294967293" r:id="rId1"/>
    </customSheetView>
  </customSheetViews>
  <mergeCells count="3">
    <mergeCell ref="F6:L6"/>
    <mergeCell ref="M6:S6"/>
    <mergeCell ref="T6:V6"/>
  </mergeCells>
  <pageMargins left="0.7" right="0.7" top="0.75" bottom="0.75" header="0.3" footer="0.3"/>
  <pageSetup paperSize="9" scale="85" orientation="landscape" horizontalDpi="4294967293" verticalDpi="4294967293" r:id="rId2"/>
  <drawing r:id="rId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pageSetUpPr fitToPage="1"/>
  </sheetPr>
  <dimension ref="A1:AL48"/>
  <sheetViews>
    <sheetView showGridLines="0" zoomScaleNormal="100" workbookViewId="0"/>
  </sheetViews>
  <sheetFormatPr defaultColWidth="0" defaultRowHeight="15" customHeight="1" zeroHeight="1"/>
  <cols>
    <col min="1" max="3" width="2.5703125" customWidth="1"/>
    <col min="4" max="4" width="9.140625" customWidth="1"/>
    <col min="5" max="6" width="15.42578125" customWidth="1"/>
    <col min="7" max="8" width="11.140625" bestFit="1" customWidth="1"/>
    <col min="9" max="9" width="10.5703125" bestFit="1" customWidth="1"/>
    <col min="10" max="10" width="9" bestFit="1" customWidth="1"/>
    <col min="11" max="12" width="9.140625" customWidth="1"/>
    <col min="13" max="13" width="11" bestFit="1" customWidth="1"/>
    <col min="14" max="14" width="10.140625" bestFit="1" customWidth="1"/>
    <col min="15" max="15" width="12.140625" bestFit="1" customWidth="1"/>
    <col min="16" max="16" width="12.5703125" bestFit="1" customWidth="1"/>
    <col min="17" max="17" width="8.85546875" customWidth="1"/>
    <col min="18" max="19" width="9.140625" customWidth="1"/>
    <col min="20" max="20" width="12.140625" bestFit="1" customWidth="1"/>
    <col min="21" max="21" width="11.85546875" bestFit="1" customWidth="1"/>
    <col min="22" max="22" width="12.42578125" customWidth="1"/>
    <col min="23" max="23" width="3.140625" style="9" customWidth="1"/>
    <col min="24" max="38" width="0" style="9" hidden="1" customWidth="1"/>
    <col min="39" max="16384" width="9.140625" hidden="1"/>
  </cols>
  <sheetData>
    <row r="1" spans="1:38">
      <c r="A1" s="9"/>
      <c r="B1" s="9"/>
      <c r="C1" s="9"/>
      <c r="D1" s="9"/>
      <c r="E1" s="9"/>
      <c r="F1" s="9"/>
      <c r="G1" s="9"/>
      <c r="H1" s="9"/>
      <c r="I1" s="9"/>
      <c r="J1" s="9"/>
      <c r="K1" s="9"/>
      <c r="L1" s="9"/>
      <c r="M1" s="9"/>
      <c r="N1" s="9"/>
      <c r="O1" s="9"/>
      <c r="P1" s="9"/>
      <c r="Q1" s="9"/>
      <c r="R1" s="9"/>
      <c r="S1" s="9"/>
      <c r="T1" s="9"/>
      <c r="U1" s="9"/>
      <c r="V1" s="9"/>
    </row>
    <row r="2" spans="1:38" ht="19.5" thickBot="1">
      <c r="A2" s="9"/>
      <c r="B2" s="8" t="s">
        <v>6</v>
      </c>
      <c r="C2" s="23"/>
      <c r="D2" s="23"/>
      <c r="E2" s="23"/>
      <c r="F2" s="23"/>
      <c r="G2" s="23"/>
      <c r="H2" s="23"/>
      <c r="I2" s="23"/>
      <c r="J2" s="23"/>
      <c r="K2" s="23"/>
      <c r="L2" s="23"/>
      <c r="M2" s="23"/>
      <c r="N2" s="23"/>
      <c r="O2" s="23"/>
      <c r="P2" s="23"/>
      <c r="Q2" s="23"/>
      <c r="R2" s="23"/>
      <c r="S2" s="23"/>
      <c r="T2" s="23"/>
      <c r="U2" s="23"/>
      <c r="V2" s="23"/>
    </row>
    <row r="3" spans="1:38">
      <c r="A3" s="9"/>
      <c r="B3" s="10"/>
      <c r="C3" s="24"/>
      <c r="D3" s="24"/>
      <c r="E3" s="24"/>
      <c r="F3" s="24"/>
      <c r="G3" s="24"/>
      <c r="H3" s="24"/>
      <c r="I3" s="24"/>
      <c r="J3" s="24"/>
      <c r="K3" s="24"/>
      <c r="L3" s="24"/>
      <c r="M3" s="24"/>
      <c r="N3" s="24"/>
      <c r="O3" s="24"/>
      <c r="P3" s="24"/>
      <c r="Q3" s="24"/>
      <c r="R3" s="24"/>
      <c r="S3" s="24"/>
      <c r="T3" s="24"/>
      <c r="U3" s="24"/>
      <c r="V3" s="25"/>
    </row>
    <row r="4" spans="1:38" ht="15.75">
      <c r="A4" s="9"/>
      <c r="B4" s="11" t="s">
        <v>7</v>
      </c>
      <c r="C4" s="26"/>
      <c r="D4" s="24"/>
      <c r="E4" s="58" t="s">
        <v>42</v>
      </c>
      <c r="F4" s="24"/>
      <c r="G4" s="24"/>
      <c r="H4" s="24"/>
      <c r="I4" s="24"/>
      <c r="J4" s="24"/>
      <c r="K4" s="24"/>
      <c r="L4" s="24"/>
      <c r="M4" s="24"/>
      <c r="N4" s="24"/>
      <c r="O4" s="24"/>
      <c r="P4" s="24"/>
      <c r="Q4" s="24"/>
      <c r="R4" s="24"/>
      <c r="S4" s="24"/>
      <c r="T4" s="24"/>
      <c r="U4" s="24"/>
      <c r="V4" s="24"/>
    </row>
    <row r="5" spans="1:38">
      <c r="A5" s="9"/>
      <c r="B5" s="10"/>
      <c r="C5" s="24"/>
      <c r="D5" s="24"/>
      <c r="E5" s="24"/>
      <c r="F5" s="24"/>
      <c r="G5" s="24"/>
      <c r="H5" s="24"/>
      <c r="I5" s="24"/>
      <c r="J5" s="24"/>
      <c r="K5" s="24"/>
      <c r="L5" s="24"/>
      <c r="M5" s="24"/>
      <c r="N5" s="24"/>
      <c r="O5" s="24"/>
      <c r="P5" s="24"/>
      <c r="Q5" s="24"/>
      <c r="R5" s="24"/>
      <c r="S5" s="24"/>
      <c r="T5" s="24"/>
      <c r="U5" s="24"/>
      <c r="V5" s="24"/>
    </row>
    <row r="6" spans="1:38" s="20" customFormat="1">
      <c r="A6" s="9"/>
      <c r="B6"/>
      <c r="C6" s="27" t="s">
        <v>7</v>
      </c>
      <c r="D6" s="28"/>
      <c r="E6" s="28"/>
      <c r="F6" s="158" t="s">
        <v>41</v>
      </c>
      <c r="G6" s="158"/>
      <c r="H6" s="158"/>
      <c r="I6" s="158"/>
      <c r="J6" s="158"/>
      <c r="K6" s="158"/>
      <c r="L6" s="159"/>
      <c r="M6" s="157" t="s">
        <v>43</v>
      </c>
      <c r="N6" s="158"/>
      <c r="O6" s="158"/>
      <c r="P6" s="158"/>
      <c r="Q6" s="158"/>
      <c r="R6" s="158"/>
      <c r="S6" s="159"/>
      <c r="T6" s="157" t="s">
        <v>9</v>
      </c>
      <c r="U6" s="158"/>
      <c r="V6" s="158"/>
      <c r="W6" s="9"/>
      <c r="X6" s="19"/>
      <c r="Y6" s="19"/>
      <c r="Z6" s="19"/>
      <c r="AA6" s="19"/>
      <c r="AB6" s="19"/>
      <c r="AC6" s="19"/>
      <c r="AD6" s="19"/>
      <c r="AE6" s="19"/>
      <c r="AF6" s="19"/>
      <c r="AG6" s="19"/>
      <c r="AH6" s="19"/>
      <c r="AI6" s="19"/>
      <c r="AJ6" s="19"/>
      <c r="AK6" s="19"/>
      <c r="AL6" s="19"/>
    </row>
    <row r="7" spans="1:38" ht="15.75">
      <c r="A7" s="9"/>
      <c r="B7" s="18"/>
      <c r="C7" s="29"/>
      <c r="D7" s="30"/>
      <c r="E7" s="30"/>
      <c r="F7" s="29"/>
      <c r="G7" s="30"/>
      <c r="H7" s="30"/>
      <c r="I7" s="30"/>
      <c r="J7" s="30"/>
      <c r="K7" s="30"/>
      <c r="L7" s="56"/>
      <c r="M7" s="30"/>
      <c r="N7" s="30"/>
      <c r="O7" s="30"/>
      <c r="P7" s="30"/>
      <c r="Q7" s="30"/>
      <c r="R7" s="30"/>
      <c r="S7" s="56"/>
      <c r="T7" s="30"/>
      <c r="U7" s="30"/>
      <c r="V7" s="30"/>
    </row>
    <row r="8" spans="1:38" s="54" customFormat="1" ht="22.5">
      <c r="A8" s="48"/>
      <c r="B8" s="49"/>
      <c r="C8" s="59" t="s">
        <v>29</v>
      </c>
      <c r="D8" s="50"/>
      <c r="E8" s="51"/>
      <c r="F8" s="55">
        <v>2022</v>
      </c>
      <c r="G8" s="52">
        <v>2021</v>
      </c>
      <c r="H8" s="52">
        <v>2020</v>
      </c>
      <c r="I8" s="52">
        <v>2019</v>
      </c>
      <c r="J8" s="53" t="s">
        <v>36</v>
      </c>
      <c r="K8" s="53" t="s">
        <v>34</v>
      </c>
      <c r="L8" s="57" t="s">
        <v>35</v>
      </c>
      <c r="M8" s="53">
        <v>2022</v>
      </c>
      <c r="N8" s="52">
        <v>2021</v>
      </c>
      <c r="O8" s="52">
        <v>2020</v>
      </c>
      <c r="P8" s="52">
        <v>2019</v>
      </c>
      <c r="Q8" s="53" t="s">
        <v>36</v>
      </c>
      <c r="R8" s="53" t="s">
        <v>34</v>
      </c>
      <c r="S8" s="57" t="s">
        <v>35</v>
      </c>
      <c r="T8" s="53">
        <v>2021</v>
      </c>
      <c r="U8" s="52">
        <v>2020</v>
      </c>
      <c r="V8" s="52">
        <v>2019</v>
      </c>
      <c r="W8" s="48"/>
      <c r="X8" s="48"/>
      <c r="Y8" s="48"/>
      <c r="Z8" s="48"/>
      <c r="AA8" s="48"/>
      <c r="AB8" s="48"/>
      <c r="AC8" s="48"/>
      <c r="AD8" s="48"/>
      <c r="AE8" s="48"/>
      <c r="AF8" s="48"/>
      <c r="AG8" s="48"/>
      <c r="AH8" s="48"/>
      <c r="AI8" s="48"/>
      <c r="AJ8" s="48"/>
      <c r="AK8" s="48"/>
      <c r="AL8" s="48"/>
    </row>
    <row r="9" spans="1:38">
      <c r="A9" s="9"/>
      <c r="B9" s="12"/>
      <c r="C9" s="31" t="s">
        <v>14</v>
      </c>
      <c r="D9" s="26"/>
      <c r="E9" s="32"/>
      <c r="F9" s="26"/>
      <c r="G9" s="26"/>
      <c r="H9" s="26"/>
      <c r="I9" s="26"/>
      <c r="J9" s="26"/>
      <c r="K9" s="26"/>
      <c r="L9" s="32"/>
      <c r="M9" s="26"/>
      <c r="N9" s="26"/>
      <c r="O9" s="26"/>
      <c r="P9" s="26"/>
      <c r="Q9" s="26"/>
      <c r="R9" s="26"/>
      <c r="S9" s="32"/>
      <c r="T9" s="26"/>
      <c r="U9" s="26"/>
      <c r="V9" s="26"/>
    </row>
    <row r="10" spans="1:38">
      <c r="A10" s="9"/>
      <c r="B10" s="12"/>
      <c r="C10" s="33"/>
      <c r="D10" s="26" t="s">
        <v>5</v>
      </c>
      <c r="E10" s="32"/>
      <c r="F10" s="68">
        <v>74</v>
      </c>
      <c r="G10" s="68">
        <v>0</v>
      </c>
      <c r="H10" s="68">
        <v>29</v>
      </c>
      <c r="I10" s="68">
        <v>62</v>
      </c>
      <c r="J10" s="64" t="str">
        <f t="shared" ref="J10:J28" si="0">IFERROR(F10/G10-1,"n/a")</f>
        <v>n/a</v>
      </c>
      <c r="K10" s="64">
        <f>IFERROR(F10/H10-1,"n/a")</f>
        <v>1.5517241379310347</v>
      </c>
      <c r="L10" s="60">
        <f>IFERROR(F10/I10-1,"n/a")</f>
        <v>0.19354838709677424</v>
      </c>
      <c r="M10" s="68">
        <v>197</v>
      </c>
      <c r="N10" s="68">
        <v>0</v>
      </c>
      <c r="O10" s="68">
        <v>145</v>
      </c>
      <c r="P10" s="68">
        <v>200</v>
      </c>
      <c r="Q10" s="64" t="str">
        <f>IFERROR(M10/N10-1,"n/a")</f>
        <v>n/a</v>
      </c>
      <c r="R10" s="64">
        <f>IFERROR(M10/O10-1,"n/a")</f>
        <v>0.35862068965517246</v>
      </c>
      <c r="S10" s="60">
        <f>IFERROR(M10/P10-1,"n/a")</f>
        <v>-1.5000000000000013E-2</v>
      </c>
      <c r="T10" s="68">
        <v>111</v>
      </c>
      <c r="U10" s="70">
        <v>145</v>
      </c>
      <c r="V10" s="70">
        <v>386</v>
      </c>
    </row>
    <row r="11" spans="1:38">
      <c r="A11" s="9"/>
      <c r="B11" s="12"/>
      <c r="C11" s="33"/>
      <c r="D11" s="26" t="s">
        <v>11</v>
      </c>
      <c r="E11" s="32"/>
      <c r="F11" s="68">
        <v>60824</v>
      </c>
      <c r="G11" s="68">
        <v>0</v>
      </c>
      <c r="H11" s="68">
        <v>48626</v>
      </c>
      <c r="I11" s="68">
        <v>108846</v>
      </c>
      <c r="J11" s="64" t="str">
        <f t="shared" si="0"/>
        <v>n/a</v>
      </c>
      <c r="K11" s="64">
        <f>IFERROR(F11/H11-1,"n/a")</f>
        <v>0.25085345288528771</v>
      </c>
      <c r="L11" s="60">
        <f>IFERROR(F11/I11-1,"n/a")</f>
        <v>-0.44119214302776399</v>
      </c>
      <c r="M11" s="68">
        <v>156328</v>
      </c>
      <c r="N11" s="68">
        <v>0</v>
      </c>
      <c r="O11" s="68">
        <v>258885</v>
      </c>
      <c r="P11" s="68">
        <v>385380</v>
      </c>
      <c r="Q11" s="64" t="str">
        <f>IFERROR(M11/N11-1,"n/a")</f>
        <v>n/a</v>
      </c>
      <c r="R11" s="64">
        <f>IFERROR(M11/O11-1,"n/a")</f>
        <v>-0.39614886918902215</v>
      </c>
      <c r="S11" s="60">
        <f>IFERROR(M11/P11-1,"n/a")</f>
        <v>-0.59435362499351285</v>
      </c>
      <c r="T11" s="68">
        <v>80863</v>
      </c>
      <c r="U11" s="70">
        <v>258885</v>
      </c>
      <c r="V11" s="70">
        <v>733296</v>
      </c>
    </row>
    <row r="12" spans="1:38">
      <c r="A12" s="9"/>
      <c r="B12" s="12"/>
      <c r="C12" s="31" t="s">
        <v>74</v>
      </c>
      <c r="D12" s="26"/>
      <c r="E12" s="32"/>
      <c r="F12" s="45"/>
      <c r="G12" s="45"/>
      <c r="H12" s="45"/>
      <c r="I12" s="45"/>
      <c r="J12" s="64"/>
      <c r="K12" s="64"/>
      <c r="L12" s="61"/>
      <c r="M12" s="43"/>
      <c r="N12" s="43"/>
      <c r="O12" s="43"/>
      <c r="P12" s="43"/>
      <c r="Q12" s="64"/>
      <c r="R12" s="65"/>
      <c r="S12" s="61"/>
      <c r="T12" s="43"/>
      <c r="U12" s="44"/>
      <c r="V12" s="44"/>
    </row>
    <row r="13" spans="1:38">
      <c r="A13" s="9"/>
      <c r="B13" s="12"/>
      <c r="C13" s="33"/>
      <c r="D13" s="26" t="s">
        <v>5</v>
      </c>
      <c r="E13" s="32"/>
      <c r="F13" s="68">
        <v>24</v>
      </c>
      <c r="G13" s="68">
        <v>0</v>
      </c>
      <c r="H13" s="68">
        <v>10</v>
      </c>
      <c r="I13" s="68">
        <v>44</v>
      </c>
      <c r="J13" s="64" t="str">
        <f t="shared" si="0"/>
        <v>n/a</v>
      </c>
      <c r="K13" s="64">
        <f>IFERROR(F13/H13-1,"n/a")</f>
        <v>1.4</v>
      </c>
      <c r="L13" s="60">
        <f>IFERROR(F13/I13-1,"n/a")</f>
        <v>-0.45454545454545459</v>
      </c>
      <c r="M13" s="68">
        <v>53</v>
      </c>
      <c r="N13" s="68">
        <v>0</v>
      </c>
      <c r="O13" s="68">
        <v>43</v>
      </c>
      <c r="P13" s="68">
        <v>89</v>
      </c>
      <c r="Q13" s="64" t="str">
        <f>IFERROR(M13/N13-1,"n/a")</f>
        <v>n/a</v>
      </c>
      <c r="R13" s="64">
        <f>IFERROR(M13/O13-1,"n/a")</f>
        <v>0.23255813953488369</v>
      </c>
      <c r="S13" s="60">
        <f>IFERROR(M13/P13-1,"n/a")</f>
        <v>-0.4044943820224719</v>
      </c>
      <c r="T13" s="68">
        <v>283</v>
      </c>
      <c r="U13" s="70">
        <v>43</v>
      </c>
      <c r="V13" s="70">
        <v>827</v>
      </c>
    </row>
    <row r="14" spans="1:38">
      <c r="A14" s="9"/>
      <c r="B14" s="12"/>
      <c r="C14" s="33"/>
      <c r="D14" s="26" t="s">
        <v>11</v>
      </c>
      <c r="E14" s="32"/>
      <c r="F14" s="68">
        <v>32594</v>
      </c>
      <c r="G14" s="68">
        <v>0</v>
      </c>
      <c r="H14" s="68">
        <v>28535</v>
      </c>
      <c r="I14" s="68">
        <v>117674</v>
      </c>
      <c r="J14" s="64" t="str">
        <f t="shared" si="0"/>
        <v>n/a</v>
      </c>
      <c r="K14" s="64">
        <f>IFERROR(F14/H14-1,"n/a")</f>
        <v>0.14224636411424574</v>
      </c>
      <c r="L14" s="60">
        <f>IFERROR(F14/I14-1,"n/a")</f>
        <v>-0.7230144296955997</v>
      </c>
      <c r="M14" s="68">
        <v>68454</v>
      </c>
      <c r="N14" s="68">
        <v>0</v>
      </c>
      <c r="O14" s="68">
        <v>140552</v>
      </c>
      <c r="P14" s="68">
        <v>251900</v>
      </c>
      <c r="Q14" s="64" t="str">
        <f>IFERROR(M14/N14-1,"n/a")</f>
        <v>n/a</v>
      </c>
      <c r="R14" s="64">
        <f>IFERROR(M14/O14-1,"n/a")</f>
        <v>-0.51296317377198475</v>
      </c>
      <c r="S14" s="60">
        <f>IFERROR(M14/P14-1,"n/a")</f>
        <v>-0.72824930527987297</v>
      </c>
      <c r="T14" s="68">
        <v>465109</v>
      </c>
      <c r="U14" s="70">
        <v>140552</v>
      </c>
      <c r="V14" s="70">
        <v>2552942</v>
      </c>
    </row>
    <row r="15" spans="1:38">
      <c r="A15" s="9"/>
      <c r="B15" s="12"/>
      <c r="C15" s="31" t="s">
        <v>15</v>
      </c>
      <c r="D15" s="26"/>
      <c r="E15" s="32"/>
      <c r="F15" s="43"/>
      <c r="G15" s="43"/>
      <c r="H15" s="43"/>
      <c r="I15" s="43"/>
      <c r="J15" s="64"/>
      <c r="K15" s="64"/>
      <c r="L15" s="60"/>
      <c r="M15" s="43"/>
      <c r="N15" s="43"/>
      <c r="O15" s="43"/>
      <c r="P15" s="43"/>
      <c r="Q15" s="64"/>
      <c r="R15" s="64"/>
      <c r="S15" s="60"/>
      <c r="T15" s="43"/>
      <c r="U15" s="44"/>
      <c r="V15" s="44"/>
    </row>
    <row r="16" spans="1:38">
      <c r="A16" s="9"/>
      <c r="B16" s="12"/>
      <c r="C16" s="33"/>
      <c r="D16" s="26" t="s">
        <v>5</v>
      </c>
      <c r="E16" s="32"/>
      <c r="F16" s="68">
        <v>5</v>
      </c>
      <c r="G16" s="68">
        <v>0</v>
      </c>
      <c r="H16" s="68">
        <v>2</v>
      </c>
      <c r="I16" s="68">
        <v>5</v>
      </c>
      <c r="J16" s="64" t="str">
        <f t="shared" si="0"/>
        <v>n/a</v>
      </c>
      <c r="K16" s="64">
        <f>IFERROR(F16/H16-1,"n/a")</f>
        <v>1.5</v>
      </c>
      <c r="L16" s="60">
        <f>IFERROR(F16/I16-1,"n/a")</f>
        <v>0</v>
      </c>
      <c r="M16" s="68">
        <v>10</v>
      </c>
      <c r="N16" s="68">
        <v>0</v>
      </c>
      <c r="O16" s="68">
        <v>3</v>
      </c>
      <c r="P16" s="68">
        <v>6</v>
      </c>
      <c r="Q16" s="64" t="str">
        <f>IFERROR(M16/N16-1,"n/a")</f>
        <v>n/a</v>
      </c>
      <c r="R16" s="64">
        <f>IFERROR(M16/O16-1,"n/a")</f>
        <v>2.3333333333333335</v>
      </c>
      <c r="S16" s="60">
        <f>IFERROR(M16/P16-1,"n/a")</f>
        <v>0.66666666666666674</v>
      </c>
      <c r="T16" s="68">
        <v>23</v>
      </c>
      <c r="U16" s="70">
        <v>4</v>
      </c>
      <c r="V16" s="70">
        <v>191</v>
      </c>
    </row>
    <row r="17" spans="1:38">
      <c r="A17" s="9"/>
      <c r="B17" s="12"/>
      <c r="C17" s="33"/>
      <c r="D17" s="26" t="s">
        <v>11</v>
      </c>
      <c r="E17" s="32"/>
      <c r="F17" s="68">
        <v>364</v>
      </c>
      <c r="G17" s="68">
        <v>0</v>
      </c>
      <c r="H17" s="68">
        <v>819</v>
      </c>
      <c r="I17" s="68">
        <v>4555</v>
      </c>
      <c r="J17" s="64" t="str">
        <f t="shared" si="0"/>
        <v>n/a</v>
      </c>
      <c r="K17" s="64">
        <f>IFERROR(F17/H17-1,"n/a")</f>
        <v>-0.55555555555555558</v>
      </c>
      <c r="L17" s="60">
        <f t="shared" ref="L17:L28" si="1">IFERROR(F17/I17-1,"n/a")</f>
        <v>-0.92008781558726671</v>
      </c>
      <c r="M17" s="68">
        <v>1472</v>
      </c>
      <c r="N17" s="68">
        <v>0</v>
      </c>
      <c r="O17" s="68">
        <v>1642</v>
      </c>
      <c r="P17" s="68">
        <v>5138</v>
      </c>
      <c r="Q17" s="64" t="str">
        <f>IFERROR(M17/N17-1,"n/a")</f>
        <v>n/a</v>
      </c>
      <c r="R17" s="64">
        <f>IFERROR(M17/O17-1,"n/a")</f>
        <v>-0.10353227771010964</v>
      </c>
      <c r="S17" s="60">
        <f>IFERROR(M17/P17-1,"n/a")</f>
        <v>-0.71350720124562084</v>
      </c>
      <c r="T17" s="68">
        <v>8611</v>
      </c>
      <c r="U17" s="70">
        <v>1753</v>
      </c>
      <c r="V17" s="70">
        <v>254421</v>
      </c>
    </row>
    <row r="18" spans="1:38">
      <c r="A18" s="9"/>
      <c r="B18" s="12"/>
      <c r="C18" s="31" t="s">
        <v>10</v>
      </c>
      <c r="D18" s="26"/>
      <c r="E18" s="34"/>
      <c r="F18" s="43"/>
      <c r="G18" s="43"/>
      <c r="H18" s="43"/>
      <c r="I18" s="43"/>
      <c r="J18" s="64"/>
      <c r="K18" s="64"/>
      <c r="L18" s="60"/>
      <c r="M18" s="43"/>
      <c r="N18" s="43"/>
      <c r="O18" s="43"/>
      <c r="P18" s="43"/>
      <c r="Q18" s="64"/>
      <c r="R18" s="64"/>
      <c r="S18" s="60"/>
      <c r="T18" s="43"/>
      <c r="U18" s="44"/>
      <c r="V18" s="44"/>
    </row>
    <row r="19" spans="1:38">
      <c r="A19" s="9"/>
      <c r="B19" s="12"/>
      <c r="C19" s="33"/>
      <c r="D19" s="26" t="s">
        <v>5</v>
      </c>
      <c r="E19" s="34"/>
      <c r="F19" s="68">
        <v>130</v>
      </c>
      <c r="G19" s="68">
        <v>0</v>
      </c>
      <c r="H19" s="68">
        <v>118</v>
      </c>
      <c r="I19" s="68">
        <v>108</v>
      </c>
      <c r="J19" s="64" t="str">
        <f t="shared" si="0"/>
        <v>n/a</v>
      </c>
      <c r="K19" s="64">
        <f>IFERROR(F19/H19-1,"n/a")</f>
        <v>0.10169491525423724</v>
      </c>
      <c r="L19" s="60">
        <f t="shared" si="1"/>
        <v>0.20370370370370372</v>
      </c>
      <c r="M19" s="68">
        <v>333</v>
      </c>
      <c r="N19" s="68">
        <v>0</v>
      </c>
      <c r="O19" s="68">
        <v>364</v>
      </c>
      <c r="P19" s="68">
        <v>316</v>
      </c>
      <c r="Q19" s="64" t="str">
        <f>IFERROR(M19/N19-1,"n/a")</f>
        <v>n/a</v>
      </c>
      <c r="R19" s="64">
        <f>IFERROR(M19/O19-1,"n/a")</f>
        <v>-8.5164835164835195E-2</v>
      </c>
      <c r="S19" s="60">
        <f>IFERROR(M19/P19-1,"n/a")</f>
        <v>5.3797468354430444E-2</v>
      </c>
      <c r="T19" s="68">
        <v>411</v>
      </c>
      <c r="U19" s="70">
        <v>406</v>
      </c>
      <c r="V19" s="70">
        <v>1205</v>
      </c>
    </row>
    <row r="20" spans="1:38">
      <c r="A20" s="9"/>
      <c r="B20" s="12"/>
      <c r="C20" s="33"/>
      <c r="D20" s="26" t="s">
        <v>11</v>
      </c>
      <c r="E20" s="32"/>
      <c r="F20" s="68">
        <v>283677</v>
      </c>
      <c r="G20" s="68">
        <v>0</v>
      </c>
      <c r="H20" s="68">
        <v>147660</v>
      </c>
      <c r="I20" s="68">
        <v>391750</v>
      </c>
      <c r="J20" s="64" t="str">
        <f t="shared" si="0"/>
        <v>n/a</v>
      </c>
      <c r="K20" s="64">
        <f>IFERROR(F20/H20-1,"n/a")</f>
        <v>0.92114993904916709</v>
      </c>
      <c r="L20" s="60">
        <f t="shared" si="1"/>
        <v>-0.27587236758136569</v>
      </c>
      <c r="M20" s="68">
        <v>603330</v>
      </c>
      <c r="N20" s="68">
        <v>0</v>
      </c>
      <c r="O20" s="68">
        <v>833999</v>
      </c>
      <c r="P20" s="68">
        <v>1065724</v>
      </c>
      <c r="Q20" s="64" t="str">
        <f>IFERROR(M20/N20-1,"n/a")</f>
        <v>n/a</v>
      </c>
      <c r="R20" s="64">
        <f>IFERROR(M20/O20-1,"n/a")</f>
        <v>-0.27658186640511562</v>
      </c>
      <c r="S20" s="60">
        <f>IFERROR(M20/P20-1,"n/a")</f>
        <v>-0.43387781451858076</v>
      </c>
      <c r="T20" s="68">
        <v>687449</v>
      </c>
      <c r="U20" s="70">
        <v>833999</v>
      </c>
      <c r="V20" s="70">
        <v>3859183</v>
      </c>
    </row>
    <row r="21" spans="1:38">
      <c r="A21" s="9"/>
      <c r="B21" s="12"/>
      <c r="C21" s="31" t="s">
        <v>16</v>
      </c>
      <c r="D21" s="26"/>
      <c r="E21" s="32"/>
      <c r="F21" s="43"/>
      <c r="G21" s="43"/>
      <c r="H21" s="43"/>
      <c r="I21" s="43"/>
      <c r="J21" s="64"/>
      <c r="K21" s="64"/>
      <c r="L21" s="60"/>
      <c r="M21" s="43"/>
      <c r="N21" s="43"/>
      <c r="O21" s="43"/>
      <c r="P21" s="43"/>
      <c r="Q21" s="64"/>
      <c r="R21" s="64"/>
      <c r="S21" s="60"/>
      <c r="T21" s="43"/>
      <c r="U21" s="44"/>
      <c r="V21" s="44"/>
    </row>
    <row r="22" spans="1:38">
      <c r="A22" s="9"/>
      <c r="B22" s="12"/>
      <c r="C22" s="33"/>
      <c r="D22" s="26" t="s">
        <v>5</v>
      </c>
      <c r="E22" s="32"/>
      <c r="F22" s="68">
        <v>14</v>
      </c>
      <c r="G22" s="68">
        <v>4</v>
      </c>
      <c r="H22" s="68">
        <v>1</v>
      </c>
      <c r="I22" s="68">
        <v>9</v>
      </c>
      <c r="J22" s="64">
        <f t="shared" si="0"/>
        <v>2.5</v>
      </c>
      <c r="K22" s="64">
        <f>IFERROR(F22/H22-1,"n/a")</f>
        <v>13</v>
      </c>
      <c r="L22" s="60">
        <f t="shared" si="1"/>
        <v>0.55555555555555558</v>
      </c>
      <c r="M22" s="68">
        <v>23</v>
      </c>
      <c r="N22" s="68">
        <v>9</v>
      </c>
      <c r="O22" s="68">
        <v>9</v>
      </c>
      <c r="P22" s="68">
        <v>20</v>
      </c>
      <c r="Q22" s="64">
        <f>IFERROR(M22/N22-1,"n/a")</f>
        <v>1.5555555555555554</v>
      </c>
      <c r="R22" s="64">
        <f>IFERROR(M22/O22-1,"n/a")</f>
        <v>1.5555555555555554</v>
      </c>
      <c r="S22" s="60">
        <f>IFERROR(M22/P22-1,"n/a")</f>
        <v>0.14999999999999991</v>
      </c>
      <c r="T22" s="68">
        <v>107</v>
      </c>
      <c r="U22" s="70">
        <v>32</v>
      </c>
      <c r="V22" s="70">
        <v>372</v>
      </c>
    </row>
    <row r="23" spans="1:38">
      <c r="A23" s="9"/>
      <c r="B23" s="12"/>
      <c r="C23" s="33"/>
      <c r="D23" s="26" t="s">
        <v>11</v>
      </c>
      <c r="E23" s="32"/>
      <c r="F23" s="68">
        <v>19157</v>
      </c>
      <c r="G23" s="68">
        <v>3290</v>
      </c>
      <c r="H23" s="68">
        <v>565</v>
      </c>
      <c r="I23" s="68">
        <v>31670</v>
      </c>
      <c r="J23" s="64">
        <f t="shared" si="0"/>
        <v>4.8227963525835866</v>
      </c>
      <c r="K23" s="64">
        <f>IFERROR(F23/H23-1,"n/a")</f>
        <v>32.906194690265487</v>
      </c>
      <c r="L23" s="60">
        <f t="shared" si="1"/>
        <v>-0.39510577833912219</v>
      </c>
      <c r="M23" s="68">
        <v>26521</v>
      </c>
      <c r="N23" s="68">
        <v>7964</v>
      </c>
      <c r="O23" s="68">
        <v>40221</v>
      </c>
      <c r="P23" s="68">
        <v>76275</v>
      </c>
      <c r="Q23" s="64">
        <f>IFERROR(M23/N23-1,"n/a")</f>
        <v>2.3301104972375692</v>
      </c>
      <c r="R23" s="64">
        <f>IFERROR(M23/O23-1,"n/a")</f>
        <v>-0.34061808507993341</v>
      </c>
      <c r="S23" s="60">
        <f>IFERROR(M23/P23-1,"n/a")</f>
        <v>-0.65229760734185516</v>
      </c>
      <c r="T23" s="68">
        <v>147132</v>
      </c>
      <c r="U23" s="70">
        <v>59180</v>
      </c>
      <c r="V23" s="70">
        <v>902015</v>
      </c>
    </row>
    <row r="24" spans="1:38">
      <c r="A24" s="9"/>
      <c r="B24" s="12"/>
      <c r="C24" s="31" t="s">
        <v>17</v>
      </c>
      <c r="D24" s="26"/>
      <c r="E24" s="32"/>
      <c r="F24" s="43"/>
      <c r="G24" s="43"/>
      <c r="H24" s="43"/>
      <c r="I24" s="43"/>
      <c r="J24" s="64"/>
      <c r="K24" s="64"/>
      <c r="L24" s="60"/>
      <c r="M24" s="43"/>
      <c r="N24" s="43"/>
      <c r="O24" s="43"/>
      <c r="P24" s="43"/>
      <c r="Q24" s="64"/>
      <c r="R24" s="64"/>
      <c r="S24" s="60"/>
      <c r="T24" s="43"/>
      <c r="U24" s="44"/>
      <c r="V24" s="44"/>
    </row>
    <row r="25" spans="1:38">
      <c r="B25" s="12"/>
      <c r="C25" s="33"/>
      <c r="D25" s="26" t="s">
        <v>5</v>
      </c>
      <c r="E25" s="32"/>
      <c r="F25" s="68">
        <v>14</v>
      </c>
      <c r="G25" s="68">
        <v>1</v>
      </c>
      <c r="H25" s="68">
        <v>0</v>
      </c>
      <c r="I25" s="68">
        <v>1</v>
      </c>
      <c r="J25" s="64">
        <f t="shared" si="0"/>
        <v>13</v>
      </c>
      <c r="K25" s="64" t="str">
        <f>IFERROR(F25/H25-1,"n/a")</f>
        <v>n/a</v>
      </c>
      <c r="L25" s="60">
        <f t="shared" si="1"/>
        <v>13</v>
      </c>
      <c r="M25" s="68">
        <v>16</v>
      </c>
      <c r="N25" s="68">
        <v>3</v>
      </c>
      <c r="O25" s="68">
        <v>1</v>
      </c>
      <c r="P25" s="68">
        <v>4</v>
      </c>
      <c r="Q25" s="64">
        <f>IFERROR(M25/N25-1,"n/a")</f>
        <v>4.333333333333333</v>
      </c>
      <c r="R25" s="64">
        <f>IFERROR(M25/O25-1,"n/a")</f>
        <v>15</v>
      </c>
      <c r="S25" s="60">
        <f>IFERROR(M25/P25-1,"n/a")</f>
        <v>3</v>
      </c>
      <c r="T25" s="68">
        <v>127</v>
      </c>
      <c r="U25" s="70">
        <v>37</v>
      </c>
      <c r="V25" s="70">
        <f>282+81</f>
        <v>363</v>
      </c>
    </row>
    <row r="26" spans="1:38">
      <c r="A26" s="9"/>
      <c r="B26" s="12"/>
      <c r="C26" s="33"/>
      <c r="D26" s="26" t="s">
        <v>11</v>
      </c>
      <c r="E26" s="32"/>
      <c r="F26" s="68">
        <f>8889+728</f>
        <v>9617</v>
      </c>
      <c r="G26" s="68">
        <v>856</v>
      </c>
      <c r="H26" s="68">
        <v>0</v>
      </c>
      <c r="I26" s="68">
        <v>1452</v>
      </c>
      <c r="J26" s="64">
        <f t="shared" si="0"/>
        <v>10.234813084112149</v>
      </c>
      <c r="K26" s="64" t="str">
        <f>IFERROR(F26/H26-1,"n/a")</f>
        <v>n/a</v>
      </c>
      <c r="L26" s="60">
        <f t="shared" si="1"/>
        <v>5.6232782369146008</v>
      </c>
      <c r="M26" s="68">
        <f>10872+728</f>
        <v>11600</v>
      </c>
      <c r="N26" s="68">
        <v>2139</v>
      </c>
      <c r="O26" s="68">
        <v>892</v>
      </c>
      <c r="P26" s="68">
        <v>6109</v>
      </c>
      <c r="Q26" s="64">
        <f>IFERROR(M26/N26-1,"n/a")</f>
        <v>4.4230949041608225</v>
      </c>
      <c r="R26" s="64">
        <f>IFERROR(M26/O26-1,"n/a")</f>
        <v>12.004484304932735</v>
      </c>
      <c r="S26" s="60">
        <f>IFERROR(M26/P26-1,"n/a")</f>
        <v>0.89883778032411188</v>
      </c>
      <c r="T26" s="68">
        <v>165083</v>
      </c>
      <c r="U26" s="70">
        <f>20768+8294</f>
        <v>29062</v>
      </c>
      <c r="V26" s="70">
        <f>659951+168729+38484</f>
        <v>867164</v>
      </c>
    </row>
    <row r="27" spans="1:38" ht="15.75" thickBot="1">
      <c r="A27" s="9"/>
      <c r="B27" s="12"/>
      <c r="C27" s="35" t="s">
        <v>12</v>
      </c>
      <c r="D27" s="36"/>
      <c r="E27" s="37"/>
      <c r="F27" s="46">
        <f t="shared" ref="F27:I28" si="2">F10+F13+F16+F19+F22+F25</f>
        <v>261</v>
      </c>
      <c r="G27" s="46">
        <f t="shared" si="2"/>
        <v>5</v>
      </c>
      <c r="H27" s="46">
        <f t="shared" si="2"/>
        <v>160</v>
      </c>
      <c r="I27" s="46">
        <f t="shared" si="2"/>
        <v>229</v>
      </c>
      <c r="J27" s="66">
        <f t="shared" si="0"/>
        <v>51.2</v>
      </c>
      <c r="K27" s="66">
        <f>IFERROR(F27/H27-1,"n/a")</f>
        <v>0.63125000000000009</v>
      </c>
      <c r="L27" s="62">
        <f t="shared" si="1"/>
        <v>0.13973799126637565</v>
      </c>
      <c r="M27" s="46">
        <f t="shared" ref="M27:P28" si="3">M10+M13+M16+M19+M22+M25</f>
        <v>632</v>
      </c>
      <c r="N27" s="46">
        <f t="shared" si="3"/>
        <v>12</v>
      </c>
      <c r="O27" s="46">
        <f t="shared" si="3"/>
        <v>565</v>
      </c>
      <c r="P27" s="46">
        <f t="shared" si="3"/>
        <v>635</v>
      </c>
      <c r="Q27" s="66">
        <f>IFERROR(M27/N27-1,"n/a")</f>
        <v>51.666666666666664</v>
      </c>
      <c r="R27" s="66">
        <f>IFERROR(M27/O27-1,"n/a")</f>
        <v>0.11858407079646027</v>
      </c>
      <c r="S27" s="62">
        <f>IFERROR(M27/P27-1,"n/a")</f>
        <v>-4.7244094488189115E-3</v>
      </c>
      <c r="T27" s="46">
        <f t="shared" ref="T27:V28" si="4">T10+T13+T16+T19+T22+T25</f>
        <v>1062</v>
      </c>
      <c r="U27" s="46">
        <f t="shared" si="4"/>
        <v>667</v>
      </c>
      <c r="V27" s="46">
        <f t="shared" si="4"/>
        <v>3344</v>
      </c>
    </row>
    <row r="28" spans="1:38" s="22" customFormat="1" ht="16.5" thickTop="1" thickBot="1">
      <c r="A28" s="9"/>
      <c r="B28" s="12"/>
      <c r="C28" s="38" t="s">
        <v>13</v>
      </c>
      <c r="D28" s="39"/>
      <c r="E28" s="40"/>
      <c r="F28" s="47">
        <f t="shared" si="2"/>
        <v>406233</v>
      </c>
      <c r="G28" s="47">
        <f t="shared" si="2"/>
        <v>4146</v>
      </c>
      <c r="H28" s="47">
        <f t="shared" si="2"/>
        <v>226205</v>
      </c>
      <c r="I28" s="47">
        <f t="shared" si="2"/>
        <v>655947</v>
      </c>
      <c r="J28" s="67">
        <f t="shared" si="0"/>
        <v>96.981910274963823</v>
      </c>
      <c r="K28" s="67">
        <f>IFERROR(F28/H28-1,"n/a")</f>
        <v>0.79586216042969871</v>
      </c>
      <c r="L28" s="63">
        <f t="shared" si="1"/>
        <v>-0.38069234252157569</v>
      </c>
      <c r="M28" s="47">
        <f t="shared" si="3"/>
        <v>867705</v>
      </c>
      <c r="N28" s="47">
        <f t="shared" si="3"/>
        <v>10103</v>
      </c>
      <c r="O28" s="47">
        <f t="shared" si="3"/>
        <v>1276191</v>
      </c>
      <c r="P28" s="47">
        <f t="shared" si="3"/>
        <v>1790526</v>
      </c>
      <c r="Q28" s="67">
        <f>IFERROR(M28/N28-1,"n/a")</f>
        <v>84.88587548252994</v>
      </c>
      <c r="R28" s="67">
        <f>IFERROR(M28/O28-1,"n/a")</f>
        <v>-0.32008218205582084</v>
      </c>
      <c r="S28" s="63">
        <f>IFERROR(M28/P28-1,"n/a")</f>
        <v>-0.51539100800546878</v>
      </c>
      <c r="T28" s="47">
        <f t="shared" si="4"/>
        <v>1554247</v>
      </c>
      <c r="U28" s="47">
        <f t="shared" si="4"/>
        <v>1323431</v>
      </c>
      <c r="V28" s="47">
        <f t="shared" si="4"/>
        <v>9169021</v>
      </c>
      <c r="W28" s="9"/>
      <c r="X28" s="21"/>
      <c r="Y28" s="21"/>
      <c r="Z28" s="21"/>
      <c r="AA28" s="21"/>
      <c r="AB28" s="21"/>
      <c r="AC28" s="21"/>
      <c r="AD28" s="21"/>
      <c r="AE28" s="21"/>
      <c r="AF28" s="21"/>
      <c r="AG28" s="21"/>
      <c r="AH28" s="21"/>
      <c r="AI28" s="21"/>
      <c r="AJ28" s="21"/>
      <c r="AK28" s="21"/>
      <c r="AL28" s="21"/>
    </row>
    <row r="29" spans="1:38" ht="15.75" thickTop="1">
      <c r="A29" s="9"/>
      <c r="B29" s="9"/>
      <c r="C29" s="9"/>
      <c r="D29" s="9"/>
      <c r="E29" s="9"/>
      <c r="F29" s="9"/>
      <c r="G29" s="41"/>
      <c r="H29" s="41"/>
      <c r="I29" s="41"/>
      <c r="J29" s="41"/>
      <c r="K29" s="9"/>
      <c r="L29" s="9"/>
      <c r="M29" s="9"/>
      <c r="N29" s="9"/>
      <c r="O29" s="9"/>
      <c r="P29" s="9"/>
      <c r="Q29" s="9"/>
      <c r="R29" s="9"/>
      <c r="S29" s="9"/>
      <c r="T29" s="9"/>
      <c r="U29" s="9"/>
      <c r="V29" s="9"/>
    </row>
    <row r="30" spans="1:38" hidden="1">
      <c r="A30" s="9"/>
      <c r="B30" s="9"/>
      <c r="C30" s="9"/>
      <c r="D30" s="9"/>
      <c r="E30" s="9"/>
      <c r="F30" s="9"/>
      <c r="G30" s="41"/>
      <c r="H30" s="41"/>
      <c r="I30" s="41"/>
      <c r="J30" s="41"/>
      <c r="K30" s="9"/>
      <c r="L30" s="9"/>
      <c r="M30" s="9"/>
      <c r="N30" s="9"/>
      <c r="O30" s="9"/>
      <c r="P30" s="9"/>
      <c r="Q30" s="9"/>
      <c r="R30" s="9"/>
      <c r="S30" s="9"/>
      <c r="T30" s="9"/>
      <c r="U30" s="9"/>
      <c r="V30" s="9"/>
    </row>
    <row r="31" spans="1:38" hidden="1">
      <c r="A31" s="9"/>
      <c r="B31" s="9"/>
      <c r="C31" s="9"/>
      <c r="D31" s="9"/>
      <c r="E31" s="9"/>
      <c r="F31" s="9"/>
      <c r="G31" s="41"/>
      <c r="H31" s="41"/>
      <c r="I31" s="41"/>
      <c r="J31" s="41"/>
      <c r="K31" s="9"/>
      <c r="L31" s="9"/>
      <c r="M31" s="9"/>
      <c r="N31" s="9"/>
      <c r="O31" s="9"/>
      <c r="P31" s="9"/>
      <c r="Q31" s="9"/>
      <c r="R31" s="9"/>
      <c r="S31" s="9"/>
      <c r="T31" s="9"/>
      <c r="U31" s="9"/>
      <c r="V31" s="9"/>
    </row>
    <row r="32" spans="1:38" hidden="1">
      <c r="A32" s="9"/>
      <c r="B32" s="9"/>
      <c r="C32" s="9"/>
      <c r="D32" s="9"/>
      <c r="E32" s="9"/>
      <c r="F32" s="9"/>
      <c r="G32" s="41"/>
      <c r="H32" s="41"/>
      <c r="I32" s="41"/>
      <c r="J32" s="41"/>
      <c r="K32" s="9"/>
      <c r="L32" s="9"/>
      <c r="M32" s="9"/>
      <c r="N32" s="9"/>
      <c r="O32" s="9"/>
      <c r="P32" s="9"/>
      <c r="Q32" s="9"/>
      <c r="R32" s="9"/>
      <c r="S32" s="9"/>
      <c r="T32" s="9"/>
      <c r="U32" s="9"/>
      <c r="V32" s="9"/>
    </row>
    <row r="33" spans="7:10" s="9" customFormat="1" hidden="1">
      <c r="G33" s="41"/>
      <c r="H33" s="41"/>
      <c r="I33" s="41"/>
      <c r="J33" s="41"/>
    </row>
    <row r="34" spans="7:10" s="9" customFormat="1" hidden="1">
      <c r="G34" s="41"/>
      <c r="H34" s="41"/>
      <c r="I34" s="41"/>
      <c r="J34" s="41"/>
    </row>
    <row r="35" spans="7:10" s="9" customFormat="1" hidden="1">
      <c r="G35" s="41"/>
      <c r="H35" s="41"/>
      <c r="I35" s="41"/>
      <c r="J35" s="41"/>
    </row>
    <row r="36" spans="7:10" s="9" customFormat="1" hidden="1">
      <c r="G36" s="41"/>
      <c r="H36" s="41"/>
      <c r="I36" s="41"/>
      <c r="J36" s="41"/>
    </row>
    <row r="37" spans="7:10" s="9" customFormat="1" hidden="1">
      <c r="G37" s="41"/>
      <c r="H37" s="41"/>
      <c r="I37" s="41"/>
      <c r="J37" s="41"/>
    </row>
    <row r="38" spans="7:10" s="9" customFormat="1" hidden="1">
      <c r="G38" s="41"/>
      <c r="H38" s="41"/>
      <c r="I38" s="41"/>
      <c r="J38" s="41"/>
    </row>
    <row r="39" spans="7:10" s="9" customFormat="1" hidden="1">
      <c r="G39" s="41"/>
      <c r="H39" s="41"/>
      <c r="I39" s="41"/>
      <c r="J39" s="41"/>
    </row>
    <row r="40" spans="7:10" s="9" customFormat="1" hidden="1">
      <c r="G40" s="41"/>
      <c r="H40" s="41"/>
      <c r="I40" s="41"/>
      <c r="J40" s="41"/>
    </row>
    <row r="41" spans="7:10" s="9" customFormat="1" hidden="1">
      <c r="G41" s="41"/>
      <c r="H41" s="41"/>
      <c r="I41" s="41"/>
      <c r="J41" s="41"/>
    </row>
    <row r="42" spans="7:10" s="9" customFormat="1" hidden="1">
      <c r="G42" s="41"/>
      <c r="H42" s="41"/>
      <c r="I42" s="41"/>
      <c r="J42" s="41"/>
    </row>
    <row r="43" spans="7:10" s="9" customFormat="1" hidden="1">
      <c r="G43" s="41"/>
      <c r="H43" s="41"/>
      <c r="I43" s="41"/>
      <c r="J43" s="41"/>
    </row>
    <row r="44" spans="7:10" s="9" customFormat="1" hidden="1">
      <c r="G44" s="41"/>
      <c r="H44" s="41"/>
      <c r="I44" s="41"/>
      <c r="J44" s="41"/>
    </row>
    <row r="45" spans="7:10" s="9" customFormat="1" hidden="1">
      <c r="G45" s="41"/>
      <c r="H45" s="41"/>
      <c r="I45" s="41"/>
      <c r="J45" s="41"/>
    </row>
    <row r="46" spans="7:10" s="9" customFormat="1" hidden="1">
      <c r="G46" s="41"/>
      <c r="H46" s="41"/>
      <c r="I46" s="41"/>
      <c r="J46" s="41"/>
    </row>
    <row r="47" spans="7:10" s="9" customFormat="1" hidden="1">
      <c r="G47" s="41"/>
      <c r="H47" s="41"/>
      <c r="I47" s="41"/>
      <c r="J47" s="41"/>
    </row>
    <row r="48" spans="7:10" s="9" customFormat="1" hidden="1"/>
  </sheetData>
  <customSheetViews>
    <customSheetView guid="{5F6D01E3-9E6F-4D7F-980F-63899AF95899}" scale="79" showGridLines="0" fitToPage="1" hiddenRows="1" hiddenColumns="1">
      <pageMargins left="0.7" right="0.7" top="0.75" bottom="0.75" header="0.3" footer="0.3"/>
      <pageSetup paperSize="9" scale="85" orientation="landscape" horizontalDpi="4294967293" verticalDpi="4294967293" r:id="rId1"/>
    </customSheetView>
  </customSheetViews>
  <mergeCells count="3">
    <mergeCell ref="F6:L6"/>
    <mergeCell ref="M6:S6"/>
    <mergeCell ref="T6:V6"/>
  </mergeCells>
  <pageMargins left="0.7" right="0.7" top="0.75" bottom="0.75" header="0.3" footer="0.3"/>
  <pageSetup paperSize="9" scale="85" orientation="landscape" horizontalDpi="4294967293" verticalDpi="4294967293" r:id="rId2"/>
  <drawing r:id="rId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pageSetUpPr fitToPage="1"/>
  </sheetPr>
  <dimension ref="A1:AL48"/>
  <sheetViews>
    <sheetView showGridLines="0" zoomScaleNormal="100" workbookViewId="0"/>
  </sheetViews>
  <sheetFormatPr defaultColWidth="0" defaultRowHeight="15" customHeight="1" zeroHeight="1"/>
  <cols>
    <col min="1" max="3" width="2.5703125" customWidth="1"/>
    <col min="4" max="4" width="9.140625" customWidth="1"/>
    <col min="5" max="6" width="15.42578125" customWidth="1"/>
    <col min="7" max="8" width="11.140625" bestFit="1" customWidth="1"/>
    <col min="9" max="9" width="10.5703125" bestFit="1" customWidth="1"/>
    <col min="10" max="10" width="8.5703125" customWidth="1"/>
    <col min="11" max="12" width="9.140625" customWidth="1"/>
    <col min="13" max="13" width="10.85546875" bestFit="1" customWidth="1"/>
    <col min="14" max="14" width="10.140625" bestFit="1" customWidth="1"/>
    <col min="15" max="15" width="12.140625" bestFit="1" customWidth="1"/>
    <col min="16" max="16" width="12.5703125" bestFit="1" customWidth="1"/>
    <col min="17" max="17" width="8.85546875" customWidth="1"/>
    <col min="18" max="19" width="9.140625" customWidth="1"/>
    <col min="20" max="20" width="12.140625" bestFit="1" customWidth="1"/>
    <col min="21" max="21" width="11.85546875" bestFit="1" customWidth="1"/>
    <col min="22" max="22" width="12.42578125" customWidth="1"/>
    <col min="23" max="23" width="3.140625" style="9" customWidth="1"/>
    <col min="24" max="38" width="0" style="9" hidden="1" customWidth="1"/>
    <col min="39" max="16384" width="9.140625" hidden="1"/>
  </cols>
  <sheetData>
    <row r="1" spans="1:38">
      <c r="A1" s="9"/>
      <c r="B1" s="9"/>
      <c r="C1" s="9"/>
      <c r="D1" s="9"/>
      <c r="E1" s="9"/>
      <c r="F1" s="9"/>
      <c r="G1" s="9"/>
      <c r="H1" s="9"/>
      <c r="I1" s="9"/>
      <c r="J1" s="9"/>
      <c r="K1" s="9"/>
      <c r="L1" s="9"/>
      <c r="M1" s="9"/>
      <c r="N1" s="9"/>
      <c r="O1" s="9"/>
      <c r="P1" s="9"/>
      <c r="Q1" s="9"/>
      <c r="R1" s="9"/>
      <c r="S1" s="9"/>
      <c r="T1" s="9"/>
      <c r="U1" s="9"/>
      <c r="V1" s="9"/>
    </row>
    <row r="2" spans="1:38" ht="19.5" thickBot="1">
      <c r="A2" s="9"/>
      <c r="B2" s="8" t="s">
        <v>6</v>
      </c>
      <c r="C2" s="23"/>
      <c r="D2" s="23"/>
      <c r="E2" s="23"/>
      <c r="F2" s="23"/>
      <c r="G2" s="23"/>
      <c r="H2" s="23"/>
      <c r="I2" s="23"/>
      <c r="J2" s="23"/>
      <c r="K2" s="23"/>
      <c r="L2" s="23"/>
      <c r="M2" s="23"/>
      <c r="N2" s="23"/>
      <c r="O2" s="23"/>
      <c r="P2" s="23"/>
      <c r="Q2" s="23"/>
      <c r="R2" s="23"/>
      <c r="S2" s="23"/>
      <c r="T2" s="23"/>
      <c r="U2" s="23"/>
      <c r="V2" s="23"/>
    </row>
    <row r="3" spans="1:38">
      <c r="A3" s="9"/>
      <c r="B3" s="10"/>
      <c r="C3" s="24"/>
      <c r="D3" s="24"/>
      <c r="E3" s="24"/>
      <c r="F3" s="24"/>
      <c r="G3" s="24"/>
      <c r="H3" s="24"/>
      <c r="I3" s="24"/>
      <c r="J3" s="24"/>
      <c r="K3" s="24"/>
      <c r="L3" s="24"/>
      <c r="M3" s="24"/>
      <c r="N3" s="24"/>
      <c r="O3" s="24"/>
      <c r="P3" s="24"/>
      <c r="Q3" s="24"/>
      <c r="R3" s="24"/>
      <c r="S3" s="24"/>
      <c r="T3" s="24"/>
      <c r="U3" s="24"/>
      <c r="V3" s="25"/>
    </row>
    <row r="4" spans="1:38" ht="15.75">
      <c r="A4" s="9"/>
      <c r="B4" s="11" t="s">
        <v>7</v>
      </c>
      <c r="C4" s="26"/>
      <c r="D4" s="24"/>
      <c r="E4" s="58" t="s">
        <v>40</v>
      </c>
      <c r="F4" s="24"/>
      <c r="G4" s="24"/>
      <c r="H4" s="24"/>
      <c r="I4" s="24"/>
      <c r="J4" s="24"/>
      <c r="K4" s="24"/>
      <c r="L4" s="24"/>
      <c r="M4" s="24"/>
      <c r="N4" s="24"/>
      <c r="O4" s="24"/>
      <c r="P4" s="24"/>
      <c r="Q4" s="24"/>
      <c r="R4" s="24"/>
      <c r="S4" s="24"/>
      <c r="T4" s="24"/>
      <c r="U4" s="24"/>
      <c r="V4" s="24"/>
    </row>
    <row r="5" spans="1:38">
      <c r="A5" s="9"/>
      <c r="B5" s="10"/>
      <c r="C5" s="24"/>
      <c r="D5" s="24"/>
      <c r="E5" s="24"/>
      <c r="F5" s="24"/>
      <c r="G5" s="24"/>
      <c r="H5" s="24"/>
      <c r="I5" s="24"/>
      <c r="J5" s="24"/>
      <c r="K5" s="24"/>
      <c r="L5" s="24"/>
      <c r="M5" s="24"/>
      <c r="N5" s="24"/>
      <c r="O5" s="24"/>
      <c r="P5" s="24"/>
      <c r="Q5" s="24"/>
      <c r="R5" s="24"/>
      <c r="S5" s="24"/>
      <c r="T5" s="24"/>
      <c r="U5" s="24"/>
      <c r="V5" s="24"/>
    </row>
    <row r="6" spans="1:38" s="20" customFormat="1">
      <c r="A6" s="9"/>
      <c r="B6"/>
      <c r="C6" s="27" t="s">
        <v>7</v>
      </c>
      <c r="D6" s="28"/>
      <c r="E6" s="28"/>
      <c r="F6" s="158" t="s">
        <v>39</v>
      </c>
      <c r="G6" s="158"/>
      <c r="H6" s="158"/>
      <c r="I6" s="158"/>
      <c r="J6" s="158"/>
      <c r="K6" s="158"/>
      <c r="L6" s="159"/>
      <c r="M6" s="157" t="s">
        <v>38</v>
      </c>
      <c r="N6" s="158"/>
      <c r="O6" s="158"/>
      <c r="P6" s="158"/>
      <c r="Q6" s="158"/>
      <c r="R6" s="158"/>
      <c r="S6" s="159"/>
      <c r="T6" s="157" t="s">
        <v>9</v>
      </c>
      <c r="U6" s="158"/>
      <c r="V6" s="158"/>
      <c r="W6" s="9"/>
      <c r="X6" s="19"/>
      <c r="Y6" s="19"/>
      <c r="Z6" s="19"/>
      <c r="AA6" s="19"/>
      <c r="AB6" s="19"/>
      <c r="AC6" s="19"/>
      <c r="AD6" s="19"/>
      <c r="AE6" s="19"/>
      <c r="AF6" s="19"/>
      <c r="AG6" s="19"/>
      <c r="AH6" s="19"/>
      <c r="AI6" s="19"/>
      <c r="AJ6" s="19"/>
      <c r="AK6" s="19"/>
      <c r="AL6" s="19"/>
    </row>
    <row r="7" spans="1:38" ht="15.75">
      <c r="A7" s="9"/>
      <c r="B7" s="18"/>
      <c r="C7" s="29"/>
      <c r="D7" s="30"/>
      <c r="E7" s="30"/>
      <c r="F7" s="29"/>
      <c r="G7" s="30"/>
      <c r="H7" s="30"/>
      <c r="I7" s="30"/>
      <c r="J7" s="30"/>
      <c r="K7" s="30"/>
      <c r="L7" s="56"/>
      <c r="M7" s="30"/>
      <c r="N7" s="30"/>
      <c r="O7" s="30"/>
      <c r="P7" s="30"/>
      <c r="Q7" s="30"/>
      <c r="R7" s="30"/>
      <c r="S7" s="56"/>
      <c r="T7" s="30"/>
      <c r="U7" s="30"/>
      <c r="V7" s="30"/>
    </row>
    <row r="8" spans="1:38" s="54" customFormat="1" ht="22.5">
      <c r="A8" s="48"/>
      <c r="B8" s="49"/>
      <c r="C8" s="59" t="s">
        <v>29</v>
      </c>
      <c r="D8" s="50"/>
      <c r="E8" s="51"/>
      <c r="F8" s="55">
        <v>2022</v>
      </c>
      <c r="G8" s="52">
        <v>2021</v>
      </c>
      <c r="H8" s="52">
        <v>2020</v>
      </c>
      <c r="I8" s="52">
        <v>2019</v>
      </c>
      <c r="J8" s="53" t="s">
        <v>36</v>
      </c>
      <c r="K8" s="53" t="s">
        <v>34</v>
      </c>
      <c r="L8" s="57" t="s">
        <v>35</v>
      </c>
      <c r="M8" s="53">
        <v>2022</v>
      </c>
      <c r="N8" s="52">
        <v>2021</v>
      </c>
      <c r="O8" s="52">
        <v>2020</v>
      </c>
      <c r="P8" s="52">
        <v>2019</v>
      </c>
      <c r="Q8" s="53" t="s">
        <v>36</v>
      </c>
      <c r="R8" s="53" t="s">
        <v>34</v>
      </c>
      <c r="S8" s="57" t="s">
        <v>35</v>
      </c>
      <c r="T8" s="53">
        <v>2021</v>
      </c>
      <c r="U8" s="52">
        <v>2020</v>
      </c>
      <c r="V8" s="52">
        <v>2019</v>
      </c>
      <c r="W8" s="48"/>
      <c r="X8" s="48"/>
      <c r="Y8" s="48"/>
      <c r="Z8" s="48"/>
      <c r="AA8" s="48"/>
      <c r="AB8" s="48"/>
      <c r="AC8" s="48"/>
      <c r="AD8" s="48"/>
      <c r="AE8" s="48"/>
      <c r="AF8" s="48"/>
      <c r="AG8" s="48"/>
      <c r="AH8" s="48"/>
      <c r="AI8" s="48"/>
      <c r="AJ8" s="48"/>
      <c r="AK8" s="48"/>
      <c r="AL8" s="48"/>
    </row>
    <row r="9" spans="1:38">
      <c r="A9" s="9"/>
      <c r="B9" s="12"/>
      <c r="C9" s="31" t="s">
        <v>14</v>
      </c>
      <c r="D9" s="26"/>
      <c r="E9" s="32"/>
      <c r="F9" s="26"/>
      <c r="G9" s="26"/>
      <c r="H9" s="26"/>
      <c r="I9" s="26"/>
      <c r="J9" s="26"/>
      <c r="K9" s="26"/>
      <c r="L9" s="32"/>
      <c r="M9" s="26"/>
      <c r="N9" s="26"/>
      <c r="O9" s="26"/>
      <c r="P9" s="26"/>
      <c r="Q9" s="26"/>
      <c r="R9" s="26"/>
      <c r="S9" s="32"/>
      <c r="T9" s="26"/>
      <c r="U9" s="26"/>
      <c r="V9" s="26"/>
    </row>
    <row r="10" spans="1:38">
      <c r="A10" s="9"/>
      <c r="B10" s="12"/>
      <c r="C10" s="33"/>
      <c r="D10" s="26" t="s">
        <v>5</v>
      </c>
      <c r="E10" s="32"/>
      <c r="F10" s="68">
        <v>59</v>
      </c>
      <c r="G10" s="68">
        <v>0</v>
      </c>
      <c r="H10" s="68">
        <v>55</v>
      </c>
      <c r="I10" s="68">
        <v>62</v>
      </c>
      <c r="J10" s="64" t="str">
        <f t="shared" ref="J10:J28" si="0">IFERROR(F10/G10-1,"n/a")</f>
        <v>n/a</v>
      </c>
      <c r="K10" s="64">
        <f>IFERROR(F10/H10-1,"n/a")</f>
        <v>7.2727272727272751E-2</v>
      </c>
      <c r="L10" s="60">
        <f>IFERROR(F10/I10-1,"n/a")</f>
        <v>-4.8387096774193505E-2</v>
      </c>
      <c r="M10" s="68">
        <v>123</v>
      </c>
      <c r="N10" s="68">
        <v>0</v>
      </c>
      <c r="O10" s="68">
        <v>116</v>
      </c>
      <c r="P10" s="68">
        <v>138</v>
      </c>
      <c r="Q10" s="64" t="str">
        <f>IFERROR(M10/N10-1,"n/a")</f>
        <v>n/a</v>
      </c>
      <c r="R10" s="64">
        <f>IFERROR(M10/O10-1,"n/a")</f>
        <v>6.0344827586206851E-2</v>
      </c>
      <c r="S10" s="60">
        <f>IFERROR(M10/P10-1,"n/a")</f>
        <v>-0.10869565217391308</v>
      </c>
      <c r="T10" s="68">
        <v>111</v>
      </c>
      <c r="U10" s="70">
        <v>145</v>
      </c>
      <c r="V10" s="70">
        <v>386</v>
      </c>
    </row>
    <row r="11" spans="1:38">
      <c r="A11" s="9"/>
      <c r="B11" s="12"/>
      <c r="C11" s="33"/>
      <c r="D11" s="26" t="s">
        <v>11</v>
      </c>
      <c r="E11" s="32"/>
      <c r="F11" s="68">
        <v>44710</v>
      </c>
      <c r="G11" s="68">
        <v>0</v>
      </c>
      <c r="H11" s="68">
        <v>101463</v>
      </c>
      <c r="I11" s="68">
        <v>119668</v>
      </c>
      <c r="J11" s="64" t="str">
        <f t="shared" si="0"/>
        <v>n/a</v>
      </c>
      <c r="K11" s="64">
        <f>IFERROR(F11/H11-1,"n/a")</f>
        <v>-0.55934675694588176</v>
      </c>
      <c r="L11" s="60">
        <f>IFERROR(F11/I11-1,"n/a")</f>
        <v>-0.62638299294715383</v>
      </c>
      <c r="M11" s="68">
        <v>95504</v>
      </c>
      <c r="N11" s="68">
        <v>0</v>
      </c>
      <c r="O11" s="68">
        <v>210259</v>
      </c>
      <c r="P11" s="68">
        <v>276534</v>
      </c>
      <c r="Q11" s="64" t="str">
        <f>IFERROR(M11/N11-1,"n/a")</f>
        <v>n/a</v>
      </c>
      <c r="R11" s="64">
        <f>IFERROR(M11/O11-1,"n/a")</f>
        <v>-0.54577925320675935</v>
      </c>
      <c r="S11" s="60">
        <f>IFERROR(M11/P11-1,"n/a")</f>
        <v>-0.65463921253806046</v>
      </c>
      <c r="T11" s="68">
        <v>80863</v>
      </c>
      <c r="U11" s="70">
        <v>258885</v>
      </c>
      <c r="V11" s="70">
        <v>733296</v>
      </c>
    </row>
    <row r="12" spans="1:38">
      <c r="A12" s="9"/>
      <c r="B12" s="12"/>
      <c r="C12" s="31" t="s">
        <v>74</v>
      </c>
      <c r="D12" s="26"/>
      <c r="E12" s="32"/>
      <c r="F12" s="45"/>
      <c r="G12" s="45"/>
      <c r="H12" s="45"/>
      <c r="I12" s="45"/>
      <c r="J12" s="64"/>
      <c r="K12" s="64"/>
      <c r="L12" s="61"/>
      <c r="M12" s="43"/>
      <c r="N12" s="43"/>
      <c r="O12" s="43"/>
      <c r="P12" s="43"/>
      <c r="Q12" s="64"/>
      <c r="R12" s="65"/>
      <c r="S12" s="61"/>
      <c r="T12" s="43"/>
      <c r="U12" s="44"/>
      <c r="V12" s="44"/>
    </row>
    <row r="13" spans="1:38">
      <c r="A13" s="9"/>
      <c r="B13" s="12"/>
      <c r="C13" s="33"/>
      <c r="D13" s="26" t="s">
        <v>5</v>
      </c>
      <c r="E13" s="32"/>
      <c r="F13" s="68">
        <v>13</v>
      </c>
      <c r="G13" s="68">
        <v>0</v>
      </c>
      <c r="H13" s="68">
        <v>14</v>
      </c>
      <c r="I13" s="68">
        <v>21</v>
      </c>
      <c r="J13" s="64" t="str">
        <f t="shared" si="0"/>
        <v>n/a</v>
      </c>
      <c r="K13" s="64">
        <f>IFERROR(F13/H13-1,"n/a")</f>
        <v>-7.1428571428571397E-2</v>
      </c>
      <c r="L13" s="60">
        <f>IFERROR(F13/I13-1,"n/a")</f>
        <v>-0.38095238095238093</v>
      </c>
      <c r="M13" s="68">
        <v>29</v>
      </c>
      <c r="N13" s="68">
        <v>0</v>
      </c>
      <c r="O13" s="68">
        <v>33</v>
      </c>
      <c r="P13" s="68">
        <v>45</v>
      </c>
      <c r="Q13" s="64" t="str">
        <f>IFERROR(M13/N13-1,"n/a")</f>
        <v>n/a</v>
      </c>
      <c r="R13" s="64">
        <f>IFERROR(M13/O13-1,"n/a")</f>
        <v>-0.12121212121212122</v>
      </c>
      <c r="S13" s="60">
        <f>IFERROR(M13/P13-1,"n/a")</f>
        <v>-0.35555555555555551</v>
      </c>
      <c r="T13" s="68">
        <v>283</v>
      </c>
      <c r="U13" s="70">
        <v>43</v>
      </c>
      <c r="V13" s="70">
        <v>827</v>
      </c>
    </row>
    <row r="14" spans="1:38">
      <c r="A14" s="9"/>
      <c r="B14" s="12"/>
      <c r="C14" s="33"/>
      <c r="D14" s="26" t="s">
        <v>11</v>
      </c>
      <c r="E14" s="32"/>
      <c r="F14" s="68">
        <v>14032</v>
      </c>
      <c r="G14" s="68">
        <v>0</v>
      </c>
      <c r="H14" s="68">
        <v>47023</v>
      </c>
      <c r="I14" s="68">
        <v>59703</v>
      </c>
      <c r="J14" s="64" t="str">
        <f t="shared" si="0"/>
        <v>n/a</v>
      </c>
      <c r="K14" s="64">
        <f>IFERROR(F14/H14-1,"n/a")</f>
        <v>-0.70159283754758306</v>
      </c>
      <c r="L14" s="60">
        <f>IFERROR(F14/I14-1,"n/a")</f>
        <v>-0.76496993450915363</v>
      </c>
      <c r="M14" s="68">
        <v>35860</v>
      </c>
      <c r="N14" s="68">
        <v>0</v>
      </c>
      <c r="O14" s="68">
        <v>112017</v>
      </c>
      <c r="P14" s="68">
        <v>134226</v>
      </c>
      <c r="Q14" s="64" t="str">
        <f>IFERROR(M14/N14-1,"n/a")</f>
        <v>n/a</v>
      </c>
      <c r="R14" s="64">
        <f>IFERROR(M14/O14-1,"n/a")</f>
        <v>-0.67987001972914829</v>
      </c>
      <c r="S14" s="60">
        <f>IFERROR(M14/P14-1,"n/a")</f>
        <v>-0.73283864526991782</v>
      </c>
      <c r="T14" s="68">
        <v>465109</v>
      </c>
      <c r="U14" s="70">
        <v>140552</v>
      </c>
      <c r="V14" s="70">
        <v>2552942</v>
      </c>
    </row>
    <row r="15" spans="1:38">
      <c r="A15" s="9"/>
      <c r="B15" s="12"/>
      <c r="C15" s="31" t="s">
        <v>15</v>
      </c>
      <c r="D15" s="26"/>
      <c r="E15" s="32"/>
      <c r="F15" s="43"/>
      <c r="G15" s="43"/>
      <c r="H15" s="43"/>
      <c r="I15" s="43"/>
      <c r="J15" s="64"/>
      <c r="K15" s="64"/>
      <c r="L15" s="60"/>
      <c r="M15" s="43"/>
      <c r="N15" s="43"/>
      <c r="O15" s="43"/>
      <c r="P15" s="43"/>
      <c r="Q15" s="64"/>
      <c r="R15" s="64"/>
      <c r="S15" s="60"/>
      <c r="T15" s="43"/>
      <c r="U15" s="44"/>
      <c r="V15" s="44"/>
    </row>
    <row r="16" spans="1:38">
      <c r="A16" s="9"/>
      <c r="B16" s="12"/>
      <c r="C16" s="33"/>
      <c r="D16" s="26" t="s">
        <v>5</v>
      </c>
      <c r="E16" s="32"/>
      <c r="F16" s="68">
        <v>2</v>
      </c>
      <c r="G16" s="68">
        <v>0</v>
      </c>
      <c r="H16" s="68">
        <v>0</v>
      </c>
      <c r="I16" s="68">
        <v>1</v>
      </c>
      <c r="J16" s="64" t="str">
        <f t="shared" si="0"/>
        <v>n/a</v>
      </c>
      <c r="K16" s="64" t="str">
        <f>IFERROR(F16/H16-1,"n/a")</f>
        <v>n/a</v>
      </c>
      <c r="L16" s="60">
        <f>IFERROR(F16/I16-1,"n/a")</f>
        <v>1</v>
      </c>
      <c r="M16" s="68">
        <v>5</v>
      </c>
      <c r="N16" s="68">
        <v>0</v>
      </c>
      <c r="O16" s="68">
        <v>1</v>
      </c>
      <c r="P16" s="68">
        <v>1</v>
      </c>
      <c r="Q16" s="64" t="str">
        <f>IFERROR(M16/N16-1,"n/a")</f>
        <v>n/a</v>
      </c>
      <c r="R16" s="64">
        <f>IFERROR(M16/O16-1,"n/a")</f>
        <v>4</v>
      </c>
      <c r="S16" s="60">
        <f>IFERROR(M16/P16-1,"n/a")</f>
        <v>4</v>
      </c>
      <c r="T16" s="68">
        <v>23</v>
      </c>
      <c r="U16" s="70">
        <v>4</v>
      </c>
      <c r="V16" s="70">
        <v>191</v>
      </c>
    </row>
    <row r="17" spans="1:38">
      <c r="A17" s="9"/>
      <c r="B17" s="12"/>
      <c r="C17" s="33"/>
      <c r="D17" s="26" t="s">
        <v>11</v>
      </c>
      <c r="E17" s="32"/>
      <c r="F17" s="68">
        <v>294</v>
      </c>
      <c r="G17" s="68">
        <v>0</v>
      </c>
      <c r="H17" s="68">
        <v>0</v>
      </c>
      <c r="I17" s="68">
        <v>583</v>
      </c>
      <c r="J17" s="64" t="str">
        <f t="shared" si="0"/>
        <v>n/a</v>
      </c>
      <c r="K17" s="64" t="str">
        <f>IFERROR(F17/H17-1,"n/a")</f>
        <v>n/a</v>
      </c>
      <c r="L17" s="60">
        <f t="shared" ref="L17:L28" si="1">IFERROR(F17/I17-1,"n/a")</f>
        <v>-0.49571183533447682</v>
      </c>
      <c r="M17" s="68">
        <v>1108</v>
      </c>
      <c r="N17" s="68">
        <v>0</v>
      </c>
      <c r="O17" s="68">
        <v>823</v>
      </c>
      <c r="P17" s="68">
        <v>583</v>
      </c>
      <c r="Q17" s="64" t="str">
        <f>IFERROR(M17/N17-1,"n/a")</f>
        <v>n/a</v>
      </c>
      <c r="R17" s="64">
        <f>IFERROR(M17/O17-1,"n/a")</f>
        <v>0.34629404617253945</v>
      </c>
      <c r="S17" s="60">
        <f>IFERROR(M17/P17-1,"n/a")</f>
        <v>0.90051457975986282</v>
      </c>
      <c r="T17" s="68">
        <v>8611</v>
      </c>
      <c r="U17" s="70">
        <v>1753</v>
      </c>
      <c r="V17" s="70">
        <v>254421</v>
      </c>
    </row>
    <row r="18" spans="1:38">
      <c r="A18" s="9"/>
      <c r="B18" s="12"/>
      <c r="C18" s="31" t="s">
        <v>10</v>
      </c>
      <c r="D18" s="26"/>
      <c r="E18" s="34"/>
      <c r="F18" s="43"/>
      <c r="G18" s="43"/>
      <c r="H18" s="43"/>
      <c r="I18" s="43"/>
      <c r="J18" s="64"/>
      <c r="K18" s="64"/>
      <c r="L18" s="60"/>
      <c r="M18" s="43"/>
      <c r="N18" s="43"/>
      <c r="O18" s="43"/>
      <c r="P18" s="43"/>
      <c r="Q18" s="64"/>
      <c r="R18" s="64"/>
      <c r="S18" s="60"/>
      <c r="T18" s="43"/>
      <c r="U18" s="44"/>
      <c r="V18" s="44"/>
    </row>
    <row r="19" spans="1:38">
      <c r="A19" s="9"/>
      <c r="B19" s="12"/>
      <c r="C19" s="33"/>
      <c r="D19" s="26" t="s">
        <v>5</v>
      </c>
      <c r="E19" s="34"/>
      <c r="F19" s="68">
        <v>103</v>
      </c>
      <c r="G19" s="68">
        <v>0</v>
      </c>
      <c r="H19" s="68">
        <v>120</v>
      </c>
      <c r="I19" s="68">
        <v>95</v>
      </c>
      <c r="J19" s="64" t="str">
        <f t="shared" si="0"/>
        <v>n/a</v>
      </c>
      <c r="K19" s="64">
        <f>IFERROR(F19/H19-1,"n/a")</f>
        <v>-0.14166666666666672</v>
      </c>
      <c r="L19" s="60">
        <f t="shared" si="1"/>
        <v>8.4210526315789513E-2</v>
      </c>
      <c r="M19" s="68">
        <v>203</v>
      </c>
      <c r="N19" s="68">
        <v>0</v>
      </c>
      <c r="O19" s="68">
        <v>246</v>
      </c>
      <c r="P19" s="68">
        <v>208</v>
      </c>
      <c r="Q19" s="64" t="str">
        <f>IFERROR(M19/N19-1,"n/a")</f>
        <v>n/a</v>
      </c>
      <c r="R19" s="64">
        <f>IFERROR(M19/O19-1,"n/a")</f>
        <v>-0.17479674796747968</v>
      </c>
      <c r="S19" s="60">
        <f>IFERROR(M19/P19-1,"n/a")</f>
        <v>-2.4038461538461564E-2</v>
      </c>
      <c r="T19" s="68">
        <v>411</v>
      </c>
      <c r="U19" s="70">
        <v>406</v>
      </c>
      <c r="V19" s="70">
        <v>1205</v>
      </c>
    </row>
    <row r="20" spans="1:38">
      <c r="A20" s="9"/>
      <c r="B20" s="12"/>
      <c r="C20" s="33"/>
      <c r="D20" s="26" t="s">
        <v>11</v>
      </c>
      <c r="E20" s="32"/>
      <c r="F20" s="68">
        <v>174835</v>
      </c>
      <c r="G20" s="68">
        <v>0</v>
      </c>
      <c r="H20" s="68">
        <v>329055</v>
      </c>
      <c r="I20" s="68">
        <v>305578</v>
      </c>
      <c r="J20" s="64" t="str">
        <f t="shared" si="0"/>
        <v>n/a</v>
      </c>
      <c r="K20" s="64">
        <f>IFERROR(F20/H20-1,"n/a")</f>
        <v>-0.46867544939295858</v>
      </c>
      <c r="L20" s="60">
        <f t="shared" si="1"/>
        <v>-0.42785475394171046</v>
      </c>
      <c r="M20" s="68">
        <v>319653</v>
      </c>
      <c r="N20" s="68">
        <v>0</v>
      </c>
      <c r="O20" s="68">
        <v>686339</v>
      </c>
      <c r="P20" s="68">
        <v>673974</v>
      </c>
      <c r="Q20" s="64" t="str">
        <f>IFERROR(M20/N20-1,"n/a")</f>
        <v>n/a</v>
      </c>
      <c r="R20" s="64">
        <f>IFERROR(M20/O20-1,"n/a")</f>
        <v>-0.53426368019302417</v>
      </c>
      <c r="S20" s="60">
        <f>IFERROR(M20/P20-1,"n/a")</f>
        <v>-0.52571909302139253</v>
      </c>
      <c r="T20" s="68">
        <v>687449</v>
      </c>
      <c r="U20" s="70">
        <v>833999</v>
      </c>
      <c r="V20" s="70">
        <v>3859183</v>
      </c>
    </row>
    <row r="21" spans="1:38">
      <c r="A21" s="9"/>
      <c r="B21" s="12"/>
      <c r="C21" s="31" t="s">
        <v>16</v>
      </c>
      <c r="D21" s="26"/>
      <c r="E21" s="32"/>
      <c r="F21" s="43"/>
      <c r="G21" s="43"/>
      <c r="H21" s="43"/>
      <c r="I21" s="43"/>
      <c r="J21" s="64"/>
      <c r="K21" s="64"/>
      <c r="L21" s="60"/>
      <c r="M21" s="43"/>
      <c r="N21" s="43"/>
      <c r="O21" s="43"/>
      <c r="P21" s="43"/>
      <c r="Q21" s="64"/>
      <c r="R21" s="64"/>
      <c r="S21" s="60"/>
      <c r="T21" s="43"/>
      <c r="U21" s="44"/>
      <c r="V21" s="44"/>
    </row>
    <row r="22" spans="1:38">
      <c r="A22" s="9"/>
      <c r="B22" s="12"/>
      <c r="C22" s="33"/>
      <c r="D22" s="26" t="s">
        <v>5</v>
      </c>
      <c r="E22" s="32"/>
      <c r="F22" s="68">
        <v>6</v>
      </c>
      <c r="G22" s="68">
        <v>4</v>
      </c>
      <c r="H22" s="68">
        <v>3</v>
      </c>
      <c r="I22" s="68">
        <v>7</v>
      </c>
      <c r="J22" s="64">
        <f t="shared" si="0"/>
        <v>0.5</v>
      </c>
      <c r="K22" s="64">
        <f>IFERROR(F22/H22-1,"n/a")</f>
        <v>1</v>
      </c>
      <c r="L22" s="60">
        <f t="shared" si="1"/>
        <v>-0.1428571428571429</v>
      </c>
      <c r="M22" s="68">
        <v>9</v>
      </c>
      <c r="N22" s="68">
        <v>5</v>
      </c>
      <c r="O22" s="68">
        <v>8</v>
      </c>
      <c r="P22" s="68">
        <v>11</v>
      </c>
      <c r="Q22" s="64">
        <f>IFERROR(M22/N22-1,"n/a")</f>
        <v>0.8</v>
      </c>
      <c r="R22" s="64">
        <f>IFERROR(M22/O22-1,"n/a")</f>
        <v>0.125</v>
      </c>
      <c r="S22" s="60">
        <f>IFERROR(M22/P22-1,"n/a")</f>
        <v>-0.18181818181818177</v>
      </c>
      <c r="T22" s="68">
        <v>107</v>
      </c>
      <c r="U22" s="70">
        <v>32</v>
      </c>
      <c r="V22" s="70">
        <v>372</v>
      </c>
    </row>
    <row r="23" spans="1:38">
      <c r="A23" s="9"/>
      <c r="B23" s="12"/>
      <c r="C23" s="33"/>
      <c r="D23" s="26" t="s">
        <v>11</v>
      </c>
      <c r="E23" s="32"/>
      <c r="F23" s="68">
        <v>5662</v>
      </c>
      <c r="G23" s="68">
        <v>4030</v>
      </c>
      <c r="H23" s="68">
        <v>16515</v>
      </c>
      <c r="I23" s="68">
        <v>24890</v>
      </c>
      <c r="J23" s="64">
        <f t="shared" si="0"/>
        <v>0.4049627791563275</v>
      </c>
      <c r="K23" s="64">
        <f>IFERROR(F23/H23-1,"n/a")</f>
        <v>-0.657160157432637</v>
      </c>
      <c r="L23" s="60">
        <f t="shared" si="1"/>
        <v>-0.77251908396946567</v>
      </c>
      <c r="M23" s="68">
        <v>7364</v>
      </c>
      <c r="N23" s="68">
        <v>4674</v>
      </c>
      <c r="O23" s="68">
        <v>39656</v>
      </c>
      <c r="P23" s="68">
        <v>44605</v>
      </c>
      <c r="Q23" s="64">
        <f>IFERROR(M23/N23-1,"n/a")</f>
        <v>0.57552417629439456</v>
      </c>
      <c r="R23" s="64">
        <f>IFERROR(M23/O23-1,"n/a")</f>
        <v>-0.81430300585031268</v>
      </c>
      <c r="S23" s="60">
        <f>IFERROR(M23/P23-1,"n/a")</f>
        <v>-0.83490640062773225</v>
      </c>
      <c r="T23" s="68">
        <v>147132</v>
      </c>
      <c r="U23" s="70">
        <v>59180</v>
      </c>
      <c r="V23" s="70">
        <v>902015</v>
      </c>
    </row>
    <row r="24" spans="1:38">
      <c r="A24" s="9"/>
      <c r="B24" s="12"/>
      <c r="C24" s="31" t="s">
        <v>17</v>
      </c>
      <c r="D24" s="26"/>
      <c r="E24" s="32"/>
      <c r="F24" s="43"/>
      <c r="G24" s="43"/>
      <c r="H24" s="43"/>
      <c r="I24" s="43"/>
      <c r="J24" s="64"/>
      <c r="K24" s="64"/>
      <c r="L24" s="60"/>
      <c r="M24" s="43"/>
      <c r="N24" s="43"/>
      <c r="O24" s="43"/>
      <c r="P24" s="43"/>
      <c r="Q24" s="64"/>
      <c r="R24" s="64"/>
      <c r="S24" s="60"/>
      <c r="T24" s="43"/>
      <c r="U24" s="44"/>
      <c r="V24" s="44"/>
    </row>
    <row r="25" spans="1:38">
      <c r="B25" s="12"/>
      <c r="C25" s="33"/>
      <c r="D25" s="26" t="s">
        <v>5</v>
      </c>
      <c r="E25" s="32"/>
      <c r="F25" s="68">
        <v>1</v>
      </c>
      <c r="G25" s="68">
        <v>1</v>
      </c>
      <c r="H25" s="68">
        <v>1</v>
      </c>
      <c r="I25" s="68">
        <v>2</v>
      </c>
      <c r="J25" s="64">
        <f t="shared" si="0"/>
        <v>0</v>
      </c>
      <c r="K25" s="64">
        <f>IFERROR(F25/H25-1,"n/a")</f>
        <v>0</v>
      </c>
      <c r="L25" s="60">
        <f t="shared" si="1"/>
        <v>-0.5</v>
      </c>
      <c r="M25" s="68">
        <v>1</v>
      </c>
      <c r="N25" s="68">
        <v>2</v>
      </c>
      <c r="O25" s="68">
        <v>1</v>
      </c>
      <c r="P25" s="68">
        <v>3</v>
      </c>
      <c r="Q25" s="64">
        <f>IFERROR(M25/N25-1,"n/a")</f>
        <v>-0.5</v>
      </c>
      <c r="R25" s="64">
        <f>IFERROR(M25/O25-1,"n/a")</f>
        <v>0</v>
      </c>
      <c r="S25" s="60">
        <f>IFERROR(M25/P25-1,"n/a")</f>
        <v>-0.66666666666666674</v>
      </c>
      <c r="T25" s="68">
        <v>127</v>
      </c>
      <c r="U25" s="70">
        <v>37</v>
      </c>
      <c r="V25" s="70">
        <f>282+81</f>
        <v>363</v>
      </c>
    </row>
    <row r="26" spans="1:38">
      <c r="A26" s="9"/>
      <c r="B26" s="12"/>
      <c r="C26" s="33"/>
      <c r="D26" s="26" t="s">
        <v>11</v>
      </c>
      <c r="E26" s="32"/>
      <c r="F26" s="68">
        <v>1983</v>
      </c>
      <c r="G26" s="68">
        <v>639</v>
      </c>
      <c r="H26" s="68">
        <v>892</v>
      </c>
      <c r="I26" s="68">
        <v>3305</v>
      </c>
      <c r="J26" s="64">
        <f t="shared" si="0"/>
        <v>2.103286384976526</v>
      </c>
      <c r="K26" s="64">
        <f>IFERROR(F26/H26-1,"n/a")</f>
        <v>1.2230941704035874</v>
      </c>
      <c r="L26" s="60">
        <f t="shared" si="1"/>
        <v>-0.4</v>
      </c>
      <c r="M26" s="68">
        <v>1983</v>
      </c>
      <c r="N26" s="68">
        <v>1283</v>
      </c>
      <c r="O26" s="68">
        <v>892</v>
      </c>
      <c r="P26" s="68">
        <v>4657</v>
      </c>
      <c r="Q26" s="64">
        <f>IFERROR(M26/N26-1,"n/a")</f>
        <v>0.54559625876851126</v>
      </c>
      <c r="R26" s="64">
        <f>IFERROR(M26/O26-1,"n/a")</f>
        <v>1.2230941704035874</v>
      </c>
      <c r="S26" s="60">
        <f>IFERROR(M26/P26-1,"n/a")</f>
        <v>-0.57418939231264765</v>
      </c>
      <c r="T26" s="68">
        <v>165083</v>
      </c>
      <c r="U26" s="70">
        <f>20768+8294</f>
        <v>29062</v>
      </c>
      <c r="V26" s="70">
        <f>659951+168729+38484</f>
        <v>867164</v>
      </c>
    </row>
    <row r="27" spans="1:38" ht="15.75" thickBot="1">
      <c r="A27" s="9"/>
      <c r="B27" s="12"/>
      <c r="C27" s="35" t="s">
        <v>12</v>
      </c>
      <c r="D27" s="36"/>
      <c r="E27" s="37"/>
      <c r="F27" s="46">
        <f t="shared" ref="F27:I28" si="2">F10+F13+F16+F19+F22+F25</f>
        <v>184</v>
      </c>
      <c r="G27" s="46">
        <f t="shared" si="2"/>
        <v>5</v>
      </c>
      <c r="H27" s="46">
        <f t="shared" si="2"/>
        <v>193</v>
      </c>
      <c r="I27" s="46">
        <f t="shared" si="2"/>
        <v>188</v>
      </c>
      <c r="J27" s="66">
        <f t="shared" si="0"/>
        <v>35.799999999999997</v>
      </c>
      <c r="K27" s="66">
        <f>IFERROR(F27/H27-1,"n/a")</f>
        <v>-4.6632124352331661E-2</v>
      </c>
      <c r="L27" s="62">
        <f t="shared" si="1"/>
        <v>-2.1276595744680882E-2</v>
      </c>
      <c r="M27" s="46">
        <f t="shared" ref="M27:P28" si="3">M10+M13+M16+M19+M22+M25</f>
        <v>370</v>
      </c>
      <c r="N27" s="46">
        <f t="shared" si="3"/>
        <v>7</v>
      </c>
      <c r="O27" s="46">
        <f t="shared" si="3"/>
        <v>405</v>
      </c>
      <c r="P27" s="46">
        <f t="shared" si="3"/>
        <v>406</v>
      </c>
      <c r="Q27" s="66">
        <f>IFERROR(M27/N27-1,"n/a")</f>
        <v>51.857142857142854</v>
      </c>
      <c r="R27" s="66">
        <f>IFERROR(M27/O27-1,"n/a")</f>
        <v>-8.6419753086419804E-2</v>
      </c>
      <c r="S27" s="62">
        <f>IFERROR(M27/P27-1,"n/a")</f>
        <v>-8.8669950738916259E-2</v>
      </c>
      <c r="T27" s="46">
        <f t="shared" ref="T27:V28" si="4">T10+T13+T16+T19+T22+T25</f>
        <v>1062</v>
      </c>
      <c r="U27" s="46">
        <f t="shared" si="4"/>
        <v>667</v>
      </c>
      <c r="V27" s="46">
        <f t="shared" si="4"/>
        <v>3344</v>
      </c>
    </row>
    <row r="28" spans="1:38" s="22" customFormat="1" ht="16.5" thickTop="1" thickBot="1">
      <c r="A28" s="9"/>
      <c r="B28" s="12"/>
      <c r="C28" s="38" t="s">
        <v>13</v>
      </c>
      <c r="D28" s="39"/>
      <c r="E28" s="40"/>
      <c r="F28" s="47">
        <f t="shared" si="2"/>
        <v>241516</v>
      </c>
      <c r="G28" s="47">
        <f t="shared" si="2"/>
        <v>4669</v>
      </c>
      <c r="H28" s="47">
        <f t="shared" si="2"/>
        <v>494948</v>
      </c>
      <c r="I28" s="47">
        <f t="shared" si="2"/>
        <v>513727</v>
      </c>
      <c r="J28" s="67">
        <f t="shared" si="0"/>
        <v>50.727564789034055</v>
      </c>
      <c r="K28" s="67">
        <f>IFERROR(F28/H28-1,"n/a")</f>
        <v>-0.5120376281952852</v>
      </c>
      <c r="L28" s="63">
        <f t="shared" si="1"/>
        <v>-0.52987481678011861</v>
      </c>
      <c r="M28" s="47">
        <f t="shared" si="3"/>
        <v>461472</v>
      </c>
      <c r="N28" s="47">
        <f t="shared" si="3"/>
        <v>5957</v>
      </c>
      <c r="O28" s="47">
        <f t="shared" si="3"/>
        <v>1049986</v>
      </c>
      <c r="P28" s="47">
        <f t="shared" si="3"/>
        <v>1134579</v>
      </c>
      <c r="Q28" s="67">
        <f>IFERROR(M28/N28-1,"n/a")</f>
        <v>76.467181467181462</v>
      </c>
      <c r="R28" s="67">
        <f>IFERROR(M28/O28-1,"n/a")</f>
        <v>-0.56049699710281853</v>
      </c>
      <c r="S28" s="63">
        <f>IFERROR(M28/P28-1,"n/a")</f>
        <v>-0.59326587218695215</v>
      </c>
      <c r="T28" s="47">
        <f t="shared" si="4"/>
        <v>1554247</v>
      </c>
      <c r="U28" s="47">
        <f t="shared" si="4"/>
        <v>1323431</v>
      </c>
      <c r="V28" s="47">
        <f t="shared" si="4"/>
        <v>9169021</v>
      </c>
      <c r="W28" s="9"/>
      <c r="X28" s="21"/>
      <c r="Y28" s="21"/>
      <c r="Z28" s="21"/>
      <c r="AA28" s="21"/>
      <c r="AB28" s="21"/>
      <c r="AC28" s="21"/>
      <c r="AD28" s="21"/>
      <c r="AE28" s="21"/>
      <c r="AF28" s="21"/>
      <c r="AG28" s="21"/>
      <c r="AH28" s="21"/>
      <c r="AI28" s="21"/>
      <c r="AJ28" s="21"/>
      <c r="AK28" s="21"/>
      <c r="AL28" s="21"/>
    </row>
    <row r="29" spans="1:38" ht="15.75" thickTop="1">
      <c r="A29" s="9"/>
      <c r="B29" s="9"/>
      <c r="C29" s="9"/>
      <c r="D29" s="9"/>
      <c r="E29" s="9"/>
      <c r="F29" s="9"/>
      <c r="G29" s="41"/>
      <c r="H29" s="41"/>
      <c r="I29" s="41"/>
      <c r="J29" s="41"/>
      <c r="K29" s="9"/>
      <c r="L29" s="9"/>
      <c r="M29" s="9"/>
      <c r="N29" s="9"/>
      <c r="O29" s="9"/>
      <c r="P29" s="9"/>
      <c r="Q29" s="9"/>
      <c r="R29" s="9"/>
      <c r="S29" s="9"/>
      <c r="T29" s="9"/>
      <c r="U29" s="9"/>
      <c r="V29" s="9"/>
    </row>
    <row r="30" spans="1:38" hidden="1">
      <c r="A30" s="9"/>
      <c r="B30" s="9"/>
      <c r="C30" s="9"/>
      <c r="D30" s="9"/>
      <c r="E30" s="9"/>
      <c r="F30" s="9"/>
      <c r="G30" s="41"/>
      <c r="H30" s="41"/>
      <c r="I30" s="41"/>
      <c r="J30" s="41"/>
      <c r="K30" s="9"/>
      <c r="L30" s="9"/>
      <c r="M30" s="9"/>
      <c r="N30" s="9"/>
      <c r="O30" s="9"/>
      <c r="P30" s="9"/>
      <c r="Q30" s="9"/>
      <c r="R30" s="9"/>
      <c r="S30" s="9"/>
      <c r="T30" s="9"/>
      <c r="U30" s="9"/>
      <c r="V30" s="9"/>
    </row>
    <row r="31" spans="1:38" hidden="1">
      <c r="A31" s="9"/>
      <c r="B31" s="9"/>
      <c r="C31" s="9"/>
      <c r="D31" s="9"/>
      <c r="E31" s="9"/>
      <c r="F31" s="9"/>
      <c r="G31" s="41"/>
      <c r="H31" s="41"/>
      <c r="I31" s="41"/>
      <c r="J31" s="41"/>
      <c r="K31" s="9"/>
      <c r="L31" s="9"/>
      <c r="M31" s="9"/>
      <c r="N31" s="9"/>
      <c r="O31" s="9"/>
      <c r="P31" s="9"/>
      <c r="Q31" s="9"/>
      <c r="R31" s="9"/>
      <c r="S31" s="9"/>
      <c r="T31" s="9"/>
      <c r="U31" s="9"/>
      <c r="V31" s="9"/>
    </row>
    <row r="32" spans="1:38" hidden="1">
      <c r="A32" s="9"/>
      <c r="B32" s="9"/>
      <c r="C32" s="9"/>
      <c r="D32" s="9"/>
      <c r="E32" s="9"/>
      <c r="F32" s="9"/>
      <c r="G32" s="41"/>
      <c r="H32" s="41"/>
      <c r="I32" s="41"/>
      <c r="J32" s="41"/>
      <c r="K32" s="9"/>
      <c r="L32" s="9"/>
      <c r="M32" s="9"/>
      <c r="N32" s="9"/>
      <c r="O32" s="9"/>
      <c r="P32" s="9"/>
      <c r="Q32" s="9"/>
      <c r="R32" s="9"/>
      <c r="S32" s="9"/>
      <c r="T32" s="9"/>
      <c r="U32" s="9"/>
      <c r="V32" s="9"/>
    </row>
    <row r="33" spans="7:10" s="9" customFormat="1" hidden="1">
      <c r="G33" s="41"/>
      <c r="H33" s="41"/>
      <c r="I33" s="41"/>
      <c r="J33" s="41"/>
    </row>
    <row r="34" spans="7:10" s="9" customFormat="1" hidden="1">
      <c r="G34" s="41"/>
      <c r="H34" s="41"/>
      <c r="I34" s="41"/>
      <c r="J34" s="41"/>
    </row>
    <row r="35" spans="7:10" s="9" customFormat="1" hidden="1">
      <c r="G35" s="41"/>
      <c r="H35" s="41"/>
      <c r="I35" s="41"/>
      <c r="J35" s="41"/>
    </row>
    <row r="36" spans="7:10" s="9" customFormat="1" hidden="1">
      <c r="G36" s="41"/>
      <c r="H36" s="41"/>
      <c r="I36" s="41"/>
      <c r="J36" s="41"/>
    </row>
    <row r="37" spans="7:10" s="9" customFormat="1" hidden="1">
      <c r="G37" s="41"/>
      <c r="H37" s="41"/>
      <c r="I37" s="41"/>
      <c r="J37" s="41"/>
    </row>
    <row r="38" spans="7:10" s="9" customFormat="1" hidden="1">
      <c r="G38" s="41"/>
      <c r="H38" s="41"/>
      <c r="I38" s="41"/>
      <c r="J38" s="41"/>
    </row>
    <row r="39" spans="7:10" s="9" customFormat="1" hidden="1">
      <c r="G39" s="41"/>
      <c r="H39" s="41"/>
      <c r="I39" s="41"/>
      <c r="J39" s="41"/>
    </row>
    <row r="40" spans="7:10" s="9" customFormat="1" hidden="1">
      <c r="G40" s="41"/>
      <c r="H40" s="41"/>
      <c r="I40" s="41"/>
      <c r="J40" s="41"/>
    </row>
    <row r="41" spans="7:10" s="9" customFormat="1" hidden="1">
      <c r="G41" s="41"/>
      <c r="H41" s="41"/>
      <c r="I41" s="41"/>
      <c r="J41" s="41"/>
    </row>
    <row r="42" spans="7:10" s="9" customFormat="1" hidden="1">
      <c r="G42" s="41"/>
      <c r="H42" s="41"/>
      <c r="I42" s="41"/>
      <c r="J42" s="41"/>
    </row>
    <row r="43" spans="7:10" s="9" customFormat="1" hidden="1">
      <c r="G43" s="41"/>
      <c r="H43" s="41"/>
      <c r="I43" s="41"/>
      <c r="J43" s="41"/>
    </row>
    <row r="44" spans="7:10" s="9" customFormat="1" hidden="1">
      <c r="G44" s="41"/>
      <c r="H44" s="41"/>
      <c r="I44" s="41"/>
      <c r="J44" s="41"/>
    </row>
    <row r="45" spans="7:10" s="9" customFormat="1" hidden="1">
      <c r="G45" s="41"/>
      <c r="H45" s="41"/>
      <c r="I45" s="41"/>
      <c r="J45" s="41"/>
    </row>
    <row r="46" spans="7:10" s="9" customFormat="1" hidden="1">
      <c r="G46" s="41"/>
      <c r="H46" s="41"/>
      <c r="I46" s="41"/>
      <c r="J46" s="41"/>
    </row>
    <row r="47" spans="7:10" s="9" customFormat="1" hidden="1">
      <c r="G47" s="41"/>
      <c r="H47" s="41"/>
      <c r="I47" s="41"/>
      <c r="J47" s="41"/>
    </row>
    <row r="48" spans="7:10" s="9" customFormat="1" hidden="1"/>
  </sheetData>
  <customSheetViews>
    <customSheetView guid="{5F6D01E3-9E6F-4D7F-980F-63899AF95899}" scale="79" showGridLines="0" fitToPage="1" hiddenRows="1" hiddenColumns="1">
      <pageMargins left="0.7" right="0.7" top="0.75" bottom="0.75" header="0.3" footer="0.3"/>
      <pageSetup paperSize="9" scale="85" orientation="landscape" horizontalDpi="4294967293" verticalDpi="4294967293" r:id="rId1"/>
    </customSheetView>
  </customSheetViews>
  <mergeCells count="3">
    <mergeCell ref="F6:L6"/>
    <mergeCell ref="M6:S6"/>
    <mergeCell ref="T6:V6"/>
  </mergeCells>
  <pageMargins left="0.7" right="0.7" top="0.75" bottom="0.75" header="0.3" footer="0.3"/>
  <pageSetup paperSize="9" scale="85" orientation="landscape" horizontalDpi="4294967293" verticalDpi="4294967293"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6" tint="-0.499984740745262"/>
    <pageSetUpPr fitToPage="1"/>
  </sheetPr>
  <dimension ref="A1:BL58"/>
  <sheetViews>
    <sheetView showGridLines="0" tabSelected="1" zoomScale="90" zoomScaleNormal="90" zoomScalePageLayoutView="40" workbookViewId="0"/>
  </sheetViews>
  <sheetFormatPr defaultColWidth="0" defaultRowHeight="0" customHeight="1" zeroHeight="1"/>
  <cols>
    <col min="1" max="2" width="2.5703125" customWidth="1"/>
    <col min="3" max="3" width="39" customWidth="1"/>
    <col min="4" max="4" width="1.85546875" customWidth="1"/>
    <col min="5" max="5" width="15.42578125" customWidth="1"/>
    <col min="6" max="17" width="5.85546875" style="94" bestFit="1" customWidth="1"/>
    <col min="18" max="18" width="6.140625" bestFit="1" customWidth="1"/>
    <col min="19" max="23" width="5.85546875" bestFit="1" customWidth="1"/>
    <col min="24" max="24" width="5.85546875" customWidth="1"/>
    <col min="25" max="25" width="5.85546875" bestFit="1" customWidth="1"/>
    <col min="26" max="27" width="5.85546875" customWidth="1"/>
    <col min="28" max="28" width="5.85546875" bestFit="1" customWidth="1"/>
    <col min="29" max="35" width="5.85546875" customWidth="1"/>
    <col min="36" max="36" width="7.5703125" bestFit="1" customWidth="1"/>
    <col min="37" max="37" width="7.5703125" customWidth="1"/>
    <col min="38" max="38" width="5.85546875" style="9" bestFit="1" customWidth="1"/>
    <col min="39" max="53" width="0" style="9" hidden="1" customWidth="1"/>
    <col min="54" max="64" width="0" hidden="1" customWidth="1"/>
    <col min="65" max="16384" width="9.140625" hidden="1"/>
  </cols>
  <sheetData>
    <row r="1" spans="1:53" ht="15">
      <c r="A1" s="9"/>
      <c r="B1" s="9"/>
      <c r="C1" s="9"/>
      <c r="D1" s="9"/>
      <c r="E1" s="9"/>
      <c r="F1" s="91"/>
      <c r="G1" s="91"/>
      <c r="H1" s="91"/>
      <c r="I1" s="91"/>
      <c r="J1" s="91"/>
      <c r="K1" s="91"/>
      <c r="L1" s="91"/>
      <c r="M1" s="91"/>
      <c r="N1" s="91"/>
      <c r="O1" s="91"/>
      <c r="P1" s="91"/>
      <c r="Q1" s="91"/>
      <c r="R1" s="9"/>
      <c r="S1" s="9"/>
      <c r="T1" s="9"/>
      <c r="U1" s="9"/>
      <c r="W1" s="9"/>
      <c r="X1" s="9"/>
      <c r="Y1" s="9"/>
      <c r="Z1" s="9"/>
      <c r="AA1" s="9"/>
      <c r="AB1" s="9"/>
      <c r="AC1" s="9"/>
      <c r="AD1" s="9"/>
      <c r="AE1" s="9"/>
      <c r="AF1" s="9"/>
      <c r="AG1" s="9"/>
      <c r="AH1" s="9"/>
      <c r="AI1" s="9"/>
      <c r="AJ1" s="9"/>
      <c r="AK1" s="9"/>
    </row>
    <row r="2" spans="1:53" ht="19.5" thickBot="1">
      <c r="A2" s="9"/>
      <c r="B2" s="8" t="s">
        <v>128</v>
      </c>
      <c r="C2" s="23"/>
      <c r="D2" s="23"/>
      <c r="E2" s="23"/>
      <c r="F2" s="92"/>
      <c r="G2" s="92"/>
      <c r="H2" s="92"/>
      <c r="I2" s="92"/>
      <c r="J2" s="92"/>
      <c r="K2" s="92"/>
      <c r="L2" s="92"/>
      <c r="M2" s="92"/>
      <c r="N2" s="92"/>
      <c r="O2" s="92"/>
      <c r="P2" s="92"/>
      <c r="Q2" s="92"/>
      <c r="R2" s="23"/>
      <c r="S2" s="23"/>
      <c r="T2" s="23"/>
      <c r="U2" s="23"/>
      <c r="V2" s="23"/>
      <c r="W2" s="23"/>
      <c r="X2" s="23"/>
      <c r="Y2" s="23"/>
      <c r="Z2" s="23"/>
      <c r="AA2" s="23"/>
      <c r="AB2" s="23"/>
      <c r="AC2" s="23"/>
      <c r="AD2" s="23"/>
      <c r="AE2" s="23"/>
      <c r="AF2" s="23"/>
      <c r="AG2" s="23"/>
      <c r="AH2" s="23"/>
      <c r="AI2" s="23"/>
      <c r="AJ2" s="23"/>
      <c r="AK2" s="169"/>
    </row>
    <row r="3" spans="1:53" ht="15">
      <c r="A3" s="9"/>
      <c r="B3" s="10"/>
      <c r="C3" s="24"/>
      <c r="D3" s="24"/>
      <c r="E3" s="24"/>
      <c r="F3" s="93"/>
      <c r="G3" s="93"/>
      <c r="H3" s="93"/>
      <c r="I3" s="93"/>
      <c r="J3" s="93"/>
      <c r="K3" s="93"/>
      <c r="L3" s="93"/>
      <c r="M3" s="93"/>
      <c r="N3" s="93"/>
      <c r="O3" s="93"/>
      <c r="P3" s="93"/>
      <c r="Q3" s="93"/>
      <c r="R3" s="24"/>
      <c r="S3" s="24"/>
      <c r="AJ3" s="25">
        <f>+' '!I17</f>
        <v>45582</v>
      </c>
      <c r="AK3" s="25"/>
    </row>
    <row r="4" spans="1:53" ht="15.75">
      <c r="A4" s="9"/>
      <c r="B4" s="11" t="s">
        <v>7</v>
      </c>
      <c r="C4" s="26"/>
      <c r="D4" s="24"/>
      <c r="E4" s="58" t="s">
        <v>139</v>
      </c>
      <c r="F4" s="93"/>
      <c r="G4" s="93"/>
      <c r="H4" s="93"/>
      <c r="I4" s="93"/>
      <c r="J4" s="93"/>
      <c r="K4" s="93"/>
      <c r="L4" s="93"/>
      <c r="M4" s="93"/>
      <c r="N4" s="93"/>
      <c r="O4" s="93"/>
      <c r="P4" s="93"/>
      <c r="Q4" s="93"/>
      <c r="R4" s="24"/>
      <c r="S4" s="24"/>
      <c r="T4" s="24"/>
      <c r="U4" s="24"/>
      <c r="V4" s="24"/>
      <c r="W4" s="24"/>
      <c r="X4" s="24"/>
      <c r="Y4" s="24"/>
      <c r="Z4" s="24"/>
      <c r="AA4" s="24"/>
      <c r="AB4" s="24"/>
      <c r="AC4" s="24"/>
      <c r="AD4" s="24"/>
      <c r="AE4" s="24"/>
      <c r="AF4" s="24"/>
      <c r="AG4" s="24"/>
      <c r="AH4" s="24"/>
      <c r="AI4" s="24"/>
      <c r="AJ4" s="24"/>
      <c r="AK4" s="24"/>
    </row>
    <row r="5" spans="1:53" ht="15">
      <c r="A5" s="9"/>
      <c r="B5" s="10"/>
      <c r="C5" s="24"/>
      <c r="D5" s="24"/>
      <c r="E5" s="24"/>
      <c r="F5" s="93"/>
      <c r="G5" s="93"/>
      <c r="H5" s="93"/>
      <c r="I5" s="93"/>
      <c r="J5" s="93"/>
      <c r="K5" s="93"/>
      <c r="L5" s="93"/>
      <c r="M5" s="93"/>
      <c r="N5" s="93"/>
      <c r="O5" s="93"/>
      <c r="P5" s="93"/>
      <c r="Q5" s="93"/>
      <c r="R5" s="24"/>
      <c r="S5" s="24"/>
      <c r="T5" s="24"/>
      <c r="U5" s="24"/>
      <c r="V5" s="24"/>
      <c r="W5" s="24"/>
      <c r="X5" s="24"/>
      <c r="Y5" s="24"/>
      <c r="Z5" s="24"/>
      <c r="AA5" s="24"/>
      <c r="AB5" s="24"/>
      <c r="AC5" s="24"/>
      <c r="AD5" s="24"/>
      <c r="AE5" s="24"/>
      <c r="AF5" s="24"/>
      <c r="AG5" s="24"/>
      <c r="AH5" s="24"/>
      <c r="AI5" s="24"/>
      <c r="AJ5" s="24"/>
      <c r="AK5" s="24"/>
    </row>
    <row r="6" spans="1:53" ht="15">
      <c r="A6" s="9"/>
      <c r="B6" s="86" t="s">
        <v>104</v>
      </c>
      <c r="D6" s="24"/>
      <c r="E6" s="24"/>
      <c r="F6" s="93"/>
      <c r="G6" s="93"/>
      <c r="H6" s="93"/>
      <c r="I6" s="93"/>
      <c r="J6" s="93"/>
      <c r="K6" s="93"/>
      <c r="L6" s="93"/>
      <c r="M6" s="93"/>
      <c r="N6" s="93"/>
      <c r="O6" s="93"/>
      <c r="P6" s="93"/>
      <c r="Q6" s="93"/>
      <c r="R6" s="24"/>
      <c r="S6" s="24"/>
      <c r="T6" s="24"/>
      <c r="U6" s="24"/>
      <c r="V6" s="24"/>
      <c r="W6" s="24"/>
      <c r="X6" s="24"/>
      <c r="Y6" s="24"/>
      <c r="Z6" s="24"/>
      <c r="AA6" s="24"/>
      <c r="AB6" s="24"/>
      <c r="AC6" s="24"/>
      <c r="AD6" s="24"/>
      <c r="AE6" s="24"/>
      <c r="AF6" s="24"/>
      <c r="AG6" s="24"/>
      <c r="AH6" s="24"/>
      <c r="AI6" s="24"/>
      <c r="AJ6" s="24"/>
      <c r="AK6" s="24"/>
    </row>
    <row r="7" spans="1:53" ht="15">
      <c r="A7" s="9"/>
      <c r="B7" s="10"/>
      <c r="C7" s="105" t="s">
        <v>105</v>
      </c>
      <c r="D7" s="106"/>
      <c r="E7" s="107"/>
      <c r="F7" s="112">
        <v>2022</v>
      </c>
      <c r="G7" s="112">
        <v>2022</v>
      </c>
      <c r="H7" s="112">
        <v>2022</v>
      </c>
      <c r="I7" s="112">
        <v>2022</v>
      </c>
      <c r="J7" s="112">
        <v>2022</v>
      </c>
      <c r="K7" s="112">
        <v>2022</v>
      </c>
      <c r="L7" s="112">
        <v>2022</v>
      </c>
      <c r="M7" s="112">
        <v>2022</v>
      </c>
      <c r="N7" s="112">
        <v>2022</v>
      </c>
      <c r="O7" s="112">
        <v>2022</v>
      </c>
      <c r="P7" s="112">
        <v>2022</v>
      </c>
      <c r="Q7" s="112">
        <v>2022</v>
      </c>
      <c r="R7" s="112">
        <v>2023</v>
      </c>
      <c r="S7" s="112">
        <v>2023</v>
      </c>
      <c r="T7" s="112">
        <v>2023</v>
      </c>
      <c r="U7" s="112">
        <v>2023</v>
      </c>
      <c r="V7" s="112">
        <v>2023</v>
      </c>
      <c r="W7" s="112">
        <v>2023</v>
      </c>
      <c r="X7" s="112">
        <v>2023</v>
      </c>
      <c r="Y7" s="112">
        <v>2023</v>
      </c>
      <c r="Z7" s="112">
        <v>2023</v>
      </c>
      <c r="AA7" s="112">
        <v>2023</v>
      </c>
      <c r="AB7" s="112">
        <v>2023</v>
      </c>
      <c r="AC7" s="112">
        <v>2023</v>
      </c>
      <c r="AD7" s="112">
        <v>2024</v>
      </c>
      <c r="AE7" s="112">
        <v>2024</v>
      </c>
      <c r="AF7" s="112">
        <v>2024</v>
      </c>
      <c r="AG7" s="112">
        <v>2024</v>
      </c>
      <c r="AH7" s="112">
        <v>2024</v>
      </c>
      <c r="AI7" s="112">
        <v>2024</v>
      </c>
      <c r="AJ7" s="112">
        <v>2024</v>
      </c>
      <c r="AK7" s="112">
        <v>2024</v>
      </c>
      <c r="AL7" s="112">
        <v>2024</v>
      </c>
    </row>
    <row r="8" spans="1:53" s="20" customFormat="1" ht="15">
      <c r="A8" s="9"/>
      <c r="B8"/>
      <c r="C8" s="27" t="s">
        <v>7</v>
      </c>
      <c r="D8" s="28"/>
      <c r="E8" s="28"/>
      <c r="F8" s="101" t="s">
        <v>75</v>
      </c>
      <c r="G8" s="101" t="s">
        <v>76</v>
      </c>
      <c r="H8" s="101" t="s">
        <v>77</v>
      </c>
      <c r="I8" s="101" t="s">
        <v>45</v>
      </c>
      <c r="J8" s="101" t="s">
        <v>47</v>
      </c>
      <c r="K8" s="101" t="s">
        <v>51</v>
      </c>
      <c r="L8" s="101" t="s">
        <v>55</v>
      </c>
      <c r="M8" s="101" t="s">
        <v>78</v>
      </c>
      <c r="N8" s="101" t="s">
        <v>79</v>
      </c>
      <c r="O8" s="101" t="s">
        <v>80</v>
      </c>
      <c r="P8" s="101" t="s">
        <v>81</v>
      </c>
      <c r="Q8" s="101" t="s">
        <v>82</v>
      </c>
      <c r="R8" s="101" t="s">
        <v>75</v>
      </c>
      <c r="S8" s="113" t="s">
        <v>76</v>
      </c>
      <c r="T8" s="113" t="s">
        <v>77</v>
      </c>
      <c r="U8" s="113" t="s">
        <v>121</v>
      </c>
      <c r="V8" s="113" t="s">
        <v>47</v>
      </c>
      <c r="W8" s="113" t="s">
        <v>51</v>
      </c>
      <c r="X8" s="113" t="s">
        <v>55</v>
      </c>
      <c r="Y8" s="113" t="s">
        <v>78</v>
      </c>
      <c r="Z8" s="113" t="s">
        <v>79</v>
      </c>
      <c r="AA8" s="113" t="s">
        <v>80</v>
      </c>
      <c r="AB8" s="113" t="s">
        <v>81</v>
      </c>
      <c r="AC8" s="113" t="s">
        <v>82</v>
      </c>
      <c r="AD8" s="113" t="s">
        <v>75</v>
      </c>
      <c r="AE8" s="113" t="s">
        <v>76</v>
      </c>
      <c r="AF8" s="113" t="s">
        <v>77</v>
      </c>
      <c r="AG8" s="113" t="s">
        <v>121</v>
      </c>
      <c r="AH8" s="113" t="s">
        <v>47</v>
      </c>
      <c r="AI8" s="113" t="s">
        <v>51</v>
      </c>
      <c r="AJ8" s="113" t="s">
        <v>55</v>
      </c>
      <c r="AK8" s="113" t="s">
        <v>78</v>
      </c>
      <c r="AL8" s="113" t="s">
        <v>79</v>
      </c>
      <c r="AM8" s="19"/>
      <c r="AN8" s="19"/>
      <c r="AO8" s="19"/>
      <c r="AP8" s="19"/>
      <c r="AQ8" s="19"/>
      <c r="AR8" s="19"/>
      <c r="AS8" s="19"/>
      <c r="AT8" s="19"/>
      <c r="AU8" s="19"/>
      <c r="AV8" s="19"/>
      <c r="AW8" s="19"/>
      <c r="AX8" s="19"/>
      <c r="AY8" s="19"/>
      <c r="AZ8" s="19"/>
      <c r="BA8" s="19"/>
    </row>
    <row r="9" spans="1:53" ht="20.25" customHeight="1">
      <c r="A9" s="9"/>
      <c r="B9" s="18"/>
      <c r="C9" s="114" t="s">
        <v>83</v>
      </c>
      <c r="D9" s="115"/>
      <c r="E9" s="115"/>
      <c r="F9" s="116">
        <v>0.438</v>
      </c>
      <c r="G9" s="117">
        <v>0.48799999999999999</v>
      </c>
      <c r="H9" s="117">
        <v>0.63400000000000001</v>
      </c>
      <c r="I9" s="117">
        <v>0.67100000000000004</v>
      </c>
      <c r="J9" s="117">
        <v>0.65500000000000003</v>
      </c>
      <c r="K9" s="117">
        <v>0.78100000000000003</v>
      </c>
      <c r="L9" s="117">
        <v>0.89800000000000002</v>
      </c>
      <c r="M9" s="117">
        <v>0.96599999999999997</v>
      </c>
      <c r="N9" s="117">
        <v>0.88600000000000001</v>
      </c>
      <c r="O9" s="117">
        <v>0.87811353241344148</v>
      </c>
      <c r="P9" s="117">
        <v>0.87302339390587125</v>
      </c>
      <c r="Q9" s="117">
        <v>0.97759515227240656</v>
      </c>
      <c r="R9" s="133">
        <v>0.99686465614917141</v>
      </c>
      <c r="S9" s="133">
        <v>1.032</v>
      </c>
      <c r="T9" s="133">
        <v>1.0449999999999999</v>
      </c>
      <c r="U9" s="133">
        <v>1.0569</v>
      </c>
      <c r="V9" s="133">
        <v>0.98</v>
      </c>
      <c r="W9" s="133">
        <v>1.0900000000000001</v>
      </c>
      <c r="X9" s="133">
        <v>1.1599999999999999</v>
      </c>
      <c r="Y9" s="133">
        <v>1.1499999999999999</v>
      </c>
      <c r="Z9" s="133">
        <v>1.0489999999999999</v>
      </c>
      <c r="AA9" s="133">
        <v>1.18</v>
      </c>
      <c r="AB9" s="133">
        <v>0.99</v>
      </c>
      <c r="AC9" s="133">
        <v>1.05</v>
      </c>
      <c r="AD9" s="133">
        <v>1.07</v>
      </c>
      <c r="AE9" s="133">
        <v>1.07</v>
      </c>
      <c r="AF9" s="133">
        <v>1.08</v>
      </c>
      <c r="AG9" s="133">
        <v>1.06</v>
      </c>
      <c r="AH9" s="133">
        <v>1.04</v>
      </c>
      <c r="AI9" s="133">
        <v>1.0900000000000001</v>
      </c>
      <c r="AJ9" s="133">
        <v>1.1499999999999999</v>
      </c>
      <c r="AK9" s="133">
        <v>1.1299999999999999</v>
      </c>
      <c r="AL9" s="133">
        <v>1.04</v>
      </c>
    </row>
    <row r="10" spans="1:53" ht="20.25" customHeight="1">
      <c r="A10" s="9"/>
      <c r="B10" s="18"/>
      <c r="C10" s="102"/>
      <c r="D10" s="103"/>
      <c r="E10" s="103"/>
      <c r="F10" s="99"/>
      <c r="G10" s="99"/>
      <c r="H10" s="99"/>
      <c r="I10" s="99"/>
      <c r="J10" s="99"/>
      <c r="K10" s="99"/>
      <c r="L10" s="99"/>
      <c r="M10" s="99"/>
      <c r="N10" s="99"/>
      <c r="O10" s="99"/>
      <c r="P10" s="99"/>
      <c r="Q10" s="104"/>
      <c r="R10" s="9"/>
      <c r="S10" s="9"/>
    </row>
    <row r="11" spans="1:53" ht="20.25" customHeight="1">
      <c r="A11" s="9"/>
      <c r="B11" s="9"/>
      <c r="C11" s="9"/>
      <c r="D11" s="9"/>
      <c r="E11" s="9"/>
      <c r="F11"/>
      <c r="G11"/>
      <c r="H11"/>
      <c r="I11"/>
      <c r="J11"/>
      <c r="K11"/>
      <c r="L11"/>
      <c r="M11"/>
      <c r="N11"/>
      <c r="O11" s="91"/>
      <c r="P11" s="91"/>
      <c r="Q11" s="91"/>
      <c r="R11" s="9"/>
      <c r="S11" s="9"/>
    </row>
    <row r="12" spans="1:53" ht="20.25" customHeight="1">
      <c r="A12" s="9"/>
      <c r="B12" s="9"/>
      <c r="C12" s="100" t="s">
        <v>97</v>
      </c>
      <c r="D12" s="9"/>
      <c r="E12" s="9"/>
      <c r="F12"/>
      <c r="G12"/>
      <c r="H12"/>
      <c r="I12"/>
      <c r="J12"/>
      <c r="K12"/>
      <c r="L12"/>
      <c r="M12"/>
      <c r="N12"/>
      <c r="O12" s="91"/>
      <c r="P12" s="91"/>
      <c r="Q12" s="91"/>
      <c r="R12" s="9"/>
      <c r="S12" s="9"/>
    </row>
    <row r="13" spans="1:53" ht="20.25" customHeight="1">
      <c r="A13" s="9"/>
      <c r="B13" s="9"/>
      <c r="C13" s="100" t="s">
        <v>98</v>
      </c>
      <c r="D13" s="9"/>
      <c r="E13" s="9"/>
      <c r="F13"/>
      <c r="G13"/>
      <c r="H13"/>
      <c r="I13"/>
      <c r="J13"/>
      <c r="K13"/>
      <c r="L13"/>
      <c r="M13"/>
      <c r="N13"/>
      <c r="O13" s="91"/>
      <c r="P13" s="91"/>
      <c r="Q13" s="91"/>
      <c r="R13" s="9"/>
      <c r="S13" s="9"/>
    </row>
    <row r="14" spans="1:53" ht="26.85" hidden="1" customHeight="1"/>
    <row r="15" spans="1:53" ht="26.45" hidden="1" customHeight="1"/>
    <row r="16" spans="1:53" ht="26.45" hidden="1" customHeight="1"/>
    <row r="17" ht="26.85" hidden="1" customHeight="1"/>
    <row r="18" ht="26.85" hidden="1" customHeight="1"/>
    <row r="19" ht="26.85" hidden="1" customHeight="1"/>
    <row r="20" ht="26.85" hidden="1" customHeight="1"/>
    <row r="21" ht="26.85" hidden="1" customHeight="1"/>
    <row r="22" ht="26.85" hidden="1" customHeight="1"/>
    <row r="23" ht="26.85" hidden="1" customHeight="1"/>
    <row r="24" ht="26.85" hidden="1" customHeight="1"/>
    <row r="25" ht="26.85" hidden="1" customHeight="1"/>
    <row r="26" ht="26.85" hidden="1" customHeight="1"/>
    <row r="27" ht="26.85" hidden="1" customHeight="1"/>
    <row r="28" ht="26.85" hidden="1" customHeight="1"/>
    <row r="29" ht="26.85" hidden="1" customHeight="1"/>
    <row r="30" ht="26.85" hidden="1" customHeight="1"/>
    <row r="31" ht="26.85" hidden="1" customHeight="1"/>
    <row r="32" ht="26.85" hidden="1" customHeight="1"/>
    <row r="33" ht="26.85" hidden="1" customHeight="1"/>
    <row r="34" ht="26.85" hidden="1" customHeight="1"/>
    <row r="35" ht="26.85" hidden="1" customHeight="1"/>
    <row r="36" ht="26.85" hidden="1" customHeight="1"/>
    <row r="37" ht="26.85" hidden="1" customHeight="1"/>
    <row r="38" ht="26.85" hidden="1" customHeight="1"/>
    <row r="39" ht="11.45" hidden="1" customHeight="1"/>
    <row r="40" ht="9" hidden="1" customHeight="1"/>
    <row r="41" ht="17.45" hidden="1" customHeight="1"/>
    <row r="42" ht="26.85" hidden="1" customHeight="1"/>
    <row r="43" ht="26.85" hidden="1" customHeight="1"/>
    <row r="44" ht="26.85" hidden="1" customHeight="1"/>
    <row r="45" ht="26.85" hidden="1" customHeight="1"/>
    <row r="46" ht="26.85" hidden="1" customHeight="1"/>
    <row r="47" ht="26.85" hidden="1" customHeight="1"/>
    <row r="48" ht="26.85" hidden="1" customHeight="1"/>
    <row r="49" ht="26.85" hidden="1" customHeight="1"/>
    <row r="50" ht="26.85" hidden="1" customHeight="1"/>
    <row r="51" ht="26.85" hidden="1" customHeight="1"/>
    <row r="52" ht="26.85" hidden="1" customHeight="1"/>
    <row r="53" ht="26.85" hidden="1" customHeight="1"/>
    <row r="54" ht="26.85" hidden="1" customHeight="1"/>
    <row r="55" ht="26.85" hidden="1" customHeight="1"/>
    <row r="56" ht="26.85" hidden="1" customHeight="1"/>
    <row r="57" ht="26.85" hidden="1" customHeight="1"/>
    <row r="58" ht="26.85" hidden="1" customHeight="1"/>
  </sheetData>
  <phoneticPr fontId="32" type="noConversion"/>
  <pageMargins left="0.7" right="0.7" top="0.75" bottom="0.75" header="0.3" footer="0.3"/>
  <pageSetup paperSize="9" scale="52" orientation="landscape" horizontalDpi="4294967293" verticalDpi="4294967293" r:id="rId1"/>
  <colBreaks count="2" manualBreakCount="2">
    <brk id="3" max="1048575" man="1"/>
    <brk id="5" max="1048575" man="1"/>
  </colBreaks>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pageSetUpPr fitToPage="1"/>
  </sheetPr>
  <dimension ref="A1:AL48"/>
  <sheetViews>
    <sheetView showGridLines="0" zoomScaleNormal="100" workbookViewId="0"/>
  </sheetViews>
  <sheetFormatPr defaultColWidth="0" defaultRowHeight="15" customHeight="1" zeroHeight="1"/>
  <cols>
    <col min="1" max="3" width="2.5703125" customWidth="1"/>
    <col min="4" max="4" width="9.140625" customWidth="1"/>
    <col min="5" max="6" width="15.42578125" customWidth="1"/>
    <col min="7" max="7" width="11.140625" bestFit="1" customWidth="1"/>
    <col min="8" max="8" width="10.85546875" bestFit="1" customWidth="1"/>
    <col min="9" max="9" width="11.140625" bestFit="1" customWidth="1"/>
    <col min="10" max="10" width="8.5703125" customWidth="1"/>
    <col min="11" max="12" width="9.140625" customWidth="1"/>
    <col min="13" max="13" width="10.85546875" bestFit="1" customWidth="1"/>
    <col min="14" max="14" width="10.140625" bestFit="1" customWidth="1"/>
    <col min="15" max="15" width="12.140625" bestFit="1" customWidth="1"/>
    <col min="16" max="16" width="12.5703125" bestFit="1" customWidth="1"/>
    <col min="17" max="17" width="8.85546875" customWidth="1"/>
    <col min="18" max="19" width="9.140625" customWidth="1"/>
    <col min="20" max="20" width="12.140625" bestFit="1" customWidth="1"/>
    <col min="21" max="21" width="11.85546875" bestFit="1" customWidth="1"/>
    <col min="22" max="22" width="12.42578125" customWidth="1"/>
    <col min="23" max="23" width="3.140625" style="9" customWidth="1"/>
    <col min="24" max="38" width="0" style="9" hidden="1" customWidth="1"/>
    <col min="39" max="16384" width="9.140625" hidden="1"/>
  </cols>
  <sheetData>
    <row r="1" spans="1:38">
      <c r="A1" s="9"/>
      <c r="B1" s="9"/>
      <c r="C1" s="9"/>
      <c r="D1" s="9"/>
      <c r="E1" s="9"/>
      <c r="F1" s="9"/>
      <c r="G1" s="9"/>
      <c r="H1" s="9"/>
      <c r="I1" s="9"/>
      <c r="J1" s="9"/>
      <c r="K1" s="9"/>
      <c r="L1" s="9"/>
      <c r="M1" s="9"/>
      <c r="N1" s="9"/>
      <c r="O1" s="9"/>
      <c r="P1" s="9"/>
      <c r="Q1" s="9"/>
      <c r="R1" s="9"/>
      <c r="S1" s="9"/>
      <c r="T1" s="9"/>
      <c r="U1" s="9"/>
      <c r="V1" s="9"/>
    </row>
    <row r="2" spans="1:38" ht="19.5" thickBot="1">
      <c r="A2" s="9"/>
      <c r="B2" s="8" t="s">
        <v>6</v>
      </c>
      <c r="C2" s="23"/>
      <c r="D2" s="23"/>
      <c r="E2" s="23"/>
      <c r="F2" s="23"/>
      <c r="G2" s="23"/>
      <c r="H2" s="23"/>
      <c r="I2" s="23"/>
      <c r="J2" s="23"/>
      <c r="K2" s="23"/>
      <c r="L2" s="23"/>
      <c r="M2" s="23"/>
      <c r="N2" s="23"/>
      <c r="O2" s="23"/>
      <c r="P2" s="23"/>
      <c r="Q2" s="23"/>
      <c r="R2" s="23"/>
      <c r="S2" s="23"/>
      <c r="T2" s="23"/>
      <c r="U2" s="23"/>
      <c r="V2" s="23"/>
    </row>
    <row r="3" spans="1:38">
      <c r="A3" s="9"/>
      <c r="B3" s="10"/>
      <c r="C3" s="24"/>
      <c r="D3" s="24"/>
      <c r="E3" s="24"/>
      <c r="F3" s="24"/>
      <c r="G3" s="24"/>
      <c r="H3" s="24"/>
      <c r="I3" s="24"/>
      <c r="J3" s="24"/>
      <c r="K3" s="24"/>
      <c r="L3" s="24"/>
      <c r="M3" s="24"/>
      <c r="N3" s="24"/>
      <c r="O3" s="24"/>
      <c r="P3" s="24"/>
      <c r="Q3" s="24"/>
      <c r="R3" s="24"/>
      <c r="S3" s="24"/>
      <c r="T3" s="24"/>
      <c r="U3" s="24"/>
      <c r="V3" s="25"/>
    </row>
    <row r="4" spans="1:38" ht="15.75">
      <c r="A4" s="9"/>
      <c r="B4" s="11" t="s">
        <v>7</v>
      </c>
      <c r="C4" s="26"/>
      <c r="D4" s="24"/>
      <c r="E4" s="58" t="s">
        <v>37</v>
      </c>
      <c r="F4" s="24"/>
      <c r="G4" s="24"/>
      <c r="H4" s="24"/>
      <c r="I4" s="24"/>
      <c r="J4" s="24"/>
      <c r="K4" s="24"/>
      <c r="L4" s="24"/>
      <c r="M4" s="24"/>
      <c r="N4" s="24"/>
      <c r="O4" s="24"/>
      <c r="P4" s="24"/>
      <c r="Q4" s="24"/>
      <c r="R4" s="24"/>
      <c r="S4" s="24"/>
      <c r="T4" s="24"/>
      <c r="U4" s="24"/>
      <c r="V4" s="24"/>
    </row>
    <row r="5" spans="1:38">
      <c r="A5" s="9"/>
      <c r="B5" s="10"/>
      <c r="C5" s="24"/>
      <c r="D5" s="24"/>
      <c r="E5" s="24"/>
      <c r="F5" s="24"/>
      <c r="G5" s="24"/>
      <c r="H5" s="24"/>
      <c r="I5" s="24"/>
      <c r="J5" s="24"/>
      <c r="K5" s="24"/>
      <c r="L5" s="24"/>
      <c r="M5" s="24"/>
      <c r="N5" s="24"/>
      <c r="O5" s="24"/>
      <c r="P5" s="24"/>
      <c r="Q5" s="24"/>
      <c r="R5" s="24"/>
      <c r="S5" s="24"/>
      <c r="T5" s="24"/>
      <c r="U5" s="24"/>
      <c r="V5" s="24"/>
    </row>
    <row r="6" spans="1:38" s="20" customFormat="1">
      <c r="A6" s="9"/>
      <c r="B6"/>
      <c r="C6" s="27" t="s">
        <v>7</v>
      </c>
      <c r="D6" s="28"/>
      <c r="E6" s="28"/>
      <c r="F6" s="158" t="s">
        <v>33</v>
      </c>
      <c r="G6" s="158"/>
      <c r="H6" s="158"/>
      <c r="I6" s="158"/>
      <c r="J6" s="158"/>
      <c r="K6" s="158"/>
      <c r="L6" s="159"/>
      <c r="M6" s="157" t="s">
        <v>33</v>
      </c>
      <c r="N6" s="158"/>
      <c r="O6" s="158"/>
      <c r="P6" s="158"/>
      <c r="Q6" s="158"/>
      <c r="R6" s="158"/>
      <c r="S6" s="159"/>
      <c r="T6" s="157" t="s">
        <v>9</v>
      </c>
      <c r="U6" s="158"/>
      <c r="V6" s="158"/>
      <c r="W6" s="9"/>
      <c r="X6" s="19"/>
      <c r="Y6" s="19"/>
      <c r="Z6" s="19"/>
      <c r="AA6" s="19"/>
      <c r="AB6" s="19"/>
      <c r="AC6" s="19"/>
      <c r="AD6" s="19"/>
      <c r="AE6" s="19"/>
      <c r="AF6" s="19"/>
      <c r="AG6" s="19"/>
      <c r="AH6" s="19"/>
      <c r="AI6" s="19"/>
      <c r="AJ6" s="19"/>
      <c r="AK6" s="19"/>
      <c r="AL6" s="19"/>
    </row>
    <row r="7" spans="1:38" ht="15.75">
      <c r="A7" s="9"/>
      <c r="B7" s="18"/>
      <c r="C7" s="29"/>
      <c r="D7" s="30"/>
      <c r="E7" s="30"/>
      <c r="F7" s="29"/>
      <c r="G7" s="30"/>
      <c r="H7" s="30"/>
      <c r="I7" s="30"/>
      <c r="J7" s="30"/>
      <c r="K7" s="30"/>
      <c r="L7" s="56"/>
      <c r="M7" s="30"/>
      <c r="N7" s="30"/>
      <c r="O7" s="30"/>
      <c r="P7" s="30"/>
      <c r="Q7" s="30"/>
      <c r="R7" s="30"/>
      <c r="S7" s="56"/>
      <c r="T7" s="30"/>
      <c r="U7" s="30"/>
      <c r="V7" s="30"/>
    </row>
    <row r="8" spans="1:38" s="54" customFormat="1" ht="22.5">
      <c r="A8" s="48"/>
      <c r="B8" s="49"/>
      <c r="C8" s="59" t="s">
        <v>29</v>
      </c>
      <c r="D8" s="50"/>
      <c r="E8" s="51"/>
      <c r="F8" s="55">
        <v>2022</v>
      </c>
      <c r="G8" s="52">
        <v>2021</v>
      </c>
      <c r="H8" s="52">
        <v>2020</v>
      </c>
      <c r="I8" s="52">
        <v>2019</v>
      </c>
      <c r="J8" s="53" t="s">
        <v>36</v>
      </c>
      <c r="K8" s="53" t="s">
        <v>34</v>
      </c>
      <c r="L8" s="57" t="s">
        <v>35</v>
      </c>
      <c r="M8" s="53">
        <v>2022</v>
      </c>
      <c r="N8" s="52">
        <v>2021</v>
      </c>
      <c r="O8" s="52">
        <v>2020</v>
      </c>
      <c r="P8" s="52">
        <v>2019</v>
      </c>
      <c r="Q8" s="53" t="s">
        <v>36</v>
      </c>
      <c r="R8" s="53" t="s">
        <v>34</v>
      </c>
      <c r="S8" s="57" t="s">
        <v>35</v>
      </c>
      <c r="T8" s="53">
        <v>2021</v>
      </c>
      <c r="U8" s="52">
        <v>2020</v>
      </c>
      <c r="V8" s="52">
        <v>2019</v>
      </c>
      <c r="W8" s="48"/>
      <c r="X8" s="48"/>
      <c r="Y8" s="48"/>
      <c r="Z8" s="48"/>
      <c r="AA8" s="48"/>
      <c r="AB8" s="48"/>
      <c r="AC8" s="48"/>
      <c r="AD8" s="48"/>
      <c r="AE8" s="48"/>
      <c r="AF8" s="48"/>
      <c r="AG8" s="48"/>
      <c r="AH8" s="48"/>
      <c r="AI8" s="48"/>
      <c r="AJ8" s="48"/>
      <c r="AK8" s="48"/>
      <c r="AL8" s="48"/>
    </row>
    <row r="9" spans="1:38">
      <c r="A9" s="9"/>
      <c r="B9" s="12"/>
      <c r="C9" s="31" t="s">
        <v>14</v>
      </c>
      <c r="D9" s="26"/>
      <c r="E9" s="32"/>
      <c r="F9" s="26"/>
      <c r="G9" s="26"/>
      <c r="H9" s="26"/>
      <c r="I9" s="26"/>
      <c r="J9" s="26"/>
      <c r="K9" s="26"/>
      <c r="L9" s="32"/>
      <c r="M9" s="26"/>
      <c r="N9" s="26"/>
      <c r="O9" s="26"/>
      <c r="P9" s="26"/>
      <c r="Q9" s="26"/>
      <c r="R9" s="26"/>
      <c r="S9" s="32"/>
      <c r="T9" s="26"/>
      <c r="U9" s="26"/>
      <c r="V9" s="26"/>
    </row>
    <row r="10" spans="1:38">
      <c r="A10" s="9"/>
      <c r="B10" s="12"/>
      <c r="C10" s="33"/>
      <c r="D10" s="26" t="s">
        <v>5</v>
      </c>
      <c r="E10" s="32"/>
      <c r="F10" s="68">
        <v>64</v>
      </c>
      <c r="G10" s="68">
        <v>0</v>
      </c>
      <c r="H10" s="68">
        <v>61</v>
      </c>
      <c r="I10" s="68">
        <v>76</v>
      </c>
      <c r="J10" s="64" t="str">
        <f t="shared" ref="J10:J28" si="0">IFERROR(F10/G10-1,"n/a")</f>
        <v>n/a</v>
      </c>
      <c r="K10" s="64">
        <f>IFERROR(F10/H10-1,"n/a")</f>
        <v>4.9180327868852514E-2</v>
      </c>
      <c r="L10" s="60">
        <f>IFERROR(F10/I10-1,"n/a")</f>
        <v>-0.15789473684210531</v>
      </c>
      <c r="M10" s="68">
        <v>64</v>
      </c>
      <c r="N10" s="68">
        <v>0</v>
      </c>
      <c r="O10" s="68">
        <v>61</v>
      </c>
      <c r="P10" s="68">
        <v>76</v>
      </c>
      <c r="Q10" s="64" t="str">
        <f>IFERROR(M10/N10-1,"n/a")</f>
        <v>n/a</v>
      </c>
      <c r="R10" s="64">
        <f>IFERROR(M10/O10-1,"n/a")</f>
        <v>4.9180327868852514E-2</v>
      </c>
      <c r="S10" s="60">
        <f>IFERROR(M10/P10-1,"n/a")</f>
        <v>-0.15789473684210531</v>
      </c>
      <c r="T10" s="68">
        <v>111</v>
      </c>
      <c r="U10" s="70">
        <v>145</v>
      </c>
      <c r="V10" s="70">
        <v>386</v>
      </c>
    </row>
    <row r="11" spans="1:38">
      <c r="A11" s="9"/>
      <c r="B11" s="12"/>
      <c r="C11" s="33"/>
      <c r="D11" s="26" t="s">
        <v>11</v>
      </c>
      <c r="E11" s="32"/>
      <c r="F11" s="68">
        <v>50794</v>
      </c>
      <c r="G11" s="68">
        <v>0</v>
      </c>
      <c r="H11" s="68">
        <v>108796</v>
      </c>
      <c r="I11" s="68">
        <v>156866</v>
      </c>
      <c r="J11" s="64" t="str">
        <f t="shared" si="0"/>
        <v>n/a</v>
      </c>
      <c r="K11" s="64">
        <f>IFERROR(F11/H11-1,"n/a")</f>
        <v>-0.53312621787565717</v>
      </c>
      <c r="L11" s="60">
        <f>IFERROR(F11/I11-1,"n/a")</f>
        <v>-0.67619496895439424</v>
      </c>
      <c r="M11" s="68">
        <v>50794</v>
      </c>
      <c r="N11" s="68">
        <v>0</v>
      </c>
      <c r="O11" s="68">
        <v>108796</v>
      </c>
      <c r="P11" s="68">
        <v>156866</v>
      </c>
      <c r="Q11" s="64" t="str">
        <f>IFERROR(M11/N11-1,"n/a")</f>
        <v>n/a</v>
      </c>
      <c r="R11" s="64">
        <f>IFERROR(M11/O11-1,"n/a")</f>
        <v>-0.53312621787565717</v>
      </c>
      <c r="S11" s="60">
        <f>IFERROR(M11/P11-1,"n/a")</f>
        <v>-0.67619496895439424</v>
      </c>
      <c r="T11" s="68">
        <v>80863</v>
      </c>
      <c r="U11" s="70">
        <v>258885</v>
      </c>
      <c r="V11" s="70">
        <v>733296</v>
      </c>
    </row>
    <row r="12" spans="1:38">
      <c r="A12" s="9"/>
      <c r="B12" s="12"/>
      <c r="C12" s="31" t="s">
        <v>74</v>
      </c>
      <c r="D12" s="26"/>
      <c r="E12" s="32"/>
      <c r="F12" s="45"/>
      <c r="G12" s="45"/>
      <c r="H12" s="45"/>
      <c r="I12" s="45"/>
      <c r="J12" s="64"/>
      <c r="K12" s="64"/>
      <c r="L12" s="61"/>
      <c r="M12" s="43"/>
      <c r="N12" s="43"/>
      <c r="O12" s="43"/>
      <c r="P12" s="43"/>
      <c r="Q12" s="64"/>
      <c r="R12" s="65"/>
      <c r="S12" s="61"/>
      <c r="T12" s="43"/>
      <c r="U12" s="44"/>
      <c r="V12" s="44"/>
    </row>
    <row r="13" spans="1:38">
      <c r="A13" s="9"/>
      <c r="B13" s="12"/>
      <c r="C13" s="33"/>
      <c r="D13" s="26" t="s">
        <v>5</v>
      </c>
      <c r="E13" s="32"/>
      <c r="F13" s="68">
        <v>16</v>
      </c>
      <c r="G13" s="68">
        <v>0</v>
      </c>
      <c r="H13" s="68">
        <v>19</v>
      </c>
      <c r="I13" s="68">
        <v>24</v>
      </c>
      <c r="J13" s="64" t="str">
        <f t="shared" si="0"/>
        <v>n/a</v>
      </c>
      <c r="K13" s="64">
        <f>IFERROR(F13/H13-1,"n/a")</f>
        <v>-0.15789473684210531</v>
      </c>
      <c r="L13" s="60">
        <f>IFERROR(F13/I13-1,"n/a")</f>
        <v>-0.33333333333333337</v>
      </c>
      <c r="M13" s="68">
        <v>16</v>
      </c>
      <c r="N13" s="68">
        <v>0</v>
      </c>
      <c r="O13" s="68">
        <v>19</v>
      </c>
      <c r="P13" s="68">
        <v>24</v>
      </c>
      <c r="Q13" s="64" t="str">
        <f>IFERROR(M13/N13-1,"n/a")</f>
        <v>n/a</v>
      </c>
      <c r="R13" s="64">
        <f>IFERROR(M13/O13-1,"n/a")</f>
        <v>-0.15789473684210531</v>
      </c>
      <c r="S13" s="60">
        <f>IFERROR(M13/P13-1,"n/a")</f>
        <v>-0.33333333333333337</v>
      </c>
      <c r="T13" s="68">
        <v>283</v>
      </c>
      <c r="U13" s="70">
        <v>43</v>
      </c>
      <c r="V13" s="70">
        <v>827</v>
      </c>
    </row>
    <row r="14" spans="1:38">
      <c r="A14" s="9"/>
      <c r="B14" s="12"/>
      <c r="C14" s="33"/>
      <c r="D14" s="26" t="s">
        <v>11</v>
      </c>
      <c r="E14" s="32"/>
      <c r="F14" s="68">
        <v>21828</v>
      </c>
      <c r="G14" s="68">
        <v>0</v>
      </c>
      <c r="H14" s="68">
        <v>64994</v>
      </c>
      <c r="I14" s="68">
        <v>74523</v>
      </c>
      <c r="J14" s="64" t="str">
        <f t="shared" si="0"/>
        <v>n/a</v>
      </c>
      <c r="K14" s="64">
        <f>IFERROR(F14/H14-1,"n/a")</f>
        <v>-0.66415361417977037</v>
      </c>
      <c r="L14" s="60">
        <f>IFERROR(F14/I14-1,"n/a")</f>
        <v>-0.70709713779638506</v>
      </c>
      <c r="M14" s="68">
        <v>21828</v>
      </c>
      <c r="N14" s="68">
        <v>0</v>
      </c>
      <c r="O14" s="68">
        <v>64994</v>
      </c>
      <c r="P14" s="68">
        <v>74523</v>
      </c>
      <c r="Q14" s="64" t="str">
        <f>IFERROR(M14/N14-1,"n/a")</f>
        <v>n/a</v>
      </c>
      <c r="R14" s="64">
        <f>IFERROR(M14/O14-1,"n/a")</f>
        <v>-0.66415361417977037</v>
      </c>
      <c r="S14" s="60">
        <f>IFERROR(M14/P14-1,"n/a")</f>
        <v>-0.70709713779638506</v>
      </c>
      <c r="T14" s="68">
        <v>465109</v>
      </c>
      <c r="U14" s="70">
        <v>140552</v>
      </c>
      <c r="V14" s="70">
        <v>2552942</v>
      </c>
    </row>
    <row r="15" spans="1:38">
      <c r="A15" s="9"/>
      <c r="B15" s="12"/>
      <c r="C15" s="31" t="s">
        <v>15</v>
      </c>
      <c r="D15" s="26"/>
      <c r="E15" s="32"/>
      <c r="F15" s="43"/>
      <c r="G15" s="43"/>
      <c r="H15" s="43"/>
      <c r="I15" s="43"/>
      <c r="J15" s="64"/>
      <c r="K15" s="64"/>
      <c r="L15" s="60"/>
      <c r="M15" s="43"/>
      <c r="N15" s="43"/>
      <c r="O15" s="43"/>
      <c r="P15" s="43"/>
      <c r="Q15" s="64"/>
      <c r="R15" s="64"/>
      <c r="S15" s="60"/>
      <c r="T15" s="43"/>
      <c r="U15" s="44"/>
      <c r="V15" s="44"/>
    </row>
    <row r="16" spans="1:38">
      <c r="A16" s="9"/>
      <c r="B16" s="12"/>
      <c r="C16" s="33"/>
      <c r="D16" s="26" t="s">
        <v>5</v>
      </c>
      <c r="E16" s="32"/>
      <c r="F16" s="68">
        <v>3</v>
      </c>
      <c r="G16" s="68">
        <v>0</v>
      </c>
      <c r="H16" s="68">
        <v>1</v>
      </c>
      <c r="I16" s="68">
        <v>0</v>
      </c>
      <c r="J16" s="64" t="str">
        <f t="shared" si="0"/>
        <v>n/a</v>
      </c>
      <c r="K16" s="64">
        <f>IFERROR(F16/H16-1,"n/a")</f>
        <v>2</v>
      </c>
      <c r="L16" s="60" t="str">
        <f>IFERROR(F16/I16-1,"n/a")</f>
        <v>n/a</v>
      </c>
      <c r="M16" s="68">
        <v>3</v>
      </c>
      <c r="N16" s="68">
        <v>0</v>
      </c>
      <c r="O16" s="68">
        <v>1</v>
      </c>
      <c r="P16" s="68">
        <v>0</v>
      </c>
      <c r="Q16" s="64" t="str">
        <f>IFERROR(M16/N16-1,"n/a")</f>
        <v>n/a</v>
      </c>
      <c r="R16" s="64">
        <f>IFERROR(M16/O16-1,"n/a")</f>
        <v>2</v>
      </c>
      <c r="S16" s="60" t="str">
        <f>IFERROR(M16/P16-1,"n/a")</f>
        <v>n/a</v>
      </c>
      <c r="T16" s="68">
        <v>23</v>
      </c>
      <c r="U16" s="70">
        <v>4</v>
      </c>
      <c r="V16" s="70">
        <v>191</v>
      </c>
    </row>
    <row r="17" spans="1:38">
      <c r="A17" s="9"/>
      <c r="B17" s="12"/>
      <c r="C17" s="33"/>
      <c r="D17" s="26" t="s">
        <v>11</v>
      </c>
      <c r="E17" s="32"/>
      <c r="F17" s="68">
        <v>814</v>
      </c>
      <c r="G17" s="68">
        <v>0</v>
      </c>
      <c r="H17" s="68">
        <v>823</v>
      </c>
      <c r="I17" s="68">
        <v>0</v>
      </c>
      <c r="J17" s="64" t="str">
        <f t="shared" si="0"/>
        <v>n/a</v>
      </c>
      <c r="K17" s="64">
        <f>IFERROR(F17/H17-1,"n/a")</f>
        <v>-1.0935601458080146E-2</v>
      </c>
      <c r="L17" s="60" t="str">
        <f t="shared" ref="L17:L28" si="1">IFERROR(F17/I17-1,"n/a")</f>
        <v>n/a</v>
      </c>
      <c r="M17" s="68">
        <v>814</v>
      </c>
      <c r="N17" s="68">
        <v>0</v>
      </c>
      <c r="O17" s="68">
        <v>823</v>
      </c>
      <c r="P17" s="68">
        <v>0</v>
      </c>
      <c r="Q17" s="64" t="str">
        <f>IFERROR(M17/N17-1,"n/a")</f>
        <v>n/a</v>
      </c>
      <c r="R17" s="64">
        <f>IFERROR(M17/O17-1,"n/a")</f>
        <v>-1.0935601458080146E-2</v>
      </c>
      <c r="S17" s="60" t="str">
        <f>IFERROR(M17/P17-1,"n/a")</f>
        <v>n/a</v>
      </c>
      <c r="T17" s="68">
        <v>8611</v>
      </c>
      <c r="U17" s="70">
        <v>1753</v>
      </c>
      <c r="V17" s="70">
        <v>254421</v>
      </c>
    </row>
    <row r="18" spans="1:38">
      <c r="A18" s="9"/>
      <c r="B18" s="12"/>
      <c r="C18" s="31" t="s">
        <v>10</v>
      </c>
      <c r="D18" s="26"/>
      <c r="E18" s="34"/>
      <c r="F18" s="43"/>
      <c r="G18" s="43"/>
      <c r="H18" s="43"/>
      <c r="I18" s="43"/>
      <c r="J18" s="64"/>
      <c r="K18" s="64"/>
      <c r="L18" s="60"/>
      <c r="M18" s="43"/>
      <c r="N18" s="43"/>
      <c r="O18" s="43"/>
      <c r="P18" s="43"/>
      <c r="Q18" s="64"/>
      <c r="R18" s="64"/>
      <c r="S18" s="60"/>
      <c r="T18" s="43"/>
      <c r="U18" s="44"/>
      <c r="V18" s="44"/>
    </row>
    <row r="19" spans="1:38">
      <c r="A19" s="9"/>
      <c r="B19" s="12"/>
      <c r="C19" s="33"/>
      <c r="D19" s="26" t="s">
        <v>5</v>
      </c>
      <c r="E19" s="34"/>
      <c r="F19" s="68">
        <v>100</v>
      </c>
      <c r="G19" s="68">
        <v>0</v>
      </c>
      <c r="H19" s="68">
        <v>126</v>
      </c>
      <c r="I19" s="68">
        <v>113</v>
      </c>
      <c r="J19" s="64" t="str">
        <f t="shared" si="0"/>
        <v>n/a</v>
      </c>
      <c r="K19" s="64">
        <f>IFERROR(F19/H19-1,"n/a")</f>
        <v>-0.20634920634920639</v>
      </c>
      <c r="L19" s="60">
        <f t="shared" si="1"/>
        <v>-0.11504424778761058</v>
      </c>
      <c r="M19" s="68">
        <v>100</v>
      </c>
      <c r="N19" s="68">
        <v>0</v>
      </c>
      <c r="O19" s="68">
        <v>126</v>
      </c>
      <c r="P19" s="68">
        <v>113</v>
      </c>
      <c r="Q19" s="64" t="str">
        <f>IFERROR(M19/N19-1,"n/a")</f>
        <v>n/a</v>
      </c>
      <c r="R19" s="64">
        <f>IFERROR(M19/O19-1,"n/a")</f>
        <v>-0.20634920634920639</v>
      </c>
      <c r="S19" s="60">
        <f>IFERROR(M19/P19-1,"n/a")</f>
        <v>-0.11504424778761058</v>
      </c>
      <c r="T19" s="68">
        <v>411</v>
      </c>
      <c r="U19" s="70">
        <v>406</v>
      </c>
      <c r="V19" s="70">
        <v>1205</v>
      </c>
    </row>
    <row r="20" spans="1:38">
      <c r="A20" s="9"/>
      <c r="B20" s="12"/>
      <c r="C20" s="33"/>
      <c r="D20" s="26" t="s">
        <v>11</v>
      </c>
      <c r="E20" s="32"/>
      <c r="F20" s="68">
        <v>144818</v>
      </c>
      <c r="G20" s="68">
        <v>0</v>
      </c>
      <c r="H20" s="68">
        <v>357284</v>
      </c>
      <c r="I20" s="68">
        <v>368396</v>
      </c>
      <c r="J20" s="64" t="str">
        <f t="shared" si="0"/>
        <v>n/a</v>
      </c>
      <c r="K20" s="64">
        <f>IFERROR(F20/H20-1,"n/a")</f>
        <v>-0.59466978650037505</v>
      </c>
      <c r="L20" s="60">
        <f t="shared" si="1"/>
        <v>-0.60689584034571498</v>
      </c>
      <c r="M20" s="68">
        <v>144818</v>
      </c>
      <c r="N20" s="68">
        <v>0</v>
      </c>
      <c r="O20" s="68">
        <v>357284</v>
      </c>
      <c r="P20" s="68">
        <v>368396</v>
      </c>
      <c r="Q20" s="64" t="str">
        <f>IFERROR(M20/N20-1,"n/a")</f>
        <v>n/a</v>
      </c>
      <c r="R20" s="64">
        <f>IFERROR(M20/O20-1,"n/a")</f>
        <v>-0.59466978650037505</v>
      </c>
      <c r="S20" s="60">
        <f>IFERROR(M20/P20-1,"n/a")</f>
        <v>-0.60689584034571498</v>
      </c>
      <c r="T20" s="68">
        <v>687449</v>
      </c>
      <c r="U20" s="70">
        <v>833999</v>
      </c>
      <c r="V20" s="70">
        <v>3859183</v>
      </c>
    </row>
    <row r="21" spans="1:38">
      <c r="A21" s="9"/>
      <c r="B21" s="12"/>
      <c r="C21" s="31" t="s">
        <v>16</v>
      </c>
      <c r="D21" s="26"/>
      <c r="E21" s="32"/>
      <c r="F21" s="43"/>
      <c r="G21" s="43"/>
      <c r="H21" s="43"/>
      <c r="I21" s="43"/>
      <c r="J21" s="64"/>
      <c r="K21" s="64"/>
      <c r="L21" s="60"/>
      <c r="M21" s="43"/>
      <c r="N21" s="43"/>
      <c r="O21" s="43"/>
      <c r="P21" s="43"/>
      <c r="Q21" s="64"/>
      <c r="R21" s="64"/>
      <c r="S21" s="60"/>
      <c r="T21" s="43"/>
      <c r="U21" s="44"/>
      <c r="V21" s="44"/>
    </row>
    <row r="22" spans="1:38">
      <c r="A22" s="9"/>
      <c r="B22" s="12"/>
      <c r="C22" s="33"/>
      <c r="D22" s="26" t="s">
        <v>5</v>
      </c>
      <c r="E22" s="32"/>
      <c r="F22" s="68">
        <v>3</v>
      </c>
      <c r="G22" s="68">
        <v>1</v>
      </c>
      <c r="H22" s="68">
        <v>5</v>
      </c>
      <c r="I22" s="68">
        <v>4</v>
      </c>
      <c r="J22" s="64">
        <f t="shared" si="0"/>
        <v>2</v>
      </c>
      <c r="K22" s="64">
        <f>IFERROR(F22/H22-1,"n/a")</f>
        <v>-0.4</v>
      </c>
      <c r="L22" s="60">
        <f t="shared" si="1"/>
        <v>-0.25</v>
      </c>
      <c r="M22" s="68">
        <v>3</v>
      </c>
      <c r="N22" s="68">
        <v>1</v>
      </c>
      <c r="O22" s="68">
        <v>5</v>
      </c>
      <c r="P22" s="68">
        <v>4</v>
      </c>
      <c r="Q22" s="64">
        <f>IFERROR(M22/N22-1,"n/a")</f>
        <v>2</v>
      </c>
      <c r="R22" s="64">
        <f>IFERROR(M22/O22-1,"n/a")</f>
        <v>-0.4</v>
      </c>
      <c r="S22" s="60">
        <f>IFERROR(M22/P22-1,"n/a")</f>
        <v>-0.25</v>
      </c>
      <c r="T22" s="68">
        <v>107</v>
      </c>
      <c r="U22" s="70">
        <v>32</v>
      </c>
      <c r="V22" s="70">
        <v>372</v>
      </c>
    </row>
    <row r="23" spans="1:38">
      <c r="A23" s="9"/>
      <c r="B23" s="12"/>
      <c r="C23" s="33"/>
      <c r="D23" s="26" t="s">
        <v>11</v>
      </c>
      <c r="E23" s="32"/>
      <c r="F23" s="68">
        <v>1702</v>
      </c>
      <c r="G23" s="68">
        <v>644</v>
      </c>
      <c r="H23" s="68">
        <v>23141</v>
      </c>
      <c r="I23" s="68">
        <v>19715</v>
      </c>
      <c r="J23" s="64">
        <f t="shared" si="0"/>
        <v>1.6428571428571428</v>
      </c>
      <c r="K23" s="64">
        <f>IFERROR(F23/H23-1,"n/a")</f>
        <v>-0.92645088803422493</v>
      </c>
      <c r="L23" s="60">
        <f t="shared" si="1"/>
        <v>-0.9136697945726604</v>
      </c>
      <c r="M23" s="68">
        <v>1702</v>
      </c>
      <c r="N23" s="68">
        <v>644</v>
      </c>
      <c r="O23" s="68">
        <v>23141</v>
      </c>
      <c r="P23" s="68">
        <v>19715</v>
      </c>
      <c r="Q23" s="64">
        <f>IFERROR(M23/N23-1,"n/a")</f>
        <v>1.6428571428571428</v>
      </c>
      <c r="R23" s="64">
        <f>IFERROR(M23/O23-1,"n/a")</f>
        <v>-0.92645088803422493</v>
      </c>
      <c r="S23" s="60">
        <f>IFERROR(M23/P23-1,"n/a")</f>
        <v>-0.9136697945726604</v>
      </c>
      <c r="T23" s="68">
        <v>147132</v>
      </c>
      <c r="U23" s="70">
        <v>59180</v>
      </c>
      <c r="V23" s="70">
        <v>902015</v>
      </c>
    </row>
    <row r="24" spans="1:38">
      <c r="A24" s="9"/>
      <c r="B24" s="12"/>
      <c r="C24" s="31" t="s">
        <v>17</v>
      </c>
      <c r="D24" s="26"/>
      <c r="E24" s="32"/>
      <c r="F24" s="43"/>
      <c r="G24" s="43"/>
      <c r="H24" s="43"/>
      <c r="I24" s="43"/>
      <c r="J24" s="64"/>
      <c r="K24" s="64"/>
      <c r="L24" s="60"/>
      <c r="M24" s="43"/>
      <c r="N24" s="43"/>
      <c r="O24" s="43"/>
      <c r="P24" s="43"/>
      <c r="Q24" s="64"/>
      <c r="R24" s="64"/>
      <c r="S24" s="60"/>
      <c r="T24" s="43"/>
      <c r="U24" s="44"/>
      <c r="V24" s="44"/>
    </row>
    <row r="25" spans="1:38">
      <c r="B25" s="12"/>
      <c r="C25" s="33"/>
      <c r="D25" s="26" t="s">
        <v>5</v>
      </c>
      <c r="E25" s="32"/>
      <c r="F25" s="68">
        <v>0</v>
      </c>
      <c r="G25" s="68">
        <v>1</v>
      </c>
      <c r="H25" s="68">
        <v>0</v>
      </c>
      <c r="I25" s="68">
        <v>1</v>
      </c>
      <c r="J25" s="64">
        <f t="shared" si="0"/>
        <v>-1</v>
      </c>
      <c r="K25" s="64" t="str">
        <f>IFERROR(F25/H25-1,"n/a")</f>
        <v>n/a</v>
      </c>
      <c r="L25" s="60">
        <f t="shared" si="1"/>
        <v>-1</v>
      </c>
      <c r="M25" s="68">
        <v>0</v>
      </c>
      <c r="N25" s="68">
        <v>1</v>
      </c>
      <c r="O25" s="68">
        <v>0</v>
      </c>
      <c r="P25" s="68">
        <v>1</v>
      </c>
      <c r="Q25" s="64">
        <f>IFERROR(M25/N25-1,"n/a")</f>
        <v>-1</v>
      </c>
      <c r="R25" s="64" t="str">
        <f>IFERROR(M25/O25-1,"n/a")</f>
        <v>n/a</v>
      </c>
      <c r="S25" s="60">
        <f>IFERROR(M25/P25-1,"n/a")</f>
        <v>-1</v>
      </c>
      <c r="T25" s="68">
        <v>127</v>
      </c>
      <c r="U25" s="70">
        <v>37</v>
      </c>
      <c r="V25" s="70">
        <f>282+81</f>
        <v>363</v>
      </c>
    </row>
    <row r="26" spans="1:38">
      <c r="A26" s="9"/>
      <c r="B26" s="12"/>
      <c r="C26" s="33"/>
      <c r="D26" s="26" t="s">
        <v>11</v>
      </c>
      <c r="E26" s="32"/>
      <c r="F26" s="68">
        <v>0</v>
      </c>
      <c r="G26" s="68">
        <v>644</v>
      </c>
      <c r="H26" s="68">
        <v>0</v>
      </c>
      <c r="I26" s="68">
        <v>1352</v>
      </c>
      <c r="J26" s="64">
        <f t="shared" si="0"/>
        <v>-1</v>
      </c>
      <c r="K26" s="64" t="str">
        <f>IFERROR(F26/H26-1,"n/a")</f>
        <v>n/a</v>
      </c>
      <c r="L26" s="60">
        <f t="shared" si="1"/>
        <v>-1</v>
      </c>
      <c r="M26" s="68">
        <v>0</v>
      </c>
      <c r="N26" s="68">
        <v>644</v>
      </c>
      <c r="O26" s="68">
        <v>0</v>
      </c>
      <c r="P26" s="68">
        <v>1352</v>
      </c>
      <c r="Q26" s="64">
        <f>IFERROR(M26/N26-1,"n/a")</f>
        <v>-1</v>
      </c>
      <c r="R26" s="64" t="str">
        <f>IFERROR(M26/O26-1,"n/a")</f>
        <v>n/a</v>
      </c>
      <c r="S26" s="60">
        <f>IFERROR(M26/P26-1,"n/a")</f>
        <v>-1</v>
      </c>
      <c r="T26" s="68">
        <v>165083</v>
      </c>
      <c r="U26" s="70">
        <f>20768+8294</f>
        <v>29062</v>
      </c>
      <c r="V26" s="70">
        <f>659951+168729+38484</f>
        <v>867164</v>
      </c>
    </row>
    <row r="27" spans="1:38" ht="15.75" thickBot="1">
      <c r="A27" s="9"/>
      <c r="B27" s="12"/>
      <c r="C27" s="35" t="s">
        <v>12</v>
      </c>
      <c r="D27" s="36"/>
      <c r="E27" s="37"/>
      <c r="F27" s="46">
        <f>F10+F13+F16+F19+F22+F25</f>
        <v>186</v>
      </c>
      <c r="G27" s="46">
        <f t="shared" ref="G27:I28" si="2">G10+G13+G16+G19+G22+G25</f>
        <v>2</v>
      </c>
      <c r="H27" s="46">
        <f t="shared" si="2"/>
        <v>212</v>
      </c>
      <c r="I27" s="46">
        <f t="shared" si="2"/>
        <v>218</v>
      </c>
      <c r="J27" s="66">
        <f t="shared" si="0"/>
        <v>92</v>
      </c>
      <c r="K27" s="66">
        <f>IFERROR(F27/H27-1,"n/a")</f>
        <v>-0.12264150943396224</v>
      </c>
      <c r="L27" s="62">
        <f t="shared" si="1"/>
        <v>-0.14678899082568808</v>
      </c>
      <c r="M27" s="46">
        <f t="shared" ref="M27:P28" si="3">M10+M13+M16+M19+M22+M25</f>
        <v>186</v>
      </c>
      <c r="N27" s="46">
        <f t="shared" si="3"/>
        <v>2</v>
      </c>
      <c r="O27" s="46">
        <f t="shared" si="3"/>
        <v>212</v>
      </c>
      <c r="P27" s="46">
        <f t="shared" si="3"/>
        <v>218</v>
      </c>
      <c r="Q27" s="66">
        <f>IFERROR(M27/N27-1,"n/a")</f>
        <v>92</v>
      </c>
      <c r="R27" s="66">
        <f>IFERROR(M27/O27-1,"n/a")</f>
        <v>-0.12264150943396224</v>
      </c>
      <c r="S27" s="62">
        <f>IFERROR(M27/P27-1,"n/a")</f>
        <v>-0.14678899082568808</v>
      </c>
      <c r="T27" s="46">
        <f t="shared" ref="T27:V28" si="4">T10+T13+T16+T19+T22+T25</f>
        <v>1062</v>
      </c>
      <c r="U27" s="46">
        <f t="shared" si="4"/>
        <v>667</v>
      </c>
      <c r="V27" s="46">
        <f t="shared" si="4"/>
        <v>3344</v>
      </c>
    </row>
    <row r="28" spans="1:38" s="22" customFormat="1" ht="16.5" thickTop="1" thickBot="1">
      <c r="A28" s="9"/>
      <c r="B28" s="12"/>
      <c r="C28" s="38" t="s">
        <v>13</v>
      </c>
      <c r="D28" s="39"/>
      <c r="E28" s="40"/>
      <c r="F28" s="47">
        <f>F11+F14+F17+F20+F23+F26</f>
        <v>219956</v>
      </c>
      <c r="G28" s="47">
        <f t="shared" si="2"/>
        <v>1288</v>
      </c>
      <c r="H28" s="47">
        <f t="shared" si="2"/>
        <v>555038</v>
      </c>
      <c r="I28" s="47">
        <f t="shared" si="2"/>
        <v>620852</v>
      </c>
      <c r="J28" s="67">
        <f t="shared" si="0"/>
        <v>169.77329192546583</v>
      </c>
      <c r="K28" s="67">
        <f>IFERROR(F28/H28-1,"n/a")</f>
        <v>-0.60371001625113951</v>
      </c>
      <c r="L28" s="63">
        <f t="shared" si="1"/>
        <v>-0.64571910857982262</v>
      </c>
      <c r="M28" s="47">
        <f t="shared" si="3"/>
        <v>219956</v>
      </c>
      <c r="N28" s="47">
        <f t="shared" si="3"/>
        <v>1288</v>
      </c>
      <c r="O28" s="47">
        <f t="shared" si="3"/>
        <v>555038</v>
      </c>
      <c r="P28" s="47">
        <f t="shared" si="3"/>
        <v>620852</v>
      </c>
      <c r="Q28" s="67">
        <f>IFERROR(M28/N28-1,"n/a")</f>
        <v>169.77329192546583</v>
      </c>
      <c r="R28" s="67">
        <f>IFERROR(M28/O28-1,"n/a")</f>
        <v>-0.60371001625113951</v>
      </c>
      <c r="S28" s="63">
        <f>IFERROR(M28/P28-1,"n/a")</f>
        <v>-0.64571910857982262</v>
      </c>
      <c r="T28" s="47">
        <f t="shared" si="4"/>
        <v>1554247</v>
      </c>
      <c r="U28" s="47">
        <f t="shared" si="4"/>
        <v>1323431</v>
      </c>
      <c r="V28" s="47">
        <f t="shared" si="4"/>
        <v>9169021</v>
      </c>
      <c r="W28" s="9"/>
      <c r="X28" s="21"/>
      <c r="Y28" s="21"/>
      <c r="Z28" s="21"/>
      <c r="AA28" s="21"/>
      <c r="AB28" s="21"/>
      <c r="AC28" s="21"/>
      <c r="AD28" s="21"/>
      <c r="AE28" s="21"/>
      <c r="AF28" s="21"/>
      <c r="AG28" s="21"/>
      <c r="AH28" s="21"/>
      <c r="AI28" s="21"/>
      <c r="AJ28" s="21"/>
      <c r="AK28" s="21"/>
      <c r="AL28" s="21"/>
    </row>
    <row r="29" spans="1:38" ht="15.75" thickTop="1">
      <c r="A29" s="9"/>
      <c r="B29" s="9"/>
      <c r="C29" s="9"/>
      <c r="D29" s="9"/>
      <c r="E29" s="9"/>
      <c r="F29" s="9"/>
      <c r="G29" s="41"/>
      <c r="H29" s="41"/>
      <c r="I29" s="41"/>
      <c r="J29" s="41"/>
      <c r="K29" s="9"/>
      <c r="L29" s="9"/>
      <c r="M29" s="9"/>
      <c r="N29" s="9"/>
      <c r="O29" s="9"/>
      <c r="P29" s="9"/>
      <c r="Q29" s="9"/>
      <c r="R29" s="9"/>
      <c r="S29" s="9"/>
      <c r="T29" s="9"/>
      <c r="U29" s="9"/>
      <c r="V29" s="9"/>
    </row>
    <row r="30" spans="1:38" hidden="1">
      <c r="A30" s="9"/>
      <c r="B30" s="9"/>
      <c r="C30" s="9"/>
      <c r="D30" s="9"/>
      <c r="E30" s="9"/>
      <c r="F30" s="9"/>
      <c r="G30" s="41"/>
      <c r="H30" s="41"/>
      <c r="I30" s="41"/>
      <c r="J30" s="41"/>
      <c r="K30" s="9"/>
      <c r="L30" s="9"/>
      <c r="M30" s="9"/>
      <c r="N30" s="9"/>
      <c r="O30" s="9"/>
      <c r="P30" s="9"/>
      <c r="Q30" s="9"/>
      <c r="R30" s="9"/>
      <c r="S30" s="9"/>
      <c r="T30" s="9"/>
      <c r="U30" s="9"/>
      <c r="V30" s="9"/>
    </row>
    <row r="31" spans="1:38" hidden="1">
      <c r="A31" s="9"/>
      <c r="B31" s="9"/>
      <c r="C31" s="9"/>
      <c r="D31" s="9"/>
      <c r="E31" s="9"/>
      <c r="F31" s="9"/>
      <c r="G31" s="41"/>
      <c r="H31" s="41"/>
      <c r="I31" s="41"/>
      <c r="J31" s="41"/>
      <c r="K31" s="9"/>
      <c r="L31" s="9"/>
      <c r="M31" s="9"/>
      <c r="N31" s="9"/>
      <c r="O31" s="9"/>
      <c r="P31" s="9"/>
      <c r="Q31" s="9"/>
      <c r="R31" s="9"/>
      <c r="S31" s="9"/>
      <c r="T31" s="9"/>
      <c r="U31" s="9"/>
      <c r="V31" s="9"/>
    </row>
    <row r="32" spans="1:38" hidden="1">
      <c r="A32" s="9"/>
      <c r="B32" s="9"/>
      <c r="C32" s="9"/>
      <c r="D32" s="9"/>
      <c r="E32" s="9"/>
      <c r="F32" s="9"/>
      <c r="G32" s="41"/>
      <c r="H32" s="41"/>
      <c r="I32" s="41"/>
      <c r="J32" s="41"/>
      <c r="K32" s="9"/>
      <c r="L32" s="9"/>
      <c r="M32" s="9"/>
      <c r="N32" s="9"/>
      <c r="O32" s="9"/>
      <c r="P32" s="9"/>
      <c r="Q32" s="9"/>
      <c r="R32" s="9"/>
      <c r="S32" s="9"/>
      <c r="T32" s="9"/>
      <c r="U32" s="9"/>
      <c r="V32" s="9"/>
    </row>
    <row r="33" spans="7:10" s="9" customFormat="1" hidden="1">
      <c r="G33" s="41"/>
      <c r="H33" s="41"/>
      <c r="I33" s="41"/>
      <c r="J33" s="41"/>
    </row>
    <row r="34" spans="7:10" s="9" customFormat="1" hidden="1">
      <c r="G34" s="41"/>
      <c r="H34" s="41"/>
      <c r="I34" s="41"/>
      <c r="J34" s="41"/>
    </row>
    <row r="35" spans="7:10" s="9" customFormat="1" hidden="1">
      <c r="G35" s="41"/>
      <c r="H35" s="41"/>
      <c r="I35" s="41"/>
      <c r="J35" s="41"/>
    </row>
    <row r="36" spans="7:10" s="9" customFormat="1" hidden="1">
      <c r="G36" s="41"/>
      <c r="H36" s="41"/>
      <c r="I36" s="41"/>
      <c r="J36" s="41"/>
    </row>
    <row r="37" spans="7:10" s="9" customFormat="1" hidden="1">
      <c r="G37" s="41"/>
      <c r="H37" s="41"/>
      <c r="I37" s="41"/>
      <c r="J37" s="41"/>
    </row>
    <row r="38" spans="7:10" s="9" customFormat="1" hidden="1">
      <c r="G38" s="41"/>
      <c r="H38" s="41"/>
      <c r="I38" s="41"/>
      <c r="J38" s="41"/>
    </row>
    <row r="39" spans="7:10" s="9" customFormat="1" hidden="1">
      <c r="G39" s="41"/>
      <c r="H39" s="41"/>
      <c r="I39" s="41"/>
      <c r="J39" s="41"/>
    </row>
    <row r="40" spans="7:10" s="9" customFormat="1" hidden="1">
      <c r="G40" s="41"/>
      <c r="H40" s="41"/>
      <c r="I40" s="41"/>
      <c r="J40" s="41"/>
    </row>
    <row r="41" spans="7:10" s="9" customFormat="1" hidden="1">
      <c r="G41" s="41"/>
      <c r="H41" s="41"/>
      <c r="I41" s="41"/>
      <c r="J41" s="41"/>
    </row>
    <row r="42" spans="7:10" s="9" customFormat="1" hidden="1">
      <c r="G42" s="41"/>
      <c r="H42" s="41"/>
      <c r="I42" s="41"/>
      <c r="J42" s="41"/>
    </row>
    <row r="43" spans="7:10" s="9" customFormat="1" hidden="1">
      <c r="G43" s="41"/>
      <c r="H43" s="41"/>
      <c r="I43" s="41"/>
      <c r="J43" s="41"/>
    </row>
    <row r="44" spans="7:10" s="9" customFormat="1" hidden="1">
      <c r="G44" s="41"/>
      <c r="H44" s="41"/>
      <c r="I44" s="41"/>
      <c r="J44" s="41"/>
    </row>
    <row r="45" spans="7:10" s="9" customFormat="1" hidden="1">
      <c r="G45" s="41"/>
      <c r="H45" s="41"/>
      <c r="I45" s="41"/>
      <c r="J45" s="41"/>
    </row>
    <row r="46" spans="7:10" s="9" customFormat="1" hidden="1">
      <c r="G46" s="41"/>
      <c r="H46" s="41"/>
      <c r="I46" s="41"/>
      <c r="J46" s="41"/>
    </row>
    <row r="47" spans="7:10" s="9" customFormat="1" hidden="1">
      <c r="G47" s="41"/>
      <c r="H47" s="41"/>
      <c r="I47" s="41"/>
      <c r="J47" s="41"/>
    </row>
    <row r="48" spans="7:10" s="9" customFormat="1" hidden="1"/>
  </sheetData>
  <customSheetViews>
    <customSheetView guid="{5F6D01E3-9E6F-4D7F-980F-63899AF95899}" scale="79" showGridLines="0" fitToPage="1" hiddenRows="1" hiddenColumns="1" topLeftCell="A3">
      <selection activeCell="A3" sqref="A3"/>
      <pageMargins left="0.7" right="0.7" top="0.75" bottom="0.75" header="0.3" footer="0.3"/>
      <pageSetup paperSize="9" scale="85" orientation="landscape" horizontalDpi="4294967293" verticalDpi="4294967293" r:id="rId1"/>
    </customSheetView>
  </customSheetViews>
  <mergeCells count="3">
    <mergeCell ref="T6:V6"/>
    <mergeCell ref="M6:S6"/>
    <mergeCell ref="F6:L6"/>
  </mergeCells>
  <pageMargins left="0.7" right="0.7" top="0.75" bottom="0.75" header="0.3" footer="0.3"/>
  <pageSetup paperSize="9" scale="85" orientation="landscape" horizontalDpi="4294967293" verticalDpi="4294967293" r:id="rId2"/>
  <drawing r:id="rId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pageSetUpPr fitToPage="1"/>
  </sheetPr>
  <dimension ref="A1:AG48"/>
  <sheetViews>
    <sheetView showGridLines="0" zoomScaleNormal="100" workbookViewId="0"/>
  </sheetViews>
  <sheetFormatPr defaultColWidth="0" defaultRowHeight="15" customHeight="1" zeroHeight="1"/>
  <cols>
    <col min="1" max="3" width="2.5703125" customWidth="1"/>
    <col min="4" max="4" width="9.140625" customWidth="1"/>
    <col min="5" max="5" width="15.42578125" customWidth="1"/>
    <col min="6" max="6" width="11.140625" bestFit="1" customWidth="1"/>
    <col min="7" max="7" width="9.140625" customWidth="1"/>
    <col min="8" max="8" width="10.5703125" bestFit="1" customWidth="1"/>
    <col min="9" max="10" width="9.140625" customWidth="1"/>
    <col min="11" max="11" width="10.140625" bestFit="1" customWidth="1"/>
    <col min="12" max="12" width="12.140625" bestFit="1" customWidth="1"/>
    <col min="13" max="13" width="12.5703125" bestFit="1" customWidth="1"/>
    <col min="14" max="15" width="9.140625" customWidth="1"/>
    <col min="16" max="16" width="11.85546875" bestFit="1" customWidth="1"/>
    <col min="17" max="17" width="12.42578125" customWidth="1"/>
    <col min="18" max="18" width="3.140625" style="9" customWidth="1"/>
    <col min="19" max="33" width="0" style="9" hidden="1" customWidth="1"/>
    <col min="34" max="16384" width="9.140625" hidden="1"/>
  </cols>
  <sheetData>
    <row r="1" spans="1:33">
      <c r="A1" s="9"/>
      <c r="B1" s="9"/>
      <c r="C1" s="9"/>
      <c r="D1" s="9"/>
      <c r="E1" s="9"/>
      <c r="F1" s="9"/>
      <c r="G1" s="9"/>
      <c r="H1" s="9"/>
      <c r="I1" s="9"/>
      <c r="J1" s="9"/>
      <c r="K1" s="9"/>
      <c r="L1" s="9"/>
      <c r="M1" s="9"/>
      <c r="N1" s="9"/>
      <c r="O1" s="9"/>
      <c r="P1" s="9"/>
      <c r="Q1" s="9"/>
    </row>
    <row r="2" spans="1:33" ht="19.5" thickBot="1">
      <c r="A2" s="9"/>
      <c r="B2" s="8" t="s">
        <v>6</v>
      </c>
      <c r="C2" s="23"/>
      <c r="D2" s="23"/>
      <c r="E2" s="23"/>
      <c r="F2" s="23"/>
      <c r="G2" s="23"/>
      <c r="H2" s="23"/>
      <c r="I2" s="23"/>
      <c r="J2" s="23"/>
      <c r="K2" s="23"/>
      <c r="L2" s="23"/>
      <c r="M2" s="23"/>
      <c r="N2" s="23"/>
      <c r="O2" s="23"/>
      <c r="P2" s="23"/>
      <c r="Q2" s="23"/>
    </row>
    <row r="3" spans="1:33">
      <c r="A3" s="9"/>
      <c r="B3" s="10"/>
      <c r="C3" s="24"/>
      <c r="D3" s="24"/>
      <c r="E3" s="24"/>
      <c r="F3" s="24"/>
      <c r="G3" s="24"/>
      <c r="H3" s="24"/>
      <c r="I3" s="24"/>
      <c r="J3" s="24"/>
      <c r="K3" s="24"/>
      <c r="L3" s="24"/>
      <c r="M3" s="24"/>
      <c r="N3" s="24"/>
      <c r="O3" s="24"/>
      <c r="P3" s="24"/>
      <c r="Q3" s="25"/>
    </row>
    <row r="4" spans="1:33" ht="15.75">
      <c r="A4" s="9"/>
      <c r="B4" s="11" t="s">
        <v>7</v>
      </c>
      <c r="C4" s="26"/>
      <c r="D4" s="24"/>
      <c r="E4" s="58" t="s">
        <v>30</v>
      </c>
      <c r="F4" s="24"/>
      <c r="G4" s="24"/>
      <c r="H4" s="24"/>
      <c r="I4" s="24"/>
      <c r="J4" s="24"/>
      <c r="K4" s="24"/>
      <c r="L4" s="24"/>
      <c r="M4" s="24"/>
      <c r="N4" s="24"/>
      <c r="O4" s="24"/>
      <c r="P4" s="24"/>
      <c r="Q4" s="24"/>
    </row>
    <row r="5" spans="1:33">
      <c r="A5" s="9"/>
      <c r="B5" s="10"/>
      <c r="C5" s="24"/>
      <c r="D5" s="24"/>
      <c r="E5" s="24"/>
      <c r="F5" s="24"/>
      <c r="G5" s="24"/>
      <c r="H5" s="24"/>
      <c r="I5" s="24"/>
      <c r="J5" s="24"/>
      <c r="K5" s="24"/>
      <c r="L5" s="24"/>
      <c r="M5" s="24"/>
      <c r="N5" s="24"/>
      <c r="O5" s="24"/>
      <c r="P5" s="24"/>
      <c r="Q5" s="24"/>
    </row>
    <row r="6" spans="1:33" s="20" customFormat="1">
      <c r="A6" s="9"/>
      <c r="B6"/>
      <c r="C6" s="27" t="s">
        <v>7</v>
      </c>
      <c r="D6" s="28"/>
      <c r="E6" s="28"/>
      <c r="F6" s="157" t="s">
        <v>31</v>
      </c>
      <c r="G6" s="166"/>
      <c r="H6" s="166"/>
      <c r="I6" s="167"/>
      <c r="J6" s="168"/>
      <c r="K6" s="157" t="s">
        <v>32</v>
      </c>
      <c r="L6" s="166"/>
      <c r="M6" s="166"/>
      <c r="N6" s="167"/>
      <c r="O6" s="168"/>
      <c r="P6" s="158" t="s">
        <v>9</v>
      </c>
      <c r="Q6" s="166"/>
      <c r="R6" s="9"/>
      <c r="S6" s="19"/>
      <c r="T6" s="19"/>
      <c r="U6" s="19"/>
      <c r="V6" s="19"/>
      <c r="W6" s="19"/>
      <c r="X6" s="19"/>
      <c r="Y6" s="19"/>
      <c r="Z6" s="19"/>
      <c r="AA6" s="19"/>
      <c r="AB6" s="19"/>
      <c r="AC6" s="19"/>
      <c r="AD6" s="19"/>
      <c r="AE6" s="19"/>
      <c r="AF6" s="19"/>
      <c r="AG6" s="19"/>
    </row>
    <row r="7" spans="1:33" ht="15.75">
      <c r="A7" s="9"/>
      <c r="B7" s="18"/>
      <c r="C7" s="29"/>
      <c r="D7" s="30"/>
      <c r="E7" s="30"/>
      <c r="F7" s="29"/>
      <c r="G7" s="30"/>
      <c r="H7" s="30"/>
      <c r="I7" s="30"/>
      <c r="J7" s="56"/>
      <c r="K7" s="29"/>
      <c r="L7" s="30"/>
      <c r="M7" s="30"/>
      <c r="N7" s="30"/>
      <c r="O7" s="56"/>
      <c r="P7" s="30"/>
      <c r="Q7" s="30"/>
    </row>
    <row r="8" spans="1:33" s="54" customFormat="1" ht="22.5">
      <c r="A8" s="48"/>
      <c r="B8" s="49"/>
      <c r="C8" s="59" t="s">
        <v>29</v>
      </c>
      <c r="D8" s="50"/>
      <c r="E8" s="51"/>
      <c r="F8" s="55">
        <v>2021</v>
      </c>
      <c r="G8" s="52">
        <v>2020</v>
      </c>
      <c r="H8" s="52">
        <v>2019</v>
      </c>
      <c r="I8" s="53" t="s">
        <v>19</v>
      </c>
      <c r="J8" s="57" t="s">
        <v>18</v>
      </c>
      <c r="K8" s="55">
        <v>2021</v>
      </c>
      <c r="L8" s="52">
        <v>2020</v>
      </c>
      <c r="M8" s="52">
        <v>2019</v>
      </c>
      <c r="N8" s="53" t="s">
        <v>19</v>
      </c>
      <c r="O8" s="57" t="s">
        <v>18</v>
      </c>
      <c r="P8" s="52">
        <v>2020</v>
      </c>
      <c r="Q8" s="52">
        <v>2019</v>
      </c>
      <c r="R8" s="48"/>
      <c r="S8" s="48"/>
      <c r="T8" s="48"/>
      <c r="U8" s="48"/>
      <c r="V8" s="48"/>
      <c r="W8" s="48"/>
      <c r="X8" s="48"/>
      <c r="Y8" s="48"/>
      <c r="Z8" s="48"/>
      <c r="AA8" s="48"/>
      <c r="AB8" s="48"/>
      <c r="AC8" s="48"/>
      <c r="AD8" s="48"/>
      <c r="AE8" s="48"/>
      <c r="AF8" s="48"/>
      <c r="AG8" s="48"/>
    </row>
    <row r="9" spans="1:33">
      <c r="A9" s="9"/>
      <c r="B9" s="12"/>
      <c r="C9" s="31" t="s">
        <v>14</v>
      </c>
      <c r="D9" s="26"/>
      <c r="E9" s="32"/>
      <c r="F9" s="26"/>
      <c r="G9" s="26"/>
      <c r="H9" s="26"/>
      <c r="I9" s="26"/>
      <c r="J9" s="32"/>
      <c r="K9" s="26"/>
      <c r="L9" s="26"/>
      <c r="M9" s="26"/>
      <c r="N9" s="26"/>
      <c r="O9" s="32"/>
      <c r="P9" s="26"/>
      <c r="Q9" s="26"/>
    </row>
    <row r="10" spans="1:33">
      <c r="A10" s="9"/>
      <c r="B10" s="12"/>
      <c r="C10" s="33"/>
      <c r="D10" s="26" t="s">
        <v>5</v>
      </c>
      <c r="E10" s="32"/>
      <c r="F10" s="68">
        <v>70</v>
      </c>
      <c r="G10" s="68">
        <f>L10-'Nov-21'!L10</f>
        <v>0</v>
      </c>
      <c r="H10" s="68">
        <f>M10-'Nov-21'!M10</f>
        <v>69</v>
      </c>
      <c r="I10" s="64" t="str">
        <f>IFERROR(F10/G10-1,"n/a")</f>
        <v>n/a</v>
      </c>
      <c r="J10" s="60">
        <f>F10/H10-1</f>
        <v>1.449275362318847E-2</v>
      </c>
      <c r="K10" s="68">
        <v>111</v>
      </c>
      <c r="L10" s="68">
        <v>145</v>
      </c>
      <c r="M10" s="68">
        <v>386</v>
      </c>
      <c r="N10" s="64">
        <f>K10/L10-1</f>
        <v>-0.23448275862068968</v>
      </c>
      <c r="O10" s="60">
        <f>K10/M10-1</f>
        <v>-0.71243523316062174</v>
      </c>
      <c r="P10" s="70">
        <v>145</v>
      </c>
      <c r="Q10" s="70">
        <v>386</v>
      </c>
    </row>
    <row r="11" spans="1:33">
      <c r="A11" s="9"/>
      <c r="B11" s="12"/>
      <c r="C11" s="33"/>
      <c r="D11" s="26" t="s">
        <v>11</v>
      </c>
      <c r="E11" s="32"/>
      <c r="F11" s="68">
        <v>52767</v>
      </c>
      <c r="G11" s="68">
        <f>L11-'Nov-21'!L11</f>
        <v>0</v>
      </c>
      <c r="H11" s="68">
        <f>M11-'Nov-21'!M11</f>
        <v>120203</v>
      </c>
      <c r="I11" s="64" t="str">
        <f t="shared" ref="I11:I26" si="0">IFERROR(F11/G11-1,"n/a")</f>
        <v>n/a</v>
      </c>
      <c r="J11" s="60">
        <f>F11/H11-1</f>
        <v>-0.56101761187324772</v>
      </c>
      <c r="K11" s="68">
        <v>80863</v>
      </c>
      <c r="L11" s="68">
        <v>258885</v>
      </c>
      <c r="M11" s="68">
        <v>733296</v>
      </c>
      <c r="N11" s="64">
        <f>K11/L11-1</f>
        <v>-0.68764895610019894</v>
      </c>
      <c r="O11" s="60">
        <f>K11/M11-1</f>
        <v>-0.8897266588117213</v>
      </c>
      <c r="P11" s="70">
        <v>258885</v>
      </c>
      <c r="Q11" s="70">
        <v>733296</v>
      </c>
    </row>
    <row r="12" spans="1:33">
      <c r="A12" s="9"/>
      <c r="B12" s="12"/>
      <c r="C12" s="31" t="s">
        <v>74</v>
      </c>
      <c r="D12" s="26"/>
      <c r="E12" s="32"/>
      <c r="F12" s="45"/>
      <c r="G12" s="45"/>
      <c r="H12" s="45"/>
      <c r="I12" s="64"/>
      <c r="J12" s="61"/>
      <c r="K12" s="43"/>
      <c r="L12" s="43"/>
      <c r="M12" s="43"/>
      <c r="N12" s="65"/>
      <c r="O12" s="61"/>
      <c r="P12" s="44"/>
      <c r="Q12" s="44"/>
    </row>
    <row r="13" spans="1:33">
      <c r="A13" s="9"/>
      <c r="B13" s="12"/>
      <c r="C13" s="33"/>
      <c r="D13" s="26" t="s">
        <v>5</v>
      </c>
      <c r="E13" s="32"/>
      <c r="F13" s="68">
        <v>25</v>
      </c>
      <c r="G13" s="68">
        <f>L13-'Nov-21'!L13</f>
        <v>0</v>
      </c>
      <c r="H13" s="68">
        <f>M13-'Nov-21'!M13</f>
        <v>20</v>
      </c>
      <c r="I13" s="64" t="str">
        <f t="shared" si="0"/>
        <v>n/a</v>
      </c>
      <c r="J13" s="60">
        <f>F13/H13-1</f>
        <v>0.25</v>
      </c>
      <c r="K13" s="68">
        <v>283</v>
      </c>
      <c r="L13" s="68">
        <v>43</v>
      </c>
      <c r="M13" s="68">
        <v>827</v>
      </c>
      <c r="N13" s="64">
        <f>K13/L13-1</f>
        <v>5.5813953488372094</v>
      </c>
      <c r="O13" s="60">
        <f>K13/M13-1</f>
        <v>-0.65779927448609432</v>
      </c>
      <c r="P13" s="70">
        <v>43</v>
      </c>
      <c r="Q13" s="70">
        <v>827</v>
      </c>
    </row>
    <row r="14" spans="1:33">
      <c r="A14" s="9"/>
      <c r="B14" s="12"/>
      <c r="C14" s="33"/>
      <c r="D14" s="26" t="s">
        <v>11</v>
      </c>
      <c r="E14" s="32"/>
      <c r="F14" s="68">
        <v>39214</v>
      </c>
      <c r="G14" s="68">
        <f>L14-'Nov-21'!L14</f>
        <v>0</v>
      </c>
      <c r="H14" s="68">
        <f>M14-'Nov-21'!M14</f>
        <v>58943</v>
      </c>
      <c r="I14" s="64" t="str">
        <f t="shared" si="0"/>
        <v>n/a</v>
      </c>
      <c r="J14" s="60">
        <f>F14/H14-1</f>
        <v>-0.33471319749588591</v>
      </c>
      <c r="K14" s="68">
        <v>465109</v>
      </c>
      <c r="L14" s="68">
        <v>140552</v>
      </c>
      <c r="M14" s="68">
        <v>2552942</v>
      </c>
      <c r="N14" s="64">
        <f>K14/L14-1</f>
        <v>2.3091595992942113</v>
      </c>
      <c r="O14" s="60">
        <f>K14/M14-1</f>
        <v>-0.81781450577412262</v>
      </c>
      <c r="P14" s="70">
        <v>140552</v>
      </c>
      <c r="Q14" s="70">
        <v>2552942</v>
      </c>
    </row>
    <row r="15" spans="1:33">
      <c r="A15" s="9"/>
      <c r="B15" s="12"/>
      <c r="C15" s="31" t="s">
        <v>15</v>
      </c>
      <c r="D15" s="26"/>
      <c r="E15" s="32"/>
      <c r="F15" s="43"/>
      <c r="G15" s="43"/>
      <c r="H15" s="43"/>
      <c r="I15" s="64"/>
      <c r="J15" s="60"/>
      <c r="K15" s="43"/>
      <c r="L15" s="43"/>
      <c r="M15" s="43"/>
      <c r="N15" s="64"/>
      <c r="O15" s="60"/>
      <c r="P15" s="44"/>
      <c r="Q15" s="44"/>
    </row>
    <row r="16" spans="1:33">
      <c r="A16" s="9"/>
      <c r="B16" s="12"/>
      <c r="C16" s="33"/>
      <c r="D16" s="26" t="s">
        <v>5</v>
      </c>
      <c r="E16" s="32"/>
      <c r="F16" s="68">
        <v>3</v>
      </c>
      <c r="G16" s="68">
        <f>L16-'Nov-21'!L16</f>
        <v>0</v>
      </c>
      <c r="H16" s="68">
        <f>M16-'Nov-21'!M16</f>
        <v>9</v>
      </c>
      <c r="I16" s="64" t="str">
        <f t="shared" si="0"/>
        <v>n/a</v>
      </c>
      <c r="J16" s="60">
        <f>F16/H16-1</f>
        <v>-0.66666666666666674</v>
      </c>
      <c r="K16" s="68">
        <v>23</v>
      </c>
      <c r="L16" s="68">
        <v>4</v>
      </c>
      <c r="M16" s="68">
        <v>191</v>
      </c>
      <c r="N16" s="64">
        <f>K16/L16-1</f>
        <v>4.75</v>
      </c>
      <c r="O16" s="60">
        <f>K16/M16-1</f>
        <v>-0.87958115183246077</v>
      </c>
      <c r="P16" s="70">
        <v>4</v>
      </c>
      <c r="Q16" s="70">
        <v>191</v>
      </c>
    </row>
    <row r="17" spans="1:33">
      <c r="A17" s="9"/>
      <c r="B17" s="12"/>
      <c r="C17" s="33"/>
      <c r="D17" s="26" t="s">
        <v>11</v>
      </c>
      <c r="E17" s="32"/>
      <c r="F17" s="68">
        <v>864</v>
      </c>
      <c r="G17" s="68">
        <f>L17-'Nov-21'!L17</f>
        <v>0</v>
      </c>
      <c r="H17" s="68">
        <f>M17-'Nov-21'!M17</f>
        <v>9813</v>
      </c>
      <c r="I17" s="64" t="str">
        <f t="shared" si="0"/>
        <v>n/a</v>
      </c>
      <c r="J17" s="60">
        <f>F17/H17-1</f>
        <v>-0.911953531030266</v>
      </c>
      <c r="K17" s="68">
        <v>8611</v>
      </c>
      <c r="L17" s="68">
        <v>1753</v>
      </c>
      <c r="M17" s="68">
        <v>254421</v>
      </c>
      <c r="N17" s="64">
        <f>K17/L17-1</f>
        <v>3.9121505989731888</v>
      </c>
      <c r="O17" s="60">
        <f>K17/M17-1</f>
        <v>-0.96615452340805197</v>
      </c>
      <c r="P17" s="70">
        <v>1753</v>
      </c>
      <c r="Q17" s="70">
        <v>254421</v>
      </c>
    </row>
    <row r="18" spans="1:33">
      <c r="A18" s="9"/>
      <c r="B18" s="12"/>
      <c r="C18" s="31" t="s">
        <v>10</v>
      </c>
      <c r="D18" s="26"/>
      <c r="E18" s="34"/>
      <c r="F18" s="43"/>
      <c r="G18" s="43"/>
      <c r="H18" s="43"/>
      <c r="I18" s="64"/>
      <c r="J18" s="60"/>
      <c r="K18" s="43"/>
      <c r="L18" s="43"/>
      <c r="M18" s="43"/>
      <c r="N18" s="64"/>
      <c r="O18" s="60"/>
      <c r="P18" s="44"/>
      <c r="Q18" s="44"/>
    </row>
    <row r="19" spans="1:33">
      <c r="A19" s="9"/>
      <c r="B19" s="12"/>
      <c r="C19" s="33"/>
      <c r="D19" s="26" t="s">
        <v>5</v>
      </c>
      <c r="E19" s="34"/>
      <c r="F19" s="68">
        <v>102</v>
      </c>
      <c r="G19" s="68">
        <f>L19-'Nov-21'!L19</f>
        <v>0</v>
      </c>
      <c r="H19" s="68">
        <f>M19-'Nov-21'!M19</f>
        <v>131</v>
      </c>
      <c r="I19" s="64" t="str">
        <f t="shared" si="0"/>
        <v>n/a</v>
      </c>
      <c r="J19" s="60">
        <f>F19/H19-1</f>
        <v>-0.22137404580152675</v>
      </c>
      <c r="K19" s="68">
        <v>411</v>
      </c>
      <c r="L19" s="68">
        <v>406</v>
      </c>
      <c r="M19" s="68">
        <v>1205</v>
      </c>
      <c r="N19" s="64">
        <f>K19/L19-1</f>
        <v>1.2315270935960632E-2</v>
      </c>
      <c r="O19" s="60">
        <f>K19/M19-1</f>
        <v>-0.65892116182572613</v>
      </c>
      <c r="P19" s="70">
        <v>406</v>
      </c>
      <c r="Q19" s="70">
        <v>1205</v>
      </c>
    </row>
    <row r="20" spans="1:33">
      <c r="A20" s="9"/>
      <c r="B20" s="12"/>
      <c r="C20" s="33"/>
      <c r="D20" s="26" t="s">
        <v>11</v>
      </c>
      <c r="E20" s="32"/>
      <c r="F20" s="68">
        <v>200450</v>
      </c>
      <c r="G20" s="68">
        <f>L20-'Nov-21'!L20</f>
        <v>0</v>
      </c>
      <c r="H20" s="68">
        <f>M20-'Nov-21'!M20</f>
        <v>386408</v>
      </c>
      <c r="I20" s="64" t="str">
        <f t="shared" si="0"/>
        <v>n/a</v>
      </c>
      <c r="J20" s="60">
        <f>F20/H20-1</f>
        <v>-0.48124780025258274</v>
      </c>
      <c r="K20" s="68">
        <v>687449</v>
      </c>
      <c r="L20" s="68">
        <v>833999</v>
      </c>
      <c r="M20" s="68">
        <v>3859183</v>
      </c>
      <c r="N20" s="64">
        <f>K20/L20-1</f>
        <v>-0.17571963515543787</v>
      </c>
      <c r="O20" s="60">
        <f>K20/M20-1</f>
        <v>-0.82186670080169821</v>
      </c>
      <c r="P20" s="70">
        <v>833999</v>
      </c>
      <c r="Q20" s="70">
        <v>3859183</v>
      </c>
    </row>
    <row r="21" spans="1:33">
      <c r="A21" s="9"/>
      <c r="B21" s="12"/>
      <c r="C21" s="31" t="s">
        <v>16</v>
      </c>
      <c r="D21" s="26"/>
      <c r="E21" s="32"/>
      <c r="F21" s="43"/>
      <c r="G21" s="43"/>
      <c r="H21" s="43"/>
      <c r="I21" s="64"/>
      <c r="J21" s="60"/>
      <c r="K21" s="43"/>
      <c r="L21" s="43"/>
      <c r="M21" s="43"/>
      <c r="N21" s="64"/>
      <c r="O21" s="60"/>
      <c r="P21" s="44"/>
      <c r="Q21" s="44"/>
    </row>
    <row r="22" spans="1:33">
      <c r="A22" s="9"/>
      <c r="B22" s="12"/>
      <c r="C22" s="33"/>
      <c r="D22" s="26" t="s">
        <v>5</v>
      </c>
      <c r="E22" s="32"/>
      <c r="F22" s="68">
        <v>7</v>
      </c>
      <c r="G22" s="68">
        <f>L22-'Nov-21'!L22</f>
        <v>3</v>
      </c>
      <c r="H22" s="68">
        <f>M22-'Nov-21'!M22</f>
        <v>44</v>
      </c>
      <c r="I22" s="64">
        <f t="shared" si="0"/>
        <v>1.3333333333333335</v>
      </c>
      <c r="J22" s="60">
        <f>F22/H22-1</f>
        <v>-0.84090909090909094</v>
      </c>
      <c r="K22" s="68">
        <v>107</v>
      </c>
      <c r="L22" s="68">
        <v>32</v>
      </c>
      <c r="M22" s="68">
        <v>372</v>
      </c>
      <c r="N22" s="64">
        <f>K22/L22-1</f>
        <v>2.34375</v>
      </c>
      <c r="O22" s="60">
        <f>K22/M22-1</f>
        <v>-0.7123655913978495</v>
      </c>
      <c r="P22" s="70">
        <v>32</v>
      </c>
      <c r="Q22" s="70">
        <v>372</v>
      </c>
    </row>
    <row r="23" spans="1:33">
      <c r="A23" s="9"/>
      <c r="B23" s="12"/>
      <c r="C23" s="33"/>
      <c r="D23" s="26" t="s">
        <v>11</v>
      </c>
      <c r="E23" s="32"/>
      <c r="F23" s="68">
        <v>13748</v>
      </c>
      <c r="G23" s="68">
        <f>L23-'Nov-21'!L23</f>
        <v>1045</v>
      </c>
      <c r="H23" s="68">
        <f>M23-'Nov-21'!M23</f>
        <v>52611</v>
      </c>
      <c r="I23" s="64">
        <f t="shared" si="0"/>
        <v>12.15598086124402</v>
      </c>
      <c r="J23" s="60">
        <f>F23/H23-1</f>
        <v>-0.7386858261580278</v>
      </c>
      <c r="K23" s="68">
        <v>147132</v>
      </c>
      <c r="L23" s="68">
        <v>59180</v>
      </c>
      <c r="M23" s="68">
        <v>902015</v>
      </c>
      <c r="N23" s="64">
        <f>K23/L23-1</f>
        <v>1.4861777627576882</v>
      </c>
      <c r="O23" s="60">
        <f>K23/M23-1</f>
        <v>-0.83688519592246247</v>
      </c>
      <c r="P23" s="70">
        <v>59180</v>
      </c>
      <c r="Q23" s="70">
        <v>902015</v>
      </c>
    </row>
    <row r="24" spans="1:33">
      <c r="A24" s="9"/>
      <c r="B24" s="12"/>
      <c r="C24" s="31" t="s">
        <v>17</v>
      </c>
      <c r="D24" s="26"/>
      <c r="E24" s="32"/>
      <c r="F24" s="43"/>
      <c r="G24" s="43"/>
      <c r="H24" s="43"/>
      <c r="I24" s="64"/>
      <c r="J24" s="60"/>
      <c r="K24" s="43"/>
      <c r="L24" s="43"/>
      <c r="M24" s="43"/>
      <c r="N24" s="64"/>
      <c r="O24" s="60"/>
      <c r="P24" s="44"/>
      <c r="Q24" s="44"/>
    </row>
    <row r="25" spans="1:33">
      <c r="B25" s="12"/>
      <c r="C25" s="33"/>
      <c r="D25" s="26" t="s">
        <v>5</v>
      </c>
      <c r="E25" s="32"/>
      <c r="F25" s="68">
        <v>0</v>
      </c>
      <c r="G25" s="68">
        <f>L25-'Nov-21'!L25</f>
        <v>5</v>
      </c>
      <c r="H25" s="68">
        <f>M25-'Nov-21'!M25</f>
        <v>20</v>
      </c>
      <c r="I25" s="64">
        <f t="shared" si="0"/>
        <v>-1</v>
      </c>
      <c r="J25" s="60">
        <f>F25/H25-1</f>
        <v>-1</v>
      </c>
      <c r="K25" s="68">
        <v>127</v>
      </c>
      <c r="L25" s="68">
        <v>37</v>
      </c>
      <c r="M25" s="68">
        <f>282+81</f>
        <v>363</v>
      </c>
      <c r="N25" s="64">
        <f>K25/L25-1</f>
        <v>2.4324324324324325</v>
      </c>
      <c r="O25" s="60">
        <f>K25/M25-1</f>
        <v>-0.65013774104683197</v>
      </c>
      <c r="P25" s="70">
        <v>37</v>
      </c>
      <c r="Q25" s="70">
        <f>282+81</f>
        <v>363</v>
      </c>
    </row>
    <row r="26" spans="1:33">
      <c r="A26" s="9"/>
      <c r="B26" s="12"/>
      <c r="C26" s="33"/>
      <c r="D26" s="26" t="s">
        <v>11</v>
      </c>
      <c r="E26" s="32"/>
      <c r="F26" s="68">
        <v>0</v>
      </c>
      <c r="G26" s="68">
        <f>L26-'Nov-21'!L26</f>
        <v>1063</v>
      </c>
      <c r="H26" s="68">
        <f>M26-'Nov-21'!M26</f>
        <v>24347</v>
      </c>
      <c r="I26" s="64">
        <f t="shared" si="0"/>
        <v>-1</v>
      </c>
      <c r="J26" s="60">
        <f>F26/H26-1</f>
        <v>-1</v>
      </c>
      <c r="K26" s="68">
        <v>165083</v>
      </c>
      <c r="L26" s="68">
        <f>20768+8294</f>
        <v>29062</v>
      </c>
      <c r="M26" s="70">
        <f>659951+168729+38484</f>
        <v>867164</v>
      </c>
      <c r="N26" s="64">
        <f>K26/L26-1</f>
        <v>4.6803729956644418</v>
      </c>
      <c r="O26" s="60">
        <f>K26/M26-1</f>
        <v>-0.80962885913160598</v>
      </c>
      <c r="P26" s="70">
        <f>20768+8294</f>
        <v>29062</v>
      </c>
      <c r="Q26" s="70">
        <f>659951+168729+38484</f>
        <v>867164</v>
      </c>
    </row>
    <row r="27" spans="1:33" ht="15.75" thickBot="1">
      <c r="A27" s="9"/>
      <c r="B27" s="12"/>
      <c r="C27" s="35" t="s">
        <v>12</v>
      </c>
      <c r="D27" s="36"/>
      <c r="E27" s="37"/>
      <c r="F27" s="46">
        <f t="shared" ref="F27:H28" si="1">F10+F13+F16+F19+F22+F25</f>
        <v>207</v>
      </c>
      <c r="G27" s="46">
        <f t="shared" si="1"/>
        <v>8</v>
      </c>
      <c r="H27" s="46">
        <f t="shared" si="1"/>
        <v>293</v>
      </c>
      <c r="I27" s="66">
        <f>F27/G27-1</f>
        <v>24.875</v>
      </c>
      <c r="J27" s="62">
        <f>F27/H27-1</f>
        <v>-0.29351535836177478</v>
      </c>
      <c r="K27" s="46">
        <f t="shared" ref="K27:M28" si="2">K10+K13+K16+K19+K22+K25</f>
        <v>1062</v>
      </c>
      <c r="L27" s="46">
        <f t="shared" si="2"/>
        <v>667</v>
      </c>
      <c r="M27" s="46">
        <f t="shared" si="2"/>
        <v>3344</v>
      </c>
      <c r="N27" s="66">
        <f>K27/L27-1</f>
        <v>0.59220389805097451</v>
      </c>
      <c r="O27" s="62">
        <f>K27/M27-1</f>
        <v>-0.68241626794258381</v>
      </c>
      <c r="P27" s="46">
        <f>P10+P13+P16+P19+P22+P25</f>
        <v>667</v>
      </c>
      <c r="Q27" s="46">
        <f>Q10+Q13+Q16+Q19+Q22+Q25</f>
        <v>3344</v>
      </c>
    </row>
    <row r="28" spans="1:33" s="22" customFormat="1" ht="16.5" thickTop="1" thickBot="1">
      <c r="A28" s="9"/>
      <c r="B28" s="12"/>
      <c r="C28" s="38" t="s">
        <v>13</v>
      </c>
      <c r="D28" s="39"/>
      <c r="E28" s="40"/>
      <c r="F28" s="47">
        <f t="shared" si="1"/>
        <v>307043</v>
      </c>
      <c r="G28" s="47">
        <f t="shared" si="1"/>
        <v>2108</v>
      </c>
      <c r="H28" s="47">
        <f t="shared" si="1"/>
        <v>652325</v>
      </c>
      <c r="I28" s="67">
        <f>F28/G28-1</f>
        <v>144.65607210626186</v>
      </c>
      <c r="J28" s="63">
        <f>F28/H28-1</f>
        <v>-0.52930977656842826</v>
      </c>
      <c r="K28" s="47">
        <f t="shared" si="2"/>
        <v>1554247</v>
      </c>
      <c r="L28" s="47">
        <f t="shared" si="2"/>
        <v>1323431</v>
      </c>
      <c r="M28" s="47">
        <f t="shared" si="2"/>
        <v>9169021</v>
      </c>
      <c r="N28" s="67">
        <f>K28/L28-1</f>
        <v>0.17440727926125343</v>
      </c>
      <c r="O28" s="63">
        <f>K28/M28-1</f>
        <v>-0.83048931832526063</v>
      </c>
      <c r="P28" s="47">
        <f>P11+P14+P17+P20+P23+P26</f>
        <v>1323431</v>
      </c>
      <c r="Q28" s="47">
        <f>Q11+Q14+Q17+Q20+Q23+Q26</f>
        <v>9169021</v>
      </c>
      <c r="R28" s="9"/>
      <c r="S28" s="21"/>
      <c r="T28" s="21"/>
      <c r="U28" s="21"/>
      <c r="V28" s="21"/>
      <c r="W28" s="21"/>
      <c r="X28" s="21"/>
      <c r="Y28" s="21"/>
      <c r="Z28" s="21"/>
      <c r="AA28" s="21"/>
      <c r="AB28" s="21"/>
      <c r="AC28" s="21"/>
      <c r="AD28" s="21"/>
      <c r="AE28" s="21"/>
      <c r="AF28" s="21"/>
      <c r="AG28" s="21"/>
    </row>
    <row r="29" spans="1:33" ht="15.75" thickTop="1">
      <c r="A29" s="9"/>
      <c r="B29" s="9"/>
      <c r="C29" s="9"/>
      <c r="D29" s="9"/>
      <c r="E29" s="9"/>
      <c r="F29" s="41"/>
      <c r="G29" s="41"/>
      <c r="H29" s="41"/>
      <c r="I29" s="9"/>
      <c r="J29" s="9"/>
      <c r="K29" s="9"/>
      <c r="L29" s="9"/>
      <c r="M29" s="9"/>
      <c r="N29" s="9"/>
      <c r="O29" s="9"/>
      <c r="P29" s="9"/>
      <c r="Q29" s="9"/>
    </row>
    <row r="30" spans="1:33" hidden="1">
      <c r="A30" s="9"/>
      <c r="B30" s="9"/>
      <c r="C30" s="9"/>
      <c r="D30" s="9"/>
      <c r="E30" s="9"/>
      <c r="F30" s="41"/>
      <c r="G30" s="41"/>
      <c r="H30" s="41"/>
      <c r="I30" s="9"/>
      <c r="J30" s="9"/>
      <c r="K30" s="9"/>
      <c r="L30" s="9"/>
      <c r="M30" s="9"/>
      <c r="N30" s="9"/>
      <c r="O30" s="9"/>
      <c r="P30" s="9"/>
      <c r="Q30" s="9"/>
    </row>
    <row r="31" spans="1:33" hidden="1">
      <c r="A31" s="9"/>
      <c r="B31" s="9"/>
      <c r="C31" s="9"/>
      <c r="D31" s="9"/>
      <c r="E31" s="9"/>
      <c r="F31" s="41"/>
      <c r="G31" s="41"/>
      <c r="H31" s="41"/>
      <c r="I31" s="9"/>
      <c r="J31" s="9"/>
      <c r="K31" s="9"/>
      <c r="L31" s="9"/>
      <c r="M31" s="9"/>
      <c r="N31" s="9"/>
      <c r="O31" s="9"/>
      <c r="P31" s="9"/>
      <c r="Q31" s="9"/>
    </row>
    <row r="32" spans="1:33" hidden="1">
      <c r="A32" s="9"/>
      <c r="B32" s="9"/>
      <c r="C32" s="9"/>
      <c r="D32" s="9"/>
      <c r="E32" s="9"/>
      <c r="F32" s="41"/>
      <c r="G32" s="41"/>
      <c r="H32" s="41"/>
      <c r="I32" s="9"/>
      <c r="J32" s="9"/>
      <c r="K32" s="9"/>
      <c r="L32" s="9"/>
      <c r="M32" s="9"/>
      <c r="N32" s="9"/>
      <c r="O32" s="9"/>
      <c r="P32" s="9"/>
      <c r="Q32" s="9"/>
    </row>
    <row r="33" spans="6:8" s="9" customFormat="1" hidden="1">
      <c r="F33" s="41"/>
      <c r="G33" s="41"/>
      <c r="H33" s="41"/>
    </row>
    <row r="34" spans="6:8" s="9" customFormat="1" hidden="1">
      <c r="F34" s="41"/>
      <c r="G34" s="41"/>
      <c r="H34" s="41"/>
    </row>
    <row r="35" spans="6:8" s="9" customFormat="1" hidden="1">
      <c r="F35" s="41"/>
      <c r="G35" s="41"/>
      <c r="H35" s="41"/>
    </row>
    <row r="36" spans="6:8" s="9" customFormat="1" hidden="1">
      <c r="F36" s="41"/>
      <c r="G36" s="41"/>
      <c r="H36" s="41"/>
    </row>
    <row r="37" spans="6:8" s="9" customFormat="1" hidden="1">
      <c r="F37" s="41"/>
      <c r="G37" s="41"/>
      <c r="H37" s="41"/>
    </row>
    <row r="38" spans="6:8" s="9" customFormat="1" hidden="1">
      <c r="F38" s="41"/>
      <c r="G38" s="41"/>
      <c r="H38" s="41"/>
    </row>
    <row r="39" spans="6:8" s="9" customFormat="1" hidden="1">
      <c r="F39" s="41"/>
      <c r="G39" s="41"/>
      <c r="H39" s="41"/>
    </row>
    <row r="40" spans="6:8" s="9" customFormat="1" hidden="1">
      <c r="F40" s="41"/>
      <c r="G40" s="41"/>
      <c r="H40" s="41"/>
    </row>
    <row r="41" spans="6:8" s="9" customFormat="1" hidden="1">
      <c r="F41" s="41"/>
      <c r="G41" s="41"/>
      <c r="H41" s="41"/>
    </row>
    <row r="42" spans="6:8" s="9" customFormat="1" hidden="1">
      <c r="F42" s="41"/>
      <c r="G42" s="41"/>
      <c r="H42" s="41"/>
    </row>
    <row r="43" spans="6:8" s="9" customFormat="1" hidden="1">
      <c r="F43" s="41"/>
      <c r="G43" s="41"/>
      <c r="H43" s="41"/>
    </row>
    <row r="44" spans="6:8" s="9" customFormat="1" hidden="1">
      <c r="F44" s="41"/>
      <c r="G44" s="41"/>
      <c r="H44" s="41"/>
    </row>
    <row r="45" spans="6:8" s="9" customFormat="1" hidden="1">
      <c r="F45" s="41"/>
      <c r="G45" s="41"/>
      <c r="H45" s="41"/>
    </row>
    <row r="46" spans="6:8" s="9" customFormat="1" hidden="1">
      <c r="F46" s="41"/>
      <c r="G46" s="41"/>
      <c r="H46" s="41"/>
    </row>
    <row r="47" spans="6:8" s="9" customFormat="1" hidden="1">
      <c r="F47" s="41"/>
      <c r="G47" s="41"/>
      <c r="H47" s="41"/>
    </row>
    <row r="48" spans="6:8" s="9" customFormat="1" hidden="1"/>
  </sheetData>
  <customSheetViews>
    <customSheetView guid="{5F6D01E3-9E6F-4D7F-980F-63899AF95899}" scale="79" showGridLines="0" fitToPage="1" hiddenRows="1" hiddenColumns="1" topLeftCell="A7">
      <selection activeCell="P28" sqref="P28"/>
      <pageMargins left="0.7" right="0.7" top="0.75" bottom="0.75" header="0.3" footer="0.3"/>
      <pageSetup paperSize="9" scale="85" orientation="landscape" horizontalDpi="4294967293" verticalDpi="4294967293" r:id="rId1"/>
    </customSheetView>
  </customSheetViews>
  <mergeCells count="3">
    <mergeCell ref="F6:J6"/>
    <mergeCell ref="K6:O6"/>
    <mergeCell ref="P6:Q6"/>
  </mergeCells>
  <pageMargins left="0.7" right="0.7" top="0.75" bottom="0.75" header="0.3" footer="0.3"/>
  <pageSetup paperSize="9" scale="85" orientation="landscape" horizontalDpi="4294967293" verticalDpi="4294967293" r:id="rId2"/>
  <drawing r:id="rId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pageSetUpPr fitToPage="1"/>
  </sheetPr>
  <dimension ref="A1:AG48"/>
  <sheetViews>
    <sheetView showGridLines="0" zoomScaleNormal="100" workbookViewId="0"/>
  </sheetViews>
  <sheetFormatPr defaultColWidth="0" defaultRowHeight="15" customHeight="1" zeroHeight="1"/>
  <cols>
    <col min="1" max="3" width="2.5703125" customWidth="1"/>
    <col min="4" max="4" width="9.140625" customWidth="1"/>
    <col min="5" max="5" width="15.42578125" customWidth="1"/>
    <col min="6" max="6" width="11.140625" bestFit="1" customWidth="1"/>
    <col min="7" max="7" width="9.140625" customWidth="1"/>
    <col min="8" max="8" width="10.5703125" bestFit="1" customWidth="1"/>
    <col min="9" max="10" width="9.140625" customWidth="1"/>
    <col min="11" max="11" width="10.140625" bestFit="1" customWidth="1"/>
    <col min="12" max="12" width="12.140625" bestFit="1" customWidth="1"/>
    <col min="13" max="13" width="12.5703125" bestFit="1" customWidth="1"/>
    <col min="14" max="15" width="9.140625" customWidth="1"/>
    <col min="16" max="16" width="11.85546875" bestFit="1" customWidth="1"/>
    <col min="17" max="17" width="12.42578125" customWidth="1"/>
    <col min="18" max="18" width="3.140625" style="9" customWidth="1"/>
    <col min="19" max="33" width="0" style="9" hidden="1" customWidth="1"/>
    <col min="34" max="16384" width="9.140625" hidden="1"/>
  </cols>
  <sheetData>
    <row r="1" spans="1:33">
      <c r="A1" s="9"/>
      <c r="B1" s="9"/>
      <c r="C1" s="9"/>
      <c r="D1" s="9"/>
      <c r="E1" s="9"/>
      <c r="F1" s="9"/>
      <c r="G1" s="9"/>
      <c r="H1" s="9"/>
      <c r="I1" s="9"/>
      <c r="J1" s="9"/>
      <c r="K1" s="9"/>
      <c r="L1" s="9"/>
      <c r="M1" s="9"/>
      <c r="N1" s="9"/>
      <c r="O1" s="9"/>
      <c r="P1" s="9"/>
      <c r="Q1" s="9"/>
    </row>
    <row r="2" spans="1:33" ht="19.5" thickBot="1">
      <c r="A2" s="9"/>
      <c r="B2" s="8" t="s">
        <v>6</v>
      </c>
      <c r="C2" s="23"/>
      <c r="D2" s="23"/>
      <c r="E2" s="23"/>
      <c r="F2" s="23"/>
      <c r="G2" s="23"/>
      <c r="H2" s="23"/>
      <c r="I2" s="23"/>
      <c r="J2" s="23"/>
      <c r="K2" s="23"/>
      <c r="L2" s="23"/>
      <c r="M2" s="23"/>
      <c r="N2" s="23"/>
      <c r="O2" s="23"/>
      <c r="P2" s="23"/>
      <c r="Q2" s="23"/>
    </row>
    <row r="3" spans="1:33">
      <c r="A3" s="9"/>
      <c r="B3" s="10"/>
      <c r="C3" s="24"/>
      <c r="D3" s="24"/>
      <c r="E3" s="24"/>
      <c r="F3" s="24"/>
      <c r="G3" s="24"/>
      <c r="H3" s="24"/>
      <c r="I3" s="24"/>
      <c r="J3" s="24"/>
      <c r="K3" s="24"/>
      <c r="L3" s="24"/>
      <c r="M3" s="24"/>
      <c r="N3" s="24"/>
      <c r="O3" s="24"/>
      <c r="P3" s="24"/>
      <c r="Q3" s="25"/>
    </row>
    <row r="4" spans="1:33" ht="15.75">
      <c r="A4" s="9"/>
      <c r="B4" s="11" t="s">
        <v>7</v>
      </c>
      <c r="C4" s="26"/>
      <c r="D4" s="24"/>
      <c r="E4" s="58" t="s">
        <v>26</v>
      </c>
      <c r="F4" s="24"/>
      <c r="G4" s="24"/>
      <c r="H4" s="24"/>
      <c r="I4" s="24"/>
      <c r="J4" s="24"/>
      <c r="K4" s="24"/>
      <c r="L4" s="24"/>
      <c r="M4" s="24"/>
      <c r="N4" s="24"/>
      <c r="O4" s="24"/>
      <c r="P4" s="24"/>
      <c r="Q4" s="24"/>
    </row>
    <row r="5" spans="1:33">
      <c r="A5" s="9"/>
      <c r="B5" s="10"/>
      <c r="C5" s="24"/>
      <c r="D5" s="24"/>
      <c r="E5" s="24"/>
      <c r="F5" s="24"/>
      <c r="G5" s="24"/>
      <c r="H5" s="24"/>
      <c r="I5" s="24"/>
      <c r="J5" s="24"/>
      <c r="K5" s="24"/>
      <c r="L5" s="24"/>
      <c r="M5" s="24"/>
      <c r="N5" s="24"/>
      <c r="O5" s="24"/>
      <c r="P5" s="24"/>
      <c r="Q5" s="24"/>
    </row>
    <row r="6" spans="1:33" s="20" customFormat="1">
      <c r="A6" s="9"/>
      <c r="B6"/>
      <c r="C6" s="27" t="s">
        <v>7</v>
      </c>
      <c r="D6" s="28"/>
      <c r="E6" s="28"/>
      <c r="F6" s="157" t="s">
        <v>27</v>
      </c>
      <c r="G6" s="166"/>
      <c r="H6" s="166"/>
      <c r="I6" s="167"/>
      <c r="J6" s="168"/>
      <c r="K6" s="157" t="s">
        <v>28</v>
      </c>
      <c r="L6" s="166"/>
      <c r="M6" s="166"/>
      <c r="N6" s="167"/>
      <c r="O6" s="168"/>
      <c r="P6" s="158" t="s">
        <v>9</v>
      </c>
      <c r="Q6" s="166"/>
      <c r="R6" s="9"/>
      <c r="S6" s="19"/>
      <c r="T6" s="19"/>
      <c r="U6" s="19"/>
      <c r="V6" s="19"/>
      <c r="W6" s="19"/>
      <c r="X6" s="19"/>
      <c r="Y6" s="19"/>
      <c r="Z6" s="19"/>
      <c r="AA6" s="19"/>
      <c r="AB6" s="19"/>
      <c r="AC6" s="19"/>
      <c r="AD6" s="19"/>
      <c r="AE6" s="19"/>
      <c r="AF6" s="19"/>
      <c r="AG6" s="19"/>
    </row>
    <row r="7" spans="1:33" ht="15.75">
      <c r="A7" s="9"/>
      <c r="B7" s="18"/>
      <c r="C7" s="29"/>
      <c r="D7" s="30"/>
      <c r="E7" s="30"/>
      <c r="F7" s="29"/>
      <c r="G7" s="30"/>
      <c r="H7" s="30"/>
      <c r="I7" s="30"/>
      <c r="J7" s="56"/>
      <c r="K7" s="29"/>
      <c r="L7" s="30"/>
      <c r="M7" s="30"/>
      <c r="N7" s="30"/>
      <c r="O7" s="56"/>
      <c r="P7" s="30"/>
      <c r="Q7" s="30"/>
    </row>
    <row r="8" spans="1:33" s="54" customFormat="1" ht="22.5">
      <c r="A8" s="48"/>
      <c r="B8" s="49"/>
      <c r="C8" s="59" t="s">
        <v>29</v>
      </c>
      <c r="D8" s="50"/>
      <c r="E8" s="51"/>
      <c r="F8" s="55">
        <v>2021</v>
      </c>
      <c r="G8" s="52">
        <v>2020</v>
      </c>
      <c r="H8" s="52">
        <v>2019</v>
      </c>
      <c r="I8" s="53" t="s">
        <v>19</v>
      </c>
      <c r="J8" s="57" t="s">
        <v>18</v>
      </c>
      <c r="K8" s="55">
        <v>2021</v>
      </c>
      <c r="L8" s="52">
        <v>2020</v>
      </c>
      <c r="M8" s="52">
        <v>2019</v>
      </c>
      <c r="N8" s="53" t="s">
        <v>19</v>
      </c>
      <c r="O8" s="57" t="s">
        <v>18</v>
      </c>
      <c r="P8" s="52">
        <v>2020</v>
      </c>
      <c r="Q8" s="52">
        <v>2019</v>
      </c>
      <c r="R8" s="48"/>
      <c r="S8" s="48"/>
      <c r="T8" s="48"/>
      <c r="U8" s="48"/>
      <c r="V8" s="48"/>
      <c r="W8" s="48"/>
      <c r="X8" s="48"/>
      <c r="Y8" s="48"/>
      <c r="Z8" s="48"/>
      <c r="AA8" s="48"/>
      <c r="AB8" s="48"/>
      <c r="AC8" s="48"/>
      <c r="AD8" s="48"/>
      <c r="AE8" s="48"/>
      <c r="AF8" s="48"/>
      <c r="AG8" s="48"/>
    </row>
    <row r="9" spans="1:33">
      <c r="A9" s="9"/>
      <c r="B9" s="12"/>
      <c r="C9" s="31" t="s">
        <v>14</v>
      </c>
      <c r="D9" s="26"/>
      <c r="E9" s="32"/>
      <c r="F9" s="26"/>
      <c r="G9" s="26"/>
      <c r="H9" s="26"/>
      <c r="I9" s="26"/>
      <c r="J9" s="32"/>
      <c r="K9" s="26"/>
      <c r="L9" s="26"/>
      <c r="M9" s="26"/>
      <c r="N9" s="26"/>
      <c r="O9" s="32"/>
      <c r="P9" s="26"/>
      <c r="Q9" s="26"/>
    </row>
    <row r="10" spans="1:33">
      <c r="A10" s="9"/>
      <c r="B10" s="12"/>
      <c r="C10" s="33"/>
      <c r="D10" s="26" t="s">
        <v>5</v>
      </c>
      <c r="E10" s="32"/>
      <c r="F10" s="68">
        <v>21</v>
      </c>
      <c r="G10" s="68">
        <v>0</v>
      </c>
      <c r="H10" s="69">
        <v>51</v>
      </c>
      <c r="I10" s="64" t="str">
        <f>IFERROR(F10/G10-1,"n/a")</f>
        <v>n/a</v>
      </c>
      <c r="J10" s="60">
        <f>F10/H10-1</f>
        <v>-0.58823529411764708</v>
      </c>
      <c r="K10" s="68">
        <v>41</v>
      </c>
      <c r="L10" s="68">
        <v>145</v>
      </c>
      <c r="M10" s="68">
        <v>317</v>
      </c>
      <c r="N10" s="64">
        <f>K10/L10-1</f>
        <v>-0.71724137931034482</v>
      </c>
      <c r="O10" s="60">
        <f>K10/M10-1</f>
        <v>-0.87066246056782337</v>
      </c>
      <c r="P10" s="70">
        <v>145</v>
      </c>
      <c r="Q10" s="70">
        <v>386</v>
      </c>
    </row>
    <row r="11" spans="1:33">
      <c r="A11" s="9"/>
      <c r="B11" s="12"/>
      <c r="C11" s="33"/>
      <c r="D11" s="26" t="s">
        <v>11</v>
      </c>
      <c r="E11" s="32"/>
      <c r="F11" s="68">
        <v>23175</v>
      </c>
      <c r="G11" s="68">
        <v>0</v>
      </c>
      <c r="H11" s="68">
        <v>89764</v>
      </c>
      <c r="I11" s="64" t="str">
        <f t="shared" ref="I11:I26" si="0">IFERROR(F11/G11-1,"n/a")</f>
        <v>n/a</v>
      </c>
      <c r="J11" s="60">
        <f>F11/H11-1</f>
        <v>-0.74182300253999378</v>
      </c>
      <c r="K11" s="68">
        <v>28096</v>
      </c>
      <c r="L11" s="68">
        <v>258885</v>
      </c>
      <c r="M11" s="68">
        <v>613093</v>
      </c>
      <c r="N11" s="64">
        <f>K11/L11-1</f>
        <v>-0.89147304787840165</v>
      </c>
      <c r="O11" s="60">
        <f>K11/M11-1</f>
        <v>-0.95417334727357839</v>
      </c>
      <c r="P11" s="70">
        <v>258885</v>
      </c>
      <c r="Q11" s="70">
        <v>733296</v>
      </c>
    </row>
    <row r="12" spans="1:33">
      <c r="A12" s="9"/>
      <c r="B12" s="12"/>
      <c r="C12" s="31" t="s">
        <v>74</v>
      </c>
      <c r="D12" s="26"/>
      <c r="E12" s="32"/>
      <c r="F12" s="45"/>
      <c r="G12" s="45"/>
      <c r="H12" s="45"/>
      <c r="I12" s="64"/>
      <c r="J12" s="61"/>
      <c r="K12" s="43"/>
      <c r="L12" s="43"/>
      <c r="M12" s="43"/>
      <c r="N12" s="65"/>
      <c r="O12" s="61"/>
      <c r="P12" s="44"/>
      <c r="Q12" s="44"/>
    </row>
    <row r="13" spans="1:33">
      <c r="A13" s="9"/>
      <c r="B13" s="12"/>
      <c r="C13" s="33"/>
      <c r="D13" s="26" t="s">
        <v>5</v>
      </c>
      <c r="E13" s="32"/>
      <c r="F13" s="68">
        <v>67</v>
      </c>
      <c r="G13" s="68">
        <v>0</v>
      </c>
      <c r="H13" s="68">
        <v>95</v>
      </c>
      <c r="I13" s="64" t="str">
        <f t="shared" si="0"/>
        <v>n/a</v>
      </c>
      <c r="J13" s="60">
        <f>F13/H13-1</f>
        <v>-0.29473684210526319</v>
      </c>
      <c r="K13" s="68">
        <v>258</v>
      </c>
      <c r="L13" s="68">
        <v>43</v>
      </c>
      <c r="M13" s="68">
        <v>807</v>
      </c>
      <c r="N13" s="64">
        <f>K13/L13-1</f>
        <v>5</v>
      </c>
      <c r="O13" s="60">
        <f>K13/M13-1</f>
        <v>-0.68029739776951681</v>
      </c>
      <c r="P13" s="70">
        <v>43</v>
      </c>
      <c r="Q13" s="70">
        <v>827</v>
      </c>
    </row>
    <row r="14" spans="1:33">
      <c r="A14" s="9"/>
      <c r="B14" s="12"/>
      <c r="C14" s="33"/>
      <c r="D14" s="26" t="s">
        <v>11</v>
      </c>
      <c r="E14" s="32"/>
      <c r="F14" s="68">
        <v>83507</v>
      </c>
      <c r="G14" s="68">
        <v>0</v>
      </c>
      <c r="H14" s="68">
        <v>263747</v>
      </c>
      <c r="I14" s="64" t="str">
        <f t="shared" si="0"/>
        <v>n/a</v>
      </c>
      <c r="J14" s="60">
        <f>F14/H14-1</f>
        <v>-0.68338218065039602</v>
      </c>
      <c r="K14" s="68">
        <v>425895</v>
      </c>
      <c r="L14" s="68">
        <v>140552</v>
      </c>
      <c r="M14" s="68">
        <v>2493999</v>
      </c>
      <c r="N14" s="64">
        <f>K14/L14-1</f>
        <v>2.0301596562126472</v>
      </c>
      <c r="O14" s="60">
        <f>K14/M14-1</f>
        <v>-0.82923208870572918</v>
      </c>
      <c r="P14" s="70">
        <v>140552</v>
      </c>
      <c r="Q14" s="70">
        <v>2552942</v>
      </c>
    </row>
    <row r="15" spans="1:33">
      <c r="A15" s="9"/>
      <c r="B15" s="12"/>
      <c r="C15" s="31" t="s">
        <v>15</v>
      </c>
      <c r="D15" s="26"/>
      <c r="E15" s="32"/>
      <c r="F15" s="43"/>
      <c r="G15" s="43"/>
      <c r="H15" s="43"/>
      <c r="I15" s="64"/>
      <c r="J15" s="60"/>
      <c r="K15" s="43"/>
      <c r="L15" s="43"/>
      <c r="M15" s="43"/>
      <c r="N15" s="64"/>
      <c r="O15" s="60"/>
      <c r="P15" s="44"/>
      <c r="Q15" s="44"/>
    </row>
    <row r="16" spans="1:33">
      <c r="A16" s="9"/>
      <c r="B16" s="12"/>
      <c r="C16" s="33"/>
      <c r="D16" s="26" t="s">
        <v>5</v>
      </c>
      <c r="E16" s="32"/>
      <c r="F16" s="68">
        <v>9</v>
      </c>
      <c r="G16" s="68">
        <v>0</v>
      </c>
      <c r="H16" s="68">
        <v>10</v>
      </c>
      <c r="I16" s="64" t="str">
        <f t="shared" si="0"/>
        <v>n/a</v>
      </c>
      <c r="J16" s="60">
        <f>F16/H16-1</f>
        <v>-9.9999999999999978E-2</v>
      </c>
      <c r="K16" s="68">
        <v>20</v>
      </c>
      <c r="L16" s="68">
        <v>4</v>
      </c>
      <c r="M16" s="68">
        <v>182</v>
      </c>
      <c r="N16" s="64">
        <f>K16/L16-1</f>
        <v>4</v>
      </c>
      <c r="O16" s="60">
        <f>K16/M16-1</f>
        <v>-0.89010989010989006</v>
      </c>
      <c r="P16" s="70">
        <v>4</v>
      </c>
      <c r="Q16" s="70">
        <v>191</v>
      </c>
    </row>
    <row r="17" spans="1:33">
      <c r="A17" s="9"/>
      <c r="B17" s="12"/>
      <c r="C17" s="33"/>
      <c r="D17" s="26" t="s">
        <v>11</v>
      </c>
      <c r="E17" s="32"/>
      <c r="F17" s="68">
        <v>4212</v>
      </c>
      <c r="G17" s="68">
        <v>0</v>
      </c>
      <c r="H17" s="68">
        <v>13055</v>
      </c>
      <c r="I17" s="64" t="str">
        <f t="shared" si="0"/>
        <v>n/a</v>
      </c>
      <c r="J17" s="60">
        <f>F17/H17-1</f>
        <v>-0.67736499425507468</v>
      </c>
      <c r="K17" s="68">
        <v>7747</v>
      </c>
      <c r="L17" s="68">
        <v>1753</v>
      </c>
      <c r="M17" s="68">
        <v>244608</v>
      </c>
      <c r="N17" s="64">
        <f>K17/L17-1</f>
        <v>3.4192812321734172</v>
      </c>
      <c r="O17" s="60">
        <f>K17/M17-1</f>
        <v>-0.96832891810570376</v>
      </c>
      <c r="P17" s="70">
        <v>1753</v>
      </c>
      <c r="Q17" s="70">
        <v>254421</v>
      </c>
    </row>
    <row r="18" spans="1:33">
      <c r="A18" s="9"/>
      <c r="B18" s="12"/>
      <c r="C18" s="31" t="s">
        <v>10</v>
      </c>
      <c r="D18" s="26"/>
      <c r="E18" s="34"/>
      <c r="F18" s="43"/>
      <c r="G18" s="43"/>
      <c r="H18" s="43"/>
      <c r="I18" s="64"/>
      <c r="J18" s="60"/>
      <c r="K18" s="43"/>
      <c r="L18" s="43"/>
      <c r="M18" s="43"/>
      <c r="N18" s="64"/>
      <c r="O18" s="60"/>
      <c r="P18" s="44"/>
      <c r="Q18" s="44"/>
    </row>
    <row r="19" spans="1:33">
      <c r="A19" s="9"/>
      <c r="B19" s="12"/>
      <c r="C19" s="33"/>
      <c r="D19" s="26" t="s">
        <v>5</v>
      </c>
      <c r="E19" s="34"/>
      <c r="F19" s="68">
        <v>94</v>
      </c>
      <c r="G19" s="68">
        <v>0</v>
      </c>
      <c r="H19" s="68">
        <v>121</v>
      </c>
      <c r="I19" s="64" t="str">
        <f t="shared" si="0"/>
        <v>n/a</v>
      </c>
      <c r="J19" s="60">
        <f>F19/H19-1</f>
        <v>-0.22314049586776863</v>
      </c>
      <c r="K19" s="68">
        <v>309</v>
      </c>
      <c r="L19" s="68">
        <v>406</v>
      </c>
      <c r="M19" s="68">
        <v>1074</v>
      </c>
      <c r="N19" s="64">
        <f>K19/L19-1</f>
        <v>-0.23891625615763545</v>
      </c>
      <c r="O19" s="60">
        <f>K19/M19-1</f>
        <v>-0.71229050279329609</v>
      </c>
      <c r="P19" s="70">
        <v>406</v>
      </c>
      <c r="Q19" s="70">
        <v>1205</v>
      </c>
    </row>
    <row r="20" spans="1:33">
      <c r="A20" s="9"/>
      <c r="B20" s="12"/>
      <c r="C20" s="33"/>
      <c r="D20" s="26" t="s">
        <v>11</v>
      </c>
      <c r="E20" s="32"/>
      <c r="F20" s="68">
        <v>162789</v>
      </c>
      <c r="G20" s="68">
        <v>0</v>
      </c>
      <c r="H20" s="68">
        <v>331420</v>
      </c>
      <c r="I20" s="64" t="str">
        <f t="shared" si="0"/>
        <v>n/a</v>
      </c>
      <c r="J20" s="60">
        <f>F20/H20-1</f>
        <v>-0.50881359000663817</v>
      </c>
      <c r="K20" s="68">
        <v>486999</v>
      </c>
      <c r="L20" s="68">
        <v>833999</v>
      </c>
      <c r="M20" s="68">
        <v>3472775</v>
      </c>
      <c r="N20" s="64">
        <f>K20/L20-1</f>
        <v>-0.41606764516504213</v>
      </c>
      <c r="O20" s="60">
        <f>K20/M20-1</f>
        <v>-0.85976661315518565</v>
      </c>
      <c r="P20" s="70">
        <v>833999</v>
      </c>
      <c r="Q20" s="70">
        <v>3859183</v>
      </c>
    </row>
    <row r="21" spans="1:33">
      <c r="A21" s="9"/>
      <c r="B21" s="12"/>
      <c r="C21" s="31" t="s">
        <v>16</v>
      </c>
      <c r="D21" s="26"/>
      <c r="E21" s="32"/>
      <c r="F21" s="43"/>
      <c r="G21" s="43"/>
      <c r="H21" s="43"/>
      <c r="I21" s="64"/>
      <c r="J21" s="60"/>
      <c r="K21" s="43"/>
      <c r="L21" s="43"/>
      <c r="M21" s="43"/>
      <c r="N21" s="64"/>
      <c r="O21" s="60"/>
      <c r="P21" s="44"/>
      <c r="Q21" s="44"/>
    </row>
    <row r="22" spans="1:33">
      <c r="A22" s="9"/>
      <c r="B22" s="12"/>
      <c r="C22" s="33"/>
      <c r="D22" s="26" t="s">
        <v>5</v>
      </c>
      <c r="E22" s="32"/>
      <c r="F22" s="68">
        <v>13</v>
      </c>
      <c r="G22" s="68">
        <v>5</v>
      </c>
      <c r="H22" s="68">
        <v>20</v>
      </c>
      <c r="I22" s="64">
        <f t="shared" si="0"/>
        <v>1.6</v>
      </c>
      <c r="J22" s="60">
        <f>F22/H22-1</f>
        <v>-0.35</v>
      </c>
      <c r="K22" s="68">
        <v>100</v>
      </c>
      <c r="L22" s="68">
        <v>29</v>
      </c>
      <c r="M22" s="68">
        <v>328</v>
      </c>
      <c r="N22" s="64">
        <f>K22/L22-1</f>
        <v>2.4482758620689653</v>
      </c>
      <c r="O22" s="60">
        <f>K22/M22-1</f>
        <v>-0.69512195121951215</v>
      </c>
      <c r="P22" s="70">
        <v>32</v>
      </c>
      <c r="Q22" s="70">
        <v>372</v>
      </c>
    </row>
    <row r="23" spans="1:33">
      <c r="A23" s="9"/>
      <c r="B23" s="12"/>
      <c r="C23" s="33"/>
      <c r="D23" s="26" t="s">
        <v>11</v>
      </c>
      <c r="E23" s="32"/>
      <c r="F23" s="68">
        <v>16166</v>
      </c>
      <c r="G23" s="68">
        <v>2473</v>
      </c>
      <c r="H23" s="68">
        <v>30720</v>
      </c>
      <c r="I23" s="64">
        <f t="shared" si="0"/>
        <v>5.5369995956328344</v>
      </c>
      <c r="J23" s="60">
        <f>F23/H23-1</f>
        <v>-0.47376302083333333</v>
      </c>
      <c r="K23" s="68">
        <v>133384</v>
      </c>
      <c r="L23" s="68">
        <v>58135</v>
      </c>
      <c r="M23" s="68">
        <v>849404</v>
      </c>
      <c r="N23" s="64">
        <f>K23/L23-1</f>
        <v>1.2943837619334309</v>
      </c>
      <c r="O23" s="60">
        <f>K23/M23-1</f>
        <v>-0.84296753959246717</v>
      </c>
      <c r="P23" s="70">
        <v>59180</v>
      </c>
      <c r="Q23" s="70">
        <v>902015</v>
      </c>
    </row>
    <row r="24" spans="1:33">
      <c r="A24" s="9"/>
      <c r="B24" s="12"/>
      <c r="C24" s="31" t="s">
        <v>17</v>
      </c>
      <c r="D24" s="26"/>
      <c r="E24" s="32"/>
      <c r="F24" s="43"/>
      <c r="G24" s="43"/>
      <c r="H24" s="43"/>
      <c r="I24" s="64"/>
      <c r="J24" s="60"/>
      <c r="K24" s="43"/>
      <c r="L24" s="43"/>
      <c r="M24" s="43"/>
      <c r="N24" s="64"/>
      <c r="O24" s="60"/>
      <c r="P24" s="44"/>
      <c r="Q24" s="44"/>
    </row>
    <row r="25" spans="1:33">
      <c r="B25" s="12"/>
      <c r="C25" s="33"/>
      <c r="D25" s="26" t="s">
        <v>5</v>
      </c>
      <c r="E25" s="32"/>
      <c r="F25" s="68">
        <v>20</v>
      </c>
      <c r="G25" s="68">
        <v>8</v>
      </c>
      <c r="H25" s="68">
        <v>17</v>
      </c>
      <c r="I25" s="64">
        <f t="shared" si="0"/>
        <v>1.5</v>
      </c>
      <c r="J25" s="60">
        <f>F25/H25-1</f>
        <v>0.17647058823529416</v>
      </c>
      <c r="K25" s="68">
        <v>127</v>
      </c>
      <c r="L25" s="68">
        <v>32</v>
      </c>
      <c r="M25" s="68">
        <v>343</v>
      </c>
      <c r="N25" s="64">
        <f>K25/L25-1</f>
        <v>2.96875</v>
      </c>
      <c r="O25" s="60">
        <f>K25/M25-1</f>
        <v>-0.629737609329446</v>
      </c>
      <c r="P25" s="70">
        <v>37</v>
      </c>
      <c r="Q25" s="70">
        <v>363</v>
      </c>
    </row>
    <row r="26" spans="1:33">
      <c r="A26" s="9"/>
      <c r="B26" s="12"/>
      <c r="C26" s="33"/>
      <c r="D26" s="26" t="s">
        <v>11</v>
      </c>
      <c r="E26" s="32"/>
      <c r="F26" s="68">
        <v>14810</v>
      </c>
      <c r="G26" s="68">
        <v>2381</v>
      </c>
      <c r="H26" s="68">
        <v>16811</v>
      </c>
      <c r="I26" s="64">
        <f t="shared" si="0"/>
        <v>5.2200755984880303</v>
      </c>
      <c r="J26" s="60">
        <f>F26/H26-1</f>
        <v>-0.11902920706680153</v>
      </c>
      <c r="K26" s="68">
        <v>165083</v>
      </c>
      <c r="L26" s="68">
        <v>27999</v>
      </c>
      <c r="M26" s="68">
        <v>842817</v>
      </c>
      <c r="N26" s="64">
        <f>K26/L26-1</f>
        <v>4.8960320011428982</v>
      </c>
      <c r="O26" s="60">
        <f>K26/M26-1</f>
        <v>-0.80412948481105628</v>
      </c>
      <c r="P26" s="70">
        <v>29062</v>
      </c>
      <c r="Q26" s="70">
        <v>867164</v>
      </c>
    </row>
    <row r="27" spans="1:33" ht="15.75" thickBot="1">
      <c r="A27" s="9"/>
      <c r="B27" s="12"/>
      <c r="C27" s="35" t="s">
        <v>12</v>
      </c>
      <c r="D27" s="36"/>
      <c r="E27" s="37"/>
      <c r="F27" s="46">
        <f t="shared" ref="F27:H28" si="1">F10+F13+F16+F19+F22+F25</f>
        <v>224</v>
      </c>
      <c r="G27" s="46">
        <f t="shared" si="1"/>
        <v>13</v>
      </c>
      <c r="H27" s="46">
        <f t="shared" si="1"/>
        <v>314</v>
      </c>
      <c r="I27" s="66">
        <f>F27/G27-1</f>
        <v>16.23076923076923</v>
      </c>
      <c r="J27" s="62">
        <f>F27/H27-1</f>
        <v>-0.2866242038216561</v>
      </c>
      <c r="K27" s="46">
        <f t="shared" ref="K27:M28" si="2">K10+K13+K16+K19+K22+K25</f>
        <v>855</v>
      </c>
      <c r="L27" s="46">
        <f t="shared" si="2"/>
        <v>659</v>
      </c>
      <c r="M27" s="46">
        <f t="shared" si="2"/>
        <v>3051</v>
      </c>
      <c r="N27" s="66">
        <f>K27/L27-1</f>
        <v>0.29742033383915012</v>
      </c>
      <c r="O27" s="62">
        <f>K27/M27-1</f>
        <v>-0.71976401179940996</v>
      </c>
      <c r="P27" s="46">
        <f>P10+P13+P16+P19+P22+P25</f>
        <v>667</v>
      </c>
      <c r="Q27" s="46">
        <f>Q10+Q13+Q16+Q19+Q22+Q25</f>
        <v>3344</v>
      </c>
    </row>
    <row r="28" spans="1:33" s="22" customFormat="1" ht="16.5" thickTop="1" thickBot="1">
      <c r="A28" s="9"/>
      <c r="B28" s="12"/>
      <c r="C28" s="38" t="s">
        <v>13</v>
      </c>
      <c r="D28" s="39"/>
      <c r="E28" s="40"/>
      <c r="F28" s="47">
        <f t="shared" si="1"/>
        <v>304659</v>
      </c>
      <c r="G28" s="47">
        <f t="shared" si="1"/>
        <v>4854</v>
      </c>
      <c r="H28" s="47">
        <f t="shared" si="1"/>
        <v>745517</v>
      </c>
      <c r="I28" s="67">
        <f>F28/G28-1</f>
        <v>61.764524103831889</v>
      </c>
      <c r="J28" s="63">
        <f>F28/H28-1</f>
        <v>-0.59134533484816576</v>
      </c>
      <c r="K28" s="47">
        <f t="shared" si="2"/>
        <v>1247204</v>
      </c>
      <c r="L28" s="47">
        <f t="shared" si="2"/>
        <v>1321323</v>
      </c>
      <c r="M28" s="47">
        <f t="shared" si="2"/>
        <v>8516696</v>
      </c>
      <c r="N28" s="67">
        <f>K28/L28-1</f>
        <v>-5.6094535552624114E-2</v>
      </c>
      <c r="O28" s="63">
        <f>K28/M28-1</f>
        <v>-0.85355776465427435</v>
      </c>
      <c r="P28" s="47">
        <f>P11+P14+P17+P20+P23+P26</f>
        <v>1323431</v>
      </c>
      <c r="Q28" s="47">
        <f>Q11+Q14+Q17+Q20+Q23+Q26</f>
        <v>9169021</v>
      </c>
      <c r="R28" s="9"/>
      <c r="S28" s="21"/>
      <c r="T28" s="21"/>
      <c r="U28" s="21"/>
      <c r="V28" s="21"/>
      <c r="W28" s="21"/>
      <c r="X28" s="21"/>
      <c r="Y28" s="21"/>
      <c r="Z28" s="21"/>
      <c r="AA28" s="21"/>
      <c r="AB28" s="21"/>
      <c r="AC28" s="21"/>
      <c r="AD28" s="21"/>
      <c r="AE28" s="21"/>
      <c r="AF28" s="21"/>
      <c r="AG28" s="21"/>
    </row>
    <row r="29" spans="1:33" ht="15.75" thickTop="1">
      <c r="A29" s="9"/>
      <c r="B29" s="9"/>
      <c r="C29" s="9"/>
      <c r="D29" s="9"/>
      <c r="E29" s="9"/>
      <c r="F29" s="41"/>
      <c r="G29" s="41"/>
      <c r="H29" s="41"/>
      <c r="I29" s="9"/>
      <c r="J29" s="9"/>
      <c r="K29" s="9"/>
      <c r="L29" s="9"/>
      <c r="M29" s="9"/>
      <c r="N29" s="9"/>
      <c r="O29" s="9"/>
      <c r="P29" s="9"/>
      <c r="Q29" s="9"/>
    </row>
    <row r="30" spans="1:33" hidden="1">
      <c r="A30" s="9"/>
      <c r="B30" s="9"/>
      <c r="C30" s="9"/>
      <c r="D30" s="9"/>
      <c r="E30" s="9"/>
      <c r="F30" s="41"/>
      <c r="G30" s="41"/>
      <c r="H30" s="41"/>
      <c r="I30" s="9"/>
      <c r="J30" s="9"/>
      <c r="K30" s="9"/>
      <c r="L30" s="9"/>
      <c r="M30" s="9"/>
      <c r="N30" s="9"/>
      <c r="O30" s="9"/>
      <c r="P30" s="9"/>
      <c r="Q30" s="9"/>
    </row>
    <row r="31" spans="1:33" hidden="1">
      <c r="A31" s="9"/>
      <c r="B31" s="9"/>
      <c r="C31" s="9"/>
      <c r="D31" s="9"/>
      <c r="E31" s="9"/>
      <c r="F31" s="41"/>
      <c r="G31" s="41"/>
      <c r="H31" s="41"/>
      <c r="I31" s="9"/>
      <c r="J31" s="9"/>
      <c r="K31" s="9"/>
      <c r="L31" s="9"/>
      <c r="M31" s="9"/>
      <c r="N31" s="9"/>
      <c r="O31" s="9"/>
      <c r="P31" s="9"/>
      <c r="Q31" s="9"/>
    </row>
    <row r="32" spans="1:33" hidden="1">
      <c r="A32" s="9"/>
      <c r="B32" s="9"/>
      <c r="C32" s="9"/>
      <c r="D32" s="9"/>
      <c r="E32" s="9"/>
      <c r="F32" s="41"/>
      <c r="G32" s="41"/>
      <c r="H32" s="41"/>
      <c r="I32" s="9"/>
      <c r="J32" s="9"/>
      <c r="K32" s="9"/>
      <c r="L32" s="9"/>
      <c r="M32" s="9"/>
      <c r="N32" s="9"/>
      <c r="O32" s="9"/>
      <c r="P32" s="9"/>
      <c r="Q32" s="9"/>
    </row>
    <row r="33" spans="1:17" hidden="1">
      <c r="A33" s="9"/>
      <c r="B33" s="9"/>
      <c r="C33" s="9"/>
      <c r="D33" s="9"/>
      <c r="E33" s="9"/>
      <c r="F33" s="41"/>
      <c r="G33" s="41"/>
      <c r="H33" s="41"/>
      <c r="I33" s="9"/>
      <c r="J33" s="9"/>
      <c r="K33" s="9"/>
      <c r="L33" s="9"/>
      <c r="M33" s="9"/>
      <c r="N33" s="9"/>
      <c r="O33" s="9"/>
      <c r="P33" s="9"/>
      <c r="Q33" s="9"/>
    </row>
    <row r="34" spans="1:17" hidden="1">
      <c r="A34" s="9"/>
      <c r="B34" s="9"/>
      <c r="C34" s="9"/>
      <c r="D34" s="9"/>
      <c r="E34" s="9"/>
      <c r="F34" s="41"/>
      <c r="G34" s="41"/>
      <c r="H34" s="41"/>
      <c r="I34" s="9"/>
      <c r="J34" s="9"/>
      <c r="K34" s="9"/>
      <c r="L34" s="9"/>
      <c r="M34" s="9"/>
      <c r="N34" s="9"/>
      <c r="O34" s="9"/>
      <c r="P34" s="9"/>
      <c r="Q34" s="9"/>
    </row>
    <row r="35" spans="1:17" hidden="1">
      <c r="A35" s="9"/>
      <c r="B35" s="9"/>
      <c r="C35" s="9"/>
      <c r="D35" s="9"/>
      <c r="E35" s="9"/>
      <c r="F35" s="41"/>
      <c r="G35" s="41"/>
      <c r="H35" s="41"/>
      <c r="I35" s="9"/>
      <c r="J35" s="9"/>
      <c r="K35" s="9"/>
      <c r="L35" s="9"/>
      <c r="M35" s="9"/>
      <c r="N35" s="9"/>
      <c r="O35" s="9"/>
      <c r="P35" s="9"/>
      <c r="Q35" s="9"/>
    </row>
    <row r="36" spans="1:17" hidden="1">
      <c r="A36" s="9"/>
      <c r="B36" s="9"/>
      <c r="C36" s="9"/>
      <c r="D36" s="9"/>
      <c r="E36" s="9"/>
      <c r="F36" s="41"/>
      <c r="G36" s="41"/>
      <c r="H36" s="41"/>
      <c r="I36" s="9"/>
      <c r="J36" s="9"/>
      <c r="K36" s="9"/>
      <c r="L36" s="9"/>
      <c r="M36" s="9"/>
      <c r="N36" s="9"/>
      <c r="O36" s="9"/>
      <c r="P36" s="9"/>
      <c r="Q36" s="9"/>
    </row>
    <row r="37" spans="1:17" hidden="1">
      <c r="A37" s="9"/>
      <c r="B37" s="9"/>
      <c r="C37" s="9"/>
      <c r="D37" s="9"/>
      <c r="E37" s="9"/>
      <c r="F37" s="41"/>
      <c r="G37" s="41"/>
      <c r="H37" s="41"/>
      <c r="I37" s="9"/>
      <c r="J37" s="9"/>
      <c r="K37" s="9"/>
      <c r="L37" s="9"/>
      <c r="M37" s="9"/>
      <c r="N37" s="9"/>
      <c r="O37" s="9"/>
      <c r="P37" s="9"/>
      <c r="Q37" s="9"/>
    </row>
    <row r="38" spans="1:17" hidden="1">
      <c r="A38" s="9"/>
      <c r="B38" s="9"/>
      <c r="C38" s="9"/>
      <c r="D38" s="9"/>
      <c r="E38" s="9"/>
      <c r="F38" s="41"/>
      <c r="G38" s="41"/>
      <c r="H38" s="41"/>
      <c r="I38" s="9"/>
      <c r="J38" s="9"/>
      <c r="K38" s="9"/>
      <c r="L38" s="9"/>
      <c r="M38" s="9"/>
      <c r="N38" s="9"/>
      <c r="O38" s="9"/>
      <c r="P38" s="9"/>
      <c r="Q38" s="9"/>
    </row>
    <row r="39" spans="1:17" hidden="1">
      <c r="A39" s="9"/>
      <c r="B39" s="9"/>
      <c r="C39" s="9"/>
      <c r="D39" s="9"/>
      <c r="E39" s="9"/>
      <c r="F39" s="41"/>
      <c r="G39" s="41"/>
      <c r="H39" s="41"/>
      <c r="I39" s="9"/>
      <c r="J39" s="9"/>
      <c r="K39" s="9"/>
      <c r="L39" s="9"/>
      <c r="M39" s="9"/>
      <c r="N39" s="9"/>
      <c r="O39" s="9"/>
      <c r="P39" s="9"/>
      <c r="Q39" s="9"/>
    </row>
    <row r="40" spans="1:17" hidden="1">
      <c r="A40" s="9"/>
      <c r="B40" s="9"/>
      <c r="C40" s="9"/>
      <c r="D40" s="9"/>
      <c r="E40" s="9"/>
      <c r="F40" s="41"/>
      <c r="G40" s="41"/>
      <c r="H40" s="41"/>
      <c r="I40" s="9"/>
      <c r="J40" s="9"/>
      <c r="K40" s="9"/>
      <c r="L40" s="9"/>
      <c r="M40" s="9"/>
      <c r="N40" s="9"/>
      <c r="O40" s="9"/>
      <c r="P40" s="9"/>
      <c r="Q40" s="9"/>
    </row>
    <row r="41" spans="1:17" hidden="1">
      <c r="A41" s="9"/>
      <c r="B41" s="9"/>
      <c r="C41" s="9"/>
      <c r="D41" s="9"/>
      <c r="E41" s="9"/>
      <c r="F41" s="41"/>
      <c r="G41" s="41"/>
      <c r="H41" s="41"/>
      <c r="I41" s="9"/>
      <c r="J41" s="9"/>
      <c r="K41" s="9"/>
      <c r="L41" s="9"/>
      <c r="M41" s="9"/>
      <c r="N41" s="9"/>
      <c r="O41" s="9"/>
      <c r="P41" s="9"/>
      <c r="Q41" s="9"/>
    </row>
    <row r="42" spans="1:17" hidden="1">
      <c r="A42" s="9"/>
      <c r="B42" s="9"/>
      <c r="C42" s="9"/>
      <c r="D42" s="9"/>
      <c r="E42" s="9"/>
      <c r="F42" s="41"/>
      <c r="G42" s="41"/>
      <c r="H42" s="41"/>
      <c r="I42" s="9"/>
      <c r="J42" s="9"/>
      <c r="K42" s="9"/>
      <c r="L42" s="9"/>
      <c r="M42" s="9"/>
      <c r="N42" s="9"/>
      <c r="O42" s="9"/>
      <c r="P42" s="9"/>
      <c r="Q42" s="9"/>
    </row>
    <row r="43" spans="1:17" hidden="1">
      <c r="A43" s="9"/>
      <c r="B43" s="9"/>
      <c r="C43" s="9"/>
      <c r="D43" s="9"/>
      <c r="E43" s="9"/>
      <c r="F43" s="41"/>
      <c r="G43" s="41"/>
      <c r="H43" s="41"/>
      <c r="I43" s="9"/>
      <c r="J43" s="9"/>
      <c r="K43" s="9"/>
      <c r="L43" s="9"/>
      <c r="M43" s="9"/>
      <c r="N43" s="9"/>
      <c r="O43" s="9"/>
      <c r="P43" s="9"/>
      <c r="Q43" s="9"/>
    </row>
    <row r="44" spans="1:17" hidden="1">
      <c r="A44" s="9"/>
      <c r="B44" s="9"/>
      <c r="C44" s="9"/>
      <c r="D44" s="9"/>
      <c r="E44" s="9"/>
      <c r="F44" s="41"/>
      <c r="G44" s="41"/>
      <c r="H44" s="41"/>
      <c r="I44" s="9"/>
      <c r="J44" s="9"/>
      <c r="K44" s="9"/>
      <c r="L44" s="9"/>
      <c r="M44" s="9"/>
      <c r="N44" s="9"/>
      <c r="O44" s="9"/>
      <c r="P44" s="9"/>
      <c r="Q44" s="9"/>
    </row>
    <row r="45" spans="1:17" hidden="1">
      <c r="A45" s="9"/>
      <c r="B45" s="9"/>
      <c r="C45" s="9"/>
      <c r="D45" s="9"/>
      <c r="E45" s="9"/>
      <c r="F45" s="41"/>
      <c r="G45" s="41"/>
      <c r="H45" s="41"/>
      <c r="I45" s="9"/>
      <c r="J45" s="9"/>
      <c r="K45" s="9"/>
      <c r="L45" s="9"/>
      <c r="M45" s="9"/>
      <c r="N45" s="9"/>
      <c r="O45" s="9"/>
      <c r="P45" s="9"/>
      <c r="Q45" s="9"/>
    </row>
    <row r="46" spans="1:17" hidden="1">
      <c r="A46" s="9"/>
      <c r="B46" s="9"/>
      <c r="C46" s="9"/>
      <c r="D46" s="9"/>
      <c r="E46" s="9"/>
      <c r="F46" s="41"/>
      <c r="G46" s="41"/>
      <c r="H46" s="41"/>
      <c r="I46" s="9"/>
      <c r="J46" s="9"/>
      <c r="K46" s="9"/>
      <c r="L46" s="9"/>
      <c r="M46" s="9"/>
      <c r="N46" s="9"/>
      <c r="O46" s="9"/>
      <c r="P46" s="9"/>
      <c r="Q46" s="9"/>
    </row>
    <row r="47" spans="1:17" hidden="1">
      <c r="A47" s="9"/>
      <c r="B47" s="9"/>
      <c r="C47" s="9"/>
      <c r="D47" s="9"/>
      <c r="E47" s="9"/>
      <c r="F47" s="41"/>
      <c r="G47" s="41"/>
      <c r="H47" s="41"/>
      <c r="I47" s="9"/>
      <c r="J47" s="9"/>
      <c r="K47" s="9"/>
      <c r="L47" s="9"/>
      <c r="M47" s="9"/>
      <c r="N47" s="9"/>
      <c r="O47" s="9"/>
      <c r="P47" s="9"/>
      <c r="Q47" s="9"/>
    </row>
    <row r="48" spans="1:17" hidden="1">
      <c r="A48" s="9"/>
      <c r="B48" s="9"/>
      <c r="C48" s="9"/>
      <c r="D48" s="9"/>
      <c r="E48" s="9"/>
      <c r="F48" s="9"/>
      <c r="G48" s="9"/>
      <c r="H48" s="9"/>
      <c r="I48" s="9"/>
      <c r="J48" s="9"/>
      <c r="K48" s="9"/>
      <c r="L48" s="9"/>
      <c r="M48" s="9"/>
      <c r="N48" s="9"/>
      <c r="O48" s="9"/>
      <c r="P48" s="9"/>
      <c r="Q48" s="9"/>
    </row>
  </sheetData>
  <customSheetViews>
    <customSheetView guid="{5F6D01E3-9E6F-4D7F-980F-63899AF95899}" scale="79" showGridLines="0" fitToPage="1" hiddenRows="1" hiddenColumns="1">
      <selection activeCell="P28" sqref="P28"/>
      <pageMargins left="0.7" right="0.7" top="0.75" bottom="0.75" header="0.3" footer="0.3"/>
      <pageSetup paperSize="9" scale="85" orientation="landscape" horizontalDpi="4294967293" verticalDpi="4294967293" r:id="rId1"/>
    </customSheetView>
  </customSheetViews>
  <mergeCells count="3">
    <mergeCell ref="F6:J6"/>
    <mergeCell ref="K6:O6"/>
    <mergeCell ref="P6:Q6"/>
  </mergeCells>
  <pageMargins left="0.7" right="0.7" top="0.75" bottom="0.75" header="0.3" footer="0.3"/>
  <pageSetup paperSize="9" scale="85" orientation="landscape" horizontalDpi="4294967293" verticalDpi="4294967293" r:id="rId2"/>
  <drawing r:id="rId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pageSetUpPr fitToPage="1"/>
  </sheetPr>
  <dimension ref="A1:AG48"/>
  <sheetViews>
    <sheetView showGridLines="0" zoomScaleNormal="100" workbookViewId="0"/>
  </sheetViews>
  <sheetFormatPr defaultColWidth="0" defaultRowHeight="15" customHeight="1" zeroHeight="1"/>
  <cols>
    <col min="1" max="3" width="2.5703125" customWidth="1"/>
    <col min="4" max="4" width="9.140625" customWidth="1"/>
    <col min="5" max="5" width="15.42578125" customWidth="1"/>
    <col min="6" max="6" width="11" bestFit="1" customWidth="1"/>
    <col min="7" max="7" width="9.140625" customWidth="1"/>
    <col min="8" max="8" width="11" bestFit="1" customWidth="1"/>
    <col min="9" max="10" width="9.140625" customWidth="1"/>
    <col min="11" max="11" width="11" bestFit="1" customWidth="1"/>
    <col min="12" max="12" width="11.85546875" bestFit="1" customWidth="1"/>
    <col min="13" max="13" width="12.140625" bestFit="1" customWidth="1"/>
    <col min="14" max="15" width="9.140625" customWidth="1"/>
    <col min="16" max="16" width="11.85546875" bestFit="1" customWidth="1"/>
    <col min="17" max="17" width="12.42578125" customWidth="1"/>
    <col min="18" max="18" width="3.140625" style="9" customWidth="1"/>
    <col min="19" max="33" width="0" style="9" hidden="1" customWidth="1"/>
    <col min="34" max="16384" width="9.140625" hidden="1"/>
  </cols>
  <sheetData>
    <row r="1" spans="1:33">
      <c r="A1" s="9"/>
      <c r="B1" s="9"/>
      <c r="C1" s="9"/>
      <c r="D1" s="9"/>
      <c r="E1" s="9"/>
      <c r="F1" s="9"/>
      <c r="G1" s="9"/>
      <c r="H1" s="9"/>
      <c r="I1" s="9"/>
      <c r="J1" s="9"/>
      <c r="K1" s="9"/>
      <c r="L1" s="9"/>
      <c r="M1" s="9"/>
      <c r="N1" s="9"/>
      <c r="O1" s="9"/>
      <c r="P1" s="9"/>
      <c r="Q1" s="9"/>
    </row>
    <row r="2" spans="1:33" ht="19.5" thickBot="1">
      <c r="A2" s="9"/>
      <c r="B2" s="8" t="s">
        <v>6</v>
      </c>
      <c r="C2" s="23"/>
      <c r="D2" s="23"/>
      <c r="E2" s="23"/>
      <c r="F2" s="23"/>
      <c r="G2" s="23"/>
      <c r="H2" s="23"/>
      <c r="I2" s="23"/>
      <c r="J2" s="23"/>
      <c r="K2" s="23"/>
      <c r="L2" s="23"/>
      <c r="M2" s="23"/>
      <c r="N2" s="23"/>
      <c r="O2" s="23"/>
      <c r="P2" s="23"/>
      <c r="Q2" s="23"/>
    </row>
    <row r="3" spans="1:33">
      <c r="A3" s="9"/>
      <c r="B3" s="10"/>
      <c r="C3" s="24"/>
      <c r="D3" s="24"/>
      <c r="E3" s="24"/>
      <c r="F3" s="24"/>
      <c r="G3" s="24"/>
      <c r="H3" s="24"/>
      <c r="I3" s="24"/>
      <c r="J3" s="24"/>
      <c r="K3" s="24"/>
      <c r="L3" s="24"/>
      <c r="M3" s="24"/>
      <c r="N3" s="24"/>
      <c r="O3" s="24"/>
      <c r="P3" s="24"/>
      <c r="Q3" s="25"/>
    </row>
    <row r="4" spans="1:33" ht="15.75">
      <c r="A4" s="9"/>
      <c r="B4" s="11" t="s">
        <v>7</v>
      </c>
      <c r="C4" s="26"/>
      <c r="D4" s="24"/>
      <c r="E4" s="58" t="s">
        <v>25</v>
      </c>
      <c r="F4" s="24"/>
      <c r="G4" s="24"/>
      <c r="H4" s="24"/>
      <c r="I4" s="24"/>
      <c r="J4" s="24"/>
      <c r="K4" s="24"/>
      <c r="L4" s="24"/>
      <c r="M4" s="24"/>
      <c r="N4" s="24"/>
      <c r="O4" s="24"/>
      <c r="P4" s="24"/>
      <c r="Q4" s="24"/>
    </row>
    <row r="5" spans="1:33">
      <c r="A5" s="9"/>
      <c r="B5" s="10"/>
      <c r="C5" s="24"/>
      <c r="D5" s="24"/>
      <c r="E5" s="24"/>
      <c r="F5" s="24"/>
      <c r="G5" s="24"/>
      <c r="H5" s="24"/>
      <c r="I5" s="24"/>
      <c r="J5" s="24"/>
      <c r="K5" s="24"/>
      <c r="L5" s="24"/>
      <c r="M5" s="24"/>
      <c r="N5" s="24"/>
      <c r="O5" s="24"/>
      <c r="P5" s="24"/>
      <c r="Q5" s="24"/>
    </row>
    <row r="6" spans="1:33" s="20" customFormat="1">
      <c r="A6" s="9"/>
      <c r="B6"/>
      <c r="C6" s="27" t="s">
        <v>7</v>
      </c>
      <c r="D6" s="28"/>
      <c r="E6" s="28"/>
      <c r="F6" s="157" t="s">
        <v>24</v>
      </c>
      <c r="G6" s="166"/>
      <c r="H6" s="166"/>
      <c r="I6" s="167"/>
      <c r="J6" s="168"/>
      <c r="K6" s="157" t="s">
        <v>8</v>
      </c>
      <c r="L6" s="166"/>
      <c r="M6" s="166"/>
      <c r="N6" s="167"/>
      <c r="O6" s="168"/>
      <c r="P6" s="158" t="s">
        <v>9</v>
      </c>
      <c r="Q6" s="166"/>
      <c r="R6" s="9"/>
      <c r="S6" s="19"/>
      <c r="T6" s="19"/>
      <c r="U6" s="19"/>
      <c r="V6" s="19"/>
      <c r="W6" s="19"/>
      <c r="X6" s="19"/>
      <c r="Y6" s="19"/>
      <c r="Z6" s="19"/>
      <c r="AA6" s="19"/>
      <c r="AB6" s="19"/>
      <c r="AC6" s="19"/>
      <c r="AD6" s="19"/>
      <c r="AE6" s="19"/>
      <c r="AF6" s="19"/>
      <c r="AG6" s="19"/>
    </row>
    <row r="7" spans="1:33" ht="15.75">
      <c r="A7" s="9"/>
      <c r="B7" s="18"/>
      <c r="C7" s="29"/>
      <c r="D7" s="30"/>
      <c r="E7" s="30"/>
      <c r="F7" s="29"/>
      <c r="G7" s="30"/>
      <c r="H7" s="30"/>
      <c r="I7" s="30"/>
      <c r="J7" s="56"/>
      <c r="K7" s="29"/>
      <c r="L7" s="30"/>
      <c r="M7" s="30"/>
      <c r="N7" s="30"/>
      <c r="O7" s="56"/>
      <c r="P7" s="30"/>
      <c r="Q7" s="30"/>
    </row>
    <row r="8" spans="1:33" s="54" customFormat="1" ht="22.5">
      <c r="A8" s="48"/>
      <c r="B8" s="49"/>
      <c r="C8" s="59" t="s">
        <v>29</v>
      </c>
      <c r="D8" s="50"/>
      <c r="E8" s="51"/>
      <c r="F8" s="55">
        <v>2021</v>
      </c>
      <c r="G8" s="52">
        <v>2020</v>
      </c>
      <c r="H8" s="52">
        <v>2019</v>
      </c>
      <c r="I8" s="53" t="s">
        <v>19</v>
      </c>
      <c r="J8" s="57" t="s">
        <v>18</v>
      </c>
      <c r="K8" s="55">
        <v>2021</v>
      </c>
      <c r="L8" s="52">
        <v>2020</v>
      </c>
      <c r="M8" s="52">
        <v>2019</v>
      </c>
      <c r="N8" s="53" t="s">
        <v>19</v>
      </c>
      <c r="O8" s="57" t="s">
        <v>18</v>
      </c>
      <c r="P8" s="52">
        <v>2020</v>
      </c>
      <c r="Q8" s="52">
        <v>2019</v>
      </c>
      <c r="R8" s="48"/>
      <c r="S8" s="48"/>
      <c r="T8" s="48"/>
      <c r="U8" s="48"/>
      <c r="V8" s="48"/>
      <c r="W8" s="48"/>
      <c r="X8" s="48"/>
      <c r="Y8" s="48"/>
      <c r="Z8" s="48"/>
      <c r="AA8" s="48"/>
      <c r="AB8" s="48"/>
      <c r="AC8" s="48"/>
      <c r="AD8" s="48"/>
      <c r="AE8" s="48"/>
      <c r="AF8" s="48"/>
      <c r="AG8" s="48"/>
    </row>
    <row r="9" spans="1:33">
      <c r="A9" s="9"/>
      <c r="B9" s="12"/>
      <c r="C9" s="31" t="s">
        <v>14</v>
      </c>
      <c r="D9" s="26"/>
      <c r="E9" s="32"/>
      <c r="F9" s="26"/>
      <c r="G9" s="26"/>
      <c r="H9" s="26"/>
      <c r="I9" s="26"/>
      <c r="J9" s="32"/>
      <c r="K9" s="26"/>
      <c r="L9" s="26"/>
      <c r="M9" s="26"/>
      <c r="N9" s="26"/>
      <c r="O9" s="32"/>
      <c r="P9" s="26"/>
      <c r="Q9" s="26"/>
    </row>
    <row r="10" spans="1:33">
      <c r="A10" s="9"/>
      <c r="B10" s="12"/>
      <c r="C10" s="33"/>
      <c r="D10" s="26" t="s">
        <v>5</v>
      </c>
      <c r="E10" s="32"/>
      <c r="F10" s="68">
        <v>4</v>
      </c>
      <c r="G10" s="68">
        <v>0</v>
      </c>
      <c r="H10" s="68">
        <v>13</v>
      </c>
      <c r="I10" s="64" t="str">
        <f>IFERROR(F10/G10-1,"n/a")</f>
        <v>n/a</v>
      </c>
      <c r="J10" s="60">
        <f>F10/H10-1</f>
        <v>-0.69230769230769229</v>
      </c>
      <c r="K10" s="68">
        <v>20</v>
      </c>
      <c r="L10" s="68">
        <v>145</v>
      </c>
      <c r="M10" s="68">
        <v>266</v>
      </c>
      <c r="N10" s="64">
        <f>K10/L10-1</f>
        <v>-0.86206896551724133</v>
      </c>
      <c r="O10" s="60">
        <f>K10/M10-1</f>
        <v>-0.92481203007518797</v>
      </c>
      <c r="P10" s="70">
        <v>145</v>
      </c>
      <c r="Q10" s="70">
        <v>386</v>
      </c>
    </row>
    <row r="11" spans="1:33">
      <c r="A11" s="9"/>
      <c r="B11" s="12"/>
      <c r="C11" s="33"/>
      <c r="D11" s="26" t="s">
        <v>11</v>
      </c>
      <c r="E11" s="32"/>
      <c r="F11" s="68">
        <v>720</v>
      </c>
      <c r="G11" s="68">
        <v>0</v>
      </c>
      <c r="H11" s="68">
        <v>31050</v>
      </c>
      <c r="I11" s="64" t="str">
        <f t="shared" ref="I11:I26" si="0">IFERROR(F11/G11-1,"n/a")</f>
        <v>n/a</v>
      </c>
      <c r="J11" s="60">
        <f>F11/H11-1</f>
        <v>-0.97681159420289854</v>
      </c>
      <c r="K11" s="68">
        <v>4921</v>
      </c>
      <c r="L11" s="68">
        <v>258885</v>
      </c>
      <c r="M11" s="68">
        <v>523329</v>
      </c>
      <c r="N11" s="64">
        <f>K11/L11-1</f>
        <v>-0.98099155995905518</v>
      </c>
      <c r="O11" s="60">
        <f>K11/M11-1</f>
        <v>-0.99059673742521437</v>
      </c>
      <c r="P11" s="70">
        <v>258885</v>
      </c>
      <c r="Q11" s="70">
        <v>733296</v>
      </c>
    </row>
    <row r="12" spans="1:33">
      <c r="A12" s="9"/>
      <c r="B12" s="12"/>
      <c r="C12" s="31" t="s">
        <v>20</v>
      </c>
      <c r="D12" s="26"/>
      <c r="E12" s="32"/>
      <c r="F12" s="45"/>
      <c r="G12" s="45"/>
      <c r="H12" s="45"/>
      <c r="I12" s="64"/>
      <c r="J12" s="61"/>
      <c r="K12" s="43"/>
      <c r="L12" s="43"/>
      <c r="M12" s="43"/>
      <c r="N12" s="65"/>
      <c r="O12" s="61"/>
      <c r="P12" s="44"/>
      <c r="Q12" s="44"/>
    </row>
    <row r="13" spans="1:33">
      <c r="A13" s="9"/>
      <c r="B13" s="12"/>
      <c r="C13" s="33"/>
      <c r="D13" s="26" t="s">
        <v>5</v>
      </c>
      <c r="E13" s="32"/>
      <c r="F13" s="68">
        <v>107</v>
      </c>
      <c r="G13" s="68">
        <v>0</v>
      </c>
      <c r="H13" s="68">
        <v>127</v>
      </c>
      <c r="I13" s="64" t="str">
        <f t="shared" si="0"/>
        <v>n/a</v>
      </c>
      <c r="J13" s="60">
        <f>F13/H13-1</f>
        <v>-0.15748031496062997</v>
      </c>
      <c r="K13" s="68">
        <v>191</v>
      </c>
      <c r="L13" s="68">
        <v>43</v>
      </c>
      <c r="M13" s="68">
        <v>712</v>
      </c>
      <c r="N13" s="64">
        <f>K13/L13-1</f>
        <v>3.441860465116279</v>
      </c>
      <c r="O13" s="60">
        <f>K13/M13-1</f>
        <v>-0.73174157303370779</v>
      </c>
      <c r="P13" s="70">
        <v>43</v>
      </c>
      <c r="Q13" s="70">
        <v>827</v>
      </c>
    </row>
    <row r="14" spans="1:33">
      <c r="A14" s="9"/>
      <c r="B14" s="12"/>
      <c r="C14" s="33"/>
      <c r="D14" s="26" t="s">
        <v>11</v>
      </c>
      <c r="E14" s="32"/>
      <c r="F14" s="68">
        <v>174505</v>
      </c>
      <c r="G14" s="68">
        <v>0</v>
      </c>
      <c r="H14" s="68">
        <v>332808</v>
      </c>
      <c r="I14" s="64" t="str">
        <f t="shared" si="0"/>
        <v>n/a</v>
      </c>
      <c r="J14" s="60">
        <f>F14/H14-1</f>
        <v>-0.47565863801350927</v>
      </c>
      <c r="K14" s="68">
        <v>342388</v>
      </c>
      <c r="L14" s="68">
        <v>140552</v>
      </c>
      <c r="M14" s="68">
        <v>2230252</v>
      </c>
      <c r="N14" s="64">
        <f>K14/L14-1</f>
        <v>1.4360236780693265</v>
      </c>
      <c r="O14" s="60">
        <f>K14/M14-1</f>
        <v>-0.84648012870294476</v>
      </c>
      <c r="P14" s="70">
        <v>140552</v>
      </c>
      <c r="Q14" s="70">
        <v>2552942</v>
      </c>
    </row>
    <row r="15" spans="1:33">
      <c r="A15" s="9"/>
      <c r="B15" s="12"/>
      <c r="C15" s="31" t="s">
        <v>15</v>
      </c>
      <c r="D15" s="26"/>
      <c r="E15" s="32"/>
      <c r="F15" s="43"/>
      <c r="G15" s="43"/>
      <c r="H15" s="43"/>
      <c r="I15" s="64"/>
      <c r="J15" s="60"/>
      <c r="K15" s="43"/>
      <c r="L15" s="43"/>
      <c r="M15" s="43"/>
      <c r="N15" s="64"/>
      <c r="O15" s="60"/>
      <c r="P15" s="44"/>
      <c r="Q15" s="44"/>
    </row>
    <row r="16" spans="1:33">
      <c r="A16" s="9"/>
      <c r="B16" s="12"/>
      <c r="C16" s="33"/>
      <c r="D16" s="26" t="s">
        <v>5</v>
      </c>
      <c r="E16" s="32"/>
      <c r="F16" s="68">
        <v>9</v>
      </c>
      <c r="G16" s="68">
        <v>0</v>
      </c>
      <c r="H16" s="68">
        <v>21</v>
      </c>
      <c r="I16" s="64" t="str">
        <f t="shared" si="0"/>
        <v>n/a</v>
      </c>
      <c r="J16" s="60">
        <f>F16/H16-1</f>
        <v>-0.5714285714285714</v>
      </c>
      <c r="K16" s="68">
        <v>11</v>
      </c>
      <c r="L16" s="68">
        <v>4</v>
      </c>
      <c r="M16" s="68">
        <v>172</v>
      </c>
      <c r="N16" s="64">
        <f>K16/L16-1</f>
        <v>1.75</v>
      </c>
      <c r="O16" s="60">
        <f>K16/M16-1</f>
        <v>-0.93604651162790697</v>
      </c>
      <c r="P16" s="70">
        <v>4</v>
      </c>
      <c r="Q16" s="70">
        <v>191</v>
      </c>
    </row>
    <row r="17" spans="1:33">
      <c r="A17" s="9"/>
      <c r="B17" s="12"/>
      <c r="C17" s="33"/>
      <c r="D17" s="26" t="s">
        <v>11</v>
      </c>
      <c r="E17" s="32"/>
      <c r="F17" s="68">
        <v>3111</v>
      </c>
      <c r="G17" s="68">
        <v>0</v>
      </c>
      <c r="H17" s="68">
        <v>28163</v>
      </c>
      <c r="I17" s="64" t="str">
        <f t="shared" si="0"/>
        <v>n/a</v>
      </c>
      <c r="J17" s="60">
        <f>F17/H17-1</f>
        <v>-0.88953591591804848</v>
      </c>
      <c r="K17" s="68">
        <v>3535</v>
      </c>
      <c r="L17" s="68">
        <v>1753</v>
      </c>
      <c r="M17" s="68">
        <v>231553</v>
      </c>
      <c r="N17" s="64">
        <f>K17/L17-1</f>
        <v>1.0165430690245292</v>
      </c>
      <c r="O17" s="60">
        <f>K17/M17-1</f>
        <v>-0.98473351673267029</v>
      </c>
      <c r="P17" s="70">
        <v>1753</v>
      </c>
      <c r="Q17" s="70">
        <v>254421</v>
      </c>
    </row>
    <row r="18" spans="1:33">
      <c r="A18" s="9"/>
      <c r="B18" s="12"/>
      <c r="C18" s="31" t="s">
        <v>10</v>
      </c>
      <c r="D18" s="26"/>
      <c r="E18" s="34"/>
      <c r="F18" s="43"/>
      <c r="G18" s="43"/>
      <c r="H18" s="43"/>
      <c r="I18" s="64"/>
      <c r="J18" s="60"/>
      <c r="K18" s="43"/>
      <c r="L18" s="43"/>
      <c r="M18" s="43"/>
      <c r="N18" s="64"/>
      <c r="O18" s="60"/>
      <c r="P18" s="44"/>
      <c r="Q18" s="44"/>
    </row>
    <row r="19" spans="1:33">
      <c r="A19" s="9"/>
      <c r="B19" s="12"/>
      <c r="C19" s="33"/>
      <c r="D19" s="26" t="s">
        <v>5</v>
      </c>
      <c r="E19" s="34"/>
      <c r="F19" s="68">
        <v>85</v>
      </c>
      <c r="G19" s="68">
        <v>0</v>
      </c>
      <c r="H19" s="68">
        <v>97</v>
      </c>
      <c r="I19" s="64" t="str">
        <f t="shared" si="0"/>
        <v>n/a</v>
      </c>
      <c r="J19" s="60">
        <f>F19/H19-1</f>
        <v>-0.12371134020618557</v>
      </c>
      <c r="K19" s="68">
        <v>215</v>
      </c>
      <c r="L19" s="68">
        <v>406</v>
      </c>
      <c r="M19" s="68">
        <v>953</v>
      </c>
      <c r="N19" s="64">
        <f>K19/L19-1</f>
        <v>-0.47044334975369462</v>
      </c>
      <c r="O19" s="60">
        <f>K19/M19-1</f>
        <v>-0.77439664218258131</v>
      </c>
      <c r="P19" s="70">
        <v>406</v>
      </c>
      <c r="Q19" s="70">
        <v>1205</v>
      </c>
    </row>
    <row r="20" spans="1:33">
      <c r="A20" s="9"/>
      <c r="B20" s="12"/>
      <c r="C20" s="33"/>
      <c r="D20" s="26" t="s">
        <v>11</v>
      </c>
      <c r="E20" s="32"/>
      <c r="F20" s="68">
        <v>142400</v>
      </c>
      <c r="G20" s="68">
        <v>0</v>
      </c>
      <c r="H20" s="68">
        <v>268813</v>
      </c>
      <c r="I20" s="64" t="str">
        <f t="shared" si="0"/>
        <v>n/a</v>
      </c>
      <c r="J20" s="60">
        <f>F20/H20-1</f>
        <v>-0.47026371492450147</v>
      </c>
      <c r="K20" s="68">
        <v>324210</v>
      </c>
      <c r="L20" s="68">
        <v>833999</v>
      </c>
      <c r="M20" s="68">
        <v>3141355</v>
      </c>
      <c r="N20" s="64">
        <f>K20/L20-1</f>
        <v>-0.61125852668888092</v>
      </c>
      <c r="O20" s="60">
        <f>K20/M20-1</f>
        <v>-0.8967929444459477</v>
      </c>
      <c r="P20" s="70">
        <v>833999</v>
      </c>
      <c r="Q20" s="70">
        <v>3859183</v>
      </c>
    </row>
    <row r="21" spans="1:33">
      <c r="A21" s="9"/>
      <c r="B21" s="12"/>
      <c r="C21" s="31" t="s">
        <v>16</v>
      </c>
      <c r="D21" s="26"/>
      <c r="E21" s="32"/>
      <c r="F21" s="43"/>
      <c r="G21" s="43"/>
      <c r="H21" s="43"/>
      <c r="I21" s="64"/>
      <c r="J21" s="60"/>
      <c r="K21" s="43"/>
      <c r="L21" s="43"/>
      <c r="M21" s="43"/>
      <c r="N21" s="64"/>
      <c r="O21" s="60"/>
      <c r="P21" s="44"/>
      <c r="Q21" s="44"/>
    </row>
    <row r="22" spans="1:33">
      <c r="A22" s="9"/>
      <c r="B22" s="12"/>
      <c r="C22" s="33"/>
      <c r="D22" s="26" t="s">
        <v>5</v>
      </c>
      <c r="E22" s="32"/>
      <c r="F22" s="68">
        <v>16</v>
      </c>
      <c r="G22" s="68">
        <v>8</v>
      </c>
      <c r="H22" s="68">
        <v>64</v>
      </c>
      <c r="I22" s="64">
        <f t="shared" si="0"/>
        <v>1</v>
      </c>
      <c r="J22" s="60">
        <f>F22/H22-1</f>
        <v>-0.75</v>
      </c>
      <c r="K22" s="68">
        <v>87</v>
      </c>
      <c r="L22" s="68">
        <v>24</v>
      </c>
      <c r="M22" s="68">
        <v>308</v>
      </c>
      <c r="N22" s="64">
        <f>K22/L22-1</f>
        <v>2.625</v>
      </c>
      <c r="O22" s="60">
        <f>K22/M22-1</f>
        <v>-0.71753246753246747</v>
      </c>
      <c r="P22" s="70">
        <v>32</v>
      </c>
      <c r="Q22" s="70">
        <v>372</v>
      </c>
    </row>
    <row r="23" spans="1:33">
      <c r="A23" s="9"/>
      <c r="B23" s="12"/>
      <c r="C23" s="33"/>
      <c r="D23" s="26" t="s">
        <v>11</v>
      </c>
      <c r="E23" s="32"/>
      <c r="F23" s="68">
        <v>16203</v>
      </c>
      <c r="G23" s="68">
        <v>8362</v>
      </c>
      <c r="H23" s="68">
        <v>130501</v>
      </c>
      <c r="I23" s="64">
        <f t="shared" si="0"/>
        <v>0.93769433149964132</v>
      </c>
      <c r="J23" s="60">
        <f>F23/H23-1</f>
        <v>-0.87584003187715043</v>
      </c>
      <c r="K23" s="68">
        <v>117218</v>
      </c>
      <c r="L23" s="68">
        <v>55662</v>
      </c>
      <c r="M23" s="68">
        <v>818684</v>
      </c>
      <c r="N23" s="64">
        <f>K23/L23-1</f>
        <v>1.1058891164528761</v>
      </c>
      <c r="O23" s="60">
        <f>K23/M23-1</f>
        <v>-0.85682143537677535</v>
      </c>
      <c r="P23" s="70">
        <v>59180</v>
      </c>
      <c r="Q23" s="70">
        <v>902015</v>
      </c>
    </row>
    <row r="24" spans="1:33">
      <c r="A24" s="9"/>
      <c r="B24" s="12"/>
      <c r="C24" s="31" t="s">
        <v>17</v>
      </c>
      <c r="D24" s="26"/>
      <c r="E24" s="32"/>
      <c r="F24" s="43"/>
      <c r="G24" s="43"/>
      <c r="H24" s="43"/>
      <c r="I24" s="64"/>
      <c r="J24" s="60"/>
      <c r="K24" s="43"/>
      <c r="L24" s="43"/>
      <c r="M24" s="43"/>
      <c r="N24" s="64"/>
      <c r="O24" s="60"/>
      <c r="P24" s="44"/>
      <c r="Q24" s="44"/>
    </row>
    <row r="25" spans="1:33">
      <c r="B25" s="12"/>
      <c r="C25" s="33"/>
      <c r="D25" s="26" t="s">
        <v>5</v>
      </c>
      <c r="E25" s="32"/>
      <c r="F25" s="68">
        <v>28</v>
      </c>
      <c r="G25" s="68">
        <v>12</v>
      </c>
      <c r="H25" s="68">
        <v>71</v>
      </c>
      <c r="I25" s="64">
        <f t="shared" si="0"/>
        <v>1.3333333333333335</v>
      </c>
      <c r="J25" s="60">
        <f>F25/H25-1</f>
        <v>-0.60563380281690149</v>
      </c>
      <c r="K25" s="68">
        <v>107</v>
      </c>
      <c r="L25" s="68">
        <v>24</v>
      </c>
      <c r="M25" s="68">
        <v>326</v>
      </c>
      <c r="N25" s="64">
        <f>K25/L25-1</f>
        <v>3.458333333333333</v>
      </c>
      <c r="O25" s="60">
        <f>K25/M25-1</f>
        <v>-0.67177914110429449</v>
      </c>
      <c r="P25" s="70">
        <v>37</v>
      </c>
      <c r="Q25" s="70">
        <v>363</v>
      </c>
    </row>
    <row r="26" spans="1:33">
      <c r="A26" s="9"/>
      <c r="B26" s="12"/>
      <c r="C26" s="33"/>
      <c r="D26" s="26" t="s">
        <v>11</v>
      </c>
      <c r="E26" s="32"/>
      <c r="F26" s="68">
        <v>32614</v>
      </c>
      <c r="G26" s="68">
        <v>5592</v>
      </c>
      <c r="H26" s="68">
        <v>138907</v>
      </c>
      <c r="I26" s="64">
        <f t="shared" si="0"/>
        <v>4.8322603719599426</v>
      </c>
      <c r="J26" s="60">
        <f>F26/H26-1</f>
        <v>-0.76520981663991017</v>
      </c>
      <c r="K26" s="68">
        <v>150273</v>
      </c>
      <c r="L26" s="68">
        <v>25618</v>
      </c>
      <c r="M26" s="68">
        <v>826006</v>
      </c>
      <c r="N26" s="64">
        <f>K26/L26-1</f>
        <v>4.8659145913029898</v>
      </c>
      <c r="O26" s="60">
        <f>K26/M26-1</f>
        <v>-0.81807275007687597</v>
      </c>
      <c r="P26" s="70">
        <v>29062</v>
      </c>
      <c r="Q26" s="70">
        <v>867164</v>
      </c>
    </row>
    <row r="27" spans="1:33" ht="15.75" thickBot="1">
      <c r="A27" s="9"/>
      <c r="B27" s="12"/>
      <c r="C27" s="35" t="s">
        <v>12</v>
      </c>
      <c r="D27" s="36"/>
      <c r="E27" s="37"/>
      <c r="F27" s="46">
        <f t="shared" ref="F27:H28" si="1">F10+F13+F16+F19+F22+F25</f>
        <v>249</v>
      </c>
      <c r="G27" s="46">
        <f t="shared" si="1"/>
        <v>20</v>
      </c>
      <c r="H27" s="46">
        <f t="shared" si="1"/>
        <v>393</v>
      </c>
      <c r="I27" s="66">
        <f>F27/G27-1</f>
        <v>11.45</v>
      </c>
      <c r="J27" s="62">
        <f>F27/H27-1</f>
        <v>-0.36641221374045807</v>
      </c>
      <c r="K27" s="46">
        <f t="shared" ref="K27:M28" si="2">K10+K13+K16+K19+K22+K25</f>
        <v>631</v>
      </c>
      <c r="L27" s="46">
        <f t="shared" si="2"/>
        <v>646</v>
      </c>
      <c r="M27" s="46">
        <f t="shared" si="2"/>
        <v>2737</v>
      </c>
      <c r="N27" s="66">
        <f>K27/L27-1</f>
        <v>-2.3219814241486114E-2</v>
      </c>
      <c r="O27" s="62">
        <f>K27/M27-1</f>
        <v>-0.76945560833028859</v>
      </c>
      <c r="P27" s="46">
        <f>P10+P13+P16+P19+P22+P25</f>
        <v>667</v>
      </c>
      <c r="Q27" s="46">
        <f>Q10+Q13+Q16+Q19+Q22+Q25</f>
        <v>3344</v>
      </c>
    </row>
    <row r="28" spans="1:33" s="22" customFormat="1" ht="16.5" thickTop="1" thickBot="1">
      <c r="A28" s="9"/>
      <c r="B28" s="12"/>
      <c r="C28" s="38" t="s">
        <v>13</v>
      </c>
      <c r="D28" s="39"/>
      <c r="E28" s="40"/>
      <c r="F28" s="47">
        <f t="shared" si="1"/>
        <v>369553</v>
      </c>
      <c r="G28" s="47">
        <f t="shared" si="1"/>
        <v>13954</v>
      </c>
      <c r="H28" s="47">
        <f t="shared" si="1"/>
        <v>930242</v>
      </c>
      <c r="I28" s="67">
        <f>F28/G28-1</f>
        <v>25.483660599111367</v>
      </c>
      <c r="J28" s="63">
        <f>F28/H28-1</f>
        <v>-0.60273455724424396</v>
      </c>
      <c r="K28" s="47">
        <f t="shared" si="2"/>
        <v>942545</v>
      </c>
      <c r="L28" s="47">
        <f t="shared" si="2"/>
        <v>1316469</v>
      </c>
      <c r="M28" s="47">
        <f t="shared" si="2"/>
        <v>7771179</v>
      </c>
      <c r="N28" s="67">
        <f>K28/L28-1</f>
        <v>-0.28403555267917435</v>
      </c>
      <c r="O28" s="63">
        <f>K28/M28-1</f>
        <v>-0.87871274101394392</v>
      </c>
      <c r="P28" s="47">
        <f>P11+P14+P17+P20+P23+P26</f>
        <v>1323431</v>
      </c>
      <c r="Q28" s="47">
        <f>Q11+Q14+Q17+Q20+Q23+Q26</f>
        <v>9169021</v>
      </c>
      <c r="R28" s="9"/>
      <c r="S28" s="21"/>
      <c r="T28" s="21"/>
      <c r="U28" s="21"/>
      <c r="V28" s="21"/>
      <c r="W28" s="21"/>
      <c r="X28" s="21"/>
      <c r="Y28" s="21"/>
      <c r="Z28" s="21"/>
      <c r="AA28" s="21"/>
      <c r="AB28" s="21"/>
      <c r="AC28" s="21"/>
      <c r="AD28" s="21"/>
      <c r="AE28" s="21"/>
      <c r="AF28" s="21"/>
      <c r="AG28" s="21"/>
    </row>
    <row r="29" spans="1:33" ht="15.75" thickTop="1">
      <c r="A29" s="9"/>
      <c r="B29" s="9"/>
      <c r="C29" s="9"/>
      <c r="D29" s="9"/>
      <c r="E29" s="9"/>
      <c r="F29" s="41"/>
      <c r="G29" s="41"/>
      <c r="H29" s="41"/>
      <c r="I29" s="9"/>
      <c r="J29" s="9"/>
      <c r="K29" s="9"/>
      <c r="L29" s="9"/>
      <c r="M29" s="9"/>
      <c r="N29" s="9"/>
      <c r="O29" s="9"/>
      <c r="P29" s="9"/>
      <c r="Q29" s="9"/>
    </row>
    <row r="30" spans="1:33" hidden="1">
      <c r="A30" s="9"/>
      <c r="B30" s="9"/>
      <c r="C30" s="9"/>
      <c r="D30" s="9"/>
      <c r="E30" s="9"/>
      <c r="F30" s="41"/>
      <c r="G30" s="41"/>
      <c r="H30" s="41"/>
      <c r="I30" s="9"/>
      <c r="J30" s="9"/>
      <c r="K30" s="9"/>
      <c r="L30" s="9"/>
      <c r="M30" s="9"/>
      <c r="N30" s="9"/>
      <c r="O30" s="9"/>
      <c r="P30" s="9"/>
      <c r="Q30" s="9"/>
    </row>
    <row r="31" spans="1:33" hidden="1">
      <c r="A31" s="9"/>
      <c r="B31" s="9"/>
      <c r="C31" s="9"/>
      <c r="D31" s="9"/>
      <c r="E31" s="9"/>
      <c r="F31" s="41"/>
      <c r="G31" s="41"/>
      <c r="H31" s="41"/>
      <c r="I31" s="9"/>
      <c r="J31" s="9"/>
      <c r="K31" s="9"/>
      <c r="L31" s="9"/>
      <c r="M31" s="9"/>
      <c r="N31" s="9"/>
      <c r="O31" s="9"/>
      <c r="P31" s="9"/>
      <c r="Q31" s="9"/>
    </row>
    <row r="32" spans="1:33" hidden="1">
      <c r="A32" s="9"/>
      <c r="B32" s="9"/>
      <c r="C32" s="9"/>
      <c r="D32" s="9"/>
      <c r="E32" s="9"/>
      <c r="F32" s="41"/>
      <c r="G32" s="41"/>
      <c r="H32" s="41"/>
      <c r="I32" s="9"/>
      <c r="J32" s="9"/>
      <c r="K32" s="9"/>
      <c r="L32" s="9"/>
      <c r="M32" s="9"/>
      <c r="N32" s="9"/>
      <c r="O32" s="9"/>
      <c r="P32" s="9"/>
      <c r="Q32" s="9"/>
    </row>
    <row r="33" spans="1:17" hidden="1">
      <c r="A33" s="9"/>
      <c r="B33" s="9"/>
      <c r="C33" s="9"/>
      <c r="D33" s="9"/>
      <c r="E33" s="9"/>
      <c r="F33" s="41"/>
      <c r="G33" s="41"/>
      <c r="H33" s="41"/>
      <c r="I33" s="9"/>
      <c r="J33" s="9"/>
      <c r="K33" s="9"/>
      <c r="L33" s="9"/>
      <c r="M33" s="9"/>
      <c r="N33" s="9"/>
      <c r="O33" s="9"/>
      <c r="P33" s="9"/>
      <c r="Q33" s="9"/>
    </row>
    <row r="34" spans="1:17" hidden="1">
      <c r="A34" s="9"/>
      <c r="B34" s="9"/>
      <c r="C34" s="9"/>
      <c r="D34" s="9"/>
      <c r="E34" s="9"/>
      <c r="F34" s="41"/>
      <c r="G34" s="41"/>
      <c r="H34" s="41"/>
      <c r="I34" s="9"/>
      <c r="J34" s="9"/>
      <c r="K34" s="9"/>
      <c r="L34" s="9"/>
      <c r="M34" s="9"/>
      <c r="N34" s="9"/>
      <c r="O34" s="9"/>
      <c r="P34" s="9"/>
      <c r="Q34" s="9"/>
    </row>
    <row r="35" spans="1:17" hidden="1">
      <c r="A35" s="9"/>
      <c r="B35" s="9"/>
      <c r="C35" s="9"/>
      <c r="D35" s="9"/>
      <c r="E35" s="9"/>
      <c r="F35" s="41"/>
      <c r="G35" s="41"/>
      <c r="H35" s="41"/>
      <c r="I35" s="9"/>
      <c r="J35" s="9"/>
      <c r="K35" s="9"/>
      <c r="L35" s="9"/>
      <c r="M35" s="9"/>
      <c r="N35" s="9"/>
      <c r="O35" s="9"/>
      <c r="P35" s="9"/>
      <c r="Q35" s="9"/>
    </row>
    <row r="36" spans="1:17" hidden="1">
      <c r="A36" s="9"/>
      <c r="B36" s="9"/>
      <c r="C36" s="9"/>
      <c r="D36" s="9"/>
      <c r="E36" s="9"/>
      <c r="F36" s="41"/>
      <c r="G36" s="41"/>
      <c r="H36" s="41"/>
      <c r="I36" s="9"/>
      <c r="J36" s="9"/>
      <c r="K36" s="9"/>
      <c r="L36" s="9"/>
      <c r="M36" s="9"/>
      <c r="N36" s="9"/>
      <c r="O36" s="9"/>
      <c r="P36" s="9"/>
      <c r="Q36" s="9"/>
    </row>
    <row r="37" spans="1:17" hidden="1">
      <c r="A37" s="9"/>
      <c r="B37" s="9"/>
      <c r="C37" s="9"/>
      <c r="D37" s="9"/>
      <c r="E37" s="9"/>
      <c r="F37" s="41"/>
      <c r="G37" s="41"/>
      <c r="H37" s="41"/>
      <c r="I37" s="9"/>
      <c r="J37" s="9"/>
      <c r="K37" s="9"/>
      <c r="L37" s="9"/>
      <c r="M37" s="9"/>
      <c r="N37" s="9"/>
      <c r="O37" s="9"/>
      <c r="P37" s="9"/>
      <c r="Q37" s="9"/>
    </row>
    <row r="38" spans="1:17" hidden="1">
      <c r="A38" s="9"/>
      <c r="B38" s="9"/>
      <c r="C38" s="9"/>
      <c r="D38" s="9"/>
      <c r="E38" s="9"/>
      <c r="F38" s="41"/>
      <c r="G38" s="41"/>
      <c r="H38" s="41"/>
      <c r="I38" s="9"/>
      <c r="J38" s="9"/>
      <c r="K38" s="9"/>
      <c r="L38" s="9"/>
      <c r="M38" s="9"/>
      <c r="N38" s="9"/>
      <c r="O38" s="9"/>
      <c r="P38" s="9"/>
      <c r="Q38" s="9"/>
    </row>
    <row r="39" spans="1:17" hidden="1">
      <c r="A39" s="9"/>
      <c r="B39" s="9"/>
      <c r="C39" s="9"/>
      <c r="D39" s="9"/>
      <c r="E39" s="9"/>
      <c r="F39" s="41"/>
      <c r="G39" s="41"/>
      <c r="H39" s="41"/>
      <c r="I39" s="9"/>
      <c r="J39" s="9"/>
      <c r="K39" s="9"/>
      <c r="L39" s="9"/>
      <c r="M39" s="9"/>
      <c r="N39" s="9"/>
      <c r="O39" s="9"/>
      <c r="P39" s="9"/>
      <c r="Q39" s="9"/>
    </row>
    <row r="40" spans="1:17" hidden="1">
      <c r="A40" s="9"/>
      <c r="B40" s="9"/>
      <c r="C40" s="9"/>
      <c r="D40" s="9"/>
      <c r="E40" s="9"/>
      <c r="F40" s="41"/>
      <c r="G40" s="41"/>
      <c r="H40" s="41"/>
      <c r="I40" s="9"/>
      <c r="J40" s="9"/>
      <c r="K40" s="9"/>
      <c r="L40" s="9"/>
      <c r="M40" s="9"/>
      <c r="N40" s="9"/>
      <c r="O40" s="9"/>
      <c r="P40" s="9"/>
      <c r="Q40" s="9"/>
    </row>
    <row r="41" spans="1:17" hidden="1">
      <c r="A41" s="9"/>
      <c r="B41" s="9"/>
      <c r="C41" s="9"/>
      <c r="D41" s="9"/>
      <c r="E41" s="9"/>
      <c r="F41" s="41"/>
      <c r="G41" s="41"/>
      <c r="H41" s="41"/>
      <c r="I41" s="9"/>
      <c r="J41" s="9"/>
      <c r="K41" s="9"/>
      <c r="L41" s="9"/>
      <c r="M41" s="9"/>
      <c r="N41" s="9"/>
      <c r="O41" s="9"/>
      <c r="P41" s="9"/>
      <c r="Q41" s="9"/>
    </row>
    <row r="42" spans="1:17" hidden="1">
      <c r="A42" s="9"/>
      <c r="B42" s="9"/>
      <c r="C42" s="9"/>
      <c r="D42" s="9"/>
      <c r="E42" s="9"/>
      <c r="F42" s="41"/>
      <c r="G42" s="41"/>
      <c r="H42" s="41"/>
      <c r="I42" s="9"/>
      <c r="J42" s="9"/>
      <c r="K42" s="9"/>
      <c r="L42" s="9"/>
      <c r="M42" s="9"/>
      <c r="N42" s="9"/>
      <c r="O42" s="9"/>
      <c r="P42" s="9"/>
      <c r="Q42" s="9"/>
    </row>
    <row r="43" spans="1:17" hidden="1">
      <c r="A43" s="9"/>
      <c r="B43" s="9"/>
      <c r="C43" s="9"/>
      <c r="D43" s="9"/>
      <c r="E43" s="9"/>
      <c r="F43" s="41"/>
      <c r="G43" s="41"/>
      <c r="H43" s="41"/>
      <c r="I43" s="9"/>
      <c r="J43" s="9"/>
      <c r="K43" s="9"/>
      <c r="L43" s="9"/>
      <c r="M43" s="9"/>
      <c r="N43" s="9"/>
      <c r="O43" s="9"/>
      <c r="P43" s="9"/>
      <c r="Q43" s="9"/>
    </row>
    <row r="44" spans="1:17" hidden="1">
      <c r="A44" s="9"/>
      <c r="B44" s="9"/>
      <c r="C44" s="9"/>
      <c r="D44" s="9"/>
      <c r="E44" s="9"/>
      <c r="F44" s="41"/>
      <c r="G44" s="41"/>
      <c r="H44" s="41"/>
      <c r="I44" s="9"/>
      <c r="J44" s="9"/>
      <c r="K44" s="9"/>
      <c r="L44" s="9"/>
      <c r="M44" s="9"/>
      <c r="N44" s="9"/>
      <c r="O44" s="9"/>
      <c r="P44" s="9"/>
      <c r="Q44" s="9"/>
    </row>
    <row r="45" spans="1:17" hidden="1">
      <c r="A45" s="9"/>
      <c r="B45" s="9"/>
      <c r="C45" s="9"/>
      <c r="D45" s="9"/>
      <c r="E45" s="9"/>
      <c r="F45" s="41"/>
      <c r="G45" s="41"/>
      <c r="H45" s="41"/>
      <c r="I45" s="9"/>
      <c r="J45" s="9"/>
      <c r="K45" s="9"/>
      <c r="L45" s="9"/>
      <c r="M45" s="9"/>
      <c r="N45" s="9"/>
      <c r="O45" s="9"/>
      <c r="P45" s="9"/>
      <c r="Q45" s="9"/>
    </row>
    <row r="46" spans="1:17" hidden="1">
      <c r="A46" s="9"/>
      <c r="B46" s="9"/>
      <c r="C46" s="9"/>
      <c r="D46" s="9"/>
      <c r="E46" s="9"/>
      <c r="F46" s="41"/>
      <c r="G46" s="41"/>
      <c r="H46" s="41"/>
      <c r="I46" s="9"/>
      <c r="J46" s="9"/>
      <c r="K46" s="9"/>
      <c r="L46" s="9"/>
      <c r="M46" s="9"/>
      <c r="N46" s="9"/>
      <c r="O46" s="9"/>
      <c r="P46" s="9"/>
      <c r="Q46" s="9"/>
    </row>
    <row r="47" spans="1:17" hidden="1">
      <c r="A47" s="9"/>
      <c r="B47" s="9"/>
      <c r="C47" s="9"/>
      <c r="D47" s="9"/>
      <c r="E47" s="9"/>
      <c r="F47" s="41"/>
      <c r="G47" s="41"/>
      <c r="H47" s="41"/>
      <c r="I47" s="9"/>
      <c r="J47" s="9"/>
      <c r="K47" s="9"/>
      <c r="L47" s="9"/>
      <c r="M47" s="9"/>
      <c r="N47" s="9"/>
      <c r="O47" s="9"/>
      <c r="P47" s="9"/>
      <c r="Q47" s="9"/>
    </row>
    <row r="48" spans="1:17" hidden="1">
      <c r="A48" s="9"/>
      <c r="B48" s="9"/>
      <c r="C48" s="9"/>
      <c r="D48" s="9"/>
      <c r="E48" s="9"/>
      <c r="F48" s="9"/>
      <c r="G48" s="9"/>
      <c r="H48" s="9"/>
      <c r="I48" s="9"/>
      <c r="J48" s="9"/>
      <c r="K48" s="9"/>
      <c r="L48" s="9"/>
      <c r="M48" s="9"/>
      <c r="N48" s="9"/>
      <c r="O48" s="9"/>
      <c r="P48" s="9"/>
      <c r="Q48" s="9"/>
    </row>
  </sheetData>
  <customSheetViews>
    <customSheetView guid="{5F6D01E3-9E6F-4D7F-980F-63899AF95899}" scale="79" showGridLines="0" fitToPage="1" hiddenRows="1" hiddenColumns="1">
      <pageMargins left="0.7" right="0.7" top="0.75" bottom="0.75" header="0.3" footer="0.3"/>
      <pageSetup paperSize="9" scale="85" orientation="landscape" horizontalDpi="4294967293" verticalDpi="4294967293" r:id="rId1"/>
    </customSheetView>
  </customSheetViews>
  <mergeCells count="3">
    <mergeCell ref="F6:J6"/>
    <mergeCell ref="K6:O6"/>
    <mergeCell ref="P6:Q6"/>
  </mergeCells>
  <pageMargins left="0.7" right="0.7" top="0.75" bottom="0.75" header="0.3" footer="0.3"/>
  <pageSetup paperSize="9" scale="85" orientation="landscape" horizontalDpi="4294967293" verticalDpi="4294967293" r:id="rId2"/>
  <drawing r:id="rId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pageSetUpPr fitToPage="1"/>
  </sheetPr>
  <dimension ref="A1:AG48"/>
  <sheetViews>
    <sheetView zoomScaleNormal="100" workbookViewId="0"/>
  </sheetViews>
  <sheetFormatPr defaultColWidth="0" defaultRowHeight="15" customHeight="1" zeroHeight="1"/>
  <cols>
    <col min="1" max="3" width="2.5703125" customWidth="1"/>
    <col min="4" max="4" width="9.140625" customWidth="1"/>
    <col min="5" max="5" width="15.42578125" customWidth="1"/>
    <col min="6" max="6" width="11.140625" bestFit="1" customWidth="1"/>
    <col min="7" max="7" width="9.140625" customWidth="1"/>
    <col min="8" max="8" width="11.140625" bestFit="1" customWidth="1"/>
    <col min="9" max="10" width="9.140625" customWidth="1"/>
    <col min="11" max="11" width="11" bestFit="1" customWidth="1"/>
    <col min="12" max="13" width="12.140625" bestFit="1" customWidth="1"/>
    <col min="14" max="15" width="9.140625" customWidth="1"/>
    <col min="16" max="16" width="13" bestFit="1" customWidth="1"/>
    <col min="17" max="17" width="12.42578125" customWidth="1"/>
    <col min="18" max="18" width="3.140625" style="9" customWidth="1"/>
    <col min="19" max="33" width="0" style="9" hidden="1" customWidth="1"/>
    <col min="34" max="16384" width="9.140625" hidden="1"/>
  </cols>
  <sheetData>
    <row r="1" spans="1:33">
      <c r="A1" s="9"/>
      <c r="B1" s="9"/>
      <c r="C1" s="9"/>
      <c r="D1" s="9"/>
      <c r="E1" s="9"/>
      <c r="F1" s="9"/>
      <c r="G1" s="9"/>
      <c r="H1" s="9"/>
      <c r="I1" s="9"/>
      <c r="J1" s="9"/>
      <c r="K1" s="9"/>
      <c r="L1" s="9"/>
      <c r="M1" s="9"/>
      <c r="N1" s="9"/>
      <c r="O1" s="9"/>
      <c r="P1" s="9"/>
      <c r="Q1" s="9"/>
    </row>
    <row r="2" spans="1:33" ht="19.5" thickBot="1">
      <c r="A2" s="9"/>
      <c r="B2" s="8" t="s">
        <v>6</v>
      </c>
      <c r="C2" s="23"/>
      <c r="D2" s="23"/>
      <c r="E2" s="23"/>
      <c r="F2" s="23"/>
      <c r="G2" s="23"/>
      <c r="H2" s="23"/>
      <c r="I2" s="23"/>
      <c r="J2" s="23"/>
      <c r="K2" s="23"/>
      <c r="L2" s="23"/>
      <c r="M2" s="23"/>
      <c r="N2" s="23"/>
      <c r="O2" s="23"/>
      <c r="P2" s="23"/>
      <c r="Q2" s="23"/>
    </row>
    <row r="3" spans="1:33">
      <c r="A3" s="9"/>
      <c r="B3" s="10"/>
      <c r="C3" s="24"/>
      <c r="D3" s="24"/>
      <c r="E3" s="24"/>
      <c r="F3" s="24"/>
      <c r="G3" s="24"/>
      <c r="H3" s="24"/>
      <c r="I3" s="24"/>
      <c r="J3" s="24"/>
      <c r="K3" s="24"/>
      <c r="L3" s="24"/>
      <c r="M3" s="24"/>
      <c r="N3" s="24"/>
      <c r="O3" s="24"/>
      <c r="P3" s="24"/>
      <c r="Q3" s="25"/>
    </row>
    <row r="4" spans="1:33" ht="15.75">
      <c r="A4" s="9"/>
      <c r="B4" s="11" t="s">
        <v>7</v>
      </c>
      <c r="C4" s="26"/>
      <c r="D4" s="24"/>
      <c r="E4" s="58" t="s">
        <v>21</v>
      </c>
      <c r="F4" s="24"/>
      <c r="G4" s="24"/>
      <c r="H4" s="24"/>
      <c r="I4" s="24"/>
      <c r="J4" s="24"/>
      <c r="K4" s="24"/>
      <c r="L4" s="24"/>
      <c r="M4" s="24"/>
      <c r="N4" s="24"/>
      <c r="O4" s="24"/>
      <c r="P4" s="24"/>
      <c r="Q4" s="24"/>
    </row>
    <row r="5" spans="1:33">
      <c r="A5" s="9"/>
      <c r="B5" s="10"/>
      <c r="C5" s="24"/>
      <c r="D5" s="24"/>
      <c r="E5" s="24"/>
      <c r="F5" s="24"/>
      <c r="G5" s="24"/>
      <c r="H5" s="24"/>
      <c r="I5" s="24"/>
      <c r="J5" s="24"/>
      <c r="K5" s="24"/>
      <c r="L5" s="24"/>
      <c r="M5" s="24"/>
      <c r="N5" s="24"/>
      <c r="O5" s="24"/>
      <c r="P5" s="24"/>
      <c r="Q5" s="24"/>
    </row>
    <row r="6" spans="1:33" s="20" customFormat="1">
      <c r="A6" s="9"/>
      <c r="B6"/>
      <c r="C6" s="27" t="s">
        <v>7</v>
      </c>
      <c r="D6" s="28"/>
      <c r="E6" s="28"/>
      <c r="F6" s="157" t="s">
        <v>22</v>
      </c>
      <c r="G6" s="166"/>
      <c r="H6" s="166"/>
      <c r="I6" s="167"/>
      <c r="J6" s="168"/>
      <c r="K6" s="157" t="s">
        <v>23</v>
      </c>
      <c r="L6" s="166"/>
      <c r="M6" s="166"/>
      <c r="N6" s="167"/>
      <c r="O6" s="168"/>
      <c r="P6" s="158" t="s">
        <v>9</v>
      </c>
      <c r="Q6" s="166"/>
      <c r="R6" s="9"/>
      <c r="S6" s="19"/>
      <c r="T6" s="19"/>
      <c r="U6" s="19"/>
      <c r="V6" s="19"/>
      <c r="W6" s="19"/>
      <c r="X6" s="19"/>
      <c r="Y6" s="19"/>
      <c r="Z6" s="19"/>
      <c r="AA6" s="19"/>
      <c r="AB6" s="19"/>
      <c r="AC6" s="19"/>
      <c r="AD6" s="19"/>
      <c r="AE6" s="19"/>
      <c r="AF6" s="19"/>
      <c r="AG6" s="19"/>
    </row>
    <row r="7" spans="1:33" ht="15.75">
      <c r="A7" s="9"/>
      <c r="B7" s="18"/>
      <c r="C7" s="29"/>
      <c r="D7" s="30"/>
      <c r="E7" s="30"/>
      <c r="F7" s="29"/>
      <c r="G7" s="30"/>
      <c r="H7" s="30"/>
      <c r="I7" s="30"/>
      <c r="J7" s="56"/>
      <c r="K7" s="29"/>
      <c r="L7" s="30"/>
      <c r="M7" s="30"/>
      <c r="N7" s="30"/>
      <c r="O7" s="56"/>
      <c r="P7" s="30"/>
      <c r="Q7" s="30"/>
    </row>
    <row r="8" spans="1:33" s="54" customFormat="1" ht="22.5">
      <c r="A8" s="48"/>
      <c r="B8" s="49"/>
      <c r="C8" s="59" t="s">
        <v>29</v>
      </c>
      <c r="D8" s="50"/>
      <c r="E8" s="51"/>
      <c r="F8" s="55">
        <v>2021</v>
      </c>
      <c r="G8" s="52">
        <v>2020</v>
      </c>
      <c r="H8" s="52">
        <v>2019</v>
      </c>
      <c r="I8" s="53" t="s">
        <v>19</v>
      </c>
      <c r="J8" s="57" t="s">
        <v>18</v>
      </c>
      <c r="K8" s="55">
        <v>2021</v>
      </c>
      <c r="L8" s="52">
        <v>2020</v>
      </c>
      <c r="M8" s="52">
        <v>2019</v>
      </c>
      <c r="N8" s="53" t="s">
        <v>19</v>
      </c>
      <c r="O8" s="57" t="s">
        <v>18</v>
      </c>
      <c r="P8" s="52">
        <v>2020</v>
      </c>
      <c r="Q8" s="52">
        <v>2019</v>
      </c>
      <c r="R8" s="48"/>
      <c r="S8" s="48"/>
      <c r="T8" s="48"/>
      <c r="U8" s="48"/>
      <c r="V8" s="48"/>
      <c r="W8" s="48"/>
      <c r="X8" s="48"/>
      <c r="Y8" s="48"/>
      <c r="Z8" s="48"/>
      <c r="AA8" s="48"/>
      <c r="AB8" s="48"/>
      <c r="AC8" s="48"/>
      <c r="AD8" s="48"/>
      <c r="AE8" s="48"/>
      <c r="AF8" s="48"/>
      <c r="AG8" s="48"/>
    </row>
    <row r="9" spans="1:33">
      <c r="A9" s="9"/>
      <c r="B9" s="12"/>
      <c r="C9" s="31" t="s">
        <v>14</v>
      </c>
      <c r="D9" s="26"/>
      <c r="E9" s="32"/>
      <c r="F9" s="26"/>
      <c r="G9" s="26"/>
      <c r="H9" s="26"/>
      <c r="I9" s="26"/>
      <c r="J9" s="32"/>
      <c r="K9" s="26"/>
      <c r="L9" s="26"/>
      <c r="M9" s="26"/>
      <c r="N9" s="26"/>
      <c r="O9" s="32"/>
      <c r="P9" s="26"/>
      <c r="Q9" s="26"/>
    </row>
    <row r="10" spans="1:33">
      <c r="A10" s="9"/>
      <c r="B10" s="12"/>
      <c r="C10" s="33"/>
      <c r="D10" s="26" t="s">
        <v>5</v>
      </c>
      <c r="E10" s="32"/>
      <c r="F10" s="68">
        <v>3</v>
      </c>
      <c r="G10" s="68">
        <v>0</v>
      </c>
      <c r="H10" s="68">
        <v>3</v>
      </c>
      <c r="I10" s="64" t="str">
        <f>IFERROR(F10/G10-1,"n/a")</f>
        <v>n/a</v>
      </c>
      <c r="J10" s="60">
        <f>F10/H10-1</f>
        <v>0</v>
      </c>
      <c r="K10" s="68">
        <v>16</v>
      </c>
      <c r="L10" s="68">
        <v>145</v>
      </c>
      <c r="M10" s="68">
        <v>253</v>
      </c>
      <c r="N10" s="64">
        <f>K10/L10-1</f>
        <v>-0.8896551724137931</v>
      </c>
      <c r="O10" s="60">
        <f>K10/M10-1</f>
        <v>-0.93675889328063244</v>
      </c>
      <c r="P10" s="70">
        <v>145</v>
      </c>
      <c r="Q10" s="70">
        <v>386</v>
      </c>
    </row>
    <row r="11" spans="1:33">
      <c r="A11" s="9"/>
      <c r="B11" s="12"/>
      <c r="C11" s="33"/>
      <c r="D11" s="26" t="s">
        <v>11</v>
      </c>
      <c r="E11" s="32"/>
      <c r="F11" s="68">
        <v>1618</v>
      </c>
      <c r="G11" s="68">
        <v>0</v>
      </c>
      <c r="H11" s="68">
        <v>11148</v>
      </c>
      <c r="I11" s="64" t="str">
        <f t="shared" ref="I11:I26" si="0">IFERROR(F11/G11-1,"n/a")</f>
        <v>n/a</v>
      </c>
      <c r="J11" s="60">
        <f>F11/H11-1</f>
        <v>-0.8548618586293506</v>
      </c>
      <c r="K11" s="68">
        <v>4201</v>
      </c>
      <c r="L11" s="68">
        <v>258885</v>
      </c>
      <c r="M11" s="68">
        <v>492279</v>
      </c>
      <c r="N11" s="64">
        <f>K11/L11-1</f>
        <v>-0.98377271761592988</v>
      </c>
      <c r="O11" s="60">
        <f>K11/M11-1</f>
        <v>-0.99146622139071539</v>
      </c>
      <c r="P11" s="70">
        <v>258885</v>
      </c>
      <c r="Q11" s="70">
        <v>733296</v>
      </c>
    </row>
    <row r="12" spans="1:33">
      <c r="A12" s="9"/>
      <c r="B12" s="12"/>
      <c r="C12" s="31" t="s">
        <v>20</v>
      </c>
      <c r="D12" s="26"/>
      <c r="E12" s="32"/>
      <c r="F12" s="45"/>
      <c r="G12" s="45"/>
      <c r="H12" s="45"/>
      <c r="I12" s="64"/>
      <c r="J12" s="61"/>
      <c r="K12" s="43"/>
      <c r="L12" s="43"/>
      <c r="M12" s="43"/>
      <c r="N12" s="65"/>
      <c r="O12" s="61"/>
      <c r="P12" s="44"/>
      <c r="Q12" s="44"/>
    </row>
    <row r="13" spans="1:33">
      <c r="A13" s="9"/>
      <c r="B13" s="12"/>
      <c r="C13" s="33"/>
      <c r="D13" s="26" t="s">
        <v>5</v>
      </c>
      <c r="E13" s="32"/>
      <c r="F13" s="68">
        <v>46</v>
      </c>
      <c r="G13" s="68">
        <v>0</v>
      </c>
      <c r="H13" s="68">
        <v>86</v>
      </c>
      <c r="I13" s="64" t="str">
        <f t="shared" si="0"/>
        <v>n/a</v>
      </c>
      <c r="J13" s="60">
        <f>F13/H13-1</f>
        <v>-0.46511627906976749</v>
      </c>
      <c r="K13" s="68">
        <v>84</v>
      </c>
      <c r="L13" s="68">
        <v>43</v>
      </c>
      <c r="M13" s="68">
        <v>585</v>
      </c>
      <c r="N13" s="64">
        <f>K13/L13-1</f>
        <v>0.95348837209302317</v>
      </c>
      <c r="O13" s="60">
        <f>K13/M13-1</f>
        <v>-0.85641025641025648</v>
      </c>
      <c r="P13" s="70">
        <v>43</v>
      </c>
      <c r="Q13" s="70">
        <v>827</v>
      </c>
    </row>
    <row r="14" spans="1:33">
      <c r="A14" s="9"/>
      <c r="B14" s="12"/>
      <c r="C14" s="33"/>
      <c r="D14" s="26" t="s">
        <v>11</v>
      </c>
      <c r="E14" s="32"/>
      <c r="F14" s="68">
        <v>89719</v>
      </c>
      <c r="G14" s="68">
        <v>0</v>
      </c>
      <c r="H14" s="68">
        <v>304036</v>
      </c>
      <c r="I14" s="64" t="str">
        <f t="shared" si="0"/>
        <v>n/a</v>
      </c>
      <c r="J14" s="60">
        <f>F14/H14-1</f>
        <v>-0.70490665579076162</v>
      </c>
      <c r="K14" s="68">
        <v>167883</v>
      </c>
      <c r="L14" s="68">
        <v>140552</v>
      </c>
      <c r="M14" s="68">
        <v>1897444</v>
      </c>
      <c r="N14" s="64">
        <f>K14/L14-1</f>
        <v>0.19445472138425646</v>
      </c>
      <c r="O14" s="60">
        <f>K14/M14-1</f>
        <v>-0.91152149944873206</v>
      </c>
      <c r="P14" s="70">
        <v>140552</v>
      </c>
      <c r="Q14" s="70">
        <v>2552942</v>
      </c>
    </row>
    <row r="15" spans="1:33">
      <c r="A15" s="9"/>
      <c r="B15" s="12"/>
      <c r="C15" s="31" t="s">
        <v>15</v>
      </c>
      <c r="D15" s="26"/>
      <c r="E15" s="32"/>
      <c r="F15" s="43"/>
      <c r="G15" s="43"/>
      <c r="H15" s="43"/>
      <c r="I15" s="64"/>
      <c r="J15" s="60"/>
      <c r="K15" s="43"/>
      <c r="L15" s="43"/>
      <c r="M15" s="43"/>
      <c r="N15" s="64"/>
      <c r="O15" s="60"/>
      <c r="P15" s="44"/>
      <c r="Q15" s="44"/>
    </row>
    <row r="16" spans="1:33">
      <c r="A16" s="9"/>
      <c r="B16" s="12"/>
      <c r="C16" s="33"/>
      <c r="D16" s="26" t="s">
        <v>5</v>
      </c>
      <c r="E16" s="32"/>
      <c r="F16" s="68">
        <v>2</v>
      </c>
      <c r="G16" s="68">
        <v>0</v>
      </c>
      <c r="H16" s="68">
        <v>23</v>
      </c>
      <c r="I16" s="64" t="str">
        <f t="shared" si="0"/>
        <v>n/a</v>
      </c>
      <c r="J16" s="60">
        <f>F16/H16-1</f>
        <v>-0.91304347826086962</v>
      </c>
      <c r="K16" s="68">
        <v>2</v>
      </c>
      <c r="L16" s="68">
        <v>4</v>
      </c>
      <c r="M16" s="68">
        <v>151</v>
      </c>
      <c r="N16" s="64">
        <f>K16/L16-1</f>
        <v>-0.5</v>
      </c>
      <c r="O16" s="60">
        <f>K16/M16-1</f>
        <v>-0.98675496688741726</v>
      </c>
      <c r="P16" s="70">
        <v>4</v>
      </c>
      <c r="Q16" s="70">
        <v>191</v>
      </c>
    </row>
    <row r="17" spans="1:33">
      <c r="A17" s="9"/>
      <c r="B17" s="12"/>
      <c r="C17" s="33"/>
      <c r="D17" s="26" t="s">
        <v>11</v>
      </c>
      <c r="E17" s="32"/>
      <c r="F17" s="68">
        <f>424</f>
        <v>424</v>
      </c>
      <c r="G17" s="68">
        <v>0</v>
      </c>
      <c r="H17" s="68">
        <v>35836</v>
      </c>
      <c r="I17" s="64" t="str">
        <f t="shared" si="0"/>
        <v>n/a</v>
      </c>
      <c r="J17" s="60">
        <f>F17/H17-1</f>
        <v>-0.98816832235740593</v>
      </c>
      <c r="K17" s="68">
        <v>424</v>
      </c>
      <c r="L17" s="68">
        <v>1753</v>
      </c>
      <c r="M17" s="68">
        <v>203390</v>
      </c>
      <c r="N17" s="64">
        <f>K17/L17-1</f>
        <v>-0.75812892184826008</v>
      </c>
      <c r="O17" s="60">
        <f>K17/M17-1</f>
        <v>-0.99791533507055408</v>
      </c>
      <c r="P17" s="70">
        <v>1753</v>
      </c>
      <c r="Q17" s="70">
        <v>254421</v>
      </c>
    </row>
    <row r="18" spans="1:33">
      <c r="A18" s="9"/>
      <c r="B18" s="12"/>
      <c r="C18" s="31" t="s">
        <v>10</v>
      </c>
      <c r="D18" s="26"/>
      <c r="E18" s="34"/>
      <c r="F18" s="43"/>
      <c r="G18" s="43"/>
      <c r="H18" s="43"/>
      <c r="I18" s="64"/>
      <c r="J18" s="60"/>
      <c r="K18" s="43"/>
      <c r="L18" s="43"/>
      <c r="M18" s="43"/>
      <c r="N18" s="64"/>
      <c r="O18" s="60"/>
      <c r="P18" s="44"/>
      <c r="Q18" s="44"/>
    </row>
    <row r="19" spans="1:33">
      <c r="A19" s="9"/>
      <c r="B19" s="12"/>
      <c r="C19" s="33"/>
      <c r="D19" s="26" t="s">
        <v>5</v>
      </c>
      <c r="E19" s="34"/>
      <c r="F19" s="68">
        <v>57</v>
      </c>
      <c r="G19" s="68">
        <v>0</v>
      </c>
      <c r="H19" s="68">
        <v>76</v>
      </c>
      <c r="I19" s="64" t="str">
        <f t="shared" si="0"/>
        <v>n/a</v>
      </c>
      <c r="J19" s="60">
        <f>F19/H19-1</f>
        <v>-0.25</v>
      </c>
      <c r="K19" s="68">
        <v>130</v>
      </c>
      <c r="L19" s="68">
        <v>406</v>
      </c>
      <c r="M19" s="68">
        <v>856</v>
      </c>
      <c r="N19" s="64">
        <f>K19/L19-1</f>
        <v>-0.67980295566502469</v>
      </c>
      <c r="O19" s="60">
        <f>K19/M19-1</f>
        <v>-0.84813084112149539</v>
      </c>
      <c r="P19" s="70">
        <v>406</v>
      </c>
      <c r="Q19" s="70">
        <v>1205</v>
      </c>
    </row>
    <row r="20" spans="1:33">
      <c r="A20" s="9"/>
      <c r="B20" s="12"/>
      <c r="C20" s="33"/>
      <c r="D20" s="26" t="s">
        <v>11</v>
      </c>
      <c r="E20" s="32"/>
      <c r="F20" s="68">
        <v>81777</v>
      </c>
      <c r="G20" s="68">
        <v>0</v>
      </c>
      <c r="H20" s="68">
        <v>223305</v>
      </c>
      <c r="I20" s="64" t="str">
        <f t="shared" si="0"/>
        <v>n/a</v>
      </c>
      <c r="J20" s="60">
        <f>F20/H20-1</f>
        <v>-0.63378786861019676</v>
      </c>
      <c r="K20" s="68">
        <v>181810</v>
      </c>
      <c r="L20" s="68">
        <v>833999</v>
      </c>
      <c r="M20" s="68">
        <v>2872542</v>
      </c>
      <c r="N20" s="64">
        <f>K20/L20-1</f>
        <v>-0.7820021366932095</v>
      </c>
      <c r="O20" s="60">
        <f>K20/M20-1</f>
        <v>-0.93670762690327936</v>
      </c>
      <c r="P20" s="70">
        <v>833999</v>
      </c>
      <c r="Q20" s="70">
        <v>3859183</v>
      </c>
    </row>
    <row r="21" spans="1:33">
      <c r="A21" s="9"/>
      <c r="B21" s="12"/>
      <c r="C21" s="31" t="s">
        <v>16</v>
      </c>
      <c r="D21" s="26"/>
      <c r="E21" s="32"/>
      <c r="F21" s="43"/>
      <c r="G21" s="43"/>
      <c r="H21" s="43"/>
      <c r="I21" s="64"/>
      <c r="J21" s="60"/>
      <c r="K21" s="43"/>
      <c r="L21" s="43"/>
      <c r="M21" s="43"/>
      <c r="N21" s="64"/>
      <c r="O21" s="60"/>
      <c r="P21" s="44"/>
      <c r="Q21" s="44"/>
    </row>
    <row r="22" spans="1:33">
      <c r="A22" s="9"/>
      <c r="B22" s="12"/>
      <c r="C22" s="33"/>
      <c r="D22" s="26" t="s">
        <v>5</v>
      </c>
      <c r="E22" s="32"/>
      <c r="F22" s="68">
        <v>17</v>
      </c>
      <c r="G22" s="68">
        <v>5</v>
      </c>
      <c r="H22" s="68">
        <v>40</v>
      </c>
      <c r="I22" s="64">
        <f t="shared" si="0"/>
        <v>2.4</v>
      </c>
      <c r="J22" s="60">
        <f>F22/H22-1</f>
        <v>-0.57499999999999996</v>
      </c>
      <c r="K22" s="68">
        <v>71</v>
      </c>
      <c r="L22" s="68">
        <v>16</v>
      </c>
      <c r="M22" s="68">
        <v>244</v>
      </c>
      <c r="N22" s="64">
        <f>K22/L22-1</f>
        <v>3.4375</v>
      </c>
      <c r="O22" s="60">
        <f>K22/M22-1</f>
        <v>-0.70901639344262302</v>
      </c>
      <c r="P22" s="70">
        <v>32</v>
      </c>
      <c r="Q22" s="70">
        <v>372</v>
      </c>
    </row>
    <row r="23" spans="1:33">
      <c r="A23" s="9"/>
      <c r="B23" s="12"/>
      <c r="C23" s="33"/>
      <c r="D23" s="26" t="s">
        <v>11</v>
      </c>
      <c r="E23" s="32"/>
      <c r="F23" s="68">
        <v>31465</v>
      </c>
      <c r="G23" s="68">
        <v>4538</v>
      </c>
      <c r="H23" s="68">
        <v>102143</v>
      </c>
      <c r="I23" s="64">
        <f t="shared" si="0"/>
        <v>5.9336712208021156</v>
      </c>
      <c r="J23" s="60">
        <f>F23/H23-1</f>
        <v>-0.69195147978814009</v>
      </c>
      <c r="K23" s="68">
        <v>101015</v>
      </c>
      <c r="L23" s="68">
        <v>47300</v>
      </c>
      <c r="M23" s="68">
        <v>688183</v>
      </c>
      <c r="N23" s="64">
        <f>K23/L23-1</f>
        <v>1.1356236786469345</v>
      </c>
      <c r="O23" s="60">
        <f>K23/M23-1</f>
        <v>-0.8532149152187718</v>
      </c>
      <c r="P23" s="70">
        <v>59180</v>
      </c>
      <c r="Q23" s="70">
        <v>902015</v>
      </c>
    </row>
    <row r="24" spans="1:33">
      <c r="A24" s="9"/>
      <c r="B24" s="12"/>
      <c r="C24" s="31" t="s">
        <v>17</v>
      </c>
      <c r="D24" s="26"/>
      <c r="E24" s="32"/>
      <c r="F24" s="43"/>
      <c r="G24" s="43"/>
      <c r="H24" s="43"/>
      <c r="I24" s="64"/>
      <c r="J24" s="60"/>
      <c r="K24" s="43"/>
      <c r="L24" s="43"/>
      <c r="M24" s="43"/>
      <c r="N24" s="64"/>
      <c r="O24" s="60"/>
      <c r="P24" s="44"/>
      <c r="Q24" s="44"/>
    </row>
    <row r="25" spans="1:33">
      <c r="B25" s="12"/>
      <c r="C25" s="33"/>
      <c r="D25" s="26" t="s">
        <v>5</v>
      </c>
      <c r="E25" s="32"/>
      <c r="F25" s="68">
        <v>23</v>
      </c>
      <c r="G25" s="68">
        <v>7</v>
      </c>
      <c r="H25" s="68">
        <v>41</v>
      </c>
      <c r="I25" s="64">
        <f t="shared" si="0"/>
        <v>2.2857142857142856</v>
      </c>
      <c r="J25" s="60">
        <f>F25/H25-1</f>
        <v>-0.43902439024390238</v>
      </c>
      <c r="K25" s="68">
        <v>79</v>
      </c>
      <c r="L25" s="68">
        <v>12</v>
      </c>
      <c r="M25" s="68">
        <v>255</v>
      </c>
      <c r="N25" s="64">
        <f>K25/L25-1</f>
        <v>5.583333333333333</v>
      </c>
      <c r="O25" s="60">
        <f>K25/M25-1</f>
        <v>-0.69019607843137254</v>
      </c>
      <c r="P25" s="70">
        <v>37</v>
      </c>
      <c r="Q25" s="70">
        <v>363</v>
      </c>
    </row>
    <row r="26" spans="1:33">
      <c r="A26" s="9"/>
      <c r="B26" s="12"/>
      <c r="C26" s="33"/>
      <c r="D26" s="26" t="s">
        <v>11</v>
      </c>
      <c r="E26" s="32"/>
      <c r="F26" s="68">
        <v>35845</v>
      </c>
      <c r="G26" s="68">
        <v>1534</v>
      </c>
      <c r="H26" s="68">
        <v>107800</v>
      </c>
      <c r="I26" s="64">
        <f t="shared" si="0"/>
        <v>22.367014341590611</v>
      </c>
      <c r="J26" s="60">
        <f>F26/H26-1</f>
        <v>-0.66748608534322817</v>
      </c>
      <c r="K26" s="68">
        <v>117659</v>
      </c>
      <c r="L26" s="68">
        <v>20026</v>
      </c>
      <c r="M26" s="68">
        <v>690353</v>
      </c>
      <c r="N26" s="64">
        <f>K26/L26-1</f>
        <v>4.8753120942774393</v>
      </c>
      <c r="O26" s="60">
        <f>K26/M26-1</f>
        <v>-0.8295669027294732</v>
      </c>
      <c r="P26" s="70">
        <v>29062</v>
      </c>
      <c r="Q26" s="70">
        <v>867164</v>
      </c>
    </row>
    <row r="27" spans="1:33" ht="15.75" thickBot="1">
      <c r="A27" s="9"/>
      <c r="B27" s="12"/>
      <c r="C27" s="35" t="s">
        <v>12</v>
      </c>
      <c r="D27" s="36"/>
      <c r="E27" s="37"/>
      <c r="F27" s="46">
        <f t="shared" ref="F27:H28" si="1">F10+F13+F16+F19+F22+F25</f>
        <v>148</v>
      </c>
      <c r="G27" s="46">
        <f t="shared" si="1"/>
        <v>12</v>
      </c>
      <c r="H27" s="46">
        <f t="shared" si="1"/>
        <v>269</v>
      </c>
      <c r="I27" s="66">
        <f>F27/G27-1</f>
        <v>11.333333333333334</v>
      </c>
      <c r="J27" s="62">
        <f>F27/H27-1</f>
        <v>-0.44981412639405205</v>
      </c>
      <c r="K27" s="46">
        <f t="shared" ref="K27:M28" si="2">K10+K13+K16+K19+K22+K25</f>
        <v>382</v>
      </c>
      <c r="L27" s="46">
        <f t="shared" si="2"/>
        <v>626</v>
      </c>
      <c r="M27" s="46">
        <f t="shared" si="2"/>
        <v>2344</v>
      </c>
      <c r="N27" s="66">
        <f>K27/L27-1</f>
        <v>-0.38977635782747599</v>
      </c>
      <c r="O27" s="62">
        <f>K27/M27-1</f>
        <v>-0.83703071672354945</v>
      </c>
      <c r="P27" s="46">
        <f>P10+P13+P16+P19+P22+P25</f>
        <v>667</v>
      </c>
      <c r="Q27" s="46">
        <f>Q10+Q13+Q16+Q19+Q22+Q25</f>
        <v>3344</v>
      </c>
    </row>
    <row r="28" spans="1:33" s="22" customFormat="1" ht="16.5" thickTop="1" thickBot="1">
      <c r="A28" s="9"/>
      <c r="B28" s="12"/>
      <c r="C28" s="38" t="s">
        <v>13</v>
      </c>
      <c r="D28" s="39"/>
      <c r="E28" s="40"/>
      <c r="F28" s="47">
        <f t="shared" si="1"/>
        <v>240848</v>
      </c>
      <c r="G28" s="47">
        <f t="shared" si="1"/>
        <v>6072</v>
      </c>
      <c r="H28" s="47">
        <f t="shared" si="1"/>
        <v>784268</v>
      </c>
      <c r="I28" s="67">
        <f>F28/G28-1</f>
        <v>38.665349143610015</v>
      </c>
      <c r="J28" s="63">
        <f>F28/H28-1</f>
        <v>-0.69290089612224393</v>
      </c>
      <c r="K28" s="47">
        <f t="shared" si="2"/>
        <v>572992</v>
      </c>
      <c r="L28" s="47">
        <f t="shared" si="2"/>
        <v>1302515</v>
      </c>
      <c r="M28" s="47">
        <f t="shared" si="2"/>
        <v>6844191</v>
      </c>
      <c r="N28" s="67">
        <f>K28/L28-1</f>
        <v>-0.56008798363166645</v>
      </c>
      <c r="O28" s="63">
        <f>K28/M28-1</f>
        <v>-0.91628053629713135</v>
      </c>
      <c r="P28" s="47">
        <f>P11+P14+P17+P20+P23+P26</f>
        <v>1323431</v>
      </c>
      <c r="Q28" s="47">
        <f>Q11+Q14+Q17+Q20+Q23+Q26</f>
        <v>9169021</v>
      </c>
      <c r="R28" s="9"/>
      <c r="S28" s="21"/>
      <c r="T28" s="21"/>
      <c r="U28" s="21"/>
      <c r="V28" s="21"/>
      <c r="W28" s="21"/>
      <c r="X28" s="21"/>
      <c r="Y28" s="21"/>
      <c r="Z28" s="21"/>
      <c r="AA28" s="21"/>
      <c r="AB28" s="21"/>
      <c r="AC28" s="21"/>
      <c r="AD28" s="21"/>
      <c r="AE28" s="21"/>
      <c r="AF28" s="21"/>
      <c r="AG28" s="21"/>
    </row>
    <row r="29" spans="1:33" ht="15.75" thickTop="1">
      <c r="A29" s="9"/>
      <c r="B29" s="9"/>
      <c r="C29" s="9"/>
      <c r="D29" s="9"/>
      <c r="E29" s="9"/>
      <c r="F29" s="41"/>
      <c r="G29" s="41"/>
      <c r="H29" s="41"/>
      <c r="I29" s="9"/>
      <c r="J29" s="9"/>
      <c r="K29" s="9"/>
      <c r="L29" s="9"/>
      <c r="M29" s="9"/>
      <c r="N29" s="9"/>
      <c r="O29" s="9"/>
      <c r="P29" s="9"/>
      <c r="Q29" s="9"/>
    </row>
    <row r="30" spans="1:33" hidden="1">
      <c r="A30" s="9"/>
      <c r="B30" s="9"/>
      <c r="C30" s="9"/>
      <c r="D30" s="9"/>
      <c r="E30" s="9"/>
      <c r="F30" s="41"/>
      <c r="G30" s="41"/>
      <c r="H30" s="41"/>
      <c r="I30" s="9"/>
      <c r="J30" s="9"/>
      <c r="K30" s="9"/>
      <c r="L30" s="9"/>
      <c r="M30" s="9"/>
      <c r="N30" s="9"/>
      <c r="O30" s="9"/>
      <c r="P30" s="9"/>
      <c r="Q30" s="9"/>
    </row>
    <row r="31" spans="1:33" hidden="1">
      <c r="A31" s="9"/>
      <c r="B31" s="9"/>
      <c r="C31" s="9"/>
      <c r="D31" s="9"/>
      <c r="E31" s="9"/>
      <c r="F31" s="41"/>
      <c r="G31" s="41"/>
      <c r="H31" s="41"/>
      <c r="I31" s="9"/>
      <c r="J31" s="9"/>
      <c r="K31" s="9"/>
      <c r="L31" s="9"/>
      <c r="M31" s="9"/>
      <c r="N31" s="9"/>
      <c r="O31" s="9"/>
      <c r="P31" s="9"/>
      <c r="Q31" s="9"/>
    </row>
    <row r="32" spans="1:33" hidden="1">
      <c r="A32" s="9"/>
      <c r="B32" s="9"/>
      <c r="C32" s="9"/>
      <c r="D32" s="9"/>
      <c r="E32" s="9"/>
      <c r="F32" s="41"/>
      <c r="G32" s="41"/>
      <c r="H32" s="41"/>
      <c r="I32" s="9"/>
      <c r="J32" s="9"/>
      <c r="K32" s="9"/>
      <c r="L32" s="9"/>
      <c r="M32" s="9"/>
      <c r="N32" s="9"/>
      <c r="O32" s="9"/>
      <c r="P32" s="9"/>
      <c r="Q32" s="9"/>
    </row>
    <row r="33" spans="1:17" hidden="1">
      <c r="A33" s="9"/>
      <c r="B33" s="9"/>
      <c r="C33" s="9"/>
      <c r="D33" s="9"/>
      <c r="E33" s="9"/>
      <c r="F33" s="41"/>
      <c r="G33" s="41"/>
      <c r="H33" s="41"/>
      <c r="I33" s="9"/>
      <c r="J33" s="9"/>
      <c r="K33" s="9"/>
      <c r="L33" s="9"/>
      <c r="M33" s="9"/>
      <c r="N33" s="9"/>
      <c r="O33" s="9"/>
      <c r="P33" s="9"/>
      <c r="Q33" s="9"/>
    </row>
    <row r="34" spans="1:17" hidden="1">
      <c r="A34" s="9"/>
      <c r="B34" s="9"/>
      <c r="C34" s="9"/>
      <c r="D34" s="9"/>
      <c r="E34" s="9"/>
      <c r="F34" s="41"/>
      <c r="G34" s="41"/>
      <c r="H34" s="41"/>
      <c r="I34" s="9"/>
      <c r="J34" s="9"/>
      <c r="K34" s="9"/>
      <c r="L34" s="9"/>
      <c r="M34" s="9"/>
      <c r="N34" s="9"/>
      <c r="O34" s="9"/>
      <c r="P34" s="9"/>
      <c r="Q34" s="9"/>
    </row>
    <row r="35" spans="1:17" hidden="1">
      <c r="A35" s="9"/>
      <c r="B35" s="9"/>
      <c r="C35" s="9"/>
      <c r="D35" s="9"/>
      <c r="E35" s="9"/>
      <c r="F35" s="41"/>
      <c r="G35" s="41"/>
      <c r="H35" s="41"/>
      <c r="I35" s="9"/>
      <c r="J35" s="9"/>
      <c r="K35" s="9"/>
      <c r="L35" s="9"/>
      <c r="M35" s="9"/>
      <c r="N35" s="9"/>
      <c r="O35" s="9"/>
      <c r="P35" s="9"/>
      <c r="Q35" s="9"/>
    </row>
    <row r="36" spans="1:17" hidden="1">
      <c r="A36" s="9"/>
      <c r="B36" s="9"/>
      <c r="C36" s="9"/>
      <c r="D36" s="9"/>
      <c r="E36" s="9"/>
      <c r="F36" s="41"/>
      <c r="G36" s="41"/>
      <c r="H36" s="41"/>
      <c r="I36" s="9"/>
      <c r="J36" s="9"/>
      <c r="K36" s="9"/>
      <c r="L36" s="9"/>
      <c r="M36" s="9"/>
      <c r="N36" s="9"/>
      <c r="O36" s="9"/>
      <c r="P36" s="9"/>
      <c r="Q36" s="9"/>
    </row>
    <row r="37" spans="1:17" hidden="1">
      <c r="A37" s="9"/>
      <c r="B37" s="9"/>
      <c r="C37" s="9"/>
      <c r="D37" s="9"/>
      <c r="E37" s="9"/>
      <c r="F37" s="41"/>
      <c r="G37" s="41"/>
      <c r="H37" s="41"/>
      <c r="I37" s="9"/>
      <c r="J37" s="9"/>
      <c r="K37" s="9"/>
      <c r="L37" s="9"/>
      <c r="M37" s="9"/>
      <c r="N37" s="9"/>
      <c r="O37" s="9"/>
      <c r="P37" s="9"/>
      <c r="Q37" s="9"/>
    </row>
    <row r="38" spans="1:17" hidden="1">
      <c r="A38" s="9"/>
      <c r="B38" s="9"/>
      <c r="C38" s="9"/>
      <c r="D38" s="9"/>
      <c r="E38" s="9"/>
      <c r="F38" s="41"/>
      <c r="G38" s="41"/>
      <c r="H38" s="41"/>
      <c r="I38" s="9"/>
      <c r="J38" s="9"/>
      <c r="K38" s="9"/>
      <c r="L38" s="9"/>
      <c r="M38" s="9"/>
      <c r="N38" s="9"/>
      <c r="O38" s="9"/>
      <c r="P38" s="9"/>
      <c r="Q38" s="9"/>
    </row>
    <row r="39" spans="1:17" hidden="1">
      <c r="A39" s="9"/>
      <c r="B39" s="9"/>
      <c r="C39" s="9"/>
      <c r="D39" s="9"/>
      <c r="E39" s="9"/>
      <c r="F39" s="41"/>
      <c r="G39" s="41"/>
      <c r="H39" s="41"/>
      <c r="I39" s="9"/>
      <c r="J39" s="9"/>
      <c r="K39" s="9"/>
      <c r="L39" s="9"/>
      <c r="M39" s="9"/>
      <c r="N39" s="9"/>
      <c r="O39" s="9"/>
      <c r="P39" s="9"/>
      <c r="Q39" s="9"/>
    </row>
    <row r="40" spans="1:17" hidden="1">
      <c r="A40" s="9"/>
      <c r="B40" s="9"/>
      <c r="C40" s="9"/>
      <c r="D40" s="9"/>
      <c r="E40" s="9"/>
      <c r="F40" s="41"/>
      <c r="G40" s="41"/>
      <c r="H40" s="41"/>
      <c r="I40" s="9"/>
      <c r="J40" s="9"/>
      <c r="K40" s="9"/>
      <c r="L40" s="9"/>
      <c r="M40" s="9"/>
      <c r="N40" s="9"/>
      <c r="O40" s="9"/>
      <c r="P40" s="9"/>
      <c r="Q40" s="9"/>
    </row>
    <row r="41" spans="1:17" hidden="1">
      <c r="A41" s="9"/>
      <c r="B41" s="9"/>
      <c r="C41" s="9"/>
      <c r="D41" s="9"/>
      <c r="E41" s="9"/>
      <c r="F41" s="41"/>
      <c r="G41" s="41"/>
      <c r="H41" s="41"/>
      <c r="I41" s="9"/>
      <c r="J41" s="9"/>
      <c r="K41" s="9"/>
      <c r="L41" s="9"/>
      <c r="M41" s="9"/>
      <c r="N41" s="9"/>
      <c r="O41" s="9"/>
      <c r="P41" s="9"/>
      <c r="Q41" s="9"/>
    </row>
    <row r="42" spans="1:17" hidden="1">
      <c r="A42" s="9"/>
      <c r="B42" s="9"/>
      <c r="C42" s="9"/>
      <c r="D42" s="9"/>
      <c r="E42" s="9"/>
      <c r="F42" s="41"/>
      <c r="G42" s="41"/>
      <c r="H42" s="41"/>
      <c r="I42" s="9"/>
      <c r="J42" s="9"/>
      <c r="K42" s="9"/>
      <c r="L42" s="9"/>
      <c r="M42" s="9"/>
      <c r="N42" s="9"/>
      <c r="O42" s="9"/>
      <c r="P42" s="9"/>
      <c r="Q42" s="9"/>
    </row>
    <row r="43" spans="1:17" hidden="1">
      <c r="A43" s="9"/>
      <c r="B43" s="9"/>
      <c r="C43" s="9"/>
      <c r="D43" s="9"/>
      <c r="E43" s="9"/>
      <c r="F43" s="41"/>
      <c r="G43" s="41"/>
      <c r="H43" s="41"/>
      <c r="I43" s="9"/>
      <c r="J43" s="9"/>
      <c r="K43" s="9"/>
      <c r="L43" s="9"/>
      <c r="M43" s="9"/>
      <c r="N43" s="9"/>
      <c r="O43" s="9"/>
      <c r="P43" s="9"/>
      <c r="Q43" s="9"/>
    </row>
    <row r="44" spans="1:17" hidden="1">
      <c r="A44" s="9"/>
      <c r="B44" s="9"/>
      <c r="C44" s="9"/>
      <c r="D44" s="9"/>
      <c r="E44" s="9"/>
      <c r="F44" s="41"/>
      <c r="G44" s="41"/>
      <c r="H44" s="41"/>
      <c r="I44" s="9"/>
      <c r="J44" s="9"/>
      <c r="K44" s="9"/>
      <c r="L44" s="9"/>
      <c r="M44" s="9"/>
      <c r="N44" s="9"/>
      <c r="O44" s="9"/>
      <c r="P44" s="9"/>
      <c r="Q44" s="9"/>
    </row>
    <row r="45" spans="1:17" hidden="1">
      <c r="A45" s="9"/>
      <c r="B45" s="9"/>
      <c r="C45" s="9"/>
      <c r="D45" s="9"/>
      <c r="E45" s="9"/>
      <c r="F45" s="41"/>
      <c r="G45" s="41"/>
      <c r="H45" s="41"/>
      <c r="I45" s="9"/>
      <c r="J45" s="9"/>
      <c r="K45" s="9"/>
      <c r="L45" s="9"/>
      <c r="M45" s="9"/>
      <c r="N45" s="9"/>
      <c r="O45" s="9"/>
      <c r="P45" s="9"/>
      <c r="Q45" s="9"/>
    </row>
    <row r="46" spans="1:17" hidden="1">
      <c r="A46" s="9"/>
      <c r="B46" s="9"/>
      <c r="C46" s="9"/>
      <c r="D46" s="9"/>
      <c r="E46" s="9"/>
      <c r="F46" s="41"/>
      <c r="G46" s="41"/>
      <c r="H46" s="41"/>
      <c r="I46" s="9"/>
      <c r="J46" s="9"/>
      <c r="K46" s="9"/>
      <c r="L46" s="9"/>
      <c r="M46" s="9"/>
      <c r="N46" s="9"/>
      <c r="O46" s="9"/>
      <c r="P46" s="9"/>
      <c r="Q46" s="9"/>
    </row>
    <row r="47" spans="1:17" hidden="1">
      <c r="A47" s="9"/>
      <c r="B47" s="9"/>
      <c r="C47" s="9"/>
      <c r="D47" s="9"/>
      <c r="E47" s="9"/>
      <c r="F47" s="41"/>
      <c r="G47" s="41"/>
      <c r="H47" s="41"/>
      <c r="I47" s="9"/>
      <c r="J47" s="9"/>
      <c r="K47" s="9"/>
      <c r="L47" s="9"/>
      <c r="M47" s="9"/>
      <c r="N47" s="9"/>
      <c r="O47" s="9"/>
      <c r="P47" s="9"/>
      <c r="Q47" s="9"/>
    </row>
    <row r="48" spans="1:17" hidden="1">
      <c r="A48" s="9"/>
      <c r="B48" s="9"/>
      <c r="C48" s="9"/>
      <c r="D48" s="9"/>
      <c r="E48" s="9"/>
      <c r="F48" s="9"/>
      <c r="G48" s="9"/>
      <c r="H48" s="9"/>
      <c r="I48" s="9"/>
      <c r="J48" s="9"/>
      <c r="K48" s="9"/>
      <c r="L48" s="9"/>
      <c r="M48" s="9"/>
      <c r="N48" s="9"/>
      <c r="O48" s="9"/>
      <c r="P48" s="9"/>
      <c r="Q48" s="9"/>
    </row>
  </sheetData>
  <customSheetViews>
    <customSheetView guid="{5F6D01E3-9E6F-4D7F-980F-63899AF95899}" scale="79" fitToPage="1" hiddenRows="1" hiddenColumns="1">
      <pageMargins left="0.7" right="0.7" top="0.75" bottom="0.75" header="0.3" footer="0.3"/>
      <pageSetup paperSize="9" scale="85" orientation="landscape" horizontalDpi="4294967293" verticalDpi="4294967293" r:id="rId1"/>
    </customSheetView>
  </customSheetViews>
  <mergeCells count="3">
    <mergeCell ref="P6:Q6"/>
    <mergeCell ref="K6:O6"/>
    <mergeCell ref="F6:J6"/>
  </mergeCells>
  <pageMargins left="0.7" right="0.7" top="0.75" bottom="0.75" header="0.3" footer="0.3"/>
  <pageSetup paperSize="9" scale="85" orientation="landscape" horizontalDpi="4294967293" verticalDpi="4294967293" r:id="rId2"/>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586577"/>
    <pageSetUpPr fitToPage="1"/>
  </sheetPr>
  <dimension ref="A1:AH44"/>
  <sheetViews>
    <sheetView showGridLines="0" zoomScale="85" zoomScaleNormal="85" workbookViewId="0"/>
  </sheetViews>
  <sheetFormatPr defaultColWidth="0" defaultRowHeight="0" customHeight="1" zeroHeight="1"/>
  <cols>
    <col min="1" max="2" width="2.5703125" style="2" customWidth="1"/>
    <col min="3" max="3" width="20.85546875" style="2" customWidth="1"/>
    <col min="4" max="4" width="10.5703125" style="2" bestFit="1" customWidth="1"/>
    <col min="5" max="8" width="9.140625" style="2" customWidth="1"/>
    <col min="9" max="9" width="14.140625" style="2" customWidth="1"/>
    <col min="10" max="10" width="5" style="2" customWidth="1"/>
    <col min="11" max="11" width="9.140625" style="2" customWidth="1"/>
    <col min="12" max="12" width="4.85546875" style="2" customWidth="1"/>
    <col min="13" max="16" width="9.140625" style="2" customWidth="1"/>
    <col min="17" max="17" width="3.5703125" style="2" customWidth="1"/>
    <col min="18" max="18" width="10.140625" style="2" customWidth="1"/>
    <col min="19" max="33" width="10.140625" style="2" hidden="1" customWidth="1"/>
    <col min="34" max="34" width="4.85546875" style="2" hidden="1" customWidth="1"/>
    <col min="35" max="16384" width="10.140625" style="2" hidden="1"/>
  </cols>
  <sheetData>
    <row r="1" spans="2:34" ht="23.25">
      <c r="B1" s="13"/>
      <c r="C1" s="14"/>
      <c r="D1" s="14"/>
      <c r="E1" s="14"/>
      <c r="F1" s="14"/>
      <c r="G1" s="14"/>
      <c r="H1" s="14"/>
      <c r="I1" s="13"/>
      <c r="J1" s="13"/>
      <c r="K1" s="13"/>
      <c r="L1" s="13"/>
      <c r="M1" s="13"/>
      <c r="N1" s="13"/>
      <c r="O1" s="13"/>
      <c r="P1" s="13"/>
      <c r="Q1" s="13"/>
      <c r="R1" s="13"/>
      <c r="S1" s="13"/>
      <c r="T1" s="13"/>
      <c r="U1" s="13"/>
      <c r="V1" s="13"/>
      <c r="W1" s="13"/>
      <c r="X1" s="13"/>
      <c r="Y1" s="13"/>
      <c r="Z1" s="13"/>
      <c r="AA1" s="13"/>
      <c r="AB1" s="13"/>
      <c r="AC1" s="13"/>
      <c r="AD1" s="13"/>
      <c r="AE1" s="13"/>
      <c r="AF1" s="13"/>
      <c r="AG1" s="13"/>
      <c r="AH1" s="13"/>
    </row>
    <row r="2" spans="2:34" ht="19.5" thickBot="1">
      <c r="B2" s="13"/>
      <c r="C2" s="8" t="s">
        <v>6</v>
      </c>
      <c r="D2" s="16"/>
      <c r="E2" s="16"/>
      <c r="F2" s="16"/>
      <c r="G2" s="16"/>
      <c r="H2" s="16"/>
      <c r="I2" s="16"/>
      <c r="J2" s="16"/>
      <c r="K2" s="16"/>
      <c r="L2" s="16"/>
      <c r="M2" s="16"/>
      <c r="N2" s="16"/>
      <c r="O2" s="16"/>
      <c r="P2" s="16"/>
      <c r="Q2" s="16"/>
      <c r="R2" s="16"/>
      <c r="S2" s="16"/>
      <c r="T2" s="16"/>
      <c r="U2" s="16"/>
      <c r="V2" s="16"/>
      <c r="W2" s="16"/>
      <c r="X2" s="16"/>
      <c r="Y2" s="16"/>
      <c r="Z2" s="16"/>
      <c r="AA2" s="16"/>
      <c r="AB2" s="16"/>
      <c r="AC2" s="16"/>
      <c r="AD2" s="16"/>
      <c r="AE2" s="16"/>
      <c r="AF2" s="16"/>
      <c r="AG2" s="16"/>
      <c r="AH2" s="13"/>
    </row>
    <row r="3" spans="2:34" ht="13.5">
      <c r="B3" s="13"/>
      <c r="C3" s="13"/>
      <c r="D3" s="13"/>
      <c r="E3" s="13"/>
      <c r="F3" s="13"/>
      <c r="G3" s="13"/>
      <c r="H3" s="13"/>
      <c r="I3" s="13"/>
      <c r="J3" s="13"/>
      <c r="K3" s="13"/>
      <c r="L3" s="13"/>
      <c r="M3" s="13"/>
      <c r="N3" s="13"/>
      <c r="O3" s="13"/>
      <c r="P3" s="13"/>
      <c r="Q3" s="13"/>
      <c r="R3" s="13"/>
      <c r="S3" s="13"/>
      <c r="T3" s="13"/>
      <c r="U3" s="13"/>
      <c r="V3" s="13"/>
      <c r="W3" s="13"/>
      <c r="X3" s="13"/>
      <c r="Y3" s="13"/>
      <c r="Z3" s="13"/>
      <c r="AA3" s="13"/>
      <c r="AB3" s="13"/>
      <c r="AC3" s="13"/>
      <c r="AD3" s="13"/>
      <c r="AE3" s="13"/>
      <c r="AF3" s="13"/>
      <c r="AG3" s="13"/>
      <c r="AH3" s="13"/>
    </row>
    <row r="4" spans="2:34" ht="17.25" customHeight="1">
      <c r="B4" s="13"/>
      <c r="C4" s="17" t="s">
        <v>84</v>
      </c>
      <c r="E4" s="13"/>
      <c r="F4" s="13"/>
      <c r="G4" s="13"/>
      <c r="H4" s="13"/>
      <c r="I4" s="13"/>
      <c r="J4" s="13"/>
      <c r="K4" s="13"/>
      <c r="L4" s="13"/>
      <c r="M4" s="13"/>
      <c r="N4" s="13"/>
      <c r="O4" s="13"/>
      <c r="P4" s="13"/>
      <c r="Q4" s="13"/>
      <c r="R4" s="13"/>
      <c r="S4" s="13"/>
      <c r="T4" s="13"/>
      <c r="U4" s="13"/>
      <c r="V4" s="13"/>
      <c r="W4" s="13"/>
      <c r="X4" s="13"/>
      <c r="Y4" s="13"/>
      <c r="Z4" s="13"/>
      <c r="AA4" s="13"/>
      <c r="AB4" s="13"/>
      <c r="AC4" s="13"/>
      <c r="AD4" s="13"/>
      <c r="AE4" s="13"/>
      <c r="AF4" s="13"/>
      <c r="AG4" s="13"/>
      <c r="AH4" s="13"/>
    </row>
    <row r="5" spans="2:34" ht="17.25" customHeight="1">
      <c r="B5" s="13"/>
      <c r="C5" s="13"/>
      <c r="D5" s="13"/>
      <c r="E5" s="13"/>
      <c r="F5" s="13"/>
      <c r="G5" s="13"/>
      <c r="H5" s="13"/>
      <c r="I5" s="13"/>
      <c r="J5" s="13"/>
      <c r="K5" s="13"/>
      <c r="L5" s="13"/>
      <c r="M5" s="13"/>
      <c r="N5" s="13"/>
      <c r="O5" s="13"/>
      <c r="P5" s="13"/>
      <c r="Q5" s="13"/>
      <c r="R5" s="13"/>
      <c r="S5" s="13"/>
      <c r="T5" s="13"/>
      <c r="U5" s="13"/>
      <c r="V5" s="13"/>
      <c r="W5" s="13"/>
      <c r="X5" s="13"/>
      <c r="Y5" s="13"/>
      <c r="Z5" s="13"/>
      <c r="AA5" s="13"/>
      <c r="AB5" s="13"/>
      <c r="AC5" s="13"/>
      <c r="AD5" s="13"/>
      <c r="AE5" s="13"/>
      <c r="AF5" s="13"/>
      <c r="AG5" s="13"/>
      <c r="AH5" s="13"/>
    </row>
    <row r="6" spans="2:34" ht="17.25" customHeight="1">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row>
    <row r="7" spans="2:34" ht="17.25" customHeight="1">
      <c r="B7" s="13"/>
      <c r="C7" s="17"/>
      <c r="D7" s="13"/>
      <c r="E7" s="13"/>
      <c r="F7" s="13"/>
      <c r="G7" s="13"/>
      <c r="H7" s="13"/>
      <c r="I7" s="13"/>
      <c r="J7" s="13"/>
      <c r="K7" s="13"/>
      <c r="L7" s="13"/>
      <c r="M7" s="13"/>
      <c r="N7" s="13"/>
      <c r="O7" s="13"/>
      <c r="P7" s="13"/>
      <c r="Q7" s="13"/>
      <c r="R7" s="13"/>
      <c r="S7" s="13"/>
      <c r="T7" s="13"/>
      <c r="U7" s="13"/>
      <c r="V7" s="13"/>
      <c r="W7" s="13"/>
      <c r="X7" s="13"/>
      <c r="Y7" s="13"/>
      <c r="Z7" s="13"/>
      <c r="AA7" s="13"/>
      <c r="AB7" s="13"/>
      <c r="AC7" s="13"/>
      <c r="AD7" s="13"/>
      <c r="AE7" s="13"/>
      <c r="AF7" s="13"/>
      <c r="AG7" s="13"/>
      <c r="AH7" s="13"/>
    </row>
    <row r="8" spans="2:34" ht="17.25" customHeight="1">
      <c r="B8" s="13"/>
      <c r="C8" s="13"/>
      <c r="D8" s="13"/>
      <c r="F8" s="13"/>
      <c r="G8" s="13"/>
      <c r="H8" s="13"/>
      <c r="I8" s="13"/>
      <c r="J8" s="13"/>
      <c r="K8" s="13"/>
      <c r="L8" s="13"/>
      <c r="M8" s="13"/>
      <c r="N8" s="13"/>
      <c r="O8" s="13"/>
      <c r="P8" s="13"/>
      <c r="Q8" s="13"/>
      <c r="R8" s="13"/>
      <c r="S8" s="13"/>
      <c r="T8" s="13"/>
      <c r="U8" s="13"/>
      <c r="V8" s="13"/>
      <c r="W8" s="13"/>
      <c r="X8" s="13"/>
      <c r="Y8" s="13"/>
      <c r="Z8" s="13"/>
      <c r="AA8" s="13"/>
      <c r="AB8" s="13"/>
      <c r="AC8" s="13"/>
      <c r="AD8" s="13"/>
      <c r="AE8" s="13"/>
      <c r="AF8" s="13"/>
      <c r="AG8" s="13"/>
      <c r="AH8" s="13"/>
    </row>
    <row r="9" spans="2:34" ht="17.25" customHeight="1">
      <c r="B9" s="13"/>
      <c r="C9" s="13"/>
      <c r="D9" s="13"/>
      <c r="F9" s="13"/>
      <c r="G9" s="13"/>
      <c r="H9" s="13"/>
      <c r="I9" s="13"/>
      <c r="J9" s="13"/>
      <c r="K9" s="13"/>
      <c r="L9" s="13"/>
      <c r="M9" s="13"/>
      <c r="N9" s="13"/>
      <c r="O9" s="13"/>
      <c r="P9" s="13"/>
      <c r="Q9" s="13"/>
      <c r="R9" s="13"/>
      <c r="S9" s="13"/>
      <c r="T9" s="13"/>
      <c r="U9" s="13"/>
      <c r="V9" s="13"/>
      <c r="W9" s="13"/>
      <c r="X9" s="13"/>
      <c r="Y9" s="13"/>
      <c r="Z9" s="13"/>
      <c r="AA9" s="13"/>
      <c r="AB9" s="13"/>
      <c r="AC9" s="13"/>
      <c r="AD9" s="13"/>
      <c r="AE9" s="13"/>
      <c r="AF9" s="13"/>
      <c r="AG9" s="13"/>
      <c r="AH9" s="13"/>
    </row>
    <row r="10" spans="2:34" ht="17.25" customHeight="1">
      <c r="B10" s="13"/>
      <c r="C10" s="13"/>
      <c r="D10" s="13"/>
      <c r="E10" s="13"/>
      <c r="F10" s="13"/>
      <c r="G10" s="13"/>
      <c r="H10" s="13"/>
      <c r="I10" s="13"/>
      <c r="J10" s="13"/>
      <c r="K10" s="13"/>
      <c r="L10" s="13"/>
      <c r="M10" s="13"/>
      <c r="N10" s="13"/>
      <c r="O10" s="13"/>
      <c r="P10" s="13"/>
      <c r="Q10" s="13"/>
      <c r="R10" s="13"/>
      <c r="S10" s="13"/>
      <c r="T10" s="13"/>
      <c r="U10" s="13"/>
      <c r="V10" s="13"/>
      <c r="W10" s="13"/>
      <c r="X10" s="13"/>
      <c r="Y10" s="13"/>
      <c r="Z10" s="13"/>
      <c r="AA10" s="13"/>
      <c r="AB10" s="13"/>
      <c r="AC10" s="13"/>
      <c r="AD10" s="13"/>
      <c r="AE10" s="13"/>
      <c r="AF10" s="13"/>
      <c r="AG10" s="13"/>
      <c r="AH10" s="13"/>
    </row>
    <row r="11" spans="2:34" ht="17.25" customHeight="1">
      <c r="B11" s="13"/>
      <c r="C11" s="13"/>
      <c r="D11" s="13"/>
      <c r="E11" s="13"/>
      <c r="F11" s="13"/>
      <c r="G11" s="13"/>
      <c r="H11" s="13"/>
      <c r="I11" s="13"/>
      <c r="J11" s="13"/>
      <c r="K11" s="13"/>
      <c r="L11" s="13"/>
      <c r="M11" s="13"/>
      <c r="N11" s="13"/>
      <c r="O11" s="13"/>
      <c r="P11" s="13"/>
      <c r="Q11" s="13"/>
      <c r="R11" s="13"/>
      <c r="S11" s="13"/>
      <c r="T11" s="13"/>
      <c r="U11" s="13"/>
      <c r="V11" s="13"/>
      <c r="W11" s="13"/>
      <c r="X11" s="13"/>
      <c r="Y11" s="13"/>
      <c r="Z11" s="13"/>
      <c r="AA11" s="13"/>
      <c r="AB11" s="13"/>
      <c r="AC11" s="13"/>
      <c r="AD11" s="13"/>
      <c r="AE11" s="13"/>
      <c r="AF11" s="13"/>
      <c r="AG11" s="13"/>
      <c r="AH11" s="13"/>
    </row>
    <row r="12" spans="2:34" ht="17.25" customHeight="1">
      <c r="B12" s="13"/>
      <c r="C12" s="17"/>
      <c r="E12" s="13"/>
      <c r="F12" s="13"/>
      <c r="G12" s="13"/>
      <c r="H12" s="13"/>
      <c r="I12" s="13"/>
      <c r="J12" s="13"/>
      <c r="K12" s="13"/>
      <c r="L12" s="13"/>
      <c r="M12" s="13"/>
      <c r="N12" s="13"/>
      <c r="O12" s="13"/>
      <c r="P12" s="13"/>
      <c r="Q12" s="13"/>
      <c r="R12" s="13"/>
      <c r="S12" s="13"/>
      <c r="T12" s="13"/>
      <c r="U12" s="13"/>
      <c r="V12" s="13"/>
      <c r="W12" s="13"/>
      <c r="X12" s="13"/>
      <c r="Y12" s="13"/>
      <c r="Z12" s="13"/>
      <c r="AA12" s="13"/>
      <c r="AB12" s="13"/>
      <c r="AC12" s="13"/>
      <c r="AD12" s="13"/>
      <c r="AE12" s="13"/>
      <c r="AF12" s="13"/>
      <c r="AG12" s="13"/>
      <c r="AH12" s="13"/>
    </row>
    <row r="13" spans="2:34" ht="17.25" customHeight="1">
      <c r="B13" s="13"/>
      <c r="C13" s="42"/>
      <c r="D13" s="13"/>
      <c r="E13" s="13"/>
      <c r="F13" s="13"/>
      <c r="G13" s="13"/>
      <c r="H13" s="13"/>
      <c r="I13" s="13"/>
      <c r="J13" s="13"/>
      <c r="K13" s="13"/>
      <c r="L13" s="13"/>
      <c r="M13" s="13"/>
      <c r="N13" s="13"/>
      <c r="O13" s="13"/>
      <c r="P13" s="13"/>
      <c r="Q13" s="13"/>
      <c r="R13" s="13"/>
      <c r="S13" s="13"/>
      <c r="T13" s="13"/>
      <c r="U13" s="13"/>
      <c r="V13" s="13"/>
      <c r="W13" s="13"/>
      <c r="X13" s="13"/>
      <c r="Y13" s="13"/>
      <c r="Z13" s="13"/>
      <c r="AA13" s="13"/>
      <c r="AB13" s="13"/>
      <c r="AC13" s="13"/>
      <c r="AD13" s="13"/>
      <c r="AE13" s="13"/>
      <c r="AF13" s="13"/>
      <c r="AG13" s="13"/>
      <c r="AH13" s="13"/>
    </row>
    <row r="14" spans="2:34" ht="17.25" customHeight="1">
      <c r="B14" s="13"/>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row>
    <row r="15" spans="2:34" ht="17.25" customHeight="1">
      <c r="B15" s="13"/>
      <c r="C15" s="13"/>
      <c r="D15" s="13"/>
      <c r="E15" s="13"/>
      <c r="F15" s="13"/>
      <c r="G15" s="13"/>
      <c r="H15" s="13"/>
      <c r="I15" s="13"/>
      <c r="J15" s="13"/>
      <c r="K15" s="13"/>
      <c r="L15" s="13"/>
      <c r="M15" s="13"/>
      <c r="N15" s="13"/>
      <c r="O15" s="13"/>
      <c r="P15" s="13"/>
      <c r="Q15" s="13"/>
      <c r="R15" s="13"/>
      <c r="S15" s="13"/>
      <c r="T15" s="13"/>
      <c r="U15" s="13"/>
      <c r="V15" s="13"/>
      <c r="W15" s="13"/>
      <c r="X15" s="13"/>
      <c r="Y15" s="13"/>
      <c r="Z15" s="13"/>
      <c r="AA15" s="13"/>
      <c r="AB15" s="13"/>
      <c r="AC15" s="13"/>
      <c r="AD15" s="13"/>
      <c r="AE15" s="13"/>
      <c r="AF15" s="13"/>
      <c r="AG15" s="13"/>
      <c r="AH15" s="13"/>
    </row>
    <row r="16" spans="2:34" ht="17.25" customHeight="1">
      <c r="B16" s="13"/>
      <c r="C16" s="13"/>
      <c r="D16" s="13"/>
      <c r="E16" s="13"/>
      <c r="F16" s="13"/>
      <c r="G16" s="13"/>
      <c r="H16" s="13"/>
      <c r="I16" s="13"/>
      <c r="J16" s="13"/>
      <c r="K16" s="13"/>
      <c r="L16" s="13"/>
      <c r="M16" s="13"/>
      <c r="N16" s="13"/>
      <c r="O16" s="13"/>
      <c r="P16" s="13"/>
      <c r="Q16" s="13"/>
      <c r="R16" s="13"/>
      <c r="S16" s="13"/>
      <c r="T16" s="13"/>
      <c r="U16" s="13"/>
      <c r="V16" s="13"/>
      <c r="W16" s="13"/>
      <c r="X16" s="13"/>
      <c r="Y16" s="13"/>
      <c r="Z16" s="13"/>
      <c r="AA16" s="13"/>
      <c r="AB16" s="13"/>
      <c r="AC16" s="13"/>
      <c r="AD16" s="13"/>
      <c r="AE16" s="13"/>
      <c r="AF16" s="13"/>
      <c r="AG16" s="13"/>
      <c r="AH16" s="13"/>
    </row>
    <row r="17" spans="2:34" ht="17.25" customHeight="1">
      <c r="B17" s="13"/>
      <c r="C17" s="13"/>
      <c r="D17" s="13"/>
      <c r="E17" s="13"/>
      <c r="F17" s="13"/>
      <c r="G17" s="13"/>
      <c r="H17" s="13"/>
      <c r="I17" s="13"/>
      <c r="J17" s="13"/>
      <c r="K17" s="13"/>
      <c r="L17" s="13"/>
      <c r="M17" s="13"/>
      <c r="N17" s="13"/>
      <c r="O17" s="13"/>
      <c r="P17" s="13"/>
      <c r="Q17" s="13"/>
      <c r="R17" s="13"/>
      <c r="S17" s="13"/>
      <c r="T17" s="13"/>
      <c r="U17" s="13"/>
      <c r="V17" s="13"/>
      <c r="W17" s="13"/>
      <c r="X17" s="13"/>
      <c r="Y17" s="13"/>
      <c r="Z17" s="13"/>
      <c r="AA17" s="13"/>
      <c r="AB17" s="13"/>
      <c r="AC17" s="13"/>
      <c r="AD17" s="13"/>
      <c r="AE17" s="13"/>
      <c r="AF17" s="13"/>
      <c r="AG17" s="13"/>
      <c r="AH17" s="13"/>
    </row>
    <row r="18" spans="2:34" ht="17.25" customHeight="1">
      <c r="B18" s="13"/>
      <c r="C18" s="13"/>
      <c r="D18" s="13"/>
      <c r="E18" s="13"/>
      <c r="F18" s="13"/>
      <c r="G18" s="13"/>
      <c r="H18" s="13"/>
      <c r="I18" s="13"/>
      <c r="J18" s="13"/>
      <c r="K18" s="13"/>
      <c r="L18" s="13"/>
      <c r="M18" s="13"/>
      <c r="N18" s="13"/>
      <c r="O18" s="13"/>
      <c r="P18" s="13"/>
      <c r="Q18" s="13"/>
      <c r="R18" s="13"/>
      <c r="S18" s="13"/>
      <c r="T18" s="13"/>
      <c r="U18" s="13"/>
      <c r="V18" s="13"/>
      <c r="W18" s="13"/>
      <c r="X18" s="13"/>
      <c r="Y18" s="13"/>
      <c r="Z18" s="13"/>
      <c r="AA18" s="13"/>
      <c r="AB18" s="13"/>
      <c r="AC18" s="13"/>
      <c r="AD18" s="13"/>
      <c r="AE18" s="13"/>
      <c r="AF18" s="13"/>
      <c r="AG18" s="13"/>
      <c r="AH18" s="13"/>
    </row>
    <row r="19" spans="2:34" ht="17.25" customHeight="1">
      <c r="B19" s="13"/>
      <c r="C19" s="13"/>
      <c r="D19" s="13"/>
      <c r="E19" s="13"/>
      <c r="F19" s="13"/>
      <c r="G19" s="13"/>
      <c r="H19" s="13"/>
      <c r="I19" s="13"/>
      <c r="J19" s="13"/>
      <c r="K19" s="13"/>
      <c r="L19" s="13"/>
      <c r="M19" s="13"/>
      <c r="N19" s="13"/>
      <c r="O19" s="13"/>
      <c r="P19" s="13"/>
      <c r="Q19" s="13"/>
      <c r="R19" s="13"/>
      <c r="S19" s="13"/>
      <c r="T19" s="13"/>
      <c r="U19" s="13"/>
      <c r="V19" s="13"/>
      <c r="W19" s="13"/>
      <c r="X19" s="13"/>
      <c r="Y19" s="13"/>
      <c r="Z19" s="13"/>
      <c r="AA19" s="13"/>
      <c r="AB19" s="13"/>
      <c r="AC19" s="13"/>
      <c r="AD19" s="13"/>
      <c r="AE19" s="13"/>
      <c r="AF19" s="13"/>
      <c r="AG19" s="13"/>
      <c r="AH19" s="13"/>
    </row>
    <row r="20" spans="2:34" ht="17.25" customHeight="1">
      <c r="B20" s="13"/>
      <c r="C20" s="13"/>
      <c r="D20" s="13"/>
      <c r="E20" s="13"/>
      <c r="F20" s="13"/>
      <c r="G20" s="13"/>
      <c r="H20" s="13"/>
      <c r="I20" s="13"/>
      <c r="J20" s="13"/>
      <c r="K20" s="13"/>
      <c r="L20" s="13"/>
      <c r="M20" s="13"/>
      <c r="N20" s="13"/>
      <c r="O20" s="13"/>
      <c r="P20" s="13"/>
      <c r="Q20" s="13"/>
      <c r="R20" s="13"/>
      <c r="S20" s="13"/>
      <c r="T20" s="13"/>
      <c r="U20" s="13"/>
      <c r="V20" s="13"/>
      <c r="W20" s="13"/>
      <c r="X20" s="13"/>
      <c r="Y20" s="13"/>
      <c r="Z20" s="13"/>
      <c r="AA20" s="13"/>
      <c r="AB20" s="13"/>
      <c r="AC20" s="13"/>
      <c r="AD20" s="13"/>
      <c r="AE20" s="13"/>
      <c r="AF20" s="13"/>
      <c r="AG20" s="13"/>
      <c r="AH20" s="13"/>
    </row>
    <row r="21" spans="2:34" ht="17.25" customHeight="1">
      <c r="B21" s="13"/>
      <c r="C21" s="13"/>
      <c r="D21" s="13"/>
      <c r="E21" s="13"/>
      <c r="F21" s="13"/>
      <c r="G21" s="13"/>
      <c r="H21" s="13"/>
      <c r="I21" s="13"/>
      <c r="J21" s="13"/>
      <c r="K21" s="13"/>
      <c r="L21" s="13"/>
      <c r="M21" s="13"/>
      <c r="N21" s="13"/>
      <c r="O21" s="13"/>
      <c r="P21" s="13"/>
      <c r="Q21" s="13"/>
      <c r="R21" s="13"/>
      <c r="S21" s="13"/>
      <c r="T21" s="13"/>
      <c r="U21" s="13"/>
      <c r="V21" s="13"/>
      <c r="W21" s="13"/>
      <c r="X21" s="13"/>
      <c r="Y21" s="13"/>
      <c r="Z21" s="13"/>
      <c r="AA21" s="13"/>
      <c r="AB21" s="13"/>
      <c r="AC21" s="13"/>
      <c r="AD21" s="13"/>
      <c r="AE21" s="13"/>
      <c r="AF21" s="13"/>
      <c r="AG21" s="13"/>
      <c r="AH21" s="13"/>
    </row>
    <row r="22" spans="2:34" ht="17.25" customHeight="1">
      <c r="B22" s="13"/>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3"/>
    </row>
    <row r="23" spans="2:34" ht="17.25" customHeight="1">
      <c r="B23" s="13"/>
      <c r="C23" s="13"/>
      <c r="D23" s="13"/>
      <c r="E23" s="13"/>
      <c r="F23" s="13"/>
      <c r="G23" s="13"/>
      <c r="H23" s="13"/>
      <c r="I23" s="13"/>
      <c r="J23" s="13"/>
      <c r="K23" s="13"/>
      <c r="L23" s="13"/>
      <c r="M23" s="13"/>
      <c r="N23" s="13"/>
      <c r="O23" s="13"/>
      <c r="P23" s="13"/>
      <c r="Q23" s="13"/>
      <c r="R23" s="13"/>
      <c r="S23" s="13"/>
      <c r="T23" s="13"/>
      <c r="U23" s="13"/>
      <c r="V23" s="13"/>
      <c r="W23" s="13"/>
      <c r="X23" s="13"/>
      <c r="Y23" s="13"/>
      <c r="Z23" s="13"/>
      <c r="AA23" s="13"/>
      <c r="AB23" s="13"/>
      <c r="AC23" s="13"/>
      <c r="AD23" s="13"/>
      <c r="AE23" s="13"/>
      <c r="AF23" s="13"/>
      <c r="AG23" s="13"/>
      <c r="AH23" s="13"/>
    </row>
    <row r="24" spans="2:34" ht="17.25" customHeight="1">
      <c r="B24" s="13"/>
      <c r="C24" s="13"/>
      <c r="D24" s="13"/>
      <c r="E24" s="13"/>
      <c r="F24" s="13"/>
      <c r="G24" s="13"/>
      <c r="H24" s="13"/>
      <c r="I24" s="13"/>
      <c r="J24" s="13"/>
      <c r="K24" s="13"/>
      <c r="L24" s="13"/>
      <c r="M24" s="13"/>
      <c r="N24" s="13"/>
      <c r="O24" s="13"/>
      <c r="P24" s="13"/>
      <c r="Q24" s="13"/>
      <c r="R24" s="13"/>
      <c r="S24" s="13"/>
      <c r="T24" s="13"/>
      <c r="U24" s="13"/>
      <c r="V24" s="13"/>
      <c r="W24" s="13"/>
      <c r="X24" s="13"/>
      <c r="Y24" s="13"/>
      <c r="Z24" s="13"/>
      <c r="AA24" s="13"/>
      <c r="AB24" s="13"/>
      <c r="AC24" s="13"/>
      <c r="AD24" s="13"/>
      <c r="AE24" s="13"/>
      <c r="AF24" s="13"/>
      <c r="AG24" s="13"/>
      <c r="AH24" s="13"/>
    </row>
    <row r="25" spans="2:34" ht="17.25" customHeight="1">
      <c r="B25" s="13"/>
      <c r="C25" s="13"/>
      <c r="D25" s="13"/>
      <c r="E25" s="13"/>
      <c r="F25" s="13"/>
      <c r="G25" s="13"/>
      <c r="H25" s="13"/>
      <c r="I25" s="13"/>
      <c r="J25" s="13"/>
      <c r="K25" s="13"/>
      <c r="L25" s="13"/>
      <c r="M25" s="13"/>
      <c r="N25" s="13"/>
      <c r="O25" s="13"/>
      <c r="P25" s="13"/>
      <c r="Q25" s="13"/>
      <c r="R25" s="13"/>
      <c r="S25" s="13"/>
      <c r="T25" s="13"/>
      <c r="U25" s="13"/>
      <c r="V25" s="13"/>
      <c r="W25" s="13"/>
      <c r="X25" s="13"/>
      <c r="Y25" s="13"/>
      <c r="Z25" s="13"/>
      <c r="AA25" s="13"/>
      <c r="AB25" s="13"/>
      <c r="AC25" s="13"/>
      <c r="AD25" s="13"/>
      <c r="AE25" s="13"/>
      <c r="AF25" s="13"/>
      <c r="AG25" s="13"/>
      <c r="AH25" s="13"/>
    </row>
    <row r="26" spans="2:34" ht="17.25" customHeight="1">
      <c r="B26" s="13"/>
      <c r="C26" s="13"/>
      <c r="D26" s="13"/>
      <c r="E26" s="13"/>
      <c r="F26" s="13"/>
      <c r="G26" s="13"/>
      <c r="H26" s="13"/>
      <c r="I26" s="13"/>
      <c r="J26" s="13"/>
      <c r="K26" s="13"/>
      <c r="L26" s="13"/>
      <c r="M26" s="13"/>
      <c r="N26" s="13"/>
      <c r="O26" s="13"/>
      <c r="P26" s="13"/>
      <c r="Q26" s="13"/>
      <c r="R26" s="13"/>
      <c r="S26" s="13"/>
      <c r="T26" s="13"/>
      <c r="U26" s="13"/>
      <c r="V26" s="13"/>
      <c r="W26" s="13"/>
      <c r="X26" s="13"/>
      <c r="Y26" s="13"/>
      <c r="Z26" s="13"/>
      <c r="AA26" s="13"/>
      <c r="AB26" s="13"/>
      <c r="AC26" s="13"/>
      <c r="AD26" s="13"/>
      <c r="AE26" s="13"/>
      <c r="AF26" s="13"/>
      <c r="AG26" s="13"/>
      <c r="AH26" s="13"/>
    </row>
    <row r="27" spans="2:34" ht="17.25" hidden="1" customHeight="1">
      <c r="B27" s="13"/>
      <c r="C27" s="13"/>
      <c r="D27" s="13"/>
      <c r="E27" s="13"/>
      <c r="F27" s="13"/>
      <c r="G27" s="13"/>
      <c r="H27" s="13"/>
      <c r="I27" s="13"/>
      <c r="J27" s="13"/>
      <c r="K27" s="13"/>
      <c r="L27" s="13"/>
      <c r="M27" s="13"/>
      <c r="N27" s="13"/>
      <c r="O27" s="13"/>
      <c r="P27" s="13"/>
      <c r="Q27" s="13"/>
      <c r="R27" s="13"/>
      <c r="S27" s="13"/>
      <c r="T27" s="13"/>
      <c r="U27" s="13"/>
      <c r="V27" s="13"/>
      <c r="W27" s="13"/>
      <c r="X27" s="13"/>
      <c r="Y27" s="13"/>
      <c r="Z27" s="13"/>
      <c r="AA27" s="13"/>
      <c r="AB27" s="13"/>
      <c r="AC27" s="13"/>
      <c r="AD27" s="13"/>
      <c r="AE27" s="13"/>
      <c r="AF27" s="13"/>
      <c r="AG27" s="13"/>
      <c r="AH27" s="13"/>
    </row>
    <row r="28" spans="2:34" ht="17.25" hidden="1" customHeight="1">
      <c r="B28" s="13"/>
      <c r="C28" s="13"/>
      <c r="D28" s="13"/>
      <c r="E28" s="13"/>
      <c r="F28" s="13"/>
      <c r="G28" s="13"/>
      <c r="H28" s="13"/>
      <c r="I28" s="13"/>
      <c r="J28" s="13"/>
      <c r="K28" s="13"/>
      <c r="L28" s="13"/>
      <c r="M28" s="13"/>
      <c r="N28" s="13"/>
      <c r="O28" s="13"/>
      <c r="P28" s="13"/>
      <c r="Q28" s="13"/>
      <c r="R28" s="13"/>
      <c r="S28" s="13"/>
      <c r="T28" s="13"/>
      <c r="U28" s="13"/>
      <c r="V28" s="13"/>
      <c r="W28" s="13"/>
      <c r="X28" s="13"/>
      <c r="Y28" s="13"/>
      <c r="Z28" s="13"/>
      <c r="AA28" s="13"/>
      <c r="AB28" s="13"/>
      <c r="AC28" s="13"/>
      <c r="AD28" s="13"/>
      <c r="AE28" s="13"/>
      <c r="AF28" s="13"/>
      <c r="AG28" s="13"/>
      <c r="AH28" s="13"/>
    </row>
    <row r="29" spans="2:34" ht="17.25" hidden="1" customHeight="1">
      <c r="B29" s="13"/>
      <c r="C29" s="13"/>
      <c r="D29" s="13"/>
      <c r="E29" s="13"/>
      <c r="F29" s="13"/>
      <c r="G29" s="13"/>
      <c r="H29" s="13"/>
      <c r="I29" s="13"/>
      <c r="J29" s="13"/>
      <c r="K29" s="13"/>
      <c r="L29" s="13"/>
      <c r="M29" s="13"/>
      <c r="N29" s="13"/>
      <c r="O29" s="13"/>
      <c r="P29" s="13"/>
      <c r="Q29" s="13"/>
      <c r="R29" s="13"/>
      <c r="S29" s="13"/>
      <c r="T29" s="13"/>
      <c r="U29" s="13"/>
      <c r="V29" s="13"/>
      <c r="W29" s="13"/>
      <c r="X29" s="13"/>
      <c r="Y29" s="13"/>
      <c r="Z29" s="13"/>
      <c r="AA29" s="13"/>
      <c r="AB29" s="13"/>
      <c r="AC29" s="13"/>
      <c r="AD29" s="13"/>
      <c r="AE29" s="13"/>
      <c r="AF29" s="13"/>
      <c r="AG29" s="13"/>
      <c r="AH29" s="13"/>
    </row>
    <row r="30" spans="2:34" ht="13.5" hidden="1" customHeight="1"/>
    <row r="31" spans="2:34" ht="13.5" hidden="1" customHeight="1"/>
    <row r="32" spans="2:34" ht="13.5" hidden="1"/>
    <row r="33" ht="13.5" hidden="1"/>
    <row r="34" ht="13.5" hidden="1"/>
    <row r="35" ht="13.5" hidden="1"/>
    <row r="36" ht="13.5" hidden="1"/>
    <row r="37" ht="13.5" hidden="1"/>
    <row r="38" ht="13.5" hidden="1"/>
    <row r="39" ht="12.6" hidden="1" customHeight="1"/>
    <row r="40" ht="12.6" hidden="1" customHeight="1"/>
    <row r="41" ht="12.6" hidden="1" customHeight="1"/>
    <row r="42" ht="12.6" hidden="1" customHeight="1"/>
    <row r="43" ht="12.6" hidden="1" customHeight="1"/>
    <row r="44" ht="12.6" hidden="1" customHeight="1"/>
  </sheetData>
  <pageMargins left="0.7" right="0.7" top="0.75" bottom="0.75" header="0.3" footer="0.3"/>
  <pageSetup paperSize="9" scale="62"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66"/>
  <sheetViews>
    <sheetView showGridLines="0" topLeftCell="A10" zoomScale="85" zoomScaleNormal="85" workbookViewId="0">
      <selection activeCell="J5" sqref="J5"/>
    </sheetView>
  </sheetViews>
  <sheetFormatPr defaultColWidth="0" defaultRowHeight="0" customHeight="1" zeroHeight="1"/>
  <cols>
    <col min="1" max="2" width="4.140625" customWidth="1"/>
    <col min="3" max="3" width="3.85546875" customWidth="1"/>
    <col min="4" max="4" width="17" bestFit="1" customWidth="1"/>
    <col min="5" max="6" width="13" customWidth="1"/>
    <col min="7" max="7" width="11.140625" bestFit="1" customWidth="1"/>
    <col min="8" max="8" width="10.140625" bestFit="1" customWidth="1"/>
    <col min="9" max="10" width="8.85546875" customWidth="1"/>
    <col min="11" max="11" width="10.140625" bestFit="1" customWidth="1"/>
    <col min="12" max="12" width="8" customWidth="1"/>
    <col min="13" max="13" width="8.85546875" bestFit="1" customWidth="1"/>
    <col min="14" max="16" width="8" customWidth="1"/>
    <col min="17" max="17" width="10.140625" bestFit="1" customWidth="1"/>
    <col min="18" max="18" width="12" bestFit="1" customWidth="1"/>
    <col min="19" max="19" width="11.5703125" bestFit="1" customWidth="1"/>
    <col min="20" max="20" width="10.42578125" bestFit="1" customWidth="1"/>
    <col min="21" max="21" width="11.5703125" bestFit="1" customWidth="1"/>
    <col min="22" max="22" width="11.85546875" bestFit="1" customWidth="1"/>
    <col min="23" max="23" width="9.140625" bestFit="1" customWidth="1"/>
    <col min="24" max="24" width="8.85546875" bestFit="1" customWidth="1"/>
    <col min="25" max="25" width="8.85546875" customWidth="1"/>
    <col min="26" max="26" width="9" bestFit="1" customWidth="1"/>
    <col min="27" max="27" width="7.85546875" customWidth="1"/>
    <col min="28" max="28" width="12.140625" bestFit="1" customWidth="1"/>
    <col min="29" max="29" width="13.42578125" bestFit="1" customWidth="1"/>
    <col min="30" max="30" width="13.140625" bestFit="1" customWidth="1"/>
    <col min="31" max="31" width="12.85546875" bestFit="1" customWidth="1"/>
    <col min="32" max="32" width="15.42578125" bestFit="1" customWidth="1"/>
    <col min="33" max="33" width="11.140625" customWidth="1"/>
    <col min="34" max="34" width="3.42578125" customWidth="1"/>
    <col min="35" max="16384" width="8.85546875" hidden="1"/>
  </cols>
  <sheetData>
    <row r="1" spans="1:34" ht="15">
      <c r="A1" s="9"/>
      <c r="B1" s="9"/>
      <c r="C1" s="9"/>
      <c r="D1" s="9"/>
      <c r="E1" s="9"/>
      <c r="F1" s="9"/>
      <c r="G1" s="9"/>
      <c r="H1" s="9"/>
      <c r="I1" s="9"/>
      <c r="J1" s="9"/>
      <c r="K1" s="9"/>
      <c r="L1" s="9"/>
      <c r="M1" s="9"/>
      <c r="N1" s="9"/>
      <c r="O1" s="9"/>
      <c r="P1" s="9"/>
      <c r="Q1" s="9"/>
      <c r="R1" s="9"/>
      <c r="S1" s="9"/>
      <c r="T1" s="9"/>
      <c r="U1" s="9"/>
      <c r="V1" s="9"/>
      <c r="W1" s="9"/>
      <c r="X1" s="9"/>
      <c r="Y1" s="9"/>
      <c r="Z1" s="9"/>
      <c r="AA1" s="9"/>
      <c r="AB1" s="9"/>
      <c r="AC1" s="9"/>
      <c r="AD1" s="9"/>
      <c r="AE1" s="9"/>
      <c r="AF1" s="9"/>
      <c r="AG1" s="9"/>
      <c r="AH1" s="9"/>
    </row>
    <row r="2" spans="1:34" ht="31.35" customHeight="1" thickBot="1">
      <c r="A2" s="9"/>
      <c r="B2" s="8" t="s">
        <v>6</v>
      </c>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4"/>
      <c r="AH2" s="9"/>
    </row>
    <row r="3" spans="1:34" ht="15">
      <c r="A3" s="9"/>
      <c r="B3" s="10"/>
      <c r="C3" s="24"/>
      <c r="D3" s="24"/>
      <c r="E3" s="24"/>
      <c r="F3" s="24"/>
      <c r="G3" s="24"/>
      <c r="H3" s="24"/>
      <c r="I3" s="24"/>
      <c r="J3" s="24"/>
      <c r="K3" s="24"/>
      <c r="L3" s="24"/>
      <c r="M3" s="24"/>
      <c r="N3" s="24"/>
      <c r="O3" s="24"/>
      <c r="P3" s="24"/>
      <c r="Q3" s="24"/>
      <c r="R3" s="24"/>
      <c r="S3" s="24"/>
      <c r="T3" s="24"/>
      <c r="U3" s="24"/>
      <c r="V3" s="24"/>
      <c r="W3" s="24"/>
      <c r="X3" s="24"/>
      <c r="Y3" s="24"/>
      <c r="Z3" s="24"/>
      <c r="AA3" s="24"/>
      <c r="AB3" s="24"/>
      <c r="AC3" s="24"/>
      <c r="AD3" s="24"/>
      <c r="AE3" s="24"/>
      <c r="AF3" s="25">
        <v>45596</v>
      </c>
      <c r="AG3" s="25"/>
      <c r="AH3" s="9"/>
    </row>
    <row r="4" spans="1:34" ht="15.75">
      <c r="A4" s="9"/>
      <c r="B4" s="11" t="s">
        <v>7</v>
      </c>
      <c r="C4" s="26"/>
      <c r="D4" s="93" t="s">
        <v>24</v>
      </c>
      <c r="E4" s="134" t="s">
        <v>127</v>
      </c>
      <c r="F4" s="134"/>
      <c r="G4" s="24"/>
      <c r="H4" s="24"/>
      <c r="I4" s="24"/>
      <c r="J4" s="24"/>
      <c r="K4" s="24"/>
      <c r="L4" s="24"/>
      <c r="M4" s="24"/>
      <c r="N4" s="24"/>
      <c r="O4" s="24"/>
      <c r="P4" s="24"/>
      <c r="Q4" s="24"/>
      <c r="R4" s="24"/>
      <c r="S4" s="24"/>
      <c r="T4" s="24"/>
      <c r="U4" s="24"/>
      <c r="V4" s="24"/>
      <c r="W4" s="24"/>
      <c r="X4" s="24"/>
      <c r="Y4" s="24"/>
      <c r="Z4" s="24"/>
      <c r="AA4" s="24"/>
      <c r="AB4" s="24"/>
      <c r="AC4" s="24"/>
      <c r="AD4" s="24"/>
      <c r="AE4" s="24"/>
      <c r="AF4" s="24"/>
      <c r="AG4" s="24"/>
      <c r="AH4" s="9"/>
    </row>
    <row r="5" spans="1:34" ht="15">
      <c r="A5" s="9"/>
      <c r="B5" s="10"/>
      <c r="C5" s="24"/>
      <c r="D5" s="24"/>
      <c r="E5" s="24"/>
      <c r="F5" s="24"/>
      <c r="G5" s="24"/>
      <c r="H5" s="24"/>
      <c r="I5" s="24"/>
      <c r="J5" s="24"/>
      <c r="K5" s="24"/>
      <c r="L5" s="24"/>
      <c r="M5" s="24"/>
      <c r="N5" s="24"/>
      <c r="O5" s="24"/>
      <c r="P5" s="24"/>
      <c r="Q5" s="24"/>
      <c r="R5" s="24"/>
      <c r="S5" s="24"/>
      <c r="T5" s="24"/>
      <c r="U5" s="24"/>
      <c r="V5" s="24"/>
      <c r="W5" s="24"/>
      <c r="X5" s="24"/>
      <c r="Y5" s="24"/>
      <c r="Z5" s="24"/>
      <c r="AA5" s="24"/>
      <c r="AB5" s="24"/>
      <c r="AC5" s="24"/>
      <c r="AD5" s="24"/>
      <c r="AE5" s="24"/>
      <c r="AF5" s="24"/>
      <c r="AG5" s="24"/>
      <c r="AH5" s="9"/>
    </row>
    <row r="6" spans="1:34" ht="15">
      <c r="A6" s="9"/>
      <c r="B6" s="10"/>
      <c r="C6" s="24"/>
      <c r="D6" s="24"/>
      <c r="E6" s="24"/>
      <c r="F6" s="24"/>
      <c r="G6" s="24"/>
      <c r="H6" s="24"/>
      <c r="I6" s="24"/>
      <c r="J6" s="24"/>
      <c r="K6" s="24"/>
      <c r="L6" s="24"/>
      <c r="M6" s="24"/>
      <c r="N6" s="24"/>
      <c r="O6" s="24"/>
      <c r="P6" s="24"/>
      <c r="Q6" s="24"/>
      <c r="R6" s="24"/>
      <c r="S6" s="24"/>
      <c r="T6" s="24"/>
      <c r="U6" s="24"/>
      <c r="V6" s="24"/>
      <c r="W6" s="24"/>
      <c r="X6" s="24"/>
      <c r="Y6" s="24"/>
      <c r="Z6" s="24"/>
      <c r="AA6" s="24"/>
      <c r="AB6" s="24"/>
      <c r="AC6" s="24"/>
      <c r="AD6" s="24"/>
      <c r="AE6" s="24"/>
      <c r="AF6" s="24"/>
      <c r="AG6" s="24"/>
      <c r="AH6" s="9"/>
    </row>
    <row r="7" spans="1:34" ht="15">
      <c r="A7" s="9"/>
      <c r="B7" s="10"/>
      <c r="C7" s="86" t="s">
        <v>62</v>
      </c>
      <c r="D7" s="24"/>
      <c r="E7" s="24"/>
      <c r="F7" s="24"/>
      <c r="G7" s="24"/>
      <c r="H7" s="24"/>
      <c r="I7" s="24"/>
      <c r="J7" s="24"/>
      <c r="K7" s="24"/>
      <c r="L7" s="24"/>
      <c r="M7" s="24"/>
      <c r="N7" s="24"/>
      <c r="O7" s="24"/>
      <c r="P7" s="24"/>
      <c r="Q7" s="24"/>
      <c r="R7" s="24"/>
      <c r="S7" s="24"/>
      <c r="T7" s="24"/>
      <c r="U7" s="24"/>
      <c r="V7" s="24"/>
      <c r="W7" s="24"/>
      <c r="X7" s="24"/>
      <c r="Y7" s="24"/>
      <c r="Z7" s="24"/>
      <c r="AA7" s="24"/>
      <c r="AB7" s="24"/>
      <c r="AC7" s="24"/>
      <c r="AD7" s="24"/>
      <c r="AE7" s="24"/>
      <c r="AF7" s="24"/>
      <c r="AG7" s="24"/>
      <c r="AH7" s="9"/>
    </row>
    <row r="8" spans="1:34" ht="15">
      <c r="A8" s="9"/>
      <c r="B8" s="10"/>
      <c r="C8" s="24"/>
      <c r="D8" s="24"/>
      <c r="E8" s="24"/>
      <c r="F8" s="24"/>
      <c r="G8" s="24"/>
      <c r="H8" s="24"/>
      <c r="I8" s="24"/>
      <c r="J8" s="24"/>
      <c r="K8" s="24"/>
      <c r="L8" s="24"/>
      <c r="M8" s="24"/>
      <c r="N8" s="24"/>
      <c r="O8" s="24"/>
      <c r="P8" s="24"/>
      <c r="Q8" s="24"/>
      <c r="R8" s="24"/>
      <c r="S8" s="24"/>
      <c r="T8" s="24"/>
      <c r="U8" s="24"/>
      <c r="V8" s="24"/>
      <c r="W8" s="24"/>
      <c r="X8" s="24"/>
      <c r="Y8" s="24"/>
      <c r="Z8" s="24"/>
      <c r="AA8" s="24"/>
      <c r="AB8" s="24"/>
      <c r="AC8" s="24"/>
      <c r="AD8" s="24"/>
      <c r="AE8" s="24"/>
      <c r="AF8" s="24"/>
      <c r="AG8" s="24"/>
      <c r="AH8" s="9"/>
    </row>
    <row r="9" spans="1:34" s="124" customFormat="1" ht="15" customHeight="1">
      <c r="A9" s="123"/>
      <c r="C9" s="27" t="s">
        <v>7</v>
      </c>
      <c r="D9" s="28"/>
      <c r="E9" s="28"/>
      <c r="F9" s="155" t="str">
        <f>D4</f>
        <v>October</v>
      </c>
      <c r="G9" s="155"/>
      <c r="H9" s="155"/>
      <c r="I9" s="155"/>
      <c r="J9" s="155"/>
      <c r="K9" s="155"/>
      <c r="L9" s="155"/>
      <c r="M9" s="155"/>
      <c r="N9" s="155"/>
      <c r="O9" s="155"/>
      <c r="P9" s="156"/>
      <c r="Q9" s="157" t="str">
        <f>"January to "&amp; D4</f>
        <v>January to October</v>
      </c>
      <c r="R9" s="158"/>
      <c r="S9" s="158"/>
      <c r="T9" s="158"/>
      <c r="U9" s="158"/>
      <c r="V9" s="158"/>
      <c r="W9" s="158"/>
      <c r="X9" s="158"/>
      <c r="Y9" s="158"/>
      <c r="Z9" s="158"/>
      <c r="AA9" s="159"/>
      <c r="AB9" s="157" t="s">
        <v>57</v>
      </c>
      <c r="AC9" s="158"/>
      <c r="AD9" s="158"/>
      <c r="AE9" s="158"/>
      <c r="AF9" s="160"/>
      <c r="AG9" s="123"/>
      <c r="AH9" s="123"/>
    </row>
    <row r="10" spans="1:34" s="124" customFormat="1" ht="13.5">
      <c r="A10" s="123"/>
      <c r="B10" s="125"/>
      <c r="C10" s="29"/>
      <c r="D10" s="30"/>
      <c r="E10" s="30"/>
      <c r="F10" s="152"/>
      <c r="G10" s="153"/>
      <c r="H10" s="153"/>
      <c r="I10" s="153"/>
      <c r="J10" s="153"/>
      <c r="K10" s="153"/>
      <c r="L10" s="153"/>
      <c r="M10" s="153"/>
      <c r="N10" s="153"/>
      <c r="O10" s="153"/>
      <c r="P10" s="154"/>
      <c r="Q10" s="152"/>
      <c r="R10" s="153"/>
      <c r="S10" s="153"/>
      <c r="T10" s="153"/>
      <c r="U10" s="153"/>
      <c r="V10" s="153"/>
      <c r="W10" s="153"/>
      <c r="X10" s="153"/>
      <c r="Y10" s="153"/>
      <c r="Z10" s="153"/>
      <c r="AA10" s="154"/>
      <c r="AB10" s="30"/>
      <c r="AC10" s="30"/>
      <c r="AD10" s="30"/>
      <c r="AE10" s="30"/>
      <c r="AF10" s="56"/>
      <c r="AG10" s="123"/>
      <c r="AH10" s="123"/>
    </row>
    <row r="11" spans="1:34" s="124" customFormat="1" ht="26.1" customHeight="1">
      <c r="A11" s="126"/>
      <c r="B11" s="127"/>
      <c r="C11" s="59" t="s">
        <v>29</v>
      </c>
      <c r="D11" s="50"/>
      <c r="E11" s="51"/>
      <c r="F11" s="55">
        <v>2024</v>
      </c>
      <c r="G11" s="52">
        <v>2023</v>
      </c>
      <c r="H11" s="52">
        <v>2022</v>
      </c>
      <c r="I11" s="52">
        <v>2021</v>
      </c>
      <c r="J11" s="52">
        <v>2020</v>
      </c>
      <c r="K11" s="52">
        <v>2019</v>
      </c>
      <c r="L11" s="53" t="s">
        <v>116</v>
      </c>
      <c r="M11" s="53" t="s">
        <v>117</v>
      </c>
      <c r="N11" s="53" t="s">
        <v>118</v>
      </c>
      <c r="O11" s="53" t="s">
        <v>119</v>
      </c>
      <c r="P11" s="57" t="s">
        <v>101</v>
      </c>
      <c r="Q11" s="53">
        <v>2024</v>
      </c>
      <c r="R11" s="53">
        <v>2023</v>
      </c>
      <c r="S11" s="53">
        <v>2022</v>
      </c>
      <c r="T11" s="52">
        <v>2021</v>
      </c>
      <c r="U11" s="52">
        <v>2020</v>
      </c>
      <c r="V11" s="52">
        <v>2019</v>
      </c>
      <c r="W11" s="53" t="s">
        <v>116</v>
      </c>
      <c r="X11" s="53" t="s">
        <v>117</v>
      </c>
      <c r="Y11" s="53" t="s">
        <v>118</v>
      </c>
      <c r="Z11" s="53" t="s">
        <v>119</v>
      </c>
      <c r="AA11" s="57" t="s">
        <v>101</v>
      </c>
      <c r="AB11" s="53">
        <v>2023</v>
      </c>
      <c r="AC11" s="53">
        <v>2022</v>
      </c>
      <c r="AD11" s="53">
        <v>2021</v>
      </c>
      <c r="AE11" s="52">
        <v>2020</v>
      </c>
      <c r="AF11" s="77">
        <v>2019</v>
      </c>
      <c r="AG11" s="126"/>
      <c r="AH11" s="126"/>
    </row>
    <row r="12" spans="1:34" s="124" customFormat="1" ht="12.75">
      <c r="A12" s="123"/>
      <c r="B12" s="128"/>
      <c r="C12" s="31" t="s">
        <v>108</v>
      </c>
      <c r="D12" s="26"/>
      <c r="E12" s="32"/>
      <c r="F12" s="26"/>
      <c r="G12" s="26"/>
      <c r="H12" s="26"/>
      <c r="I12" s="26"/>
      <c r="J12" s="26"/>
      <c r="K12" s="26"/>
      <c r="L12" s="26"/>
      <c r="M12" s="26"/>
      <c r="N12" s="26"/>
      <c r="O12" s="26"/>
      <c r="P12" s="32"/>
      <c r="Q12" s="26"/>
      <c r="R12" s="26"/>
      <c r="S12" s="26"/>
      <c r="T12" s="26"/>
      <c r="U12" s="26"/>
      <c r="V12" s="26"/>
      <c r="W12" s="26"/>
      <c r="X12" s="26"/>
      <c r="Y12" s="26"/>
      <c r="Z12" s="26"/>
      <c r="AA12" s="32"/>
      <c r="AB12" s="26"/>
      <c r="AC12" s="26"/>
      <c r="AD12" s="26"/>
      <c r="AE12" s="26"/>
      <c r="AF12" s="32"/>
      <c r="AG12" s="123"/>
      <c r="AH12" s="123"/>
    </row>
    <row r="13" spans="1:34" s="124" customFormat="1" ht="12.75">
      <c r="A13" s="123"/>
      <c r="B13" s="128"/>
      <c r="C13" s="33"/>
      <c r="D13" s="26" t="s">
        <v>5</v>
      </c>
      <c r="E13" s="32"/>
      <c r="F13" s="71">
        <v>155</v>
      </c>
      <c r="G13" s="73">
        <v>81</v>
      </c>
      <c r="H13" s="73">
        <v>78</v>
      </c>
      <c r="I13" s="73">
        <v>89</v>
      </c>
      <c r="J13" s="73">
        <v>0</v>
      </c>
      <c r="K13" s="73">
        <v>110</v>
      </c>
      <c r="L13" s="64">
        <f>IFERROR(F13/G13-1,"n/a")</f>
        <v>0.91358024691358031</v>
      </c>
      <c r="M13" s="64">
        <f>IFERROR(F13/H13-1,"n/a")</f>
        <v>0.98717948717948723</v>
      </c>
      <c r="N13" s="64">
        <f>IFERROR(F13/I13-1,"n/a")</f>
        <v>0.7415730337078652</v>
      </c>
      <c r="O13" s="64" t="str">
        <f>IFERROR(F13/J13-1,"n/a")</f>
        <v>n/a</v>
      </c>
      <c r="P13" s="60">
        <f>IFERROR(F13/K13-1,"n/a")</f>
        <v>0.40909090909090917</v>
      </c>
      <c r="Q13" s="68">
        <f>'Sep-24'!Q13+F13</f>
        <v>1809</v>
      </c>
      <c r="R13" s="68">
        <f>'Sep-24'!R13+G13</f>
        <v>1236</v>
      </c>
      <c r="S13" s="68">
        <f>'Sep-24'!S13+H13</f>
        <v>1151</v>
      </c>
      <c r="T13" s="68">
        <f>'Sep-24'!T13+I13</f>
        <v>228</v>
      </c>
      <c r="U13" s="68">
        <f>'Sep-24'!U13+J13</f>
        <v>551</v>
      </c>
      <c r="V13" s="68">
        <f>'Sep-24'!V13+K13</f>
        <v>1212</v>
      </c>
      <c r="W13" s="64">
        <f>IFERROR(Q13/R13-1,"n/a")</f>
        <v>0.46359223300970864</v>
      </c>
      <c r="X13" s="64">
        <f>IFERROR(Q13/S13-1,"n/a")</f>
        <v>0.57167680278019106</v>
      </c>
      <c r="Y13" s="64">
        <f>IFERROR(Q13/T13-1,"n/a")</f>
        <v>6.9342105263157894</v>
      </c>
      <c r="Z13" s="64">
        <f>IFERROR(Q13/U13-1,"n/a")</f>
        <v>2.2831215970961889</v>
      </c>
      <c r="AA13" s="60">
        <f>IFERROR(Q13/V13-1,"n/a")</f>
        <v>0.49257425742574257</v>
      </c>
      <c r="AB13" s="68">
        <v>1630</v>
      </c>
      <c r="AC13" s="68">
        <v>1486</v>
      </c>
      <c r="AD13" s="68">
        <v>522</v>
      </c>
      <c r="AE13" s="68">
        <v>551</v>
      </c>
      <c r="AF13" s="135">
        <v>1591</v>
      </c>
      <c r="AG13" s="123"/>
      <c r="AH13" s="123"/>
    </row>
    <row r="14" spans="1:34" s="124" customFormat="1" ht="12.75">
      <c r="A14" s="123"/>
      <c r="B14" s="128"/>
      <c r="C14" s="33"/>
      <c r="D14" s="26" t="s">
        <v>11</v>
      </c>
      <c r="E14" s="32"/>
      <c r="F14" s="71">
        <v>545702</v>
      </c>
      <c r="G14" s="73">
        <v>282162</v>
      </c>
      <c r="H14" s="73">
        <v>268578</v>
      </c>
      <c r="I14" s="73">
        <v>143120</v>
      </c>
      <c r="J14" s="73">
        <v>0</v>
      </c>
      <c r="K14" s="73">
        <v>299863</v>
      </c>
      <c r="L14" s="64">
        <f>IFERROR(F14/G14-1,"n/a")</f>
        <v>0.93400245249183089</v>
      </c>
      <c r="M14" s="64">
        <f>IFERROR(F14/H14-1,"n/a")</f>
        <v>1.0318194342053331</v>
      </c>
      <c r="N14" s="64">
        <f>IFERROR(F14/I14-1,"n/a")</f>
        <v>2.8128982671883733</v>
      </c>
      <c r="O14" s="64" t="str">
        <f>IFERROR(F14/J14-1,"n/a")</f>
        <v>n/a</v>
      </c>
      <c r="P14" s="60">
        <f>IFERROR(F14/K14-1,"n/a")</f>
        <v>0.81983772589482529</v>
      </c>
      <c r="Q14" s="68">
        <f>'Sep-24'!Q14+F14</f>
        <v>6197966</v>
      </c>
      <c r="R14" s="68">
        <f>'Sep-24'!R14+G14</f>
        <v>4068706</v>
      </c>
      <c r="S14" s="68">
        <f>'Sep-24'!S14+H14</f>
        <v>2663889</v>
      </c>
      <c r="T14" s="68">
        <f>'Sep-24'!T14+I14</f>
        <v>324020</v>
      </c>
      <c r="U14" s="68">
        <f>'Sep-24'!U14+J14</f>
        <v>1092884</v>
      </c>
      <c r="V14" s="68">
        <f>'Sep-24'!V14+K14</f>
        <v>3643281</v>
      </c>
      <c r="W14" s="64">
        <f>IFERROR(Q14/R14-1,"n/a")</f>
        <v>0.52332608942499159</v>
      </c>
      <c r="X14" s="64">
        <f>IFERROR(Q14/S14-1,"n/a")</f>
        <v>1.3266607580120642</v>
      </c>
      <c r="Y14" s="64">
        <f>IFERROR(Q14/T14-1,"n/a")</f>
        <v>18.128343929387075</v>
      </c>
      <c r="Z14" s="64">
        <f>IFERROR(Q14/U14-1,"n/a")</f>
        <v>4.6712020671910288</v>
      </c>
      <c r="AA14" s="60">
        <f>IFERROR(Q14/V14-1,"n/a")</f>
        <v>0.70120449122645212</v>
      </c>
      <c r="AB14" s="68">
        <v>5232537</v>
      </c>
      <c r="AC14" s="68">
        <v>3592413</v>
      </c>
      <c r="AD14" s="68">
        <v>768312</v>
      </c>
      <c r="AE14" s="68">
        <v>1092884</v>
      </c>
      <c r="AF14" s="135">
        <v>4592479</v>
      </c>
      <c r="AG14" s="123"/>
      <c r="AH14" s="123"/>
    </row>
    <row r="15" spans="1:34" s="124" customFormat="1" ht="12.75">
      <c r="A15" s="123"/>
      <c r="B15" s="128"/>
      <c r="C15" s="31" t="s">
        <v>135</v>
      </c>
      <c r="D15" s="26"/>
      <c r="E15" s="32"/>
      <c r="F15" s="97"/>
      <c r="G15" s="97"/>
      <c r="H15" s="26"/>
      <c r="I15" s="26"/>
      <c r="J15" s="26"/>
      <c r="K15" s="26"/>
      <c r="L15" s="64"/>
      <c r="M15" s="64"/>
      <c r="N15" s="64"/>
      <c r="O15" s="64"/>
      <c r="P15" s="61"/>
      <c r="Q15" s="87"/>
      <c r="R15" s="87"/>
      <c r="S15" s="87"/>
      <c r="T15" s="87"/>
      <c r="U15" s="87"/>
      <c r="V15" s="87"/>
      <c r="W15" s="64"/>
      <c r="X15" s="64"/>
      <c r="Y15" s="64"/>
      <c r="Z15" s="64"/>
      <c r="AA15" s="61"/>
      <c r="AB15" s="43"/>
      <c r="AC15" s="43"/>
      <c r="AD15" s="43"/>
      <c r="AE15" s="43"/>
      <c r="AF15" s="136"/>
      <c r="AG15" s="123"/>
      <c r="AH15" s="123"/>
    </row>
    <row r="16" spans="1:34" s="124" customFormat="1" ht="12.75">
      <c r="A16" s="123"/>
      <c r="B16" s="128"/>
      <c r="C16" s="33"/>
      <c r="D16" s="26" t="s">
        <v>5</v>
      </c>
      <c r="E16" s="32"/>
      <c r="F16" s="71">
        <v>122</v>
      </c>
      <c r="G16" s="73">
        <v>87</v>
      </c>
      <c r="H16" s="73">
        <v>89</v>
      </c>
      <c r="I16" s="73">
        <v>33</v>
      </c>
      <c r="J16" s="73">
        <v>17</v>
      </c>
      <c r="K16" s="73">
        <v>114</v>
      </c>
      <c r="L16" s="64">
        <f>IFERROR(F16/G16-1,"n/a")</f>
        <v>0.40229885057471271</v>
      </c>
      <c r="M16" s="64">
        <f>IFERROR(F16/H16-1,"n/a")</f>
        <v>0.3707865168539326</v>
      </c>
      <c r="N16" s="64">
        <f>IFERROR(F16/I16-1,"n/a")</f>
        <v>2.6969696969696968</v>
      </c>
      <c r="O16" s="64">
        <f>IFERROR(F16/J16-1,"n/a")</f>
        <v>6.1764705882352944</v>
      </c>
      <c r="P16" s="60">
        <f>IFERROR(F16/K16-1,"n/a")</f>
        <v>7.0175438596491224E-2</v>
      </c>
      <c r="Q16" s="68">
        <f>'Sep-24'!Q16+F16</f>
        <v>721</v>
      </c>
      <c r="R16" s="68">
        <f>'Sep-24'!R16+G16</f>
        <v>513</v>
      </c>
      <c r="S16" s="68">
        <f>'Sep-24'!S16+H16</f>
        <v>540</v>
      </c>
      <c r="T16" s="68">
        <f>'Sep-24'!T16+I16</f>
        <v>169</v>
      </c>
      <c r="U16" s="68">
        <f>'Sep-24'!U16+J16</f>
        <v>38</v>
      </c>
      <c r="V16" s="68">
        <f>'Sep-24'!V16+K16</f>
        <v>517</v>
      </c>
      <c r="W16" s="64">
        <f>IFERROR(Q16/R16-1,"n/a")</f>
        <v>0.40545808966861596</v>
      </c>
      <c r="X16" s="64">
        <f>IFERROR(Q16/S16-1,"n/a")</f>
        <v>0.33518518518518525</v>
      </c>
      <c r="Y16" s="64">
        <f>IFERROR(Q16/T16-1,"n/a")</f>
        <v>3.2662721893491122</v>
      </c>
      <c r="Z16" s="64">
        <f>IFERROR(Q16/U16-1,"n/a")</f>
        <v>17.973684210526315</v>
      </c>
      <c r="AA16" s="60">
        <f>IFERROR(Q16/V16-1,"n/a")</f>
        <v>0.39458413926499025</v>
      </c>
      <c r="AB16" s="68">
        <v>575</v>
      </c>
      <c r="AC16" s="68">
        <v>572</v>
      </c>
      <c r="AD16" s="68">
        <v>202</v>
      </c>
      <c r="AE16" s="68">
        <v>54</v>
      </c>
      <c r="AF16" s="135">
        <v>586</v>
      </c>
      <c r="AG16" s="123"/>
      <c r="AH16" s="123"/>
    </row>
    <row r="17" spans="1:34" s="124" customFormat="1" ht="12.75">
      <c r="A17" s="123"/>
      <c r="B17" s="128"/>
      <c r="C17" s="33"/>
      <c r="D17" s="26" t="s">
        <v>11</v>
      </c>
      <c r="E17" s="32"/>
      <c r="F17" s="71">
        <v>261443</v>
      </c>
      <c r="G17" s="73">
        <v>199183</v>
      </c>
      <c r="H17" s="73">
        <v>124605</v>
      </c>
      <c r="I17" s="73">
        <v>44045</v>
      </c>
      <c r="J17" s="73">
        <v>13954</v>
      </c>
      <c r="K17" s="73">
        <v>223063</v>
      </c>
      <c r="L17" s="64">
        <f>IFERROR(F17/G17-1,"n/a")</f>
        <v>0.31257687654066868</v>
      </c>
      <c r="M17" s="64">
        <f>IFERROR(F17/H17-1,"n/a")</f>
        <v>1.0981742305685969</v>
      </c>
      <c r="N17" s="64">
        <f>IFERROR(F17/I17-1,"n/a")</f>
        <v>4.9358156430922921</v>
      </c>
      <c r="O17" s="64">
        <f>IFERROR(F17/J17-1,"n/a")</f>
        <v>17.736061344417372</v>
      </c>
      <c r="P17" s="60">
        <f>IFERROR(F17/K17-1,"n/a")</f>
        <v>0.17205901471781515</v>
      </c>
      <c r="Q17" s="68">
        <f>'Sep-24'!Q17+F17</f>
        <v>1923098</v>
      </c>
      <c r="R17" s="68">
        <f>'Sep-24'!R17+G17</f>
        <v>1532930</v>
      </c>
      <c r="S17" s="68">
        <f>'Sep-24'!S17+H17</f>
        <v>896537</v>
      </c>
      <c r="T17" s="68">
        <f>'Sep-24'!T17+I17</f>
        <v>259331</v>
      </c>
      <c r="U17" s="68">
        <f>'Sep-24'!U17+J17</f>
        <v>63680</v>
      </c>
      <c r="V17" s="68">
        <f>'Sep-24'!V17+K17</f>
        <v>1304953</v>
      </c>
      <c r="W17" s="64">
        <f>IFERROR(Q17/R17-1,"n/a")</f>
        <v>0.25452434227264131</v>
      </c>
      <c r="X17" s="64">
        <f>IFERROR(Q17/S17-1,"n/a")</f>
        <v>1.1450291510556729</v>
      </c>
      <c r="Y17" s="64">
        <f>IFERROR(Q17/T17-1,"n/a")</f>
        <v>6.4156117085886377</v>
      </c>
      <c r="Z17" s="64">
        <f>IFERROR(Q17/U17-1,"n/a")</f>
        <v>29.199403266331657</v>
      </c>
      <c r="AA17" s="60">
        <f>IFERROR(Q17/V17-1,"n/a")</f>
        <v>0.47369138965158131</v>
      </c>
      <c r="AB17" s="68">
        <v>1660685</v>
      </c>
      <c r="AC17" s="68">
        <v>965963</v>
      </c>
      <c r="AD17" s="68">
        <v>301521</v>
      </c>
      <c r="AE17" s="68">
        <v>70675</v>
      </c>
      <c r="AF17" s="135">
        <v>1400932</v>
      </c>
      <c r="AG17" s="123"/>
      <c r="AH17" s="123"/>
    </row>
    <row r="18" spans="1:34" s="124" customFormat="1" ht="12.75">
      <c r="A18" s="123"/>
      <c r="B18" s="128"/>
      <c r="C18" s="31" t="s">
        <v>110</v>
      </c>
      <c r="D18" s="26"/>
      <c r="E18" s="32"/>
      <c r="F18" s="72"/>
      <c r="G18" s="72"/>
      <c r="H18" s="72"/>
      <c r="I18" s="72"/>
      <c r="J18" s="72"/>
      <c r="K18" s="72"/>
      <c r="L18" s="64"/>
      <c r="M18" s="64"/>
      <c r="N18" s="64"/>
      <c r="O18" s="64"/>
      <c r="P18" s="60"/>
      <c r="Q18" s="87"/>
      <c r="R18" s="87"/>
      <c r="S18" s="87"/>
      <c r="T18" s="87"/>
      <c r="U18" s="87"/>
      <c r="V18" s="87"/>
      <c r="W18" s="64"/>
      <c r="X18" s="64"/>
      <c r="Y18" s="64"/>
      <c r="Z18" s="64"/>
      <c r="AA18" s="60"/>
      <c r="AB18" s="43"/>
      <c r="AC18" s="43"/>
      <c r="AD18" s="43"/>
      <c r="AE18" s="43"/>
      <c r="AF18" s="136"/>
      <c r="AG18" s="123"/>
      <c r="AH18" s="123"/>
    </row>
    <row r="19" spans="1:34" s="124" customFormat="1" ht="12.75">
      <c r="A19" s="123"/>
      <c r="B19" s="128"/>
      <c r="C19" s="33"/>
      <c r="D19" s="26" t="s">
        <v>5</v>
      </c>
      <c r="E19" s="32"/>
      <c r="F19" s="71">
        <v>123</v>
      </c>
      <c r="G19" s="73">
        <v>117</v>
      </c>
      <c r="H19" s="73">
        <v>97</v>
      </c>
      <c r="I19" s="73">
        <v>15</v>
      </c>
      <c r="J19" s="73">
        <v>1</v>
      </c>
      <c r="K19" s="73">
        <v>34</v>
      </c>
      <c r="L19" s="64">
        <f>IFERROR(F19/G19-1,"n/a")</f>
        <v>5.1282051282051322E-2</v>
      </c>
      <c r="M19" s="64">
        <f>IFERROR(F19/H19-1,"n/a")</f>
        <v>0.268041237113402</v>
      </c>
      <c r="N19" s="64">
        <f>IFERROR(F19/I19-1,"n/a")</f>
        <v>7.1999999999999993</v>
      </c>
      <c r="O19" s="64">
        <f>IFERROR(F19/J19-1,"n/a")</f>
        <v>122</v>
      </c>
      <c r="P19" s="60">
        <f>IFERROR(F19/K19-1,"n/a")</f>
        <v>2.6176470588235294</v>
      </c>
      <c r="Q19" s="68">
        <f>'Sep-24'!Q19+F19</f>
        <v>702</v>
      </c>
      <c r="R19" s="68">
        <f>'Sep-24'!R19+G19</f>
        <v>661</v>
      </c>
      <c r="S19" s="68">
        <f>'Sep-24'!S19+H19</f>
        <v>610</v>
      </c>
      <c r="T19" s="68">
        <f>'Sep-24'!T19+I19</f>
        <v>31</v>
      </c>
      <c r="U19" s="68">
        <f>'Sep-24'!U19+J19</f>
        <v>9</v>
      </c>
      <c r="V19" s="68">
        <f>'Sep-24'!V19+K19</f>
        <v>265</v>
      </c>
      <c r="W19" s="64">
        <f>IFERROR(Q19/R19-1,"n/a")</f>
        <v>6.2027231467473465E-2</v>
      </c>
      <c r="X19" s="64">
        <f>IFERROR(Q19/S19-1,"n/a")</f>
        <v>0.15081967213114744</v>
      </c>
      <c r="Y19" s="64">
        <f>IFERROR(Q19/T19-1,"n/a")</f>
        <v>21.64516129032258</v>
      </c>
      <c r="Z19" s="64">
        <f>IFERROR(Q19/U19-1,"n/a")</f>
        <v>77</v>
      </c>
      <c r="AA19" s="60">
        <f>IFERROR(Q19/V19-1,"n/a")</f>
        <v>1.6490566037735848</v>
      </c>
      <c r="AB19" s="68">
        <v>708</v>
      </c>
      <c r="AC19" s="68">
        <v>658</v>
      </c>
      <c r="AD19" s="68">
        <v>47</v>
      </c>
      <c r="AE19" s="68">
        <v>9</v>
      </c>
      <c r="AF19" s="135">
        <v>290</v>
      </c>
      <c r="AG19" s="123"/>
      <c r="AH19" s="123"/>
    </row>
    <row r="20" spans="1:34" s="124" customFormat="1" ht="12.75">
      <c r="A20" s="123"/>
      <c r="B20" s="128"/>
      <c r="C20" s="33"/>
      <c r="D20" s="26" t="s">
        <v>11</v>
      </c>
      <c r="E20" s="32"/>
      <c r="F20" s="71">
        <v>217519</v>
      </c>
      <c r="G20" s="73">
        <v>211817</v>
      </c>
      <c r="H20" s="73">
        <v>133084</v>
      </c>
      <c r="I20" s="73">
        <v>6450</v>
      </c>
      <c r="J20" s="73">
        <v>0</v>
      </c>
      <c r="K20" s="73">
        <v>67246</v>
      </c>
      <c r="L20" s="64">
        <f>IFERROR(F20/G20-1,"n/a")</f>
        <v>2.6919463499152529E-2</v>
      </c>
      <c r="M20" s="64">
        <f>IFERROR(F20/H20-1,"n/a")</f>
        <v>0.6344489194794265</v>
      </c>
      <c r="N20" s="64">
        <f>IFERROR(F20/I20-1,"n/a")</f>
        <v>32.723875968992246</v>
      </c>
      <c r="O20" s="64" t="str">
        <f>IFERROR(F20/J20-1,"n/a")</f>
        <v>n/a</v>
      </c>
      <c r="P20" s="60">
        <f>IFERROR(F20/K20-1,"n/a")</f>
        <v>2.2346756684412457</v>
      </c>
      <c r="Q20" s="68">
        <f>'Sep-24'!Q20+F20</f>
        <v>1454463.4</v>
      </c>
      <c r="R20" s="68">
        <f>'Sep-24'!R20+G20</f>
        <v>1225242</v>
      </c>
      <c r="S20" s="68">
        <f>'Sep-24'!S20+H20</f>
        <v>837142</v>
      </c>
      <c r="T20" s="68">
        <f>'Sep-24'!T20+I20</f>
        <v>10992</v>
      </c>
      <c r="U20" s="68">
        <f>'Sep-24'!U20+J20</f>
        <v>10047</v>
      </c>
      <c r="V20" s="68">
        <f>'Sep-24'!V20+K20</f>
        <v>555008</v>
      </c>
      <c r="W20" s="64">
        <f>IFERROR(Q20/R20-1,"n/a")</f>
        <v>0.18708255185506206</v>
      </c>
      <c r="X20" s="64">
        <f>IFERROR(Q20/S20-1,"n/a")</f>
        <v>0.7374153966710546</v>
      </c>
      <c r="Y20" s="64">
        <f>IFERROR(Q20/T20-1,"n/a")</f>
        <v>131.32017831149926</v>
      </c>
      <c r="Z20" s="64">
        <f>IFERROR(Q20/U20-1,"n/a")</f>
        <v>143.76594008161641</v>
      </c>
      <c r="AA20" s="60">
        <f>IFERROR(Q20/V20-1,"n/a")</f>
        <v>1.6206170001153133</v>
      </c>
      <c r="AB20" s="68">
        <v>1277526</v>
      </c>
      <c r="AC20" s="68">
        <v>887495</v>
      </c>
      <c r="AD20" s="68">
        <v>17541</v>
      </c>
      <c r="AE20" s="68">
        <v>10046.999999999998</v>
      </c>
      <c r="AF20" s="135">
        <v>585930</v>
      </c>
      <c r="AG20" s="123"/>
      <c r="AH20" s="123"/>
    </row>
    <row r="21" spans="1:34" s="124" customFormat="1" ht="12.75">
      <c r="A21" s="123"/>
      <c r="B21" s="128"/>
      <c r="C21" s="31" t="s">
        <v>111</v>
      </c>
      <c r="D21" s="26"/>
      <c r="E21" s="34"/>
      <c r="F21" s="72"/>
      <c r="G21" s="72"/>
      <c r="H21" s="72"/>
      <c r="I21" s="72"/>
      <c r="J21" s="72"/>
      <c r="K21" s="72"/>
      <c r="L21" s="64"/>
      <c r="M21" s="64"/>
      <c r="N21" s="64"/>
      <c r="O21" s="64"/>
      <c r="P21" s="60"/>
      <c r="Q21" s="87"/>
      <c r="R21" s="87"/>
      <c r="S21" s="87"/>
      <c r="T21" s="87"/>
      <c r="U21" s="87"/>
      <c r="V21" s="87"/>
      <c r="W21" s="64"/>
      <c r="X21" s="64"/>
      <c r="Y21" s="64"/>
      <c r="Z21" s="64"/>
      <c r="AA21" s="60"/>
      <c r="AB21" s="43"/>
      <c r="AC21" s="43"/>
      <c r="AD21" s="43"/>
      <c r="AE21" s="43"/>
      <c r="AF21" s="136"/>
      <c r="AG21" s="123"/>
      <c r="AH21" s="123"/>
    </row>
    <row r="22" spans="1:34" s="124" customFormat="1" ht="12.75">
      <c r="A22" s="123"/>
      <c r="B22" s="128"/>
      <c r="C22" s="33"/>
      <c r="D22" s="26" t="s">
        <v>5</v>
      </c>
      <c r="E22" s="34"/>
      <c r="F22" s="71">
        <v>189</v>
      </c>
      <c r="G22" s="73">
        <v>185</v>
      </c>
      <c r="H22" s="73">
        <v>149</v>
      </c>
      <c r="I22" s="73">
        <v>107</v>
      </c>
      <c r="J22" s="73">
        <v>0</v>
      </c>
      <c r="K22" s="73">
        <v>127</v>
      </c>
      <c r="L22" s="64">
        <f>IFERROR(F22/G22-1,"n/a")</f>
        <v>2.1621621621621623E-2</v>
      </c>
      <c r="M22" s="64">
        <f>IFERROR(F22/H22-1,"n/a")</f>
        <v>0.26845637583892623</v>
      </c>
      <c r="N22" s="64">
        <f>IFERROR(F22/I22-1,"n/a")</f>
        <v>0.76635514018691597</v>
      </c>
      <c r="O22" s="64" t="str">
        <f>IFERROR(F22/J22-1,"n/a")</f>
        <v>n/a</v>
      </c>
      <c r="P22" s="60">
        <f>IFERROR(F22/K22-1,"n/a")</f>
        <v>0.48818897637795278</v>
      </c>
      <c r="Q22" s="68">
        <f>'Sep-24'!Q22+F22</f>
        <v>1187</v>
      </c>
      <c r="R22" s="68">
        <f>'Sep-24'!R22+G22</f>
        <v>1161</v>
      </c>
      <c r="S22" s="68">
        <f>'Sep-24'!S22+H22</f>
        <v>697</v>
      </c>
      <c r="T22" s="68">
        <f>'Sep-24'!T22+I22</f>
        <v>191</v>
      </c>
      <c r="U22" s="68">
        <f>'Sep-24'!U22+J22</f>
        <v>43</v>
      </c>
      <c r="V22" s="68">
        <f>'Sep-24'!V22+K22</f>
        <v>712</v>
      </c>
      <c r="W22" s="64">
        <f>IFERROR(Q22/R22-1,"n/a")</f>
        <v>2.239448751076667E-2</v>
      </c>
      <c r="X22" s="64">
        <f>IFERROR(Q22/S22-1,"n/a")</f>
        <v>0.7030129124820661</v>
      </c>
      <c r="Y22" s="64">
        <f>IFERROR(Q22/T22-1,"n/a")</f>
        <v>5.2146596858638743</v>
      </c>
      <c r="Z22" s="64">
        <f>IFERROR(Q22/U22-1,"n/a")</f>
        <v>26.604651162790699</v>
      </c>
      <c r="AA22" s="60">
        <f>IFERROR(Q22/V22-1,"n/a")</f>
        <v>0.6671348314606742</v>
      </c>
      <c r="AB22" s="68">
        <v>1500</v>
      </c>
      <c r="AC22" s="68">
        <v>895</v>
      </c>
      <c r="AD22" s="68">
        <v>283</v>
      </c>
      <c r="AE22" s="68">
        <v>43</v>
      </c>
      <c r="AF22" s="135">
        <v>827</v>
      </c>
      <c r="AG22" s="123"/>
      <c r="AH22" s="123"/>
    </row>
    <row r="23" spans="1:34" s="124" customFormat="1" ht="12.75">
      <c r="A23" s="123"/>
      <c r="B23" s="128"/>
      <c r="C23" s="33"/>
      <c r="D23" s="26" t="s">
        <v>11</v>
      </c>
      <c r="E23" s="32"/>
      <c r="F23" s="71">
        <v>459752</v>
      </c>
      <c r="G23" s="73">
        <v>513716</v>
      </c>
      <c r="H23" s="73">
        <v>338461</v>
      </c>
      <c r="I23" s="73">
        <v>174505</v>
      </c>
      <c r="J23" s="73">
        <v>0</v>
      </c>
      <c r="K23" s="73">
        <v>332808</v>
      </c>
      <c r="L23" s="64">
        <f>IFERROR(F23/G23-1,"n/a")</f>
        <v>-0.10504636803214229</v>
      </c>
      <c r="M23" s="64">
        <f>IFERROR(F23/H23-1,"n/a")</f>
        <v>0.35836034284600005</v>
      </c>
      <c r="N23" s="64">
        <f>IFERROR(F23/I23-1,"n/a")</f>
        <v>1.6346064582676716</v>
      </c>
      <c r="O23" s="64" t="str">
        <f>IFERROR(F23/J23-1,"n/a")</f>
        <v>n/a</v>
      </c>
      <c r="P23" s="60">
        <f>IFERROR(F23/K23-1,"n/a")</f>
        <v>0.38143313862647532</v>
      </c>
      <c r="Q23" s="68">
        <f>'Sep-24'!Q23+F23</f>
        <v>3863464</v>
      </c>
      <c r="R23" s="68">
        <f>'Sep-24'!R23+G23</f>
        <v>3567538</v>
      </c>
      <c r="S23" s="68">
        <f>'Sep-24'!S23+H23</f>
        <v>1670885</v>
      </c>
      <c r="T23" s="68">
        <f>'Sep-24'!T23+I23</f>
        <v>342388</v>
      </c>
      <c r="U23" s="68">
        <f>'Sep-24'!U23+J23</f>
        <v>140552</v>
      </c>
      <c r="V23" s="68">
        <f>'Sep-24'!V23+K23</f>
        <v>2230252</v>
      </c>
      <c r="W23" s="64">
        <f>IFERROR(Q23/R23-1,"n/a")</f>
        <v>8.2949642022033032E-2</v>
      </c>
      <c r="X23" s="64">
        <f>IFERROR(Q23/S23-1,"n/a")</f>
        <v>1.3122261556001757</v>
      </c>
      <c r="Y23" s="64">
        <f>IFERROR(Q23/T23-1,"n/a")</f>
        <v>10.283876771382175</v>
      </c>
      <c r="Z23" s="64">
        <f>IFERROR(Q23/U23-1,"n/a")</f>
        <v>26.487790995503442</v>
      </c>
      <c r="AA23" s="60">
        <f>IFERROR(Q23/V23-1,"n/a")</f>
        <v>0.73229930967442236</v>
      </c>
      <c r="AB23" s="68">
        <v>4449177</v>
      </c>
      <c r="AC23" s="68">
        <v>2165161</v>
      </c>
      <c r="AD23" s="68">
        <v>465109</v>
      </c>
      <c r="AE23" s="68">
        <v>140552</v>
      </c>
      <c r="AF23" s="135">
        <v>2552942</v>
      </c>
      <c r="AG23" s="123"/>
      <c r="AH23" s="123"/>
    </row>
    <row r="24" spans="1:34" s="124" customFormat="1" ht="12.75">
      <c r="A24" s="123"/>
      <c r="B24" s="128"/>
      <c r="C24" s="31" t="s">
        <v>112</v>
      </c>
      <c r="D24" s="26"/>
      <c r="E24" s="32"/>
      <c r="F24" s="72"/>
      <c r="G24" s="72"/>
      <c r="H24" s="72"/>
      <c r="I24" s="72"/>
      <c r="J24" s="72"/>
      <c r="K24" s="72"/>
      <c r="L24" s="64"/>
      <c r="M24" s="64"/>
      <c r="N24" s="64"/>
      <c r="O24" s="64"/>
      <c r="P24" s="60"/>
      <c r="Q24" s="87"/>
      <c r="R24" s="87"/>
      <c r="S24" s="87"/>
      <c r="T24" s="87"/>
      <c r="U24" s="87"/>
      <c r="V24" s="87"/>
      <c r="W24" s="64"/>
      <c r="X24" s="64"/>
      <c r="Y24" s="64"/>
      <c r="Z24" s="64"/>
      <c r="AA24" s="60"/>
      <c r="AB24" s="43"/>
      <c r="AC24" s="43"/>
      <c r="AD24" s="43"/>
      <c r="AE24" s="43"/>
      <c r="AF24" s="136"/>
      <c r="AG24" s="123"/>
      <c r="AH24" s="123"/>
    </row>
    <row r="25" spans="1:34" s="124" customFormat="1" ht="12.75">
      <c r="B25" s="128"/>
      <c r="C25" s="33"/>
      <c r="D25" s="26" t="s">
        <v>5</v>
      </c>
      <c r="E25" s="32"/>
      <c r="F25" s="71">
        <v>2</v>
      </c>
      <c r="G25" s="73">
        <v>2</v>
      </c>
      <c r="H25" s="73">
        <v>1</v>
      </c>
      <c r="I25" s="73">
        <v>0</v>
      </c>
      <c r="J25" s="73">
        <v>0</v>
      </c>
      <c r="K25" s="73">
        <v>3</v>
      </c>
      <c r="L25" s="64">
        <f>IFERROR(F25/G25-1,"n/a")</f>
        <v>0</v>
      </c>
      <c r="M25" s="64">
        <f>IFERROR(F25/H25-1,"n/a")</f>
        <v>1</v>
      </c>
      <c r="N25" s="64" t="str">
        <f>IFERROR(F25/I25-1,"n/a")</f>
        <v>n/a</v>
      </c>
      <c r="O25" s="64" t="str">
        <f>IFERROR(F25/J25-1,"n/a")</f>
        <v>n/a</v>
      </c>
      <c r="P25" s="60">
        <f>IFERROR(F25/K25-1,"n/a")</f>
        <v>-0.33333333333333337</v>
      </c>
      <c r="Q25" s="68">
        <f>'Sep-24'!Q25+F25</f>
        <v>14</v>
      </c>
      <c r="R25" s="68">
        <f>'Sep-24'!R25+G25</f>
        <v>21</v>
      </c>
      <c r="S25" s="68">
        <f>'Sep-24'!S25+H25</f>
        <v>9</v>
      </c>
      <c r="T25" s="68">
        <f>'Sep-24'!T25+I25</f>
        <v>0</v>
      </c>
      <c r="U25" s="68">
        <f>'Sep-24'!U25+J25</f>
        <v>0</v>
      </c>
      <c r="V25" s="68">
        <f>'Sep-24'!V25+K25</f>
        <v>16</v>
      </c>
      <c r="W25" s="64">
        <f>IFERROR(Q25/R25-1,"n/a")</f>
        <v>-0.33333333333333337</v>
      </c>
      <c r="X25" s="64">
        <f>IFERROR(Q25/S25-1,"n/a")</f>
        <v>0.55555555555555558</v>
      </c>
      <c r="Y25" s="64" t="str">
        <f>IFERROR(Q25/T25-1,"n/a")</f>
        <v>n/a</v>
      </c>
      <c r="Z25" s="64" t="str">
        <f>IFERROR(Q25/U25-1,"n/a")</f>
        <v>n/a</v>
      </c>
      <c r="AA25" s="60">
        <f>IFERROR(Q25/V25-1,"n/a")</f>
        <v>-0.125</v>
      </c>
      <c r="AB25" s="68">
        <v>21</v>
      </c>
      <c r="AC25" s="68">
        <v>9</v>
      </c>
      <c r="AD25" s="68">
        <v>0</v>
      </c>
      <c r="AE25" s="68">
        <v>0</v>
      </c>
      <c r="AF25" s="135">
        <v>16</v>
      </c>
      <c r="AG25" s="123"/>
      <c r="AH25" s="123"/>
    </row>
    <row r="26" spans="1:34" s="124" customFormat="1" ht="12.75">
      <c r="A26" s="123"/>
      <c r="B26" s="128"/>
      <c r="C26" s="33"/>
      <c r="D26" s="26" t="s">
        <v>11</v>
      </c>
      <c r="E26" s="32"/>
      <c r="F26" s="71">
        <v>3500</v>
      </c>
      <c r="G26" s="73">
        <v>4312</v>
      </c>
      <c r="H26" s="73">
        <v>2358</v>
      </c>
      <c r="I26" s="73">
        <v>0</v>
      </c>
      <c r="J26" s="73">
        <v>0</v>
      </c>
      <c r="K26" s="73">
        <v>3957</v>
      </c>
      <c r="L26" s="64">
        <f>IFERROR(F26/G26-1,"n/a")</f>
        <v>-0.18831168831168832</v>
      </c>
      <c r="M26" s="64">
        <f>IFERROR(F26/H26-1,"n/a")</f>
        <v>0.48430873621713322</v>
      </c>
      <c r="N26" s="64" t="str">
        <f>IFERROR(F26/I26-1,"n/a")</f>
        <v>n/a</v>
      </c>
      <c r="O26" s="64" t="str">
        <f>IFERROR(F26/J26-1,"n/a")</f>
        <v>n/a</v>
      </c>
      <c r="P26" s="60">
        <f>IFERROR(F26/K26-1,"n/a")</f>
        <v>-0.1154915339903968</v>
      </c>
      <c r="Q26" s="68">
        <f>'Sep-24'!Q26+F26</f>
        <v>47798</v>
      </c>
      <c r="R26" s="68">
        <f>'Sep-24'!R26+G26</f>
        <v>38626</v>
      </c>
      <c r="S26" s="68">
        <f>'Sep-24'!S26+H26</f>
        <v>15637</v>
      </c>
      <c r="T26" s="68">
        <f>'Sep-24'!T26+I26</f>
        <v>0</v>
      </c>
      <c r="U26" s="68">
        <f>'Sep-24'!U26+J26</f>
        <v>0</v>
      </c>
      <c r="V26" s="68">
        <f>'Sep-24'!V26+K26</f>
        <v>20248</v>
      </c>
      <c r="W26" s="64">
        <f>IFERROR(Q26/R26-1,"n/a")</f>
        <v>0.23745663542691453</v>
      </c>
      <c r="X26" s="64">
        <f>IFERROR(Q26/S26-1,"n/a")</f>
        <v>2.0567244356334333</v>
      </c>
      <c r="Y26" s="64" t="str">
        <f>IFERROR(Q26/T26-1,"n/a")</f>
        <v>n/a</v>
      </c>
      <c r="Z26" s="64" t="str">
        <f>IFERROR(Q26/U26-1,"n/a")</f>
        <v>n/a</v>
      </c>
      <c r="AA26" s="60">
        <f>IFERROR(Q26/V26-1,"n/a")</f>
        <v>1.3606282101935996</v>
      </c>
      <c r="AB26" s="68">
        <v>38626</v>
      </c>
      <c r="AC26" s="68">
        <v>15637</v>
      </c>
      <c r="AD26" s="68">
        <v>0</v>
      </c>
      <c r="AE26" s="68">
        <v>0</v>
      </c>
      <c r="AF26" s="137">
        <v>20248</v>
      </c>
      <c r="AG26" s="123"/>
      <c r="AH26" s="123"/>
    </row>
    <row r="27" spans="1:34" s="124" customFormat="1" ht="13.5" thickBot="1">
      <c r="A27" s="123"/>
      <c r="B27" s="128"/>
      <c r="C27" s="35" t="s">
        <v>12</v>
      </c>
      <c r="D27" s="36"/>
      <c r="E27" s="37"/>
      <c r="F27" s="75">
        <f t="shared" ref="F27:K28" si="0">F13+F16+F19+F22+F25</f>
        <v>591</v>
      </c>
      <c r="G27" s="75">
        <f t="shared" si="0"/>
        <v>472</v>
      </c>
      <c r="H27" s="75">
        <f t="shared" si="0"/>
        <v>414</v>
      </c>
      <c r="I27" s="75">
        <f t="shared" si="0"/>
        <v>244</v>
      </c>
      <c r="J27" s="75">
        <f t="shared" si="0"/>
        <v>18</v>
      </c>
      <c r="K27" s="75">
        <f t="shared" si="0"/>
        <v>388</v>
      </c>
      <c r="L27" s="66">
        <f>IFERROR(F27/G27-1,"n/a")</f>
        <v>0.25211864406779672</v>
      </c>
      <c r="M27" s="66">
        <f>IFERROR(F27/H27-1,"n/a")</f>
        <v>0.42753623188405787</v>
      </c>
      <c r="N27" s="66">
        <f>IFERROR(F27/I27-1,"n/a")</f>
        <v>1.4221311475409837</v>
      </c>
      <c r="O27" s="66">
        <f>IFERROR(F27/J27-1,"n/a")</f>
        <v>31.833333333333336</v>
      </c>
      <c r="P27" s="62">
        <f>IFERROR(F27/K27-1,"n/a")</f>
        <v>0.52319587628865971</v>
      </c>
      <c r="Q27" s="75">
        <f t="shared" ref="Q27:V28" si="1">Q13+Q16+Q19+Q22+Q25</f>
        <v>4433</v>
      </c>
      <c r="R27" s="75">
        <f t="shared" si="1"/>
        <v>3592</v>
      </c>
      <c r="S27" s="75">
        <f t="shared" si="1"/>
        <v>3007</v>
      </c>
      <c r="T27" s="75">
        <f t="shared" si="1"/>
        <v>619</v>
      </c>
      <c r="U27" s="75">
        <f t="shared" si="1"/>
        <v>641</v>
      </c>
      <c r="V27" s="75">
        <f t="shared" si="1"/>
        <v>2722</v>
      </c>
      <c r="W27" s="66">
        <f>IFERROR(Q27/R27-1,"n/a")</f>
        <v>0.23413140311804015</v>
      </c>
      <c r="X27" s="66">
        <f>IFERROR(Q27/S27-1,"n/a")</f>
        <v>0.47422680412371143</v>
      </c>
      <c r="Y27" s="66">
        <f>IFERROR(Q27/T27-1,"n/a")</f>
        <v>6.1615508885298871</v>
      </c>
      <c r="Z27" s="66">
        <f>IFERROR(Q27/U27-1,"n/a")</f>
        <v>5.9157566302652107</v>
      </c>
      <c r="AA27" s="62">
        <f>IFERROR(Q27/V27-1,"n/a")</f>
        <v>0.62858192505510657</v>
      </c>
      <c r="AB27" s="75">
        <f>AB13+AB16+AB19+AB22+AB25</f>
        <v>4434</v>
      </c>
      <c r="AC27" s="75">
        <f>AC13+AC16+AC19+AC22+AC25</f>
        <v>3620</v>
      </c>
      <c r="AD27" s="46">
        <f t="shared" ref="AD27:AF28" si="2">AD13+AD16+AD19+AD22+AD25</f>
        <v>1054</v>
      </c>
      <c r="AE27" s="46">
        <f t="shared" si="2"/>
        <v>657</v>
      </c>
      <c r="AF27" s="80">
        <f t="shared" si="2"/>
        <v>3310</v>
      </c>
      <c r="AG27" s="123"/>
      <c r="AH27" s="123"/>
    </row>
    <row r="28" spans="1:34" s="124" customFormat="1" ht="14.25" thickTop="1" thickBot="1">
      <c r="A28" s="123"/>
      <c r="B28" s="128"/>
      <c r="C28" s="38" t="s">
        <v>13</v>
      </c>
      <c r="D28" s="39"/>
      <c r="E28" s="40"/>
      <c r="F28" s="76">
        <f t="shared" si="0"/>
        <v>1487916</v>
      </c>
      <c r="G28" s="76">
        <f t="shared" si="0"/>
        <v>1211190</v>
      </c>
      <c r="H28" s="76">
        <f t="shared" si="0"/>
        <v>867086</v>
      </c>
      <c r="I28" s="76">
        <f t="shared" si="0"/>
        <v>368120</v>
      </c>
      <c r="J28" s="76">
        <f t="shared" si="0"/>
        <v>13954</v>
      </c>
      <c r="K28" s="76">
        <f t="shared" si="0"/>
        <v>926937</v>
      </c>
      <c r="L28" s="67">
        <f>IFERROR(F28/G28-1,"n/a")</f>
        <v>0.22847447551581501</v>
      </c>
      <c r="M28" s="67">
        <f>IFERROR(F28/H28-1,"n/a")</f>
        <v>0.71599587584161206</v>
      </c>
      <c r="N28" s="67">
        <f>IFERROR(F28/I28-1,"n/a")</f>
        <v>3.0419319787025971</v>
      </c>
      <c r="O28" s="67">
        <f>IFERROR(F28/J28-1,"n/a")</f>
        <v>105.63007023075821</v>
      </c>
      <c r="P28" s="63">
        <f>IFERROR(F28/K28-1,"n/a")</f>
        <v>0.60519646966298679</v>
      </c>
      <c r="Q28" s="76">
        <f t="shared" si="1"/>
        <v>13486789.4</v>
      </c>
      <c r="R28" s="76">
        <f t="shared" si="1"/>
        <v>10433042</v>
      </c>
      <c r="S28" s="76">
        <f t="shared" si="1"/>
        <v>6084090</v>
      </c>
      <c r="T28" s="76">
        <f t="shared" si="1"/>
        <v>936731</v>
      </c>
      <c r="U28" s="76">
        <f t="shared" si="1"/>
        <v>1307163</v>
      </c>
      <c r="V28" s="76">
        <f t="shared" si="1"/>
        <v>7753742</v>
      </c>
      <c r="W28" s="67">
        <f>IFERROR(Q28/R28-1,"n/a")</f>
        <v>0.29269961723531845</v>
      </c>
      <c r="X28" s="67">
        <f>IFERROR(Q28/S28-1,"n/a")</f>
        <v>1.2167307518462089</v>
      </c>
      <c r="Y28" s="67">
        <f>IFERROR(Q28/T28-1,"n/a")</f>
        <v>13.39771866202784</v>
      </c>
      <c r="Z28" s="67">
        <f>IFERROR(Q28/U28-1,"n/a")</f>
        <v>9.3176033899368331</v>
      </c>
      <c r="AA28" s="63">
        <f>IFERROR(Q28/V28-1,"n/a")</f>
        <v>0.73939104499479091</v>
      </c>
      <c r="AB28" s="76">
        <f>AB14+AB17+AB20+AB23+AB26</f>
        <v>12658551</v>
      </c>
      <c r="AC28" s="76">
        <f>AC14+AC17+AC20+AC23+AC26</f>
        <v>7626669</v>
      </c>
      <c r="AD28" s="47">
        <f t="shared" si="2"/>
        <v>1552483</v>
      </c>
      <c r="AE28" s="47">
        <f t="shared" si="2"/>
        <v>1314158</v>
      </c>
      <c r="AF28" s="81">
        <f t="shared" si="2"/>
        <v>9152531</v>
      </c>
      <c r="AG28" s="123"/>
      <c r="AH28" s="123"/>
    </row>
    <row r="29" spans="1:34" s="124" customFormat="1" ht="12" thickTop="1">
      <c r="A29" s="123"/>
      <c r="B29" s="123"/>
      <c r="C29" s="123"/>
      <c r="D29" s="123"/>
      <c r="E29" s="123"/>
      <c r="F29" s="123"/>
      <c r="G29" s="129"/>
      <c r="H29" s="129"/>
      <c r="I29" s="129"/>
      <c r="J29" s="129"/>
      <c r="K29" s="129"/>
      <c r="L29" s="129"/>
      <c r="M29" s="129"/>
      <c r="N29" s="129"/>
      <c r="O29" s="129"/>
      <c r="P29" s="123"/>
      <c r="Q29" s="123"/>
      <c r="R29" s="123"/>
      <c r="S29" s="123"/>
      <c r="T29" s="123"/>
      <c r="U29" s="123"/>
      <c r="V29" s="123"/>
      <c r="W29" s="123"/>
      <c r="X29" s="123"/>
      <c r="Y29" s="123"/>
      <c r="Z29" s="123"/>
      <c r="AA29" s="123"/>
      <c r="AB29" s="123"/>
      <c r="AC29" s="123"/>
      <c r="AD29" s="123"/>
      <c r="AE29" s="123"/>
      <c r="AF29" s="123"/>
      <c r="AG29" s="123"/>
      <c r="AH29" s="123"/>
    </row>
    <row r="30" spans="1:34" s="124" customFormat="1" ht="11.25">
      <c r="A30" s="123"/>
      <c r="B30" s="123"/>
      <c r="C30" s="123"/>
      <c r="D30" s="123"/>
      <c r="E30" s="123"/>
      <c r="F30" s="123"/>
      <c r="G30" s="129"/>
      <c r="H30" s="129"/>
      <c r="I30" s="129"/>
      <c r="J30" s="129"/>
      <c r="K30" s="129"/>
      <c r="L30" s="129"/>
      <c r="M30" s="129"/>
      <c r="N30" s="129"/>
      <c r="O30" s="129"/>
      <c r="P30" s="123"/>
      <c r="Q30" s="123"/>
      <c r="R30" s="129"/>
      <c r="S30" s="123"/>
      <c r="T30" s="123"/>
      <c r="U30" s="123"/>
      <c r="V30" s="123"/>
      <c r="W30" s="123"/>
      <c r="X30" s="123"/>
      <c r="Y30" s="123"/>
      <c r="Z30" s="123"/>
      <c r="AA30" s="123"/>
      <c r="AB30" s="123"/>
      <c r="AC30" s="123"/>
      <c r="AD30" s="123"/>
      <c r="AE30" s="123"/>
      <c r="AF30" s="123"/>
      <c r="AG30" s="123"/>
      <c r="AH30" s="123"/>
    </row>
    <row r="31" spans="1:34" s="124" customFormat="1" ht="12.75">
      <c r="A31" s="123"/>
      <c r="B31" s="130"/>
      <c r="C31" s="131" t="s">
        <v>63</v>
      </c>
      <c r="D31" s="24"/>
      <c r="E31" s="24"/>
      <c r="F31" s="24"/>
      <c r="G31" s="24"/>
      <c r="H31" s="24"/>
      <c r="I31" s="24"/>
      <c r="J31" s="24"/>
      <c r="K31" s="95"/>
      <c r="L31" s="95"/>
      <c r="M31" s="95"/>
      <c r="N31" s="95"/>
      <c r="O31" s="95"/>
      <c r="P31" s="24"/>
      <c r="Q31" s="24"/>
      <c r="R31" s="24"/>
      <c r="S31" s="24"/>
      <c r="T31" s="24"/>
      <c r="U31" s="24"/>
      <c r="V31" s="24"/>
      <c r="W31" s="24"/>
      <c r="X31" s="24"/>
      <c r="Y31" s="24"/>
      <c r="Z31" s="24"/>
      <c r="AA31" s="24"/>
      <c r="AB31" s="24"/>
      <c r="AC31" s="24"/>
      <c r="AD31" s="24"/>
      <c r="AE31" s="24"/>
      <c r="AF31" s="24"/>
      <c r="AG31" s="24"/>
      <c r="AH31" s="123"/>
    </row>
    <row r="32" spans="1:34" s="124" customFormat="1" ht="12.75">
      <c r="A32" s="123"/>
      <c r="B32" s="130"/>
      <c r="C32" s="24"/>
      <c r="D32" s="24"/>
      <c r="E32" s="24"/>
      <c r="F32" s="24"/>
      <c r="G32" s="24"/>
      <c r="H32" s="24"/>
      <c r="I32" s="24"/>
      <c r="J32" s="24"/>
      <c r="K32" s="95"/>
      <c r="L32" s="95"/>
      <c r="M32" s="95"/>
      <c r="N32" s="95"/>
      <c r="O32" s="95"/>
      <c r="P32" s="24"/>
      <c r="Q32" s="24"/>
      <c r="R32" s="24"/>
      <c r="S32" s="24"/>
      <c r="T32" s="24"/>
      <c r="U32" s="24"/>
      <c r="V32" s="24"/>
      <c r="W32" s="24"/>
      <c r="X32" s="24"/>
      <c r="Y32" s="24"/>
      <c r="Z32" s="24"/>
      <c r="AA32" s="24"/>
      <c r="AB32" s="24"/>
      <c r="AC32" s="24"/>
      <c r="AD32" s="24"/>
      <c r="AE32" s="24"/>
      <c r="AF32" s="24"/>
      <c r="AG32" s="24"/>
      <c r="AH32" s="123"/>
    </row>
    <row r="33" spans="1:34" s="124" customFormat="1" ht="15" customHeight="1">
      <c r="A33" s="123"/>
      <c r="B33" s="123"/>
      <c r="C33" s="27" t="s">
        <v>7</v>
      </c>
      <c r="D33" s="28"/>
      <c r="E33" s="28"/>
      <c r="F33" s="158" t="str">
        <f>F9</f>
        <v>October</v>
      </c>
      <c r="G33" s="158"/>
      <c r="H33" s="158"/>
      <c r="I33" s="158"/>
      <c r="J33" s="158"/>
      <c r="K33" s="158"/>
      <c r="L33" s="158"/>
      <c r="M33" s="158"/>
      <c r="N33" s="158"/>
      <c r="O33" s="158"/>
      <c r="P33" s="159"/>
      <c r="Q33" s="161" t="s">
        <v>138</v>
      </c>
      <c r="R33" s="162"/>
      <c r="S33" s="162"/>
      <c r="T33" s="162"/>
      <c r="U33" s="162"/>
      <c r="V33" s="162"/>
      <c r="W33" s="162"/>
      <c r="X33" s="162"/>
      <c r="Y33" s="162"/>
      <c r="Z33" s="162"/>
      <c r="AA33" s="163"/>
      <c r="AB33" s="161" t="s">
        <v>58</v>
      </c>
      <c r="AC33" s="162"/>
      <c r="AD33" s="162"/>
      <c r="AE33" s="162"/>
      <c r="AF33" s="164"/>
    </row>
    <row r="34" spans="1:34" s="124" customFormat="1" ht="11.25">
      <c r="A34" s="123"/>
      <c r="B34" s="123"/>
      <c r="C34" s="29"/>
      <c r="D34" s="30"/>
      <c r="E34" s="30"/>
      <c r="F34" s="143"/>
      <c r="G34" s="144"/>
      <c r="H34" s="144"/>
      <c r="I34" s="144"/>
      <c r="J34" s="144"/>
      <c r="K34" s="144"/>
      <c r="L34" s="144"/>
      <c r="M34" s="144"/>
      <c r="N34" s="144"/>
      <c r="O34" s="144"/>
      <c r="P34" s="145"/>
      <c r="Q34" s="144"/>
      <c r="R34" s="144"/>
      <c r="S34" s="144"/>
      <c r="T34" s="144"/>
      <c r="U34" s="144"/>
      <c r="V34" s="144"/>
      <c r="W34" s="144"/>
      <c r="X34" s="144"/>
      <c r="Y34" s="144"/>
      <c r="Z34" s="144"/>
      <c r="AA34" s="145"/>
      <c r="AB34" s="152"/>
      <c r="AC34" s="153"/>
      <c r="AD34" s="153"/>
      <c r="AE34" s="153"/>
      <c r="AF34" s="154"/>
    </row>
    <row r="35" spans="1:34" s="124" customFormat="1" ht="22.5">
      <c r="A35" s="123"/>
      <c r="B35" s="123"/>
      <c r="C35" s="59" t="s">
        <v>29</v>
      </c>
      <c r="D35" s="50"/>
      <c r="E35" s="51"/>
      <c r="F35" s="55">
        <v>2024</v>
      </c>
      <c r="G35" s="52">
        <v>2023</v>
      </c>
      <c r="H35" s="52">
        <v>2022</v>
      </c>
      <c r="I35" s="52">
        <v>2021</v>
      </c>
      <c r="J35" s="52">
        <v>2020</v>
      </c>
      <c r="K35" s="52">
        <v>2019</v>
      </c>
      <c r="L35" s="53" t="s">
        <v>116</v>
      </c>
      <c r="M35" s="53" t="s">
        <v>117</v>
      </c>
      <c r="N35" s="53" t="s">
        <v>118</v>
      </c>
      <c r="O35" s="53" t="s">
        <v>119</v>
      </c>
      <c r="P35" s="57" t="s">
        <v>101</v>
      </c>
      <c r="Q35" s="53" t="s">
        <v>130</v>
      </c>
      <c r="R35" s="53" t="s">
        <v>115</v>
      </c>
      <c r="S35" s="53" t="s">
        <v>53</v>
      </c>
      <c r="T35" s="52" t="s">
        <v>54</v>
      </c>
      <c r="U35" s="52" t="s">
        <v>59</v>
      </c>
      <c r="V35" s="52" t="s">
        <v>64</v>
      </c>
      <c r="W35" s="53" t="s">
        <v>131</v>
      </c>
      <c r="X35" s="53" t="s">
        <v>116</v>
      </c>
      <c r="Y35" s="53" t="s">
        <v>117</v>
      </c>
      <c r="Z35" s="53" t="s">
        <v>118</v>
      </c>
      <c r="AA35" s="57" t="s">
        <v>119</v>
      </c>
      <c r="AB35" s="146"/>
      <c r="AC35" s="53" t="s">
        <v>53</v>
      </c>
      <c r="AD35" s="53" t="s">
        <v>54</v>
      </c>
      <c r="AE35" s="53" t="s">
        <v>65</v>
      </c>
      <c r="AF35" s="57" t="s">
        <v>73</v>
      </c>
      <c r="AH35" s="123"/>
    </row>
    <row r="36" spans="1:34" s="124" customFormat="1" ht="11.25">
      <c r="A36" s="123"/>
      <c r="B36" s="123"/>
      <c r="C36" s="31" t="s">
        <v>108</v>
      </c>
      <c r="D36" s="26"/>
      <c r="E36" s="32"/>
      <c r="F36" s="26"/>
      <c r="G36" s="26"/>
      <c r="H36" s="26"/>
      <c r="I36" s="26"/>
      <c r="J36" s="26"/>
      <c r="K36" s="26"/>
      <c r="L36" s="26"/>
      <c r="M36" s="26"/>
      <c r="N36" s="26"/>
      <c r="O36" s="26"/>
      <c r="P36" s="32"/>
      <c r="Q36" s="26"/>
      <c r="R36" s="26"/>
      <c r="S36" s="26"/>
      <c r="T36" s="26"/>
      <c r="U36" s="26"/>
      <c r="V36" s="123"/>
      <c r="W36" s="26"/>
      <c r="X36" s="26"/>
      <c r="Y36" s="123"/>
      <c r="Z36" s="26"/>
      <c r="AA36" s="32"/>
      <c r="AB36" s="147"/>
      <c r="AC36" s="26"/>
      <c r="AD36" s="26"/>
      <c r="AE36" s="88"/>
      <c r="AF36" s="85"/>
      <c r="AH36" s="123"/>
    </row>
    <row r="37" spans="1:34" s="124" customFormat="1" ht="11.25">
      <c r="A37" s="123"/>
      <c r="B37" s="123"/>
      <c r="C37" s="33"/>
      <c r="D37" s="26" t="s">
        <v>5</v>
      </c>
      <c r="E37" s="32"/>
      <c r="F37" s="74">
        <f t="shared" ref="F37:F38" si="3">F13</f>
        <v>155</v>
      </c>
      <c r="G37" s="74">
        <f t="shared" ref="G37:K38" si="4">+G13</f>
        <v>81</v>
      </c>
      <c r="H37" s="74">
        <f t="shared" si="4"/>
        <v>78</v>
      </c>
      <c r="I37" s="74">
        <f t="shared" si="4"/>
        <v>89</v>
      </c>
      <c r="J37" s="74">
        <f t="shared" si="4"/>
        <v>0</v>
      </c>
      <c r="K37" s="74">
        <f t="shared" si="4"/>
        <v>110</v>
      </c>
      <c r="L37" s="64">
        <f>IFERROR(F37/G37-1,"n/a")</f>
        <v>0.91358024691358031</v>
      </c>
      <c r="M37" s="64">
        <f>IFERROR(F37/H37-1,"n/a")</f>
        <v>0.98717948717948723</v>
      </c>
      <c r="N37" s="64">
        <f>IFERROR(F37/I37-1,"n/a")</f>
        <v>0.7415730337078652</v>
      </c>
      <c r="O37" s="64" t="str">
        <f>IFERROR(F37/J37-1,"n/a")</f>
        <v>n/a</v>
      </c>
      <c r="P37" s="60">
        <f>IFERROR(F37/K37-1,"n/a")</f>
        <v>0.40909090909090917</v>
      </c>
      <c r="Q37" s="74">
        <f>'Sep-24'!Q37+F37</f>
        <v>1107</v>
      </c>
      <c r="R37" s="74">
        <f>'Sep-24'!R37+G37</f>
        <v>706</v>
      </c>
      <c r="S37" s="74">
        <f>'Sep-24'!S37+H37</f>
        <v>621</v>
      </c>
      <c r="T37" s="74">
        <f>'Sep-24'!T37+I37</f>
        <v>228</v>
      </c>
      <c r="U37" s="74">
        <f>'Sep-24'!U37+J37</f>
        <v>42</v>
      </c>
      <c r="V37" s="74">
        <f>'Sep-24'!V37+K37</f>
        <v>696</v>
      </c>
      <c r="W37" s="120">
        <f>IFERROR(Q37/R37-1,"n/a")</f>
        <v>0.56798866855524088</v>
      </c>
      <c r="X37" s="120">
        <f>IFERROR(R37/S37-1,"n/a")</f>
        <v>0.13687600644122377</v>
      </c>
      <c r="Y37" s="120">
        <f>IFERROR(R37/T37-1,"n/a")</f>
        <v>2.0964912280701755</v>
      </c>
      <c r="Z37" s="120">
        <f>IFERROR(R37/U37-1,"n/a")</f>
        <v>15.80952380952381</v>
      </c>
      <c r="AA37" s="121">
        <f>IFERROR(R37/V37-1,"n/a")</f>
        <v>1.4367816091954033E-2</v>
      </c>
      <c r="AB37" s="148"/>
      <c r="AC37" s="89">
        <v>1486</v>
      </c>
      <c r="AD37" s="89">
        <v>1052</v>
      </c>
      <c r="AE37" s="70">
        <v>551</v>
      </c>
      <c r="AF37" s="78">
        <v>1584</v>
      </c>
      <c r="AH37" s="123"/>
    </row>
    <row r="38" spans="1:34" s="124" customFormat="1" ht="11.25">
      <c r="A38" s="123"/>
      <c r="B38" s="123"/>
      <c r="C38" s="33"/>
      <c r="D38" s="26" t="s">
        <v>11</v>
      </c>
      <c r="E38" s="32"/>
      <c r="F38" s="74">
        <f t="shared" si="3"/>
        <v>545702</v>
      </c>
      <c r="G38" s="74">
        <f t="shared" si="4"/>
        <v>282162</v>
      </c>
      <c r="H38" s="74">
        <f t="shared" si="4"/>
        <v>268578</v>
      </c>
      <c r="I38" s="74">
        <f t="shared" si="4"/>
        <v>143120</v>
      </c>
      <c r="J38" s="74">
        <f t="shared" si="4"/>
        <v>0</v>
      </c>
      <c r="K38" s="74">
        <f t="shared" si="4"/>
        <v>299863</v>
      </c>
      <c r="L38" s="64">
        <f>IFERROR(F38/G38-1,"n/a")</f>
        <v>0.93400245249183089</v>
      </c>
      <c r="M38" s="64">
        <f>IFERROR(F38/H38-1,"n/a")</f>
        <v>1.0318194342053331</v>
      </c>
      <c r="N38" s="64">
        <f>IFERROR(F38/I38-1,"n/a")</f>
        <v>2.8128982671883733</v>
      </c>
      <c r="O38" s="64" t="str">
        <f>IFERROR(F38/J38-1,"n/a")</f>
        <v>n/a</v>
      </c>
      <c r="P38" s="60">
        <f>IFERROR(F38/K38-1,"n/a")</f>
        <v>0.81983772589482529</v>
      </c>
      <c r="Q38" s="74">
        <f>'Sep-24'!Q38+F38</f>
        <v>4044142</v>
      </c>
      <c r="R38" s="74">
        <f>'Sep-24'!R38+G38</f>
        <v>2530522</v>
      </c>
      <c r="S38" s="74">
        <f>'Sep-24'!S38+H38</f>
        <v>1904231</v>
      </c>
      <c r="T38" s="74">
        <f>'Sep-24'!T38+I38</f>
        <v>324020</v>
      </c>
      <c r="U38" s="74">
        <f>'Sep-24'!U38+J38</f>
        <v>0</v>
      </c>
      <c r="V38" s="74">
        <f>'Sep-24'!V38+K38</f>
        <v>2192177</v>
      </c>
      <c r="W38" s="120">
        <f>IFERROR(Q38/R38-1,"n/a")</f>
        <v>0.59814536289350584</v>
      </c>
      <c r="X38" s="120">
        <f>IFERROR(R38/S38-1,"n/a")</f>
        <v>0.32889444610449048</v>
      </c>
      <c r="Y38" s="120">
        <f>IFERROR(R38/T38-1,"n/a")</f>
        <v>6.809771001790013</v>
      </c>
      <c r="Z38" s="120" t="str">
        <f>IFERROR(R38/U38-1,"n/a")</f>
        <v>n/a</v>
      </c>
      <c r="AA38" s="121">
        <f>IFERROR(R38/V38-1,"n/a")</f>
        <v>0.15434200796742226</v>
      </c>
      <c r="AB38" s="148"/>
      <c r="AC38" s="89">
        <v>4370939</v>
      </c>
      <c r="AD38" s="89">
        <v>1527970</v>
      </c>
      <c r="AE38" s="84">
        <v>1092884</v>
      </c>
      <c r="AF38" s="78">
        <v>4234259</v>
      </c>
      <c r="AH38" s="123"/>
    </row>
    <row r="39" spans="1:34" s="124" customFormat="1" ht="11.25">
      <c r="A39" s="123"/>
      <c r="B39" s="123"/>
      <c r="C39" s="31" t="s">
        <v>135</v>
      </c>
      <c r="D39" s="26"/>
      <c r="E39" s="32"/>
      <c r="F39" s="26"/>
      <c r="G39" s="26"/>
      <c r="H39" s="26"/>
      <c r="I39" s="26"/>
      <c r="J39" s="26"/>
      <c r="K39" s="26"/>
      <c r="L39" s="64"/>
      <c r="M39" s="64"/>
      <c r="N39" s="64"/>
      <c r="O39" s="64"/>
      <c r="P39" s="61"/>
      <c r="Q39" s="26"/>
      <c r="R39" s="26"/>
      <c r="S39" s="26"/>
      <c r="T39" s="26"/>
      <c r="U39" s="26"/>
      <c r="V39" s="26"/>
      <c r="W39" s="65"/>
      <c r="X39" s="65"/>
      <c r="Y39" s="65"/>
      <c r="Z39" s="65"/>
      <c r="AA39" s="61"/>
      <c r="AB39" s="149"/>
      <c r="AC39" s="90"/>
      <c r="AD39" s="90"/>
      <c r="AE39" s="44"/>
      <c r="AF39" s="79"/>
      <c r="AH39" s="123"/>
    </row>
    <row r="40" spans="1:34" s="124" customFormat="1" ht="11.25">
      <c r="A40" s="123"/>
      <c r="B40" s="123"/>
      <c r="C40" s="33"/>
      <c r="D40" s="26" t="s">
        <v>5</v>
      </c>
      <c r="E40" s="32"/>
      <c r="F40" s="74">
        <f t="shared" ref="F40:F41" si="5">F16</f>
        <v>122</v>
      </c>
      <c r="G40" s="74">
        <f t="shared" ref="G40:K41" si="6">+G16</f>
        <v>87</v>
      </c>
      <c r="H40" s="74">
        <f t="shared" si="6"/>
        <v>89</v>
      </c>
      <c r="I40" s="74">
        <f t="shared" si="6"/>
        <v>33</v>
      </c>
      <c r="J40" s="74">
        <f t="shared" si="6"/>
        <v>17</v>
      </c>
      <c r="K40" s="74">
        <f t="shared" si="6"/>
        <v>114</v>
      </c>
      <c r="L40" s="64">
        <f>IFERROR(F40/G40-1,"n/a")</f>
        <v>0.40229885057471271</v>
      </c>
      <c r="M40" s="64">
        <f>IFERROR(F40/H40-1,"n/a")</f>
        <v>0.3707865168539326</v>
      </c>
      <c r="N40" s="64">
        <f>IFERROR(F40/I40-1,"n/a")</f>
        <v>2.6969696969696968</v>
      </c>
      <c r="O40" s="64">
        <f>IFERROR(F40/J40-1,"n/a")</f>
        <v>6.1764705882352944</v>
      </c>
      <c r="P40" s="60">
        <f>IFERROR(F40/K40-1,"n/a")</f>
        <v>7.0175438596491224E-2</v>
      </c>
      <c r="Q40" s="74">
        <f>'Sep-24'!Q40+F40</f>
        <v>684</v>
      </c>
      <c r="R40" s="74">
        <f>'Sep-24'!R40+G40</f>
        <v>486</v>
      </c>
      <c r="S40" s="74">
        <f>'Sep-24'!S40+H40</f>
        <v>504</v>
      </c>
      <c r="T40" s="74">
        <f>'Sep-24'!T40+I40</f>
        <v>157</v>
      </c>
      <c r="U40" s="74">
        <f>'Sep-24'!U40+J40</f>
        <v>28</v>
      </c>
      <c r="V40" s="74">
        <f>'Sep-24'!V40+K40</f>
        <v>494</v>
      </c>
      <c r="W40" s="120">
        <f>IFERROR(Q40/R40-1,"n/a")</f>
        <v>0.40740740740740744</v>
      </c>
      <c r="X40" s="120">
        <f>IFERROR(R40/S40-1,"n/a")</f>
        <v>-3.5714285714285698E-2</v>
      </c>
      <c r="Y40" s="120">
        <f>IFERROR(R40/T40-1,"n/a")</f>
        <v>2.0955414012738856</v>
      </c>
      <c r="Z40" s="120">
        <f>IFERROR(R40/U40-1,"n/a")</f>
        <v>16.357142857142858</v>
      </c>
      <c r="AA40" s="121">
        <f>IFERROR(R40/V40-1,"n/a")</f>
        <v>-1.619433198380571E-2</v>
      </c>
      <c r="AB40" s="148"/>
      <c r="AC40" s="89">
        <v>563</v>
      </c>
      <c r="AD40" s="89">
        <v>226</v>
      </c>
      <c r="AE40" s="70">
        <v>66</v>
      </c>
      <c r="AF40" s="78">
        <v>573</v>
      </c>
      <c r="AH40" s="123"/>
    </row>
    <row r="41" spans="1:34" s="124" customFormat="1" ht="11.25">
      <c r="A41" s="123"/>
      <c r="B41" s="123"/>
      <c r="C41" s="33"/>
      <c r="D41" s="26" t="s">
        <v>11</v>
      </c>
      <c r="E41" s="32"/>
      <c r="F41" s="74">
        <f t="shared" si="5"/>
        <v>261443</v>
      </c>
      <c r="G41" s="74">
        <f t="shared" si="6"/>
        <v>199183</v>
      </c>
      <c r="H41" s="74">
        <f t="shared" si="6"/>
        <v>124605</v>
      </c>
      <c r="I41" s="74">
        <f t="shared" si="6"/>
        <v>44045</v>
      </c>
      <c r="J41" s="74">
        <f t="shared" si="6"/>
        <v>13954</v>
      </c>
      <c r="K41" s="74">
        <f t="shared" si="6"/>
        <v>223063</v>
      </c>
      <c r="L41" s="64">
        <f>IFERROR(F41/G41-1,"n/a")</f>
        <v>0.31257687654066868</v>
      </c>
      <c r="M41" s="64">
        <f>IFERROR(F41/H41-1,"n/a")</f>
        <v>1.0981742305685969</v>
      </c>
      <c r="N41" s="64">
        <f>IFERROR(F41/I41-1,"n/a")</f>
        <v>4.9358156430922921</v>
      </c>
      <c r="O41" s="64">
        <f>IFERROR(F41/J41-1,"n/a")</f>
        <v>17.736061344417372</v>
      </c>
      <c r="P41" s="60">
        <f>IFERROR(F41/K41-1,"n/a")</f>
        <v>0.17205901471781515</v>
      </c>
      <c r="Q41" s="74">
        <f>'Sep-24'!Q41+F41</f>
        <v>1792524</v>
      </c>
      <c r="R41" s="74">
        <f>'Sep-24'!R41+G41</f>
        <v>1449875</v>
      </c>
      <c r="S41" s="74">
        <f>'Sep-24'!S41+H41</f>
        <v>860029</v>
      </c>
      <c r="T41" s="74">
        <f>'Sep-24'!T41+I41</f>
        <v>249228</v>
      </c>
      <c r="U41" s="74">
        <f>'Sep-24'!U41+J41</f>
        <v>22567</v>
      </c>
      <c r="V41" s="74">
        <f>'Sep-24'!V41+K41</f>
        <v>1224579</v>
      </c>
      <c r="W41" s="120">
        <f>IFERROR(Q41/R41-1,"n/a")</f>
        <v>0.23633002845072859</v>
      </c>
      <c r="X41" s="120">
        <f>IFERROR(R41/S41-1,"n/a")</f>
        <v>0.68584431455218375</v>
      </c>
      <c r="Y41" s="120">
        <f>IFERROR(R41/T41-1,"n/a")</f>
        <v>4.8174643298505782</v>
      </c>
      <c r="Z41" s="120">
        <f>IFERROR(R41/U41-1,"n/a")</f>
        <v>63.247573891079895</v>
      </c>
      <c r="AA41" s="121">
        <f>IFERROR(R41/V41-1,"n/a")</f>
        <v>0.18397833051195556</v>
      </c>
      <c r="AB41" s="148"/>
      <c r="AC41" s="89">
        <v>1012510</v>
      </c>
      <c r="AD41" s="89">
        <v>327926</v>
      </c>
      <c r="AE41" s="84">
        <v>80778</v>
      </c>
      <c r="AF41" s="78">
        <v>1361671</v>
      </c>
      <c r="AH41" s="123"/>
    </row>
    <row r="42" spans="1:34" s="124" customFormat="1" ht="11.25">
      <c r="A42" s="123"/>
      <c r="B42" s="123"/>
      <c r="C42" s="31" t="s">
        <v>110</v>
      </c>
      <c r="D42" s="26"/>
      <c r="E42" s="32"/>
      <c r="F42" s="87"/>
      <c r="G42" s="87"/>
      <c r="H42" s="87"/>
      <c r="I42" s="87"/>
      <c r="J42" s="87"/>
      <c r="K42" s="87"/>
      <c r="L42" s="64"/>
      <c r="M42" s="64"/>
      <c r="N42" s="64"/>
      <c r="O42" s="64"/>
      <c r="P42" s="60"/>
      <c r="Q42" s="87"/>
      <c r="R42" s="87"/>
      <c r="S42" s="87"/>
      <c r="T42" s="87"/>
      <c r="U42" s="87"/>
      <c r="V42" s="72"/>
      <c r="W42" s="64"/>
      <c r="X42" s="64"/>
      <c r="Y42" s="64"/>
      <c r="Z42" s="64"/>
      <c r="AA42" s="60"/>
      <c r="AB42" s="148"/>
      <c r="AC42" s="90"/>
      <c r="AD42" s="90"/>
      <c r="AE42" s="44"/>
      <c r="AF42" s="79"/>
      <c r="AH42" s="123"/>
    </row>
    <row r="43" spans="1:34" s="124" customFormat="1" ht="11.25">
      <c r="A43" s="123"/>
      <c r="B43" s="123"/>
      <c r="C43" s="33"/>
      <c r="D43" s="26" t="s">
        <v>5</v>
      </c>
      <c r="E43" s="32"/>
      <c r="F43" s="74">
        <f t="shared" ref="F43:F44" si="7">F19</f>
        <v>123</v>
      </c>
      <c r="G43" s="74">
        <f t="shared" ref="G43:K44" si="8">+G19</f>
        <v>117</v>
      </c>
      <c r="H43" s="74">
        <f t="shared" si="8"/>
        <v>97</v>
      </c>
      <c r="I43" s="74">
        <f t="shared" si="8"/>
        <v>15</v>
      </c>
      <c r="J43" s="74">
        <f t="shared" si="8"/>
        <v>1</v>
      </c>
      <c r="K43" s="74">
        <f t="shared" si="8"/>
        <v>34</v>
      </c>
      <c r="L43" s="64">
        <f>IFERROR(F43/G43-1,"n/a")</f>
        <v>5.1282051282051322E-2</v>
      </c>
      <c r="M43" s="64">
        <f>IFERROR(F43/H43-1,"n/a")</f>
        <v>0.268041237113402</v>
      </c>
      <c r="N43" s="64">
        <f>IFERROR(F43/I43-1,"n/a")</f>
        <v>7.1999999999999993</v>
      </c>
      <c r="O43" s="64">
        <f>IFERROR(F43/J43-1,"n/a")</f>
        <v>122</v>
      </c>
      <c r="P43" s="60">
        <f>IFERROR(F43/K43-1,"n/a")</f>
        <v>2.6176470588235294</v>
      </c>
      <c r="Q43" s="74">
        <f>'Sep-24'!Q43+F43</f>
        <v>675</v>
      </c>
      <c r="R43" s="74">
        <f>'Sep-24'!R43+G43</f>
        <v>638</v>
      </c>
      <c r="S43" s="74">
        <f>'Sep-24'!S43+H43</f>
        <v>598</v>
      </c>
      <c r="T43" s="74">
        <f>'Sep-24'!T43+I43</f>
        <v>31</v>
      </c>
      <c r="U43" s="74">
        <f>'Sep-24'!U43+J43</f>
        <v>6</v>
      </c>
      <c r="V43" s="74">
        <f>'Sep-24'!V43+K43</f>
        <v>259</v>
      </c>
      <c r="W43" s="120">
        <f>IFERROR(Q43/R43-1,"n/a")</f>
        <v>5.7993730407523536E-2</v>
      </c>
      <c r="X43" s="120">
        <f>IFERROR(R43/S43-1,"n/a")</f>
        <v>6.6889632107023367E-2</v>
      </c>
      <c r="Y43" s="120">
        <f>IFERROR(R43/T43-1,"n/a")</f>
        <v>19.580645161290324</v>
      </c>
      <c r="Z43" s="120">
        <f>IFERROR(R43/U43-1,"n/a")</f>
        <v>105.33333333333333</v>
      </c>
      <c r="AA43" s="121">
        <f>IFERROR(R43/V43-1,"n/a")</f>
        <v>1.4633204633204633</v>
      </c>
      <c r="AB43" s="148"/>
      <c r="AC43" s="89">
        <v>669</v>
      </c>
      <c r="AD43" s="89">
        <v>59</v>
      </c>
      <c r="AE43" s="70">
        <v>9</v>
      </c>
      <c r="AF43" s="78">
        <v>287</v>
      </c>
      <c r="AH43" s="123"/>
    </row>
    <row r="44" spans="1:34" s="124" customFormat="1" ht="11.25">
      <c r="A44" s="123"/>
      <c r="B44" s="123"/>
      <c r="C44" s="33"/>
      <c r="D44" s="26" t="s">
        <v>11</v>
      </c>
      <c r="E44" s="32"/>
      <c r="F44" s="74">
        <f t="shared" si="7"/>
        <v>217519</v>
      </c>
      <c r="G44" s="74">
        <f t="shared" si="8"/>
        <v>211817</v>
      </c>
      <c r="H44" s="74">
        <f t="shared" si="8"/>
        <v>133084</v>
      </c>
      <c r="I44" s="74">
        <f t="shared" si="8"/>
        <v>6450</v>
      </c>
      <c r="J44" s="74">
        <f t="shared" si="8"/>
        <v>0</v>
      </c>
      <c r="K44" s="74">
        <f t="shared" si="8"/>
        <v>67246</v>
      </c>
      <c r="L44" s="64">
        <f>IFERROR(F44/G44-1,"n/a")</f>
        <v>2.6919463499152529E-2</v>
      </c>
      <c r="M44" s="64">
        <f>IFERROR(F44/H44-1,"n/a")</f>
        <v>0.6344489194794265</v>
      </c>
      <c r="N44" s="64">
        <f>IFERROR(F44/I44-1,"n/a")</f>
        <v>32.723875968992246</v>
      </c>
      <c r="O44" s="64" t="str">
        <f>IFERROR(F44/J44-1,"n/a")</f>
        <v>n/a</v>
      </c>
      <c r="P44" s="60">
        <f>IFERROR(F44/K44-1,"n/a")</f>
        <v>2.2346756684412457</v>
      </c>
      <c r="Q44" s="74">
        <f>'Sep-24'!Q44+F44</f>
        <v>1414722.4</v>
      </c>
      <c r="R44" s="74">
        <f>'Sep-24'!R44+G44</f>
        <v>1204396</v>
      </c>
      <c r="S44" s="74">
        <f>'Sep-24'!S44+H44</f>
        <v>834057</v>
      </c>
      <c r="T44" s="74">
        <f>'Sep-24'!T44+I44</f>
        <v>10992</v>
      </c>
      <c r="U44" s="74">
        <f>'Sep-24'!U44+J44</f>
        <v>8294</v>
      </c>
      <c r="V44" s="74">
        <f>'Sep-24'!V44+K44</f>
        <v>548524</v>
      </c>
      <c r="W44" s="120">
        <f>IFERROR(Q44/R44-1,"n/a")</f>
        <v>0.17463226380692065</v>
      </c>
      <c r="X44" s="120">
        <f>IFERROR(R44/S44-1,"n/a")</f>
        <v>0.44402121197951705</v>
      </c>
      <c r="Y44" s="120">
        <f>IFERROR(R44/T44-1,"n/a")</f>
        <v>108.57023289665212</v>
      </c>
      <c r="Z44" s="120">
        <f>IFERROR(R44/U44-1,"n/a")</f>
        <v>144.21292500602846</v>
      </c>
      <c r="AA44" s="121">
        <f>IFERROR(R44/V44-1,"n/a")</f>
        <v>1.1957033785212681</v>
      </c>
      <c r="AB44" s="148"/>
      <c r="AC44" s="82">
        <v>905256</v>
      </c>
      <c r="AD44" s="82">
        <v>20626</v>
      </c>
      <c r="AE44" s="84">
        <v>10047</v>
      </c>
      <c r="AF44" s="78">
        <v>581199</v>
      </c>
      <c r="AH44" s="123"/>
    </row>
    <row r="45" spans="1:34" s="124" customFormat="1" ht="11.25">
      <c r="A45" s="123"/>
      <c r="B45" s="123"/>
      <c r="C45" s="31" t="s">
        <v>111</v>
      </c>
      <c r="D45" s="26"/>
      <c r="E45" s="34"/>
      <c r="F45" s="72"/>
      <c r="G45" s="72"/>
      <c r="H45" s="72"/>
      <c r="I45" s="72"/>
      <c r="J45" s="72"/>
      <c r="K45" s="72"/>
      <c r="L45" s="64"/>
      <c r="M45" s="64"/>
      <c r="N45" s="64"/>
      <c r="O45" s="64"/>
      <c r="P45" s="60"/>
      <c r="Q45" s="72"/>
      <c r="R45" s="72"/>
      <c r="S45" s="72"/>
      <c r="T45" s="72"/>
      <c r="U45" s="72"/>
      <c r="V45" s="72"/>
      <c r="W45" s="64"/>
      <c r="X45" s="64"/>
      <c r="Y45" s="64"/>
      <c r="Z45" s="64"/>
      <c r="AA45" s="60"/>
      <c r="AB45" s="148"/>
      <c r="AC45" s="90"/>
      <c r="AD45" s="90"/>
      <c r="AE45" s="44"/>
      <c r="AF45" s="79"/>
      <c r="AH45" s="123"/>
    </row>
    <row r="46" spans="1:34" s="124" customFormat="1" ht="11.25">
      <c r="A46" s="123"/>
      <c r="B46" s="123"/>
      <c r="C46" s="33"/>
      <c r="D46" s="26" t="s">
        <v>5</v>
      </c>
      <c r="E46" s="34"/>
      <c r="F46" s="74">
        <f t="shared" ref="F46:F47" si="9">F22</f>
        <v>189</v>
      </c>
      <c r="G46" s="74">
        <f t="shared" ref="G46:K47" si="10">+G22</f>
        <v>185</v>
      </c>
      <c r="H46" s="74">
        <f t="shared" si="10"/>
        <v>149</v>
      </c>
      <c r="I46" s="74">
        <f t="shared" si="10"/>
        <v>107</v>
      </c>
      <c r="J46" s="74">
        <f t="shared" si="10"/>
        <v>0</v>
      </c>
      <c r="K46" s="74">
        <f t="shared" si="10"/>
        <v>127</v>
      </c>
      <c r="L46" s="64">
        <f>IFERROR(F46/G46-1,"n/a")</f>
        <v>2.1621621621621623E-2</v>
      </c>
      <c r="M46" s="64">
        <f>IFERROR(F46/H46-1,"n/a")</f>
        <v>0.26845637583892623</v>
      </c>
      <c r="N46" s="64">
        <f>IFERROR(F46/I46-1,"n/a")</f>
        <v>0.76635514018691597</v>
      </c>
      <c r="O46" s="64" t="str">
        <f>IFERROR(F46/J46-1,"n/a")</f>
        <v>n/a</v>
      </c>
      <c r="P46" s="60">
        <f>IFERROR(F46/K46-1,"n/a")</f>
        <v>0.48818897637795278</v>
      </c>
      <c r="Q46" s="74">
        <f>'Sep-24'!Q46+F46</f>
        <v>928</v>
      </c>
      <c r="R46" s="74">
        <f>'Sep-24'!R46+G46</f>
        <v>874</v>
      </c>
      <c r="S46" s="74">
        <f>'Sep-24'!S46+H46</f>
        <v>644</v>
      </c>
      <c r="T46" s="74">
        <f>'Sep-24'!T46+I46</f>
        <v>191</v>
      </c>
      <c r="U46" s="74">
        <f>'Sep-24'!U46+J46</f>
        <v>0</v>
      </c>
      <c r="V46" s="74">
        <f>'Sep-24'!V46+K46</f>
        <v>623</v>
      </c>
      <c r="W46" s="120">
        <f>IFERROR(Q46/R46-1,"n/a")</f>
        <v>6.1784897025171537E-2</v>
      </c>
      <c r="X46" s="120">
        <f>IFERROR(R46/S46-1,"n/a")</f>
        <v>0.35714285714285721</v>
      </c>
      <c r="Y46" s="120">
        <f>IFERROR(R46/T46-1,"n/a")</f>
        <v>3.5759162303664924</v>
      </c>
      <c r="Z46" s="120" t="str">
        <f>IFERROR(R46/U46-1,"n/a")</f>
        <v>n/a</v>
      </c>
      <c r="AA46" s="121">
        <f>IFERROR(R46/V46-1,"n/a")</f>
        <v>0.4028892455858748</v>
      </c>
      <c r="AB46" s="148"/>
      <c r="AC46" s="89">
        <v>1129</v>
      </c>
      <c r="AD46" s="89">
        <v>336</v>
      </c>
      <c r="AE46" s="84">
        <v>43</v>
      </c>
      <c r="AF46" s="78">
        <v>781</v>
      </c>
      <c r="AH46" s="123"/>
    </row>
    <row r="47" spans="1:34" s="124" customFormat="1" ht="11.25">
      <c r="A47" s="123"/>
      <c r="B47" s="123"/>
      <c r="C47" s="33"/>
      <c r="D47" s="26" t="s">
        <v>11</v>
      </c>
      <c r="E47" s="32"/>
      <c r="F47" s="74">
        <f t="shared" si="9"/>
        <v>459752</v>
      </c>
      <c r="G47" s="74">
        <f t="shared" si="10"/>
        <v>513716</v>
      </c>
      <c r="H47" s="74">
        <f t="shared" si="10"/>
        <v>338461</v>
      </c>
      <c r="I47" s="74">
        <f t="shared" si="10"/>
        <v>174505</v>
      </c>
      <c r="J47" s="74">
        <f t="shared" si="10"/>
        <v>0</v>
      </c>
      <c r="K47" s="74">
        <f t="shared" si="10"/>
        <v>332808</v>
      </c>
      <c r="L47" s="64">
        <f>IFERROR(F47/G47-1,"n/a")</f>
        <v>-0.10504636803214229</v>
      </c>
      <c r="M47" s="64">
        <f>IFERROR(F47/H47-1,"n/a")</f>
        <v>0.35836034284600005</v>
      </c>
      <c r="N47" s="64">
        <f>IFERROR(F47/I47-1,"n/a")</f>
        <v>1.6346064582676716</v>
      </c>
      <c r="O47" s="64" t="str">
        <f>IFERROR(F47/J47-1,"n/a")</f>
        <v>n/a</v>
      </c>
      <c r="P47" s="60">
        <f>IFERROR(F47/K47-1,"n/a")</f>
        <v>0.38143313862647532</v>
      </c>
      <c r="Q47" s="74">
        <f>'Sep-24'!Q47+F47</f>
        <v>2950409</v>
      </c>
      <c r="R47" s="74">
        <f>'Sep-24'!R47+G47</f>
        <v>2731264</v>
      </c>
      <c r="S47" s="74">
        <f>'Sep-24'!S47+H47</f>
        <v>1602431</v>
      </c>
      <c r="T47" s="74">
        <f>'Sep-24'!T47+I47</f>
        <v>342388</v>
      </c>
      <c r="U47" s="74">
        <f>'Sep-24'!U47+J47</f>
        <v>0</v>
      </c>
      <c r="V47" s="74">
        <f>'Sep-24'!V47+K47</f>
        <v>1978352</v>
      </c>
      <c r="W47" s="120">
        <f>IFERROR(Q47/R47-1,"n/a")</f>
        <v>8.0235744329365533E-2</v>
      </c>
      <c r="X47" s="120">
        <f>IFERROR(R47/S47-1,"n/a")</f>
        <v>0.70445030082418536</v>
      </c>
      <c r="Y47" s="120">
        <f>IFERROR(R47/T47-1,"n/a")</f>
        <v>6.9771020012383609</v>
      </c>
      <c r="Z47" s="120" t="str">
        <f>IFERROR(R47/U47-1,"n/a")</f>
        <v>n/a</v>
      </c>
      <c r="AA47" s="121">
        <f>IFERROR(R47/V47-1,"n/a")</f>
        <v>0.38057534756201128</v>
      </c>
      <c r="AB47" s="148"/>
      <c r="AC47" s="82">
        <v>2932981</v>
      </c>
      <c r="AD47" s="82">
        <v>533563</v>
      </c>
      <c r="AE47" s="84">
        <v>140552</v>
      </c>
      <c r="AF47" s="78">
        <v>2441594</v>
      </c>
      <c r="AH47" s="123"/>
    </row>
    <row r="48" spans="1:34" s="124" customFormat="1" ht="11.25">
      <c r="C48" s="31" t="s">
        <v>112</v>
      </c>
      <c r="D48" s="26"/>
      <c r="E48" s="32"/>
      <c r="F48" s="72"/>
      <c r="G48" s="72"/>
      <c r="H48" s="72"/>
      <c r="I48" s="72"/>
      <c r="J48" s="72"/>
      <c r="K48" s="72"/>
      <c r="L48" s="64"/>
      <c r="M48" s="64"/>
      <c r="N48" s="64"/>
      <c r="O48" s="64"/>
      <c r="P48" s="60"/>
      <c r="Q48" s="72"/>
      <c r="R48" s="72"/>
      <c r="S48" s="72"/>
      <c r="T48" s="72"/>
      <c r="U48" s="72"/>
      <c r="V48" s="72"/>
      <c r="W48" s="64"/>
      <c r="X48" s="64"/>
      <c r="Y48" s="64"/>
      <c r="Z48" s="64"/>
      <c r="AA48" s="60"/>
      <c r="AB48" s="148"/>
      <c r="AC48" s="90"/>
      <c r="AD48" s="90"/>
      <c r="AE48" s="44"/>
      <c r="AF48" s="79"/>
      <c r="AH48" s="123"/>
    </row>
    <row r="49" spans="3:34" s="124" customFormat="1" ht="11.25">
      <c r="C49" s="33"/>
      <c r="D49" s="26" t="s">
        <v>5</v>
      </c>
      <c r="E49" s="32"/>
      <c r="F49" s="74">
        <f t="shared" ref="F49:F50" si="11">F25</f>
        <v>2</v>
      </c>
      <c r="G49" s="74">
        <f t="shared" ref="G49:K50" si="12">+G25</f>
        <v>2</v>
      </c>
      <c r="H49" s="74">
        <f t="shared" si="12"/>
        <v>1</v>
      </c>
      <c r="I49" s="74">
        <f t="shared" si="12"/>
        <v>0</v>
      </c>
      <c r="J49" s="74">
        <f t="shared" si="12"/>
        <v>0</v>
      </c>
      <c r="K49" s="74">
        <f t="shared" si="12"/>
        <v>3</v>
      </c>
      <c r="L49" s="64">
        <f>IFERROR(F49/G49-1,"n/a")</f>
        <v>0</v>
      </c>
      <c r="M49" s="64">
        <f>IFERROR(F49/H49-1,"n/a")</f>
        <v>1</v>
      </c>
      <c r="N49" s="64" t="str">
        <f>IFERROR(F49/I49-1,"n/a")</f>
        <v>n/a</v>
      </c>
      <c r="O49" s="64" t="str">
        <f>IFERROR(F49/J49-1,"n/a")</f>
        <v>n/a</v>
      </c>
      <c r="P49" s="60">
        <f>IFERROR(F49/K49-1,"n/a")</f>
        <v>-0.33333333333333337</v>
      </c>
      <c r="Q49" s="74">
        <f>'Sep-24'!Q49+F49</f>
        <v>14</v>
      </c>
      <c r="R49" s="74">
        <f>'Sep-24'!R49+G49</f>
        <v>21</v>
      </c>
      <c r="S49" s="74">
        <f>'Sep-24'!S49+H49</f>
        <v>9</v>
      </c>
      <c r="T49" s="74">
        <f>'Sep-24'!T49+I49</f>
        <v>0</v>
      </c>
      <c r="U49" s="74">
        <f>'Sep-24'!U49+J49</f>
        <v>0</v>
      </c>
      <c r="V49" s="74">
        <f>'Sep-24'!V49+K49</f>
        <v>16</v>
      </c>
      <c r="W49" s="120">
        <f t="shared" ref="W49:X52" si="13">IFERROR(Q49/R49-1,"n/a")</f>
        <v>-0.33333333333333337</v>
      </c>
      <c r="X49" s="120">
        <f t="shared" si="13"/>
        <v>1.3333333333333335</v>
      </c>
      <c r="Y49" s="120" t="str">
        <f>IFERROR(R49/T49-1,"n/a")</f>
        <v>n/a</v>
      </c>
      <c r="Z49" s="120" t="str">
        <f>IFERROR(R49/U49-1,"n/a")</f>
        <v>n/a</v>
      </c>
      <c r="AA49" s="121">
        <f>IFERROR(R49/V49-1,"n/a")</f>
        <v>0.3125</v>
      </c>
      <c r="AB49" s="148"/>
      <c r="AC49" s="89">
        <v>9</v>
      </c>
      <c r="AD49" s="68">
        <v>0</v>
      </c>
      <c r="AE49" s="68">
        <v>0</v>
      </c>
      <c r="AF49" s="78">
        <v>16</v>
      </c>
      <c r="AH49" s="123"/>
    </row>
    <row r="50" spans="3:34" s="124" customFormat="1" ht="11.25">
      <c r="C50" s="33"/>
      <c r="D50" s="26" t="s">
        <v>11</v>
      </c>
      <c r="E50" s="32"/>
      <c r="F50" s="74">
        <f t="shared" si="11"/>
        <v>3500</v>
      </c>
      <c r="G50" s="74">
        <f t="shared" si="12"/>
        <v>4312</v>
      </c>
      <c r="H50" s="74">
        <f t="shared" si="12"/>
        <v>2358</v>
      </c>
      <c r="I50" s="74">
        <f t="shared" si="12"/>
        <v>0</v>
      </c>
      <c r="J50" s="74">
        <f t="shared" si="12"/>
        <v>0</v>
      </c>
      <c r="K50" s="74">
        <f t="shared" si="12"/>
        <v>3957</v>
      </c>
      <c r="L50" s="64">
        <f>IFERROR(F50/G50-1,"n/a")</f>
        <v>-0.18831168831168832</v>
      </c>
      <c r="M50" s="64">
        <f>IFERROR(F50/H50-1,"n/a")</f>
        <v>0.48430873621713322</v>
      </c>
      <c r="N50" s="64" t="str">
        <f>IFERROR(F50/I50-1,"n/a")</f>
        <v>n/a</v>
      </c>
      <c r="O50" s="64" t="str">
        <f>IFERROR(F50/J50-1,"n/a")</f>
        <v>n/a</v>
      </c>
      <c r="P50" s="60">
        <f>IFERROR(F50/K50-1,"n/a")</f>
        <v>-0.1154915339903968</v>
      </c>
      <c r="Q50" s="74">
        <f>'Sep-24'!Q50+F50</f>
        <v>47798</v>
      </c>
      <c r="R50" s="74">
        <f>'Sep-24'!R50+G50</f>
        <v>38626</v>
      </c>
      <c r="S50" s="74">
        <f>'Sep-24'!S50+H50</f>
        <v>15637</v>
      </c>
      <c r="T50" s="74">
        <f>'Sep-24'!T50+I50</f>
        <v>0</v>
      </c>
      <c r="U50" s="74">
        <f>'Sep-24'!U50+J50</f>
        <v>0</v>
      </c>
      <c r="V50" s="74">
        <f>'Sep-24'!V50+K50</f>
        <v>20248</v>
      </c>
      <c r="W50" s="120">
        <f t="shared" si="13"/>
        <v>0.23745663542691453</v>
      </c>
      <c r="X50" s="120">
        <f t="shared" si="13"/>
        <v>1.4701669118117286</v>
      </c>
      <c r="Y50" s="120" t="str">
        <f>IFERROR(R50/T50-1,"n/a")</f>
        <v>n/a</v>
      </c>
      <c r="Z50" s="120" t="str">
        <f>IFERROR(R50/U50-1,"n/a")</f>
        <v>n/a</v>
      </c>
      <c r="AA50" s="121">
        <f>IFERROR(R50/V50-1,"n/a")</f>
        <v>0.90764519952587919</v>
      </c>
      <c r="AB50" s="148"/>
      <c r="AC50" s="82">
        <v>15637</v>
      </c>
      <c r="AD50" s="68">
        <v>0</v>
      </c>
      <c r="AE50" s="68">
        <v>0</v>
      </c>
      <c r="AF50" s="78">
        <v>20248</v>
      </c>
      <c r="AH50" s="123"/>
    </row>
    <row r="51" spans="3:34" s="124" customFormat="1" ht="12" thickBot="1">
      <c r="C51" s="35" t="s">
        <v>12</v>
      </c>
      <c r="D51" s="36"/>
      <c r="E51" s="37"/>
      <c r="F51" s="75">
        <f>F37+F40+F43+F46+F49</f>
        <v>591</v>
      </c>
      <c r="G51" s="75">
        <f>G37+G40+G43+G46+G49</f>
        <v>472</v>
      </c>
      <c r="H51" s="75">
        <f t="shared" ref="H51:K52" si="14">H37+H40+H43+H46+H49</f>
        <v>414</v>
      </c>
      <c r="I51" s="75">
        <f t="shared" si="14"/>
        <v>244</v>
      </c>
      <c r="J51" s="75">
        <f t="shared" si="14"/>
        <v>18</v>
      </c>
      <c r="K51" s="75">
        <f t="shared" si="14"/>
        <v>388</v>
      </c>
      <c r="L51" s="66">
        <f>IFERROR(F51/G51-1,"n/a")</f>
        <v>0.25211864406779672</v>
      </c>
      <c r="M51" s="66">
        <f>IFERROR(F51/H51-1,"n/a")</f>
        <v>0.42753623188405787</v>
      </c>
      <c r="N51" s="66">
        <f>IFERROR(F51/I51-1,"n/a")</f>
        <v>1.4221311475409837</v>
      </c>
      <c r="O51" s="66">
        <f>IFERROR(F51/J51-1,"n/a")</f>
        <v>31.833333333333336</v>
      </c>
      <c r="P51" s="62">
        <f>IFERROR(F51/K51-1,"n/a")</f>
        <v>0.52319587628865971</v>
      </c>
      <c r="Q51" s="75">
        <f t="shared" ref="Q51:V52" si="15">Q37+Q40+Q43+Q46+Q49</f>
        <v>3408</v>
      </c>
      <c r="R51" s="75">
        <f t="shared" si="15"/>
        <v>2725</v>
      </c>
      <c r="S51" s="75">
        <f>S37+S40+S43+S46+S49</f>
        <v>2376</v>
      </c>
      <c r="T51" s="75">
        <f t="shared" si="15"/>
        <v>607</v>
      </c>
      <c r="U51" s="75">
        <f t="shared" si="15"/>
        <v>76</v>
      </c>
      <c r="V51" s="75">
        <f t="shared" si="15"/>
        <v>2088</v>
      </c>
      <c r="W51" s="66">
        <f t="shared" si="13"/>
        <v>0.25064220183486241</v>
      </c>
      <c r="X51" s="66">
        <f t="shared" si="13"/>
        <v>0.14688552188552184</v>
      </c>
      <c r="Y51" s="66">
        <f>IFERROR(R51/T51-1,"n/a")</f>
        <v>3.4892915980230645</v>
      </c>
      <c r="Z51" s="66">
        <f t="shared" ref="Z51:Z52" si="16">IFERROR(R51/U51-1,"n/a")</f>
        <v>34.85526315789474</v>
      </c>
      <c r="AA51" s="62">
        <f>IFERROR(R51/V51-1,"n/a")</f>
        <v>0.30507662835249039</v>
      </c>
      <c r="AB51" s="66"/>
      <c r="AC51" s="46">
        <f t="shared" ref="AC51:AE52" si="17">AC37+AC40+AC43+AC46+AC49</f>
        <v>3856</v>
      </c>
      <c r="AD51" s="46">
        <f t="shared" si="17"/>
        <v>1673</v>
      </c>
      <c r="AE51" s="46">
        <f t="shared" si="17"/>
        <v>669</v>
      </c>
      <c r="AF51" s="80">
        <f>AF37+AF40+AF43+AF46+AF49</f>
        <v>3241</v>
      </c>
      <c r="AH51" s="123"/>
    </row>
    <row r="52" spans="3:34" s="124" customFormat="1" ht="12.75" thickTop="1" thickBot="1">
      <c r="C52" s="38" t="s">
        <v>13</v>
      </c>
      <c r="D52" s="39"/>
      <c r="E52" s="40"/>
      <c r="F52" s="76">
        <f>F38+F41+F44+F47+F50</f>
        <v>1487916</v>
      </c>
      <c r="G52" s="76">
        <f>G38+G41+G44+G47+G50</f>
        <v>1211190</v>
      </c>
      <c r="H52" s="76">
        <f t="shared" si="14"/>
        <v>867086</v>
      </c>
      <c r="I52" s="76">
        <f t="shared" si="14"/>
        <v>368120</v>
      </c>
      <c r="J52" s="76">
        <f t="shared" si="14"/>
        <v>13954</v>
      </c>
      <c r="K52" s="76">
        <f t="shared" si="14"/>
        <v>926937</v>
      </c>
      <c r="L52" s="67">
        <f>IFERROR(F52/G52-1,"n/a")</f>
        <v>0.22847447551581501</v>
      </c>
      <c r="M52" s="67">
        <f>IFERROR(F52/H52-1,"n/a")</f>
        <v>0.71599587584161206</v>
      </c>
      <c r="N52" s="67">
        <f>IFERROR(F52/I52-1,"n/a")</f>
        <v>3.0419319787025971</v>
      </c>
      <c r="O52" s="67">
        <f>IFERROR(F52/J52-1,"n/a")</f>
        <v>105.63007023075821</v>
      </c>
      <c r="P52" s="63">
        <f>IFERROR(F52/K52-1,"n/a")</f>
        <v>0.60519646966298679</v>
      </c>
      <c r="Q52" s="76">
        <f t="shared" si="15"/>
        <v>10249595.4</v>
      </c>
      <c r="R52" s="76">
        <f t="shared" si="15"/>
        <v>7954683</v>
      </c>
      <c r="S52" s="76">
        <f t="shared" si="15"/>
        <v>5216385</v>
      </c>
      <c r="T52" s="76">
        <f t="shared" si="15"/>
        <v>926628</v>
      </c>
      <c r="U52" s="76">
        <f t="shared" si="15"/>
        <v>30861</v>
      </c>
      <c r="V52" s="76">
        <f t="shared" si="15"/>
        <v>5963880</v>
      </c>
      <c r="W52" s="67">
        <f t="shared" si="13"/>
        <v>0.28849828459537608</v>
      </c>
      <c r="X52" s="67">
        <f t="shared" si="13"/>
        <v>0.52494169813002678</v>
      </c>
      <c r="Y52" s="118">
        <f>IFERROR(R52/T52-1,"n/a")</f>
        <v>7.5845484919514625</v>
      </c>
      <c r="Z52" s="118">
        <f t="shared" si="16"/>
        <v>256.75843297365606</v>
      </c>
      <c r="AA52" s="119">
        <f>IFERROR(R52/V52-1,"n/a")</f>
        <v>0.33381003641924378</v>
      </c>
      <c r="AB52" s="118"/>
      <c r="AC52" s="47">
        <f t="shared" si="17"/>
        <v>9237323</v>
      </c>
      <c r="AD52" s="47">
        <f t="shared" si="17"/>
        <v>2410085</v>
      </c>
      <c r="AE52" s="47">
        <f t="shared" si="17"/>
        <v>1324261</v>
      </c>
      <c r="AF52" s="81">
        <f>AF38+AF41+AF44+AF47+AF50</f>
        <v>8638971</v>
      </c>
      <c r="AH52" s="123"/>
    </row>
    <row r="53" spans="3:34" s="124" customFormat="1" ht="12" thickTop="1">
      <c r="AH53" s="123"/>
    </row>
    <row r="54" spans="3:34" s="124" customFormat="1" ht="11.25">
      <c r="Q54" s="150"/>
      <c r="S54" s="132"/>
      <c r="T54" s="132"/>
      <c r="U54" s="132"/>
      <c r="V54" s="132"/>
      <c r="AH54" s="123"/>
    </row>
    <row r="55" spans="3:34" ht="15">
      <c r="S55" s="111"/>
      <c r="T55" s="111"/>
      <c r="U55" s="111"/>
      <c r="V55" s="111"/>
      <c r="AH55" s="9"/>
    </row>
    <row r="56" spans="3:34" ht="15">
      <c r="Q56" s="151"/>
      <c r="S56" s="111"/>
      <c r="T56" s="111"/>
      <c r="U56" s="111"/>
      <c r="V56" s="111"/>
      <c r="AH56" s="9"/>
    </row>
    <row r="57" spans="3:34" ht="15">
      <c r="S57" s="111"/>
      <c r="T57" s="111"/>
      <c r="U57" s="111"/>
      <c r="V57" s="111"/>
      <c r="AH57" s="9"/>
    </row>
    <row r="58" spans="3:34" ht="15">
      <c r="AH58" s="9"/>
    </row>
    <row r="59" spans="3:34" ht="15">
      <c r="AH59" s="9"/>
    </row>
    <row r="60" spans="3:34" ht="15">
      <c r="AH60" s="9"/>
    </row>
    <row r="61" spans="3:34" ht="15" customHeight="1"/>
    <row r="62" spans="3:34" ht="15" customHeight="1"/>
    <row r="63" spans="3:34" ht="15" customHeight="1"/>
    <row r="64" spans="3:34" ht="15" customHeight="1"/>
    <row r="65" ht="15" customHeight="1"/>
    <row r="66" ht="15" customHeight="1"/>
  </sheetData>
  <mergeCells count="9">
    <mergeCell ref="AB34:AF34"/>
    <mergeCell ref="F9:P9"/>
    <mergeCell ref="Q9:AA9"/>
    <mergeCell ref="AB9:AF9"/>
    <mergeCell ref="F10:P10"/>
    <mergeCell ref="Q10:AA10"/>
    <mergeCell ref="F33:P33"/>
    <mergeCell ref="Q33:AA33"/>
    <mergeCell ref="AB33:AF33"/>
  </mergeCells>
  <pageMargins left="0.7" right="0.7" top="0.75" bottom="0.75" header="0.3" footer="0.3"/>
  <pageSetup paperSize="9" orientation="portrait" horizontalDpi="0" verticalDpi="0" r:id="rId1"/>
  <ignoredErrors>
    <ignoredError sqref="E4" numberStoredAsText="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66"/>
  <sheetViews>
    <sheetView showGridLines="0" topLeftCell="F9" zoomScale="85" zoomScaleNormal="85" workbookViewId="0">
      <selection activeCell="Q51" sqref="Q51:V52"/>
    </sheetView>
  </sheetViews>
  <sheetFormatPr defaultColWidth="0" defaultRowHeight="0" customHeight="1" zeroHeight="1"/>
  <cols>
    <col min="1" max="2" width="4.140625" customWidth="1"/>
    <col min="3" max="3" width="3.85546875" customWidth="1"/>
    <col min="4" max="4" width="17" bestFit="1" customWidth="1"/>
    <col min="5" max="6" width="13" customWidth="1"/>
    <col min="7" max="7" width="11.140625" bestFit="1" customWidth="1"/>
    <col min="8" max="8" width="10.140625" bestFit="1" customWidth="1"/>
    <col min="9" max="10" width="8.85546875" customWidth="1"/>
    <col min="11" max="11" width="10.140625" bestFit="1" customWidth="1"/>
    <col min="12" max="12" width="8" customWidth="1"/>
    <col min="13" max="13" width="8.85546875" bestFit="1" customWidth="1"/>
    <col min="14" max="16" width="8" customWidth="1"/>
    <col min="17" max="17" width="10.140625" bestFit="1" customWidth="1"/>
    <col min="18" max="18" width="12" bestFit="1" customWidth="1"/>
    <col min="19" max="19" width="11.5703125" bestFit="1" customWidth="1"/>
    <col min="20" max="20" width="10.42578125" bestFit="1" customWidth="1"/>
    <col min="21" max="21" width="11.5703125" bestFit="1" customWidth="1"/>
    <col min="22" max="22" width="11.85546875" bestFit="1" customWidth="1"/>
    <col min="23" max="23" width="9.140625" bestFit="1" customWidth="1"/>
    <col min="24" max="24" width="8.85546875" bestFit="1" customWidth="1"/>
    <col min="25" max="25" width="8.85546875" customWidth="1"/>
    <col min="26" max="26" width="9" bestFit="1" customWidth="1"/>
    <col min="27" max="27" width="7.85546875" customWidth="1"/>
    <col min="28" max="28" width="12.140625" bestFit="1" customWidth="1"/>
    <col min="29" max="29" width="13.42578125" bestFit="1" customWidth="1"/>
    <col min="30" max="30" width="13.140625" bestFit="1" customWidth="1"/>
    <col min="31" max="31" width="12.85546875" bestFit="1" customWidth="1"/>
    <col min="32" max="32" width="15.42578125" bestFit="1" customWidth="1"/>
    <col min="33" max="33" width="11.140625" customWidth="1"/>
    <col min="34" max="34" width="3.42578125" customWidth="1"/>
    <col min="35" max="16384" width="8.85546875" hidden="1"/>
  </cols>
  <sheetData>
    <row r="1" spans="1:34" ht="15">
      <c r="A1" s="9"/>
      <c r="B1" s="9"/>
      <c r="C1" s="9"/>
      <c r="D1" s="9"/>
      <c r="E1" s="9"/>
      <c r="F1" s="9"/>
      <c r="G1" s="9"/>
      <c r="H1" s="9"/>
      <c r="I1" s="9"/>
      <c r="J1" s="9"/>
      <c r="K1" s="9"/>
      <c r="L1" s="9"/>
      <c r="M1" s="9"/>
      <c r="N1" s="9"/>
      <c r="O1" s="9"/>
      <c r="P1" s="9"/>
      <c r="Q1" s="9"/>
      <c r="R1" s="9"/>
      <c r="S1" s="9"/>
      <c r="T1" s="9"/>
      <c r="U1" s="9"/>
      <c r="V1" s="9"/>
      <c r="W1" s="9"/>
      <c r="X1" s="9"/>
      <c r="Y1" s="9"/>
      <c r="Z1" s="9"/>
      <c r="AA1" s="9"/>
      <c r="AB1" s="9"/>
      <c r="AC1" s="9"/>
      <c r="AD1" s="9"/>
      <c r="AE1" s="9"/>
      <c r="AF1" s="9"/>
      <c r="AG1" s="9"/>
      <c r="AH1" s="9"/>
    </row>
    <row r="2" spans="1:34" ht="31.35" customHeight="1" thickBot="1">
      <c r="A2" s="9"/>
      <c r="B2" s="8" t="s">
        <v>6</v>
      </c>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4"/>
      <c r="AH2" s="9"/>
    </row>
    <row r="3" spans="1:34" ht="15">
      <c r="A3" s="9"/>
      <c r="B3" s="10"/>
      <c r="C3" s="24"/>
      <c r="D3" s="24"/>
      <c r="E3" s="24"/>
      <c r="F3" s="24"/>
      <c r="G3" s="24"/>
      <c r="H3" s="24"/>
      <c r="I3" s="24"/>
      <c r="J3" s="24"/>
      <c r="K3" s="24"/>
      <c r="L3" s="24"/>
      <c r="M3" s="24"/>
      <c r="N3" s="24"/>
      <c r="O3" s="24"/>
      <c r="P3" s="24"/>
      <c r="Q3" s="24"/>
      <c r="R3" s="24"/>
      <c r="S3" s="24"/>
      <c r="T3" s="24"/>
      <c r="U3" s="24"/>
      <c r="V3" s="24"/>
      <c r="W3" s="24"/>
      <c r="X3" s="24"/>
      <c r="Y3" s="24"/>
      <c r="Z3" s="24"/>
      <c r="AA3" s="24"/>
      <c r="AB3" s="24"/>
      <c r="AC3" s="24"/>
      <c r="AD3" s="24"/>
      <c r="AE3" s="24"/>
      <c r="AF3" s="25">
        <v>45550</v>
      </c>
      <c r="AG3" s="25"/>
      <c r="AH3" s="9"/>
    </row>
    <row r="4" spans="1:34" ht="15.75">
      <c r="A4" s="9"/>
      <c r="B4" s="11" t="s">
        <v>7</v>
      </c>
      <c r="C4" s="26"/>
      <c r="D4" s="93" t="s">
        <v>22</v>
      </c>
      <c r="E4" s="134" t="s">
        <v>127</v>
      </c>
      <c r="F4" s="134"/>
      <c r="G4" s="24"/>
      <c r="H4" s="24"/>
      <c r="I4" s="24"/>
      <c r="J4" s="24"/>
      <c r="K4" s="24"/>
      <c r="L4" s="24"/>
      <c r="M4" s="24"/>
      <c r="N4" s="24"/>
      <c r="O4" s="24"/>
      <c r="P4" s="24"/>
      <c r="Q4" s="24"/>
      <c r="R4" s="24"/>
      <c r="S4" s="24"/>
      <c r="T4" s="24"/>
      <c r="U4" s="24"/>
      <c r="V4" s="24"/>
      <c r="W4" s="24"/>
      <c r="X4" s="24"/>
      <c r="Y4" s="24"/>
      <c r="Z4" s="24"/>
      <c r="AA4" s="24"/>
      <c r="AB4" s="24"/>
      <c r="AC4" s="24"/>
      <c r="AD4" s="24"/>
      <c r="AE4" s="24"/>
      <c r="AF4" s="24"/>
      <c r="AG4" s="24"/>
      <c r="AH4" s="9"/>
    </row>
    <row r="5" spans="1:34" ht="15">
      <c r="A5" s="9"/>
      <c r="B5" s="10"/>
      <c r="C5" s="24"/>
      <c r="D5" s="24"/>
      <c r="E5" s="24"/>
      <c r="F5" s="24"/>
      <c r="G5" s="24"/>
      <c r="H5" s="24"/>
      <c r="I5" s="24"/>
      <c r="J5" s="24"/>
      <c r="K5" s="24"/>
      <c r="L5" s="24"/>
      <c r="M5" s="24"/>
      <c r="N5" s="24"/>
      <c r="O5" s="24"/>
      <c r="P5" s="24"/>
      <c r="Q5" s="24"/>
      <c r="R5" s="24"/>
      <c r="S5" s="24"/>
      <c r="T5" s="24"/>
      <c r="U5" s="24"/>
      <c r="V5" s="24"/>
      <c r="W5" s="24"/>
      <c r="X5" s="24"/>
      <c r="Y5" s="24"/>
      <c r="Z5" s="24"/>
      <c r="AA5" s="24"/>
      <c r="AB5" s="24"/>
      <c r="AC5" s="24"/>
      <c r="AD5" s="24"/>
      <c r="AE5" s="24"/>
      <c r="AF5" s="24"/>
      <c r="AG5" s="24"/>
      <c r="AH5" s="9"/>
    </row>
    <row r="6" spans="1:34" ht="15">
      <c r="A6" s="9"/>
      <c r="B6" s="10"/>
      <c r="C6" s="24"/>
      <c r="D6" s="24"/>
      <c r="E6" s="24"/>
      <c r="F6" s="24"/>
      <c r="G6" s="24"/>
      <c r="H6" s="24"/>
      <c r="I6" s="24"/>
      <c r="J6" s="24"/>
      <c r="K6" s="24"/>
      <c r="L6" s="24"/>
      <c r="M6" s="24"/>
      <c r="N6" s="24"/>
      <c r="O6" s="24"/>
      <c r="P6" s="24"/>
      <c r="Q6" s="24"/>
      <c r="R6" s="24"/>
      <c r="S6" s="24"/>
      <c r="T6" s="24"/>
      <c r="U6" s="24"/>
      <c r="V6" s="24"/>
      <c r="W6" s="24"/>
      <c r="X6" s="24"/>
      <c r="Y6" s="24"/>
      <c r="Z6" s="24"/>
      <c r="AA6" s="24"/>
      <c r="AB6" s="24"/>
      <c r="AC6" s="24"/>
      <c r="AD6" s="24"/>
      <c r="AE6" s="24"/>
      <c r="AF6" s="24"/>
      <c r="AG6" s="24"/>
      <c r="AH6" s="9"/>
    </row>
    <row r="7" spans="1:34" ht="15">
      <c r="A7" s="9"/>
      <c r="B7" s="10"/>
      <c r="C7" s="86" t="s">
        <v>62</v>
      </c>
      <c r="D7" s="24"/>
      <c r="E7" s="24"/>
      <c r="F7" s="24"/>
      <c r="G7" s="24"/>
      <c r="H7" s="24"/>
      <c r="I7" s="24"/>
      <c r="J7" s="24"/>
      <c r="K7" s="24"/>
      <c r="L7" s="24"/>
      <c r="M7" s="24"/>
      <c r="N7" s="24"/>
      <c r="O7" s="24"/>
      <c r="P7" s="24"/>
      <c r="Q7" s="24"/>
      <c r="R7" s="24"/>
      <c r="S7" s="24"/>
      <c r="T7" s="24"/>
      <c r="U7" s="24"/>
      <c r="V7" s="24"/>
      <c r="W7" s="24"/>
      <c r="X7" s="24"/>
      <c r="Y7" s="24"/>
      <c r="Z7" s="24"/>
      <c r="AA7" s="24"/>
      <c r="AB7" s="24"/>
      <c r="AC7" s="24"/>
      <c r="AD7" s="24"/>
      <c r="AE7" s="24"/>
      <c r="AF7" s="24"/>
      <c r="AG7" s="24"/>
      <c r="AH7" s="9"/>
    </row>
    <row r="8" spans="1:34" ht="15">
      <c r="A8" s="9"/>
      <c r="B8" s="10"/>
      <c r="C8" s="24"/>
      <c r="D8" s="24"/>
      <c r="E8" s="24"/>
      <c r="F8" s="24"/>
      <c r="G8" s="24"/>
      <c r="H8" s="24"/>
      <c r="I8" s="24"/>
      <c r="J8" s="24"/>
      <c r="K8" s="24"/>
      <c r="L8" s="24"/>
      <c r="M8" s="24"/>
      <c r="N8" s="24"/>
      <c r="O8" s="24"/>
      <c r="P8" s="24"/>
      <c r="Q8" s="24"/>
      <c r="R8" s="24"/>
      <c r="S8" s="24"/>
      <c r="T8" s="24"/>
      <c r="U8" s="24"/>
      <c r="V8" s="24"/>
      <c r="W8" s="24"/>
      <c r="X8" s="24"/>
      <c r="Y8" s="24"/>
      <c r="Z8" s="24"/>
      <c r="AA8" s="24"/>
      <c r="AB8" s="24"/>
      <c r="AC8" s="24"/>
      <c r="AD8" s="24"/>
      <c r="AE8" s="24"/>
      <c r="AF8" s="24"/>
      <c r="AG8" s="24"/>
      <c r="AH8" s="9"/>
    </row>
    <row r="9" spans="1:34" s="124" customFormat="1" ht="15" customHeight="1">
      <c r="A9" s="123"/>
      <c r="C9" s="27" t="s">
        <v>7</v>
      </c>
      <c r="D9" s="28"/>
      <c r="E9" s="28"/>
      <c r="F9" s="155" t="str">
        <f>D4</f>
        <v>September</v>
      </c>
      <c r="G9" s="155"/>
      <c r="H9" s="155"/>
      <c r="I9" s="155"/>
      <c r="J9" s="155"/>
      <c r="K9" s="155"/>
      <c r="L9" s="155"/>
      <c r="M9" s="155"/>
      <c r="N9" s="155"/>
      <c r="O9" s="155"/>
      <c r="P9" s="156"/>
      <c r="Q9" s="157" t="str">
        <f>"January to "&amp; D4</f>
        <v>January to September</v>
      </c>
      <c r="R9" s="158"/>
      <c r="S9" s="158"/>
      <c r="T9" s="158"/>
      <c r="U9" s="158"/>
      <c r="V9" s="158"/>
      <c r="W9" s="158"/>
      <c r="X9" s="158"/>
      <c r="Y9" s="158"/>
      <c r="Z9" s="158"/>
      <c r="AA9" s="159"/>
      <c r="AB9" s="157" t="s">
        <v>57</v>
      </c>
      <c r="AC9" s="158"/>
      <c r="AD9" s="158"/>
      <c r="AE9" s="158"/>
      <c r="AF9" s="160"/>
      <c r="AG9" s="123"/>
      <c r="AH9" s="123"/>
    </row>
    <row r="10" spans="1:34" s="124" customFormat="1" ht="13.5">
      <c r="A10" s="123"/>
      <c r="B10" s="125"/>
      <c r="C10" s="29"/>
      <c r="D10" s="30"/>
      <c r="E10" s="30"/>
      <c r="F10" s="152"/>
      <c r="G10" s="153"/>
      <c r="H10" s="153"/>
      <c r="I10" s="153"/>
      <c r="J10" s="153"/>
      <c r="K10" s="153"/>
      <c r="L10" s="153"/>
      <c r="M10" s="153"/>
      <c r="N10" s="153"/>
      <c r="O10" s="153"/>
      <c r="P10" s="154"/>
      <c r="Q10" s="152"/>
      <c r="R10" s="153"/>
      <c r="S10" s="153"/>
      <c r="T10" s="153"/>
      <c r="U10" s="153"/>
      <c r="V10" s="153"/>
      <c r="W10" s="153"/>
      <c r="X10" s="153"/>
      <c r="Y10" s="153"/>
      <c r="Z10" s="153"/>
      <c r="AA10" s="154"/>
      <c r="AB10" s="30"/>
      <c r="AC10" s="30"/>
      <c r="AD10" s="30"/>
      <c r="AE10" s="30"/>
      <c r="AF10" s="56"/>
      <c r="AG10" s="123"/>
      <c r="AH10" s="123"/>
    </row>
    <row r="11" spans="1:34" s="124" customFormat="1" ht="26.1" customHeight="1">
      <c r="A11" s="126"/>
      <c r="B11" s="127"/>
      <c r="C11" s="59" t="s">
        <v>29</v>
      </c>
      <c r="D11" s="50"/>
      <c r="E11" s="51"/>
      <c r="F11" s="55">
        <v>2024</v>
      </c>
      <c r="G11" s="52">
        <v>2023</v>
      </c>
      <c r="H11" s="52">
        <v>2022</v>
      </c>
      <c r="I11" s="52">
        <v>2021</v>
      </c>
      <c r="J11" s="52">
        <v>2020</v>
      </c>
      <c r="K11" s="52">
        <v>2019</v>
      </c>
      <c r="L11" s="53" t="s">
        <v>116</v>
      </c>
      <c r="M11" s="53" t="s">
        <v>117</v>
      </c>
      <c r="N11" s="53" t="s">
        <v>118</v>
      </c>
      <c r="O11" s="53" t="s">
        <v>119</v>
      </c>
      <c r="P11" s="57" t="s">
        <v>101</v>
      </c>
      <c r="Q11" s="53">
        <v>2024</v>
      </c>
      <c r="R11" s="53">
        <v>2023</v>
      </c>
      <c r="S11" s="53">
        <v>2022</v>
      </c>
      <c r="T11" s="52">
        <v>2021</v>
      </c>
      <c r="U11" s="52">
        <v>2020</v>
      </c>
      <c r="V11" s="52">
        <v>2019</v>
      </c>
      <c r="W11" s="53" t="s">
        <v>116</v>
      </c>
      <c r="X11" s="53" t="s">
        <v>117</v>
      </c>
      <c r="Y11" s="53" t="s">
        <v>118</v>
      </c>
      <c r="Z11" s="53" t="s">
        <v>119</v>
      </c>
      <c r="AA11" s="57" t="s">
        <v>101</v>
      </c>
      <c r="AB11" s="53">
        <v>2023</v>
      </c>
      <c r="AC11" s="53">
        <v>2022</v>
      </c>
      <c r="AD11" s="53">
        <v>2021</v>
      </c>
      <c r="AE11" s="52">
        <v>2020</v>
      </c>
      <c r="AF11" s="77">
        <v>2019</v>
      </c>
      <c r="AG11" s="126"/>
      <c r="AH11" s="126"/>
    </row>
    <row r="12" spans="1:34" s="124" customFormat="1" ht="12.75">
      <c r="A12" s="123"/>
      <c r="B12" s="128"/>
      <c r="C12" s="31" t="s">
        <v>108</v>
      </c>
      <c r="D12" s="26"/>
      <c r="E12" s="32"/>
      <c r="F12" s="26"/>
      <c r="G12" s="26"/>
      <c r="H12" s="26"/>
      <c r="I12" s="26"/>
      <c r="J12" s="26"/>
      <c r="K12" s="26"/>
      <c r="L12" s="26"/>
      <c r="M12" s="26"/>
      <c r="N12" s="26"/>
      <c r="O12" s="26"/>
      <c r="P12" s="32"/>
      <c r="Q12" s="26"/>
      <c r="R12" s="26"/>
      <c r="S12" s="26"/>
      <c r="T12" s="26"/>
      <c r="U12" s="26"/>
      <c r="V12" s="26"/>
      <c r="W12" s="26"/>
      <c r="X12" s="26"/>
      <c r="Y12" s="26"/>
      <c r="Z12" s="26"/>
      <c r="AA12" s="32"/>
      <c r="AB12" s="26"/>
      <c r="AC12" s="26"/>
      <c r="AD12" s="26"/>
      <c r="AE12" s="26"/>
      <c r="AF12" s="32"/>
      <c r="AG12" s="123"/>
      <c r="AH12" s="123"/>
    </row>
    <row r="13" spans="1:34" s="124" customFormat="1" ht="12.75">
      <c r="A13" s="123"/>
      <c r="B13" s="128"/>
      <c r="C13" s="33"/>
      <c r="D13" s="26" t="s">
        <v>5</v>
      </c>
      <c r="E13" s="32"/>
      <c r="F13" s="71">
        <v>138</v>
      </c>
      <c r="G13" s="73">
        <v>98</v>
      </c>
      <c r="H13" s="73">
        <v>82</v>
      </c>
      <c r="I13" s="73">
        <v>60</v>
      </c>
      <c r="J13" s="73">
        <v>0</v>
      </c>
      <c r="K13" s="73">
        <v>79</v>
      </c>
      <c r="L13" s="64">
        <f>IFERROR(F13/G13-1,"n/a")</f>
        <v>0.40816326530612246</v>
      </c>
      <c r="M13" s="64">
        <f>IFERROR(F13/H13-1,"n/a")</f>
        <v>0.68292682926829262</v>
      </c>
      <c r="N13" s="64">
        <f>IFERROR(F13/I13-1,"n/a")</f>
        <v>1.2999999999999998</v>
      </c>
      <c r="O13" s="64" t="str">
        <f>IFERROR(F13/J13-1,"n/a")</f>
        <v>n/a</v>
      </c>
      <c r="P13" s="60">
        <f>IFERROR(F13/K13-1,"n/a")</f>
        <v>0.74683544303797467</v>
      </c>
      <c r="Q13" s="68">
        <f>'Aug-24'!Q13+F13</f>
        <v>1654</v>
      </c>
      <c r="R13" s="68">
        <f>'Aug-24'!R13+G13</f>
        <v>1155</v>
      </c>
      <c r="S13" s="68">
        <f>'Aug-24'!S13+H13</f>
        <v>1073</v>
      </c>
      <c r="T13" s="68">
        <f>'Aug-24'!T13+I13</f>
        <v>139</v>
      </c>
      <c r="U13" s="68">
        <f>'Aug-24'!U13+J13</f>
        <v>551</v>
      </c>
      <c r="V13" s="68">
        <f>'Aug-24'!V13+K13</f>
        <v>1102</v>
      </c>
      <c r="W13" s="64">
        <f>IFERROR(Q13/R13-1,"n/a")</f>
        <v>0.43203463203463199</v>
      </c>
      <c r="X13" s="64">
        <f>IFERROR(Q13/S13-1,"n/a")</f>
        <v>0.54147250698974836</v>
      </c>
      <c r="Y13" s="64">
        <f>IFERROR(Q13/T13-1,"n/a")</f>
        <v>10.899280575539569</v>
      </c>
      <c r="Z13" s="64">
        <f>IFERROR(Q13/U13-1,"n/a")</f>
        <v>2.0018148820326678</v>
      </c>
      <c r="AA13" s="60">
        <f>IFERROR(Q13/V13-1,"n/a")</f>
        <v>0.50090744101633389</v>
      </c>
      <c r="AB13" s="68">
        <v>1630</v>
      </c>
      <c r="AC13" s="68">
        <v>1486</v>
      </c>
      <c r="AD13" s="68">
        <v>522</v>
      </c>
      <c r="AE13" s="68">
        <v>551</v>
      </c>
      <c r="AF13" s="135">
        <v>1591</v>
      </c>
      <c r="AG13" s="123"/>
      <c r="AH13" s="123"/>
    </row>
    <row r="14" spans="1:34" s="124" customFormat="1" ht="12.75">
      <c r="A14" s="123"/>
      <c r="B14" s="128"/>
      <c r="C14" s="33"/>
      <c r="D14" s="26" t="s">
        <v>11</v>
      </c>
      <c r="E14" s="32"/>
      <c r="F14" s="71">
        <v>494236</v>
      </c>
      <c r="G14" s="73">
        <v>313650</v>
      </c>
      <c r="H14" s="73">
        <v>280580</v>
      </c>
      <c r="I14" s="73">
        <v>83395</v>
      </c>
      <c r="J14" s="73">
        <v>0</v>
      </c>
      <c r="K14" s="73">
        <v>234453</v>
      </c>
      <c r="L14" s="64">
        <f>IFERROR(F14/G14-1,"n/a")</f>
        <v>0.57575641638769337</v>
      </c>
      <c r="M14" s="64">
        <f>IFERROR(F14/H14-1,"n/a")</f>
        <v>0.76147979185971915</v>
      </c>
      <c r="N14" s="64">
        <f>IFERROR(F14/I14-1,"n/a")</f>
        <v>4.9264464296420645</v>
      </c>
      <c r="O14" s="64" t="str">
        <f>IFERROR(F14/J14-1,"n/a")</f>
        <v>n/a</v>
      </c>
      <c r="P14" s="60">
        <f>IFERROR(F14/K14-1,"n/a")</f>
        <v>1.1080387113835184</v>
      </c>
      <c r="Q14" s="68">
        <f>'Aug-24'!Q14+F14</f>
        <v>5652264</v>
      </c>
      <c r="R14" s="68">
        <f>'Aug-24'!R14+G14</f>
        <v>3786544</v>
      </c>
      <c r="S14" s="68">
        <f>'Aug-24'!S14+H14</f>
        <v>2395311</v>
      </c>
      <c r="T14" s="68">
        <f>'Aug-24'!T14+I14</f>
        <v>180900</v>
      </c>
      <c r="U14" s="68">
        <f>'Aug-24'!U14+J14</f>
        <v>1092884</v>
      </c>
      <c r="V14" s="68">
        <f>'Aug-24'!V14+K14</f>
        <v>3343418</v>
      </c>
      <c r="W14" s="64">
        <f>IFERROR(Q14/R14-1,"n/a")</f>
        <v>0.49272370795110265</v>
      </c>
      <c r="X14" s="64">
        <f>IFERROR(Q14/S14-1,"n/a")</f>
        <v>1.3597203035430474</v>
      </c>
      <c r="Y14" s="64">
        <f>IFERROR(Q14/T14-1,"n/a")</f>
        <v>30.245240464344942</v>
      </c>
      <c r="Z14" s="64">
        <f>IFERROR(Q14/U14-1,"n/a")</f>
        <v>4.1718791747340065</v>
      </c>
      <c r="AA14" s="60">
        <f>IFERROR(Q14/V14-1,"n/a")</f>
        <v>0.69056456596213822</v>
      </c>
      <c r="AB14" s="68">
        <v>5232537</v>
      </c>
      <c r="AC14" s="68">
        <v>3592413</v>
      </c>
      <c r="AD14" s="68">
        <v>768312</v>
      </c>
      <c r="AE14" s="68">
        <v>1092884</v>
      </c>
      <c r="AF14" s="135">
        <v>4592479</v>
      </c>
      <c r="AG14" s="123"/>
      <c r="AH14" s="123"/>
    </row>
    <row r="15" spans="1:34" s="124" customFormat="1" ht="12.75">
      <c r="A15" s="123"/>
      <c r="B15" s="128"/>
      <c r="C15" s="31" t="s">
        <v>135</v>
      </c>
      <c r="D15" s="26"/>
      <c r="E15" s="32"/>
      <c r="F15" s="97"/>
      <c r="G15" s="97"/>
      <c r="H15" s="26"/>
      <c r="I15" s="26"/>
      <c r="J15" s="26"/>
      <c r="K15" s="26"/>
      <c r="L15" s="64"/>
      <c r="M15" s="64"/>
      <c r="N15" s="64"/>
      <c r="O15" s="64"/>
      <c r="P15" s="61"/>
      <c r="Q15" s="87"/>
      <c r="R15" s="87"/>
      <c r="S15" s="87"/>
      <c r="T15" s="87"/>
      <c r="U15" s="87"/>
      <c r="V15" s="87"/>
      <c r="W15" s="64"/>
      <c r="X15" s="64"/>
      <c r="Y15" s="64"/>
      <c r="Z15" s="64"/>
      <c r="AA15" s="61"/>
      <c r="AB15" s="43"/>
      <c r="AC15" s="43"/>
      <c r="AD15" s="43"/>
      <c r="AE15" s="43"/>
      <c r="AF15" s="136"/>
      <c r="AG15" s="123"/>
      <c r="AH15" s="123"/>
    </row>
    <row r="16" spans="1:34" s="124" customFormat="1" ht="12.75">
      <c r="A16" s="123"/>
      <c r="B16" s="128"/>
      <c r="C16" s="33"/>
      <c r="D16" s="26" t="s">
        <v>5</v>
      </c>
      <c r="E16" s="32"/>
      <c r="F16" s="71">
        <v>105</v>
      </c>
      <c r="G16" s="73">
        <v>68</v>
      </c>
      <c r="H16" s="73">
        <v>74</v>
      </c>
      <c r="I16" s="73">
        <v>34</v>
      </c>
      <c r="J16" s="73">
        <v>9</v>
      </c>
      <c r="K16" s="73">
        <v>70</v>
      </c>
      <c r="L16" s="64">
        <f>IFERROR(F16/G16-1,"n/a")</f>
        <v>0.54411764705882359</v>
      </c>
      <c r="M16" s="64">
        <f>IFERROR(F16/H16-1,"n/a")</f>
        <v>0.41891891891891886</v>
      </c>
      <c r="N16" s="64">
        <f>IFERROR(F16/I16-1,"n/a")</f>
        <v>2.0882352941176472</v>
      </c>
      <c r="O16" s="64">
        <f>IFERROR(F16/J16-1,"n/a")</f>
        <v>10.666666666666666</v>
      </c>
      <c r="P16" s="60">
        <f>IFERROR(F16/K16-1,"n/a")</f>
        <v>0.5</v>
      </c>
      <c r="Q16" s="68">
        <f>'Aug-24'!Q16+F16</f>
        <v>599</v>
      </c>
      <c r="R16" s="68">
        <f>'Aug-24'!R16+G16</f>
        <v>426</v>
      </c>
      <c r="S16" s="68">
        <f>'Aug-24'!S16+H16</f>
        <v>451</v>
      </c>
      <c r="T16" s="68">
        <f>'Aug-24'!T16+I16</f>
        <v>136</v>
      </c>
      <c r="U16" s="68">
        <f>'Aug-24'!U16+J16</f>
        <v>21</v>
      </c>
      <c r="V16" s="68">
        <f>'Aug-24'!V16+K16</f>
        <v>403</v>
      </c>
      <c r="W16" s="64">
        <f>IFERROR(Q16/R16-1,"n/a")</f>
        <v>0.4061032863849765</v>
      </c>
      <c r="X16" s="64">
        <f>IFERROR(Q16/S16-1,"n/a")</f>
        <v>0.32815964523281593</v>
      </c>
      <c r="Y16" s="64">
        <f>IFERROR(Q16/T16-1,"n/a")</f>
        <v>3.4044117647058822</v>
      </c>
      <c r="Z16" s="64">
        <f>IFERROR(Q16/U16-1,"n/a")</f>
        <v>27.523809523809526</v>
      </c>
      <c r="AA16" s="60">
        <f>IFERROR(Q16/V16-1,"n/a")</f>
        <v>0.48635235732009918</v>
      </c>
      <c r="AB16" s="68">
        <v>575</v>
      </c>
      <c r="AC16" s="68">
        <v>572</v>
      </c>
      <c r="AD16" s="68">
        <v>202</v>
      </c>
      <c r="AE16" s="68">
        <v>54</v>
      </c>
      <c r="AF16" s="135">
        <v>586</v>
      </c>
      <c r="AG16" s="123"/>
      <c r="AH16" s="123"/>
    </row>
    <row r="17" spans="1:34" s="124" customFormat="1" ht="12.75">
      <c r="A17" s="123"/>
      <c r="B17" s="128"/>
      <c r="C17" s="33"/>
      <c r="D17" s="26" t="s">
        <v>11</v>
      </c>
      <c r="E17" s="32"/>
      <c r="F17" s="71">
        <v>284734</v>
      </c>
      <c r="G17" s="73">
        <v>223095</v>
      </c>
      <c r="H17" s="73">
        <v>150081</v>
      </c>
      <c r="I17" s="73">
        <v>64266</v>
      </c>
      <c r="J17" s="73">
        <v>6072</v>
      </c>
      <c r="K17" s="73">
        <v>169136</v>
      </c>
      <c r="L17" s="64">
        <f>IFERROR(F17/G17-1,"n/a")</f>
        <v>0.27629036957350017</v>
      </c>
      <c r="M17" s="64">
        <f>IFERROR(F17/H17-1,"n/a")</f>
        <v>0.89720217749082165</v>
      </c>
      <c r="N17" s="64">
        <f>IFERROR(F17/I17-1,"n/a")</f>
        <v>3.4305542588616067</v>
      </c>
      <c r="O17" s="64">
        <f>IFERROR(F17/J17-1,"n/a")</f>
        <v>45.892951251646906</v>
      </c>
      <c r="P17" s="60">
        <f>IFERROR(F17/K17-1,"n/a")</f>
        <v>0.68346182953362966</v>
      </c>
      <c r="Q17" s="68">
        <f>'Aug-24'!Q17+F17</f>
        <v>1661655</v>
      </c>
      <c r="R17" s="68">
        <f>'Aug-24'!R17+G17</f>
        <v>1333747</v>
      </c>
      <c r="S17" s="68">
        <f>'Aug-24'!S17+H17</f>
        <v>771932</v>
      </c>
      <c r="T17" s="68">
        <f>'Aug-24'!T17+I17</f>
        <v>215286</v>
      </c>
      <c r="U17" s="68">
        <f>'Aug-24'!U17+J17</f>
        <v>49726</v>
      </c>
      <c r="V17" s="68">
        <f>'Aug-24'!V17+K17</f>
        <v>1081890</v>
      </c>
      <c r="W17" s="64">
        <f>IFERROR(Q17/R17-1,"n/a")</f>
        <v>0.24585472357201188</v>
      </c>
      <c r="X17" s="64">
        <f>IFERROR(Q17/S17-1,"n/a")</f>
        <v>1.1525924563303502</v>
      </c>
      <c r="Y17" s="64">
        <f>IFERROR(Q17/T17-1,"n/a")</f>
        <v>6.7183606922883978</v>
      </c>
      <c r="Z17" s="64">
        <f>IFERROR(Q17/U17-1,"n/a")</f>
        <v>32.416220890479828</v>
      </c>
      <c r="AA17" s="60">
        <f>IFERROR(Q17/V17-1,"n/a")</f>
        <v>0.53588165155422463</v>
      </c>
      <c r="AB17" s="68">
        <v>1660685</v>
      </c>
      <c r="AC17" s="68">
        <v>965963</v>
      </c>
      <c r="AD17" s="68">
        <v>301521</v>
      </c>
      <c r="AE17" s="68">
        <v>70675</v>
      </c>
      <c r="AF17" s="135">
        <v>1400932</v>
      </c>
      <c r="AG17" s="123"/>
      <c r="AH17" s="123"/>
    </row>
    <row r="18" spans="1:34" s="124" customFormat="1" ht="12.75">
      <c r="A18" s="123"/>
      <c r="B18" s="128"/>
      <c r="C18" s="31" t="s">
        <v>110</v>
      </c>
      <c r="D18" s="26"/>
      <c r="E18" s="32"/>
      <c r="F18" s="72"/>
      <c r="G18" s="72"/>
      <c r="H18" s="72"/>
      <c r="I18" s="72"/>
      <c r="J18" s="72"/>
      <c r="K18" s="72"/>
      <c r="L18" s="64"/>
      <c r="M18" s="64"/>
      <c r="N18" s="64"/>
      <c r="O18" s="64"/>
      <c r="P18" s="60"/>
      <c r="Q18" s="87"/>
      <c r="R18" s="87"/>
      <c r="S18" s="87"/>
      <c r="T18" s="87"/>
      <c r="U18" s="87"/>
      <c r="V18" s="87"/>
      <c r="W18" s="64"/>
      <c r="X18" s="64"/>
      <c r="Y18" s="64"/>
      <c r="Z18" s="64"/>
      <c r="AA18" s="60"/>
      <c r="AB18" s="43"/>
      <c r="AC18" s="43"/>
      <c r="AD18" s="43"/>
      <c r="AE18" s="43"/>
      <c r="AF18" s="136"/>
      <c r="AG18" s="123"/>
      <c r="AH18" s="123"/>
    </row>
    <row r="19" spans="1:34" s="124" customFormat="1" ht="12.75">
      <c r="A19" s="123"/>
      <c r="B19" s="128"/>
      <c r="C19" s="33"/>
      <c r="D19" s="26" t="s">
        <v>5</v>
      </c>
      <c r="E19" s="32"/>
      <c r="F19" s="71">
        <v>112</v>
      </c>
      <c r="G19" s="73">
        <v>100</v>
      </c>
      <c r="H19" s="73">
        <v>92</v>
      </c>
      <c r="I19" s="73">
        <v>7</v>
      </c>
      <c r="J19" s="73">
        <v>1</v>
      </c>
      <c r="K19" s="73">
        <v>32</v>
      </c>
      <c r="L19" s="64">
        <f>IFERROR(F19/G19-1,"n/a")</f>
        <v>0.12000000000000011</v>
      </c>
      <c r="M19" s="64">
        <f>IFERROR(F19/H19-1,"n/a")</f>
        <v>0.21739130434782616</v>
      </c>
      <c r="N19" s="64">
        <f>IFERROR(F19/I19-1,"n/a")</f>
        <v>15</v>
      </c>
      <c r="O19" s="64">
        <f>IFERROR(F19/J19-1,"n/a")</f>
        <v>111</v>
      </c>
      <c r="P19" s="60">
        <f>IFERROR(F19/K19-1,"n/a")</f>
        <v>2.5</v>
      </c>
      <c r="Q19" s="68">
        <f>'Aug-24'!Q19+F19</f>
        <v>579</v>
      </c>
      <c r="R19" s="68">
        <f>'Aug-24'!R19+G19</f>
        <v>544</v>
      </c>
      <c r="S19" s="68">
        <f>'Aug-24'!S19+H19</f>
        <v>513</v>
      </c>
      <c r="T19" s="68">
        <f>'Aug-24'!T19+I19</f>
        <v>16</v>
      </c>
      <c r="U19" s="68">
        <f>'Aug-24'!U19+J19</f>
        <v>8</v>
      </c>
      <c r="V19" s="68">
        <f>'Aug-24'!V19+K19</f>
        <v>231</v>
      </c>
      <c r="W19" s="64">
        <f>IFERROR(Q19/R19-1,"n/a")</f>
        <v>6.4338235294117752E-2</v>
      </c>
      <c r="X19" s="64">
        <f>IFERROR(Q19/S19-1,"n/a")</f>
        <v>0.12865497076023402</v>
      </c>
      <c r="Y19" s="64">
        <f>IFERROR(Q19/T19-1,"n/a")</f>
        <v>35.1875</v>
      </c>
      <c r="Z19" s="64">
        <f>IFERROR(Q19/U19-1,"n/a")</f>
        <v>71.375</v>
      </c>
      <c r="AA19" s="60">
        <f>IFERROR(Q19/V19-1,"n/a")</f>
        <v>1.5064935064935066</v>
      </c>
      <c r="AB19" s="68">
        <v>708</v>
      </c>
      <c r="AC19" s="68">
        <v>658</v>
      </c>
      <c r="AD19" s="68">
        <v>47</v>
      </c>
      <c r="AE19" s="68">
        <v>9</v>
      </c>
      <c r="AF19" s="135">
        <v>290</v>
      </c>
      <c r="AG19" s="123"/>
      <c r="AH19" s="123"/>
    </row>
    <row r="20" spans="1:34" s="124" customFormat="1" ht="12.75">
      <c r="A20" s="123"/>
      <c r="B20" s="128"/>
      <c r="C20" s="33"/>
      <c r="D20" s="26" t="s">
        <v>11</v>
      </c>
      <c r="E20" s="32"/>
      <c r="F20" s="71">
        <v>228255</v>
      </c>
      <c r="G20" s="73">
        <v>181434</v>
      </c>
      <c r="H20" s="73">
        <v>137415</v>
      </c>
      <c r="I20" s="73">
        <v>3224</v>
      </c>
      <c r="J20" s="73">
        <v>0</v>
      </c>
      <c r="K20" s="73">
        <v>76553</v>
      </c>
      <c r="L20" s="64">
        <f>IFERROR(F20/G20-1,"n/a")</f>
        <v>0.25806078243328145</v>
      </c>
      <c r="M20" s="64">
        <f>IFERROR(F20/H20-1,"n/a")</f>
        <v>0.66106320270712815</v>
      </c>
      <c r="N20" s="64">
        <f>IFERROR(F20/I20-1,"n/a")</f>
        <v>69.798697270471465</v>
      </c>
      <c r="O20" s="64" t="str">
        <f>IFERROR(F20/J20-1,"n/a")</f>
        <v>n/a</v>
      </c>
      <c r="P20" s="60">
        <f>IFERROR(F20/K20-1,"n/a")</f>
        <v>1.9816597651300407</v>
      </c>
      <c r="Q20" s="68">
        <f>'Aug-24'!Q20+F20</f>
        <v>1236944.3999999999</v>
      </c>
      <c r="R20" s="68">
        <f>'Aug-24'!R20+G20</f>
        <v>1013425</v>
      </c>
      <c r="S20" s="68">
        <f>'Aug-24'!S20+H20</f>
        <v>704058</v>
      </c>
      <c r="T20" s="68">
        <f>'Aug-24'!T20+I20</f>
        <v>4542</v>
      </c>
      <c r="U20" s="68">
        <f>'Aug-24'!U20+J20</f>
        <v>10047</v>
      </c>
      <c r="V20" s="68">
        <f>'Aug-24'!V20+K20</f>
        <v>487762</v>
      </c>
      <c r="W20" s="64">
        <f>IFERROR(Q20/R20-1,"n/a")</f>
        <v>0.22055840343389987</v>
      </c>
      <c r="X20" s="64">
        <f>IFERROR(Q20/S20-1,"n/a")</f>
        <v>0.7568785526192443</v>
      </c>
      <c r="Y20" s="64">
        <f>IFERROR(Q20/T20-1,"n/a")</f>
        <v>271.3347424042272</v>
      </c>
      <c r="Z20" s="64">
        <f>IFERROR(Q20/U20-1,"n/a")</f>
        <v>122.11579575992833</v>
      </c>
      <c r="AA20" s="60">
        <f>IFERROR(Q20/V20-1,"n/a")</f>
        <v>1.5359589307900161</v>
      </c>
      <c r="AB20" s="68">
        <v>1277526</v>
      </c>
      <c r="AC20" s="68">
        <v>887495</v>
      </c>
      <c r="AD20" s="68">
        <v>17541</v>
      </c>
      <c r="AE20" s="68">
        <v>10046.999999999998</v>
      </c>
      <c r="AF20" s="135">
        <v>585930</v>
      </c>
      <c r="AG20" s="123"/>
      <c r="AH20" s="123"/>
    </row>
    <row r="21" spans="1:34" s="124" customFormat="1" ht="12.75">
      <c r="A21" s="123"/>
      <c r="B21" s="128"/>
      <c r="C21" s="31" t="s">
        <v>111</v>
      </c>
      <c r="D21" s="26"/>
      <c r="E21" s="34"/>
      <c r="F21" s="72"/>
      <c r="G21" s="72"/>
      <c r="H21" s="72"/>
      <c r="I21" s="72"/>
      <c r="J21" s="72"/>
      <c r="K21" s="72"/>
      <c r="L21" s="64"/>
      <c r="M21" s="64"/>
      <c r="N21" s="64"/>
      <c r="O21" s="64"/>
      <c r="P21" s="60"/>
      <c r="Q21" s="87"/>
      <c r="R21" s="87"/>
      <c r="S21" s="87"/>
      <c r="T21" s="87"/>
      <c r="U21" s="87"/>
      <c r="V21" s="87"/>
      <c r="W21" s="64"/>
      <c r="X21" s="64"/>
      <c r="Y21" s="64"/>
      <c r="Z21" s="64"/>
      <c r="AA21" s="60"/>
      <c r="AB21" s="43"/>
      <c r="AC21" s="43"/>
      <c r="AD21" s="43"/>
      <c r="AE21" s="43"/>
      <c r="AF21" s="136"/>
      <c r="AG21" s="123"/>
      <c r="AH21" s="123"/>
    </row>
    <row r="22" spans="1:34" s="124" customFormat="1" ht="12.75">
      <c r="A22" s="123"/>
      <c r="B22" s="128"/>
      <c r="C22" s="33"/>
      <c r="D22" s="26" t="s">
        <v>5</v>
      </c>
      <c r="E22" s="34"/>
      <c r="F22" s="71">
        <v>132</v>
      </c>
      <c r="G22" s="73">
        <v>119</v>
      </c>
      <c r="H22" s="73">
        <v>85</v>
      </c>
      <c r="I22" s="73">
        <v>46</v>
      </c>
      <c r="J22" s="73">
        <v>0</v>
      </c>
      <c r="K22" s="73">
        <v>86</v>
      </c>
      <c r="L22" s="64">
        <f>IFERROR(F22/G22-1,"n/a")</f>
        <v>0.10924369747899165</v>
      </c>
      <c r="M22" s="64">
        <f>IFERROR(F22/H22-1,"n/a")</f>
        <v>0.55294117647058827</v>
      </c>
      <c r="N22" s="64">
        <f>IFERROR(F22/I22-1,"n/a")</f>
        <v>1.8695652173913042</v>
      </c>
      <c r="O22" s="64" t="str">
        <f>IFERROR(F22/J22-1,"n/a")</f>
        <v>n/a</v>
      </c>
      <c r="P22" s="60">
        <f>IFERROR(F22/K22-1,"n/a")</f>
        <v>0.53488372093023262</v>
      </c>
      <c r="Q22" s="68">
        <f>'Aug-24'!Q22+F22</f>
        <v>998</v>
      </c>
      <c r="R22" s="68">
        <f>'Aug-24'!R22+G22</f>
        <v>976</v>
      </c>
      <c r="S22" s="68">
        <f>'Aug-24'!S22+H22</f>
        <v>548</v>
      </c>
      <c r="T22" s="68">
        <f>'Aug-24'!T22+I22</f>
        <v>84</v>
      </c>
      <c r="U22" s="68">
        <f>'Aug-24'!U22+J22</f>
        <v>43</v>
      </c>
      <c r="V22" s="68">
        <f>'Aug-24'!V22+K22</f>
        <v>585</v>
      </c>
      <c r="W22" s="64">
        <f>IFERROR(Q22/R22-1,"n/a")</f>
        <v>2.2540983606557319E-2</v>
      </c>
      <c r="X22" s="64">
        <f>IFERROR(Q22/S22-1,"n/a")</f>
        <v>0.82116788321167888</v>
      </c>
      <c r="Y22" s="64">
        <f>IFERROR(Q22/T22-1,"n/a")</f>
        <v>10.880952380952381</v>
      </c>
      <c r="Z22" s="64">
        <f>IFERROR(Q22/U22-1,"n/a")</f>
        <v>22.209302325581394</v>
      </c>
      <c r="AA22" s="60">
        <f>IFERROR(Q22/V22-1,"n/a")</f>
        <v>0.70598290598290592</v>
      </c>
      <c r="AB22" s="68">
        <v>1500</v>
      </c>
      <c r="AC22" s="68">
        <v>895</v>
      </c>
      <c r="AD22" s="68">
        <v>283</v>
      </c>
      <c r="AE22" s="68">
        <v>43</v>
      </c>
      <c r="AF22" s="135">
        <v>827</v>
      </c>
      <c r="AG22" s="123"/>
      <c r="AH22" s="123"/>
    </row>
    <row r="23" spans="1:34" s="124" customFormat="1" ht="12.75">
      <c r="A23" s="123"/>
      <c r="B23" s="128"/>
      <c r="C23" s="33"/>
      <c r="D23" s="26" t="s">
        <v>11</v>
      </c>
      <c r="E23" s="32"/>
      <c r="F23" s="71">
        <v>442038</v>
      </c>
      <c r="G23" s="73">
        <v>374705</v>
      </c>
      <c r="H23" s="73">
        <v>267710</v>
      </c>
      <c r="I23" s="73">
        <v>89719</v>
      </c>
      <c r="J23" s="73">
        <v>0</v>
      </c>
      <c r="K23" s="73">
        <v>304036</v>
      </c>
      <c r="L23" s="64">
        <f>IFERROR(F23/G23-1,"n/a")</f>
        <v>0.17969602754166614</v>
      </c>
      <c r="M23" s="64">
        <f>IFERROR(F23/H23-1,"n/a")</f>
        <v>0.65118224944903069</v>
      </c>
      <c r="N23" s="64">
        <f>IFERROR(F23/I23-1,"n/a")</f>
        <v>3.9269162607697368</v>
      </c>
      <c r="O23" s="64" t="str">
        <f>IFERROR(F23/J23-1,"n/a")</f>
        <v>n/a</v>
      </c>
      <c r="P23" s="60">
        <f>IFERROR(F23/K23-1,"n/a")</f>
        <v>0.45390019602941756</v>
      </c>
      <c r="Q23" s="68">
        <f>'Aug-24'!Q23+F23</f>
        <v>3403712</v>
      </c>
      <c r="R23" s="68">
        <f>'Aug-24'!R23+G23</f>
        <v>3053822</v>
      </c>
      <c r="S23" s="68">
        <f>'Aug-24'!S23+H23</f>
        <v>1332424</v>
      </c>
      <c r="T23" s="68">
        <f>'Aug-24'!T23+I23</f>
        <v>167883</v>
      </c>
      <c r="U23" s="68">
        <f>'Aug-24'!U23+J23</f>
        <v>140552</v>
      </c>
      <c r="V23" s="68">
        <f>'Aug-24'!V23+K23</f>
        <v>1897444</v>
      </c>
      <c r="W23" s="64">
        <f>IFERROR(Q23/R23-1,"n/a")</f>
        <v>0.11457445784331899</v>
      </c>
      <c r="X23" s="64">
        <f>IFERROR(Q23/S23-1,"n/a")</f>
        <v>1.5545261868594382</v>
      </c>
      <c r="Y23" s="64">
        <f>IFERROR(Q23/T23-1,"n/a")</f>
        <v>19.274310084999673</v>
      </c>
      <c r="Z23" s="64">
        <f>IFERROR(Q23/U23-1,"n/a")</f>
        <v>23.216745403836303</v>
      </c>
      <c r="AA23" s="60">
        <f>IFERROR(Q23/V23-1,"n/a")</f>
        <v>0.79384055603222015</v>
      </c>
      <c r="AB23" s="68">
        <v>4449177</v>
      </c>
      <c r="AC23" s="68">
        <v>2165161</v>
      </c>
      <c r="AD23" s="68">
        <v>465109</v>
      </c>
      <c r="AE23" s="68">
        <v>140552</v>
      </c>
      <c r="AF23" s="135">
        <v>2552942</v>
      </c>
      <c r="AG23" s="123"/>
      <c r="AH23" s="123"/>
    </row>
    <row r="24" spans="1:34" s="124" customFormat="1" ht="12.75">
      <c r="A24" s="123"/>
      <c r="B24" s="128"/>
      <c r="C24" s="31" t="s">
        <v>112</v>
      </c>
      <c r="D24" s="26"/>
      <c r="E24" s="32"/>
      <c r="F24" s="72"/>
      <c r="G24" s="72"/>
      <c r="H24" s="72"/>
      <c r="I24" s="72"/>
      <c r="J24" s="72"/>
      <c r="K24" s="72"/>
      <c r="L24" s="64"/>
      <c r="M24" s="64"/>
      <c r="N24" s="64"/>
      <c r="O24" s="64"/>
      <c r="P24" s="60"/>
      <c r="Q24" s="87"/>
      <c r="R24" s="87"/>
      <c r="S24" s="87"/>
      <c r="T24" s="87"/>
      <c r="U24" s="87"/>
      <c r="V24" s="87"/>
      <c r="W24" s="64"/>
      <c r="X24" s="64"/>
      <c r="Y24" s="64"/>
      <c r="Z24" s="64"/>
      <c r="AA24" s="60"/>
      <c r="AB24" s="43"/>
      <c r="AC24" s="43"/>
      <c r="AD24" s="43"/>
      <c r="AE24" s="43"/>
      <c r="AF24" s="136"/>
      <c r="AG24" s="123"/>
      <c r="AH24" s="123"/>
    </row>
    <row r="25" spans="1:34" s="124" customFormat="1" ht="12.75">
      <c r="B25" s="128"/>
      <c r="C25" s="33"/>
      <c r="D25" s="26" t="s">
        <v>5</v>
      </c>
      <c r="E25" s="32"/>
      <c r="F25" s="71">
        <v>2</v>
      </c>
      <c r="G25" s="73">
        <v>4</v>
      </c>
      <c r="H25" s="73">
        <v>1</v>
      </c>
      <c r="I25" s="73">
        <v>0</v>
      </c>
      <c r="J25" s="73">
        <v>0</v>
      </c>
      <c r="K25" s="73">
        <v>1</v>
      </c>
      <c r="L25" s="64">
        <f>IFERROR(F25/G25-1,"n/a")</f>
        <v>-0.5</v>
      </c>
      <c r="M25" s="64">
        <f>IFERROR(F25/H25-1,"n/a")</f>
        <v>1</v>
      </c>
      <c r="N25" s="64" t="str">
        <f>IFERROR(F25/I25-1,"n/a")</f>
        <v>n/a</v>
      </c>
      <c r="O25" s="64" t="str">
        <f>IFERROR(F25/J25-1,"n/a")</f>
        <v>n/a</v>
      </c>
      <c r="P25" s="60">
        <f>IFERROR(F25/K25-1,"n/a")</f>
        <v>1</v>
      </c>
      <c r="Q25" s="68">
        <f>'Aug-24'!Q25+F25</f>
        <v>12</v>
      </c>
      <c r="R25" s="68">
        <f>'Aug-24'!R25+G25</f>
        <v>19</v>
      </c>
      <c r="S25" s="68">
        <f>'Aug-24'!S25+H25</f>
        <v>8</v>
      </c>
      <c r="T25" s="68">
        <f>'Aug-24'!T25+I25</f>
        <v>0</v>
      </c>
      <c r="U25" s="68">
        <f>'Aug-24'!U25+J25</f>
        <v>0</v>
      </c>
      <c r="V25" s="68">
        <f>'Aug-24'!V25+K25</f>
        <v>13</v>
      </c>
      <c r="W25" s="64">
        <f>IFERROR(Q25/R25-1,"n/a")</f>
        <v>-0.36842105263157898</v>
      </c>
      <c r="X25" s="64">
        <f>IFERROR(Q25/S25-1,"n/a")</f>
        <v>0.5</v>
      </c>
      <c r="Y25" s="64" t="str">
        <f>IFERROR(Q25/T25-1,"n/a")</f>
        <v>n/a</v>
      </c>
      <c r="Z25" s="64" t="str">
        <f>IFERROR(Q25/U25-1,"n/a")</f>
        <v>n/a</v>
      </c>
      <c r="AA25" s="60">
        <f>IFERROR(Q25/V25-1,"n/a")</f>
        <v>-7.6923076923076872E-2</v>
      </c>
      <c r="AB25" s="68">
        <v>21</v>
      </c>
      <c r="AC25" s="68">
        <v>9</v>
      </c>
      <c r="AD25" s="68">
        <v>0</v>
      </c>
      <c r="AE25" s="68">
        <v>0</v>
      </c>
      <c r="AF25" s="135">
        <v>16</v>
      </c>
      <c r="AG25" s="123"/>
      <c r="AH25" s="123"/>
    </row>
    <row r="26" spans="1:34" s="124" customFormat="1" ht="12.75">
      <c r="A26" s="123"/>
      <c r="B26" s="128"/>
      <c r="C26" s="33"/>
      <c r="D26" s="26" t="s">
        <v>11</v>
      </c>
      <c r="E26" s="32"/>
      <c r="F26" s="71">
        <v>5957</v>
      </c>
      <c r="G26" s="73">
        <v>7920</v>
      </c>
      <c r="H26" s="73">
        <v>2266</v>
      </c>
      <c r="I26" s="73">
        <v>0</v>
      </c>
      <c r="J26" s="73">
        <v>0</v>
      </c>
      <c r="K26" s="73">
        <v>1243</v>
      </c>
      <c r="L26" s="64">
        <f>IFERROR(F26/G26-1,"n/a")</f>
        <v>-0.24785353535353538</v>
      </c>
      <c r="M26" s="64">
        <f>IFERROR(F26/H26-1,"n/a")</f>
        <v>1.6288614298323036</v>
      </c>
      <c r="N26" s="64" t="str">
        <f>IFERROR(F26/I26-1,"n/a")</f>
        <v>n/a</v>
      </c>
      <c r="O26" s="64" t="str">
        <f>IFERROR(F26/J26-1,"n/a")</f>
        <v>n/a</v>
      </c>
      <c r="P26" s="60">
        <f>IFERROR(F26/K26-1,"n/a")</f>
        <v>3.7924376508447306</v>
      </c>
      <c r="Q26" s="68">
        <f>'Aug-24'!Q26+F26</f>
        <v>44298</v>
      </c>
      <c r="R26" s="68">
        <f>'Aug-24'!R26+G26</f>
        <v>34314</v>
      </c>
      <c r="S26" s="68">
        <f>'Aug-24'!S26+H26</f>
        <v>13279</v>
      </c>
      <c r="T26" s="68">
        <f>'Aug-24'!T26+I26</f>
        <v>0</v>
      </c>
      <c r="U26" s="68">
        <f>'Aug-24'!U26+J26</f>
        <v>0</v>
      </c>
      <c r="V26" s="68">
        <f>'Aug-24'!V26+K26</f>
        <v>16291</v>
      </c>
      <c r="W26" s="64">
        <f>IFERROR(Q26/R26-1,"n/a")</f>
        <v>0.29095995803462138</v>
      </c>
      <c r="X26" s="64">
        <f>IFERROR(Q26/S26-1,"n/a")</f>
        <v>2.3359439716846149</v>
      </c>
      <c r="Y26" s="64" t="str">
        <f>IFERROR(Q26/T26-1,"n/a")</f>
        <v>n/a</v>
      </c>
      <c r="Z26" s="64" t="str">
        <f>IFERROR(Q26/U26-1,"n/a")</f>
        <v>n/a</v>
      </c>
      <c r="AA26" s="60">
        <f>IFERROR(Q26/V26-1,"n/a")</f>
        <v>1.7191700939168868</v>
      </c>
      <c r="AB26" s="68">
        <v>38626</v>
      </c>
      <c r="AC26" s="68">
        <v>15637</v>
      </c>
      <c r="AD26" s="68">
        <v>0</v>
      </c>
      <c r="AE26" s="68">
        <v>0</v>
      </c>
      <c r="AF26" s="137">
        <v>20248</v>
      </c>
      <c r="AG26" s="123"/>
      <c r="AH26" s="123"/>
    </row>
    <row r="27" spans="1:34" s="124" customFormat="1" ht="13.5" thickBot="1">
      <c r="A27" s="123"/>
      <c r="B27" s="128"/>
      <c r="C27" s="35" t="s">
        <v>12</v>
      </c>
      <c r="D27" s="36"/>
      <c r="E27" s="37"/>
      <c r="F27" s="75">
        <f t="shared" ref="F27:K28" si="0">F13+F16+F19+F22+F25</f>
        <v>489</v>
      </c>
      <c r="G27" s="75">
        <f t="shared" si="0"/>
        <v>389</v>
      </c>
      <c r="H27" s="75">
        <f t="shared" si="0"/>
        <v>334</v>
      </c>
      <c r="I27" s="75">
        <f t="shared" si="0"/>
        <v>147</v>
      </c>
      <c r="J27" s="75">
        <f t="shared" si="0"/>
        <v>10</v>
      </c>
      <c r="K27" s="75">
        <f t="shared" si="0"/>
        <v>268</v>
      </c>
      <c r="L27" s="66">
        <f>IFERROR(F27/G27-1,"n/a")</f>
        <v>0.25706940874035999</v>
      </c>
      <c r="M27" s="66">
        <f>IFERROR(F27/H27-1,"n/a")</f>
        <v>0.46407185628742509</v>
      </c>
      <c r="N27" s="66">
        <f>IFERROR(F27/I27-1,"n/a")</f>
        <v>2.3265306122448979</v>
      </c>
      <c r="O27" s="66">
        <f>IFERROR(F27/J27-1,"n/a")</f>
        <v>47.9</v>
      </c>
      <c r="P27" s="62">
        <f>IFERROR(F27/K27-1,"n/a")</f>
        <v>0.82462686567164178</v>
      </c>
      <c r="Q27" s="75">
        <f t="shared" ref="Q27:V28" si="1">Q13+Q16+Q19+Q22+Q25</f>
        <v>3842</v>
      </c>
      <c r="R27" s="75">
        <f t="shared" si="1"/>
        <v>3120</v>
      </c>
      <c r="S27" s="75">
        <f t="shared" si="1"/>
        <v>2593</v>
      </c>
      <c r="T27" s="75">
        <f t="shared" si="1"/>
        <v>375</v>
      </c>
      <c r="U27" s="75">
        <f t="shared" si="1"/>
        <v>623</v>
      </c>
      <c r="V27" s="75">
        <f t="shared" si="1"/>
        <v>2334</v>
      </c>
      <c r="W27" s="66">
        <f>IFERROR(Q27/R27-1,"n/a")</f>
        <v>0.23141025641025648</v>
      </c>
      <c r="X27" s="66">
        <f>IFERROR(Q27/S27-1,"n/a")</f>
        <v>0.48168145005784813</v>
      </c>
      <c r="Y27" s="66">
        <f>IFERROR(Q27/T27-1,"n/a")</f>
        <v>9.245333333333333</v>
      </c>
      <c r="Z27" s="66">
        <f>IFERROR(Q27/U27-1,"n/a")</f>
        <v>5.1669341894060992</v>
      </c>
      <c r="AA27" s="62">
        <f>IFERROR(Q27/V27-1,"n/a")</f>
        <v>0.64610111396743797</v>
      </c>
      <c r="AB27" s="75">
        <f>AB13+AB16+AB19+AB22+AB25</f>
        <v>4434</v>
      </c>
      <c r="AC27" s="75">
        <f>AC13+AC16+AC19+AC22+AC25</f>
        <v>3620</v>
      </c>
      <c r="AD27" s="46">
        <f t="shared" ref="AD27:AF28" si="2">AD13+AD16+AD19+AD22+AD25</f>
        <v>1054</v>
      </c>
      <c r="AE27" s="46">
        <f t="shared" si="2"/>
        <v>657</v>
      </c>
      <c r="AF27" s="80">
        <f t="shared" si="2"/>
        <v>3310</v>
      </c>
      <c r="AG27" s="123"/>
      <c r="AH27" s="123"/>
    </row>
    <row r="28" spans="1:34" s="124" customFormat="1" ht="14.25" thickTop="1" thickBot="1">
      <c r="A28" s="123"/>
      <c r="B28" s="128"/>
      <c r="C28" s="38" t="s">
        <v>13</v>
      </c>
      <c r="D28" s="39"/>
      <c r="E28" s="40"/>
      <c r="F28" s="76">
        <f t="shared" si="0"/>
        <v>1455220</v>
      </c>
      <c r="G28" s="76">
        <f t="shared" si="0"/>
        <v>1100804</v>
      </c>
      <c r="H28" s="76">
        <f t="shared" si="0"/>
        <v>838052</v>
      </c>
      <c r="I28" s="76">
        <f t="shared" si="0"/>
        <v>240604</v>
      </c>
      <c r="J28" s="76">
        <f t="shared" si="0"/>
        <v>6072</v>
      </c>
      <c r="K28" s="76">
        <f t="shared" si="0"/>
        <v>785421</v>
      </c>
      <c r="L28" s="67">
        <f>IFERROR(F28/G28-1,"n/a")</f>
        <v>0.32196103938575815</v>
      </c>
      <c r="M28" s="67">
        <f>IFERROR(F28/H28-1,"n/a")</f>
        <v>0.7364316295408877</v>
      </c>
      <c r="N28" s="67">
        <f>IFERROR(F28/I28-1,"n/a")</f>
        <v>5.0481953749729849</v>
      </c>
      <c r="O28" s="67">
        <f>IFERROR(F28/J28-1,"n/a")</f>
        <v>238.66073781291172</v>
      </c>
      <c r="P28" s="63">
        <f>IFERROR(F28/K28-1,"n/a")</f>
        <v>0.85278977771157116</v>
      </c>
      <c r="Q28" s="76">
        <f t="shared" si="1"/>
        <v>11998873.4</v>
      </c>
      <c r="R28" s="76">
        <f t="shared" si="1"/>
        <v>9221852</v>
      </c>
      <c r="S28" s="76">
        <f t="shared" si="1"/>
        <v>5217004</v>
      </c>
      <c r="T28" s="76">
        <f t="shared" si="1"/>
        <v>568611</v>
      </c>
      <c r="U28" s="76">
        <f t="shared" si="1"/>
        <v>1293209</v>
      </c>
      <c r="V28" s="76">
        <f t="shared" si="1"/>
        <v>6826805</v>
      </c>
      <c r="W28" s="67">
        <f>IFERROR(Q28/R28-1,"n/a")</f>
        <v>0.30113489134286686</v>
      </c>
      <c r="X28" s="67">
        <f>IFERROR(Q28/S28-1,"n/a")</f>
        <v>1.2999548016447755</v>
      </c>
      <c r="Y28" s="67">
        <f>IFERROR(Q28/T28-1,"n/a")</f>
        <v>20.102077518725455</v>
      </c>
      <c r="Z28" s="67">
        <f>IFERROR(Q28/U28-1,"n/a")</f>
        <v>8.2783714001371784</v>
      </c>
      <c r="AA28" s="63">
        <f>IFERROR(Q28/V28-1,"n/a")</f>
        <v>0.75761185503321116</v>
      </c>
      <c r="AB28" s="76">
        <f>AB14+AB17+AB20+AB23+AB26</f>
        <v>12658551</v>
      </c>
      <c r="AC28" s="76">
        <f>AC14+AC17+AC20+AC23+AC26</f>
        <v>7626669</v>
      </c>
      <c r="AD28" s="47">
        <f t="shared" si="2"/>
        <v>1552483</v>
      </c>
      <c r="AE28" s="47">
        <f t="shared" si="2"/>
        <v>1314158</v>
      </c>
      <c r="AF28" s="81">
        <f t="shared" si="2"/>
        <v>9152531</v>
      </c>
      <c r="AG28" s="123"/>
      <c r="AH28" s="123"/>
    </row>
    <row r="29" spans="1:34" s="124" customFormat="1" ht="12" thickTop="1">
      <c r="A29" s="123"/>
      <c r="B29" s="123"/>
      <c r="C29" s="123"/>
      <c r="D29" s="123"/>
      <c r="E29" s="123"/>
      <c r="F29" s="123"/>
      <c r="G29" s="129"/>
      <c r="H29" s="129"/>
      <c r="I29" s="129"/>
      <c r="J29" s="129"/>
      <c r="K29" s="129"/>
      <c r="L29" s="129"/>
      <c r="M29" s="129"/>
      <c r="N29" s="129"/>
      <c r="O29" s="129"/>
      <c r="P29" s="123"/>
      <c r="Q29" s="123"/>
      <c r="R29" s="123"/>
      <c r="S29" s="123"/>
      <c r="T29" s="123"/>
      <c r="U29" s="123"/>
      <c r="V29" s="123"/>
      <c r="W29" s="123"/>
      <c r="X29" s="123"/>
      <c r="Y29" s="123"/>
      <c r="Z29" s="123"/>
      <c r="AA29" s="123"/>
      <c r="AB29" s="123"/>
      <c r="AC29" s="123"/>
      <c r="AD29" s="123"/>
      <c r="AE29" s="123"/>
      <c r="AF29" s="123"/>
      <c r="AG29" s="123"/>
      <c r="AH29" s="123"/>
    </row>
    <row r="30" spans="1:34" s="124" customFormat="1" ht="11.25">
      <c r="A30" s="123"/>
      <c r="B30" s="123"/>
      <c r="C30" s="123"/>
      <c r="D30" s="123"/>
      <c r="E30" s="123"/>
      <c r="F30" s="123"/>
      <c r="G30" s="129"/>
      <c r="H30" s="129"/>
      <c r="I30" s="129"/>
      <c r="J30" s="129"/>
      <c r="K30" s="129"/>
      <c r="L30" s="129"/>
      <c r="M30" s="129"/>
      <c r="N30" s="129"/>
      <c r="O30" s="129"/>
      <c r="P30" s="123"/>
      <c r="Q30" s="123"/>
      <c r="R30" s="129"/>
      <c r="S30" s="123"/>
      <c r="T30" s="123"/>
      <c r="U30" s="123"/>
      <c r="V30" s="123"/>
      <c r="W30" s="123"/>
      <c r="X30" s="123"/>
      <c r="Y30" s="123"/>
      <c r="Z30" s="123"/>
      <c r="AA30" s="123"/>
      <c r="AB30" s="123"/>
      <c r="AC30" s="123"/>
      <c r="AD30" s="123"/>
      <c r="AE30" s="123"/>
      <c r="AF30" s="123"/>
      <c r="AG30" s="123"/>
      <c r="AH30" s="123"/>
    </row>
    <row r="31" spans="1:34" s="124" customFormat="1" ht="12.75">
      <c r="A31" s="123"/>
      <c r="B31" s="130"/>
      <c r="C31" s="131" t="s">
        <v>63</v>
      </c>
      <c r="D31" s="24"/>
      <c r="E31" s="24"/>
      <c r="F31" s="24"/>
      <c r="G31" s="24"/>
      <c r="H31" s="24"/>
      <c r="I31" s="24"/>
      <c r="J31" s="24"/>
      <c r="K31" s="95"/>
      <c r="L31" s="95"/>
      <c r="M31" s="95"/>
      <c r="N31" s="95"/>
      <c r="O31" s="95"/>
      <c r="P31" s="24"/>
      <c r="Q31" s="24"/>
      <c r="R31" s="24"/>
      <c r="S31" s="24"/>
      <c r="T31" s="24"/>
      <c r="U31" s="24"/>
      <c r="V31" s="24"/>
      <c r="W31" s="24"/>
      <c r="X31" s="24"/>
      <c r="Y31" s="24"/>
      <c r="Z31" s="24"/>
      <c r="AA31" s="24"/>
      <c r="AB31" s="24"/>
      <c r="AC31" s="24"/>
      <c r="AD31" s="24"/>
      <c r="AE31" s="24"/>
      <c r="AF31" s="24"/>
      <c r="AG31" s="24"/>
      <c r="AH31" s="123"/>
    </row>
    <row r="32" spans="1:34" s="124" customFormat="1" ht="12.75">
      <c r="A32" s="123"/>
      <c r="B32" s="130"/>
      <c r="C32" s="24"/>
      <c r="D32" s="24"/>
      <c r="E32" s="24"/>
      <c r="F32" s="24"/>
      <c r="G32" s="24"/>
      <c r="H32" s="24"/>
      <c r="I32" s="24"/>
      <c r="J32" s="24"/>
      <c r="K32" s="95"/>
      <c r="L32" s="95"/>
      <c r="M32" s="95"/>
      <c r="N32" s="95"/>
      <c r="O32" s="95"/>
      <c r="P32" s="24"/>
      <c r="Q32" s="24"/>
      <c r="R32" s="24"/>
      <c r="S32" s="24"/>
      <c r="T32" s="24"/>
      <c r="U32" s="24"/>
      <c r="V32" s="24"/>
      <c r="W32" s="24"/>
      <c r="X32" s="24"/>
      <c r="Y32" s="24"/>
      <c r="Z32" s="24"/>
      <c r="AA32" s="24"/>
      <c r="AB32" s="24"/>
      <c r="AC32" s="24"/>
      <c r="AD32" s="24"/>
      <c r="AE32" s="24"/>
      <c r="AF32" s="24"/>
      <c r="AG32" s="24"/>
      <c r="AH32" s="123"/>
    </row>
    <row r="33" spans="1:34" s="124" customFormat="1" ht="15" customHeight="1">
      <c r="A33" s="123"/>
      <c r="B33" s="123"/>
      <c r="C33" s="27" t="s">
        <v>7</v>
      </c>
      <c r="D33" s="28"/>
      <c r="E33" s="28"/>
      <c r="F33" s="158" t="str">
        <f>F9</f>
        <v>September</v>
      </c>
      <c r="G33" s="158"/>
      <c r="H33" s="158"/>
      <c r="I33" s="158"/>
      <c r="J33" s="158"/>
      <c r="K33" s="158"/>
      <c r="L33" s="158"/>
      <c r="M33" s="158"/>
      <c r="N33" s="158"/>
      <c r="O33" s="158"/>
      <c r="P33" s="159"/>
      <c r="Q33" s="161" t="s">
        <v>137</v>
      </c>
      <c r="R33" s="162"/>
      <c r="S33" s="162"/>
      <c r="T33" s="162"/>
      <c r="U33" s="162"/>
      <c r="V33" s="162"/>
      <c r="W33" s="162"/>
      <c r="X33" s="162"/>
      <c r="Y33" s="162"/>
      <c r="Z33" s="162"/>
      <c r="AA33" s="163"/>
      <c r="AB33" s="161" t="s">
        <v>58</v>
      </c>
      <c r="AC33" s="162"/>
      <c r="AD33" s="162"/>
      <c r="AE33" s="162"/>
      <c r="AF33" s="164"/>
    </row>
    <row r="34" spans="1:34" s="124" customFormat="1" ht="11.25">
      <c r="A34" s="123"/>
      <c r="B34" s="123"/>
      <c r="C34" s="29"/>
      <c r="D34" s="30"/>
      <c r="E34" s="30"/>
      <c r="F34" s="143"/>
      <c r="G34" s="144"/>
      <c r="H34" s="144"/>
      <c r="I34" s="144"/>
      <c r="J34" s="144"/>
      <c r="K34" s="144"/>
      <c r="L34" s="144"/>
      <c r="M34" s="144"/>
      <c r="N34" s="144"/>
      <c r="O34" s="144"/>
      <c r="P34" s="145"/>
      <c r="Q34" s="144"/>
      <c r="R34" s="144"/>
      <c r="S34" s="144"/>
      <c r="T34" s="144"/>
      <c r="U34" s="144"/>
      <c r="V34" s="144"/>
      <c r="W34" s="144"/>
      <c r="X34" s="144"/>
      <c r="Y34" s="144"/>
      <c r="Z34" s="144"/>
      <c r="AA34" s="145"/>
      <c r="AB34" s="152"/>
      <c r="AC34" s="153"/>
      <c r="AD34" s="153"/>
      <c r="AE34" s="153"/>
      <c r="AF34" s="154"/>
    </row>
    <row r="35" spans="1:34" s="124" customFormat="1" ht="22.5">
      <c r="A35" s="123"/>
      <c r="B35" s="123"/>
      <c r="C35" s="59" t="s">
        <v>29</v>
      </c>
      <c r="D35" s="50"/>
      <c r="E35" s="51"/>
      <c r="F35" s="55">
        <v>2024</v>
      </c>
      <c r="G35" s="52">
        <v>2023</v>
      </c>
      <c r="H35" s="52">
        <v>2022</v>
      </c>
      <c r="I35" s="52">
        <v>2021</v>
      </c>
      <c r="J35" s="52">
        <v>2020</v>
      </c>
      <c r="K35" s="52">
        <v>2019</v>
      </c>
      <c r="L35" s="53" t="s">
        <v>116</v>
      </c>
      <c r="M35" s="53" t="s">
        <v>117</v>
      </c>
      <c r="N35" s="53" t="s">
        <v>118</v>
      </c>
      <c r="O35" s="53" t="s">
        <v>119</v>
      </c>
      <c r="P35" s="57" t="s">
        <v>101</v>
      </c>
      <c r="Q35" s="53" t="s">
        <v>130</v>
      </c>
      <c r="R35" s="53" t="s">
        <v>115</v>
      </c>
      <c r="S35" s="53" t="s">
        <v>53</v>
      </c>
      <c r="T35" s="52" t="s">
        <v>54</v>
      </c>
      <c r="U35" s="52" t="s">
        <v>59</v>
      </c>
      <c r="V35" s="52" t="s">
        <v>64</v>
      </c>
      <c r="W35" s="53" t="s">
        <v>131</v>
      </c>
      <c r="X35" s="53" t="s">
        <v>116</v>
      </c>
      <c r="Y35" s="53" t="s">
        <v>117</v>
      </c>
      <c r="Z35" s="53" t="s">
        <v>118</v>
      </c>
      <c r="AA35" s="57" t="s">
        <v>119</v>
      </c>
      <c r="AB35" s="146"/>
      <c r="AC35" s="53" t="s">
        <v>53</v>
      </c>
      <c r="AD35" s="53" t="s">
        <v>54</v>
      </c>
      <c r="AE35" s="53" t="s">
        <v>65</v>
      </c>
      <c r="AF35" s="57" t="s">
        <v>73</v>
      </c>
      <c r="AH35" s="123"/>
    </row>
    <row r="36" spans="1:34" s="124" customFormat="1" ht="11.25">
      <c r="A36" s="123"/>
      <c r="B36" s="123"/>
      <c r="C36" s="31" t="s">
        <v>108</v>
      </c>
      <c r="D36" s="26"/>
      <c r="E36" s="32"/>
      <c r="F36" s="26"/>
      <c r="G36" s="26"/>
      <c r="H36" s="26"/>
      <c r="I36" s="26"/>
      <c r="J36" s="26"/>
      <c r="K36" s="26"/>
      <c r="L36" s="26"/>
      <c r="M36" s="26"/>
      <c r="N36" s="26"/>
      <c r="O36" s="26"/>
      <c r="P36" s="32"/>
      <c r="Q36" s="26"/>
      <c r="R36" s="26"/>
      <c r="S36" s="26"/>
      <c r="T36" s="26"/>
      <c r="U36" s="26"/>
      <c r="V36" s="123"/>
      <c r="W36" s="26"/>
      <c r="X36" s="26"/>
      <c r="Y36" s="123"/>
      <c r="Z36" s="26"/>
      <c r="AA36" s="32"/>
      <c r="AB36" s="147"/>
      <c r="AC36" s="26"/>
      <c r="AD36" s="26"/>
      <c r="AE36" s="88"/>
      <c r="AF36" s="85"/>
      <c r="AH36" s="123"/>
    </row>
    <row r="37" spans="1:34" s="124" customFormat="1" ht="11.25">
      <c r="A37" s="123"/>
      <c r="B37" s="123"/>
      <c r="C37" s="33"/>
      <c r="D37" s="26" t="s">
        <v>5</v>
      </c>
      <c r="E37" s="32"/>
      <c r="F37" s="74">
        <f t="shared" ref="F37:F38" si="3">F13</f>
        <v>138</v>
      </c>
      <c r="G37" s="74">
        <f t="shared" ref="G37:K38" si="4">+G13</f>
        <v>98</v>
      </c>
      <c r="H37" s="74">
        <f t="shared" si="4"/>
        <v>82</v>
      </c>
      <c r="I37" s="74">
        <f t="shared" si="4"/>
        <v>60</v>
      </c>
      <c r="J37" s="74">
        <f t="shared" si="4"/>
        <v>0</v>
      </c>
      <c r="K37" s="74">
        <f t="shared" si="4"/>
        <v>79</v>
      </c>
      <c r="L37" s="64">
        <f>IFERROR(F37/G37-1,"n/a")</f>
        <v>0.40816326530612246</v>
      </c>
      <c r="M37" s="64">
        <f>IFERROR(F37/H37-1,"n/a")</f>
        <v>0.68292682926829262</v>
      </c>
      <c r="N37" s="64">
        <f>IFERROR(F37/I37-1,"n/a")</f>
        <v>1.2999999999999998</v>
      </c>
      <c r="O37" s="64" t="str">
        <f>IFERROR(F37/J37-1,"n/a")</f>
        <v>n/a</v>
      </c>
      <c r="P37" s="60">
        <f>IFERROR(F37/K37-1,"n/a")</f>
        <v>0.74683544303797467</v>
      </c>
      <c r="Q37" s="74">
        <f>'Aug-24'!Q37+F37</f>
        <v>952</v>
      </c>
      <c r="R37" s="74">
        <f>'Aug-24'!R37+G37</f>
        <v>625</v>
      </c>
      <c r="S37" s="74">
        <f>'Aug-24'!S37+H37</f>
        <v>543</v>
      </c>
      <c r="T37" s="74">
        <f>'Aug-24'!T37+I37</f>
        <v>139</v>
      </c>
      <c r="U37" s="74">
        <f>'Aug-24'!U37+J37</f>
        <v>42</v>
      </c>
      <c r="V37" s="74">
        <f>'Aug-24'!V37+K37</f>
        <v>586</v>
      </c>
      <c r="W37" s="120">
        <f>IFERROR(Q37/R37-1,"n/a")</f>
        <v>0.52320000000000011</v>
      </c>
      <c r="X37" s="120">
        <f>IFERROR(R37/S37-1,"n/a")</f>
        <v>0.15101289134438312</v>
      </c>
      <c r="Y37" s="120">
        <f>IFERROR(R37/T37-1,"n/a")</f>
        <v>3.4964028776978413</v>
      </c>
      <c r="Z37" s="120">
        <f>IFERROR(R37/U37-1,"n/a")</f>
        <v>13.880952380952381</v>
      </c>
      <c r="AA37" s="121">
        <f>IFERROR(R37/V37-1,"n/a")</f>
        <v>6.6552901023890776E-2</v>
      </c>
      <c r="AB37" s="148"/>
      <c r="AC37" s="89">
        <v>1486</v>
      </c>
      <c r="AD37" s="89">
        <v>1052</v>
      </c>
      <c r="AE37" s="70">
        <v>551</v>
      </c>
      <c r="AF37" s="78">
        <v>1584</v>
      </c>
      <c r="AH37" s="123"/>
    </row>
    <row r="38" spans="1:34" s="124" customFormat="1" ht="11.25">
      <c r="A38" s="123"/>
      <c r="B38" s="123"/>
      <c r="C38" s="33"/>
      <c r="D38" s="26" t="s">
        <v>11</v>
      </c>
      <c r="E38" s="32"/>
      <c r="F38" s="74">
        <f t="shared" si="3"/>
        <v>494236</v>
      </c>
      <c r="G38" s="74">
        <f t="shared" si="4"/>
        <v>313650</v>
      </c>
      <c r="H38" s="74">
        <f t="shared" si="4"/>
        <v>280580</v>
      </c>
      <c r="I38" s="74">
        <f t="shared" si="4"/>
        <v>83395</v>
      </c>
      <c r="J38" s="74">
        <f t="shared" si="4"/>
        <v>0</v>
      </c>
      <c r="K38" s="74">
        <f t="shared" si="4"/>
        <v>234453</v>
      </c>
      <c r="L38" s="64">
        <f>IFERROR(F38/G38-1,"n/a")</f>
        <v>0.57575641638769337</v>
      </c>
      <c r="M38" s="64">
        <f>IFERROR(F38/H38-1,"n/a")</f>
        <v>0.76147979185971915</v>
      </c>
      <c r="N38" s="64">
        <f>IFERROR(F38/I38-1,"n/a")</f>
        <v>4.9264464296420645</v>
      </c>
      <c r="O38" s="64" t="str">
        <f>IFERROR(F38/J38-1,"n/a")</f>
        <v>n/a</v>
      </c>
      <c r="P38" s="60">
        <f>IFERROR(F38/K38-1,"n/a")</f>
        <v>1.1080387113835184</v>
      </c>
      <c r="Q38" s="74">
        <f>'Aug-24'!Q38+F38</f>
        <v>3498440</v>
      </c>
      <c r="R38" s="74">
        <f>'Aug-24'!R38+G38</f>
        <v>2248360</v>
      </c>
      <c r="S38" s="74">
        <f>'Aug-24'!S38+H38</f>
        <v>1635653</v>
      </c>
      <c r="T38" s="74">
        <f>'Aug-24'!T38+I38</f>
        <v>180900</v>
      </c>
      <c r="U38" s="74">
        <f>'Aug-24'!U38+J38</f>
        <v>0</v>
      </c>
      <c r="V38" s="74">
        <f>'Aug-24'!V38+K38</f>
        <v>1892314</v>
      </c>
      <c r="W38" s="120">
        <f>IFERROR(Q38/R38-1,"n/a")</f>
        <v>0.55599637068796803</v>
      </c>
      <c r="X38" s="120">
        <f>IFERROR(R38/S38-1,"n/a")</f>
        <v>0.37459473372408447</v>
      </c>
      <c r="Y38" s="120">
        <f>IFERROR(R38/T38-1,"n/a")</f>
        <v>11.428745163073522</v>
      </c>
      <c r="Z38" s="120" t="str">
        <f>IFERROR(R38/U38-1,"n/a")</f>
        <v>n/a</v>
      </c>
      <c r="AA38" s="121">
        <f>IFERROR(R38/V38-1,"n/a")</f>
        <v>0.18815376306469211</v>
      </c>
      <c r="AB38" s="148"/>
      <c r="AC38" s="89">
        <v>4370939</v>
      </c>
      <c r="AD38" s="89">
        <v>1527970</v>
      </c>
      <c r="AE38" s="84">
        <v>1092884</v>
      </c>
      <c r="AF38" s="78">
        <v>4234259</v>
      </c>
      <c r="AH38" s="123"/>
    </row>
    <row r="39" spans="1:34" s="124" customFormat="1" ht="11.25">
      <c r="A39" s="123"/>
      <c r="B39" s="123"/>
      <c r="C39" s="31" t="s">
        <v>135</v>
      </c>
      <c r="D39" s="26"/>
      <c r="E39" s="32"/>
      <c r="F39" s="26"/>
      <c r="G39" s="26"/>
      <c r="H39" s="26"/>
      <c r="I39" s="26"/>
      <c r="J39" s="26"/>
      <c r="K39" s="26"/>
      <c r="L39" s="64"/>
      <c r="M39" s="64"/>
      <c r="N39" s="64"/>
      <c r="O39" s="64"/>
      <c r="P39" s="61"/>
      <c r="Q39" s="26"/>
      <c r="R39" s="26"/>
      <c r="S39" s="26"/>
      <c r="T39" s="26"/>
      <c r="U39" s="26"/>
      <c r="V39" s="26"/>
      <c r="W39" s="65"/>
      <c r="X39" s="65"/>
      <c r="Y39" s="65"/>
      <c r="Z39" s="65"/>
      <c r="AA39" s="61"/>
      <c r="AB39" s="149"/>
      <c r="AC39" s="90"/>
      <c r="AD39" s="90"/>
      <c r="AE39" s="44"/>
      <c r="AF39" s="79"/>
      <c r="AH39" s="123"/>
    </row>
    <row r="40" spans="1:34" s="124" customFormat="1" ht="11.25">
      <c r="A40" s="123"/>
      <c r="B40" s="123"/>
      <c r="C40" s="33"/>
      <c r="D40" s="26" t="s">
        <v>5</v>
      </c>
      <c r="E40" s="32"/>
      <c r="F40" s="74">
        <f t="shared" ref="F40:F41" si="5">F16</f>
        <v>105</v>
      </c>
      <c r="G40" s="74">
        <f t="shared" ref="G40:K41" si="6">+G16</f>
        <v>68</v>
      </c>
      <c r="H40" s="74">
        <f t="shared" si="6"/>
        <v>74</v>
      </c>
      <c r="I40" s="74">
        <f t="shared" si="6"/>
        <v>34</v>
      </c>
      <c r="J40" s="74">
        <f t="shared" si="6"/>
        <v>9</v>
      </c>
      <c r="K40" s="74">
        <f t="shared" si="6"/>
        <v>70</v>
      </c>
      <c r="L40" s="64">
        <f>IFERROR(F40/G40-1,"n/a")</f>
        <v>0.54411764705882359</v>
      </c>
      <c r="M40" s="64">
        <f>IFERROR(F40/H40-1,"n/a")</f>
        <v>0.41891891891891886</v>
      </c>
      <c r="N40" s="64">
        <f>IFERROR(F40/I40-1,"n/a")</f>
        <v>2.0882352941176472</v>
      </c>
      <c r="O40" s="64">
        <f>IFERROR(F40/J40-1,"n/a")</f>
        <v>10.666666666666666</v>
      </c>
      <c r="P40" s="60">
        <f>IFERROR(F40/K40-1,"n/a")</f>
        <v>0.5</v>
      </c>
      <c r="Q40" s="74">
        <f>'Aug-24'!Q40+F40</f>
        <v>562</v>
      </c>
      <c r="R40" s="74">
        <f>'Aug-24'!R40+G40</f>
        <v>399</v>
      </c>
      <c r="S40" s="74">
        <f>'Aug-24'!S40+H40</f>
        <v>415</v>
      </c>
      <c r="T40" s="74">
        <f>'Aug-24'!T40+I40</f>
        <v>124</v>
      </c>
      <c r="U40" s="74">
        <f>'Aug-24'!U40+J40</f>
        <v>11</v>
      </c>
      <c r="V40" s="74">
        <f>'Aug-24'!V40+K40</f>
        <v>380</v>
      </c>
      <c r="W40" s="120">
        <f>IFERROR(Q40/R40-1,"n/a")</f>
        <v>0.4085213032581454</v>
      </c>
      <c r="X40" s="120">
        <f>IFERROR(R40/S40-1,"n/a")</f>
        <v>-3.8554216867469848E-2</v>
      </c>
      <c r="Y40" s="120">
        <f>IFERROR(R40/T40-1,"n/a")</f>
        <v>2.217741935483871</v>
      </c>
      <c r="Z40" s="120">
        <f>IFERROR(R40/U40-1,"n/a")</f>
        <v>35.272727272727273</v>
      </c>
      <c r="AA40" s="121">
        <f>IFERROR(R40/V40-1,"n/a")</f>
        <v>5.0000000000000044E-2</v>
      </c>
      <c r="AB40" s="148"/>
      <c r="AC40" s="89">
        <v>563</v>
      </c>
      <c r="AD40" s="89">
        <v>226</v>
      </c>
      <c r="AE40" s="70">
        <v>66</v>
      </c>
      <c r="AF40" s="78">
        <v>573</v>
      </c>
      <c r="AH40" s="123"/>
    </row>
    <row r="41" spans="1:34" s="124" customFormat="1" ht="11.25">
      <c r="A41" s="123"/>
      <c r="B41" s="123"/>
      <c r="C41" s="33"/>
      <c r="D41" s="26" t="s">
        <v>11</v>
      </c>
      <c r="E41" s="32"/>
      <c r="F41" s="74">
        <f t="shared" si="5"/>
        <v>284734</v>
      </c>
      <c r="G41" s="74">
        <f t="shared" si="6"/>
        <v>223095</v>
      </c>
      <c r="H41" s="74">
        <f t="shared" si="6"/>
        <v>150081</v>
      </c>
      <c r="I41" s="74">
        <f t="shared" si="6"/>
        <v>64266</v>
      </c>
      <c r="J41" s="74">
        <f t="shared" si="6"/>
        <v>6072</v>
      </c>
      <c r="K41" s="74">
        <f t="shared" si="6"/>
        <v>169136</v>
      </c>
      <c r="L41" s="64">
        <f>IFERROR(F41/G41-1,"n/a")</f>
        <v>0.27629036957350017</v>
      </c>
      <c r="M41" s="64">
        <f>IFERROR(F41/H41-1,"n/a")</f>
        <v>0.89720217749082165</v>
      </c>
      <c r="N41" s="64">
        <f>IFERROR(F41/I41-1,"n/a")</f>
        <v>3.4305542588616067</v>
      </c>
      <c r="O41" s="64">
        <f>IFERROR(F41/J41-1,"n/a")</f>
        <v>45.892951251646906</v>
      </c>
      <c r="P41" s="60">
        <f>IFERROR(F41/K41-1,"n/a")</f>
        <v>0.68346182953362966</v>
      </c>
      <c r="Q41" s="74">
        <f>'Aug-24'!Q41+F41</f>
        <v>1531081</v>
      </c>
      <c r="R41" s="74">
        <f>'Aug-24'!R41+G41</f>
        <v>1250692</v>
      </c>
      <c r="S41" s="74">
        <f>'Aug-24'!S41+H41</f>
        <v>735424</v>
      </c>
      <c r="T41" s="74">
        <f>'Aug-24'!T41+I41</f>
        <v>205183</v>
      </c>
      <c r="U41" s="74">
        <f>'Aug-24'!U41+J41</f>
        <v>8613</v>
      </c>
      <c r="V41" s="74">
        <f>'Aug-24'!V41+K41</f>
        <v>1001516</v>
      </c>
      <c r="W41" s="120">
        <f>IFERROR(Q41/R41-1,"n/a")</f>
        <v>0.22418709002696113</v>
      </c>
      <c r="X41" s="120">
        <f>IFERROR(R41/S41-1,"n/a")</f>
        <v>0.70064071882342693</v>
      </c>
      <c r="Y41" s="120">
        <f>IFERROR(R41/T41-1,"n/a")</f>
        <v>5.0954952408337926</v>
      </c>
      <c r="Z41" s="120">
        <f>IFERROR(R41/U41-1,"n/a")</f>
        <v>144.20979914083361</v>
      </c>
      <c r="AA41" s="121">
        <f>IFERROR(R41/V41-1,"n/a")</f>
        <v>0.24879882098738304</v>
      </c>
      <c r="AB41" s="148"/>
      <c r="AC41" s="89">
        <v>1012510</v>
      </c>
      <c r="AD41" s="89">
        <v>327926</v>
      </c>
      <c r="AE41" s="84">
        <v>80778</v>
      </c>
      <c r="AF41" s="78">
        <v>1361671</v>
      </c>
      <c r="AH41" s="123"/>
    </row>
    <row r="42" spans="1:34" s="124" customFormat="1" ht="11.25">
      <c r="A42" s="123"/>
      <c r="B42" s="123"/>
      <c r="C42" s="31" t="s">
        <v>110</v>
      </c>
      <c r="D42" s="26"/>
      <c r="E42" s="32"/>
      <c r="F42" s="87"/>
      <c r="G42" s="87"/>
      <c r="H42" s="87"/>
      <c r="I42" s="87"/>
      <c r="J42" s="87"/>
      <c r="K42" s="87"/>
      <c r="L42" s="64"/>
      <c r="M42" s="64"/>
      <c r="N42" s="64"/>
      <c r="O42" s="64"/>
      <c r="P42" s="60"/>
      <c r="Q42" s="87"/>
      <c r="R42" s="87"/>
      <c r="S42" s="87"/>
      <c r="T42" s="87"/>
      <c r="U42" s="87"/>
      <c r="V42" s="72"/>
      <c r="W42" s="64"/>
      <c r="X42" s="64"/>
      <c r="Y42" s="64"/>
      <c r="Z42" s="64"/>
      <c r="AA42" s="60"/>
      <c r="AB42" s="148"/>
      <c r="AC42" s="90"/>
      <c r="AD42" s="90"/>
      <c r="AE42" s="44"/>
      <c r="AF42" s="79"/>
      <c r="AH42" s="123"/>
    </row>
    <row r="43" spans="1:34" s="124" customFormat="1" ht="11.25">
      <c r="A43" s="123"/>
      <c r="B43" s="123"/>
      <c r="C43" s="33"/>
      <c r="D43" s="26" t="s">
        <v>5</v>
      </c>
      <c r="E43" s="32"/>
      <c r="F43" s="74">
        <f t="shared" ref="F43:F44" si="7">F19</f>
        <v>112</v>
      </c>
      <c r="G43" s="74">
        <f t="shared" ref="G43:K44" si="8">+G19</f>
        <v>100</v>
      </c>
      <c r="H43" s="74">
        <f t="shared" si="8"/>
        <v>92</v>
      </c>
      <c r="I43" s="74">
        <f t="shared" si="8"/>
        <v>7</v>
      </c>
      <c r="J43" s="74">
        <f t="shared" si="8"/>
        <v>1</v>
      </c>
      <c r="K43" s="74">
        <f t="shared" si="8"/>
        <v>32</v>
      </c>
      <c r="L43" s="64">
        <f>IFERROR(F43/G43-1,"n/a")</f>
        <v>0.12000000000000011</v>
      </c>
      <c r="M43" s="64">
        <f>IFERROR(F43/H43-1,"n/a")</f>
        <v>0.21739130434782616</v>
      </c>
      <c r="N43" s="64">
        <f>IFERROR(F43/I43-1,"n/a")</f>
        <v>15</v>
      </c>
      <c r="O43" s="64">
        <f>IFERROR(F43/J43-1,"n/a")</f>
        <v>111</v>
      </c>
      <c r="P43" s="60">
        <f>IFERROR(F43/K43-1,"n/a")</f>
        <v>2.5</v>
      </c>
      <c r="Q43" s="74">
        <f>'Aug-24'!Q43+F43</f>
        <v>552</v>
      </c>
      <c r="R43" s="74">
        <f>'Aug-24'!R43+G43</f>
        <v>521</v>
      </c>
      <c r="S43" s="74">
        <f>'Aug-24'!S43+H43</f>
        <v>501</v>
      </c>
      <c r="T43" s="74">
        <f>'Aug-24'!T43+I43</f>
        <v>16</v>
      </c>
      <c r="U43" s="74">
        <f>'Aug-24'!U43+J43</f>
        <v>5</v>
      </c>
      <c r="V43" s="74">
        <f>'Aug-24'!V43+K43</f>
        <v>225</v>
      </c>
      <c r="W43" s="120">
        <f>IFERROR(Q43/R43-1,"n/a")</f>
        <v>5.950095969289837E-2</v>
      </c>
      <c r="X43" s="120">
        <f>IFERROR(R43/S43-1,"n/a")</f>
        <v>3.9920159680638667E-2</v>
      </c>
      <c r="Y43" s="120">
        <f>IFERROR(R43/T43-1,"n/a")</f>
        <v>31.5625</v>
      </c>
      <c r="Z43" s="120">
        <f>IFERROR(R43/U43-1,"n/a")</f>
        <v>103.2</v>
      </c>
      <c r="AA43" s="121">
        <f>IFERROR(R43/V43-1,"n/a")</f>
        <v>1.3155555555555556</v>
      </c>
      <c r="AB43" s="148"/>
      <c r="AC43" s="89">
        <v>669</v>
      </c>
      <c r="AD43" s="89">
        <v>59</v>
      </c>
      <c r="AE43" s="70">
        <v>9</v>
      </c>
      <c r="AF43" s="78">
        <v>287</v>
      </c>
      <c r="AH43" s="123"/>
    </row>
    <row r="44" spans="1:34" s="124" customFormat="1" ht="11.25">
      <c r="A44" s="123"/>
      <c r="B44" s="123"/>
      <c r="C44" s="33"/>
      <c r="D44" s="26" t="s">
        <v>11</v>
      </c>
      <c r="E44" s="32"/>
      <c r="F44" s="74">
        <f t="shared" si="7"/>
        <v>228255</v>
      </c>
      <c r="G44" s="74">
        <f t="shared" si="8"/>
        <v>181434</v>
      </c>
      <c r="H44" s="74">
        <f t="shared" si="8"/>
        <v>137415</v>
      </c>
      <c r="I44" s="74">
        <f t="shared" si="8"/>
        <v>3224</v>
      </c>
      <c r="J44" s="74">
        <f t="shared" si="8"/>
        <v>0</v>
      </c>
      <c r="K44" s="74">
        <f t="shared" si="8"/>
        <v>76553</v>
      </c>
      <c r="L44" s="64">
        <f>IFERROR(F44/G44-1,"n/a")</f>
        <v>0.25806078243328145</v>
      </c>
      <c r="M44" s="64">
        <f>IFERROR(F44/H44-1,"n/a")</f>
        <v>0.66106320270712815</v>
      </c>
      <c r="N44" s="64">
        <f>IFERROR(F44/I44-1,"n/a")</f>
        <v>69.798697270471465</v>
      </c>
      <c r="O44" s="64" t="str">
        <f>IFERROR(F44/J44-1,"n/a")</f>
        <v>n/a</v>
      </c>
      <c r="P44" s="60">
        <f>IFERROR(F44/K44-1,"n/a")</f>
        <v>1.9816597651300407</v>
      </c>
      <c r="Q44" s="74">
        <f>'Aug-24'!Q44+F44</f>
        <v>1197203.3999999999</v>
      </c>
      <c r="R44" s="74">
        <f>'Aug-24'!R44+G44</f>
        <v>992579</v>
      </c>
      <c r="S44" s="74">
        <f>'Aug-24'!S44+H44</f>
        <v>700973</v>
      </c>
      <c r="T44" s="74">
        <f>'Aug-24'!T44+I44</f>
        <v>4542</v>
      </c>
      <c r="U44" s="74">
        <f>'Aug-24'!U44+J44</f>
        <v>8294</v>
      </c>
      <c r="V44" s="74">
        <f>'Aug-24'!V44+K44</f>
        <v>481278</v>
      </c>
      <c r="W44" s="120">
        <f>IFERROR(Q44/R44-1,"n/a")</f>
        <v>0.20615427084393279</v>
      </c>
      <c r="X44" s="120">
        <f>IFERROR(R44/S44-1,"n/a")</f>
        <v>0.41600175755699587</v>
      </c>
      <c r="Y44" s="120">
        <f>IFERROR(R44/T44-1,"n/a")</f>
        <v>217.53346543372965</v>
      </c>
      <c r="Z44" s="120">
        <f>IFERROR(R44/U44-1,"n/a")</f>
        <v>118.67434289848083</v>
      </c>
      <c r="AA44" s="121">
        <f>IFERROR(R44/V44-1,"n/a")</f>
        <v>1.062381825057451</v>
      </c>
      <c r="AB44" s="148"/>
      <c r="AC44" s="82">
        <v>905256</v>
      </c>
      <c r="AD44" s="82">
        <v>20626</v>
      </c>
      <c r="AE44" s="84">
        <v>10047</v>
      </c>
      <c r="AF44" s="78">
        <v>581199</v>
      </c>
      <c r="AH44" s="123"/>
    </row>
    <row r="45" spans="1:34" s="124" customFormat="1" ht="11.25">
      <c r="A45" s="123"/>
      <c r="B45" s="123"/>
      <c r="C45" s="31" t="s">
        <v>111</v>
      </c>
      <c r="D45" s="26"/>
      <c r="E45" s="34"/>
      <c r="F45" s="72"/>
      <c r="G45" s="72"/>
      <c r="H45" s="72"/>
      <c r="I45" s="72"/>
      <c r="J45" s="72"/>
      <c r="K45" s="72"/>
      <c r="L45" s="64"/>
      <c r="M45" s="64"/>
      <c r="N45" s="64"/>
      <c r="O45" s="64"/>
      <c r="P45" s="60"/>
      <c r="Q45" s="72"/>
      <c r="R45" s="72"/>
      <c r="S45" s="72"/>
      <c r="T45" s="72"/>
      <c r="U45" s="72"/>
      <c r="V45" s="72"/>
      <c r="W45" s="64"/>
      <c r="X45" s="64"/>
      <c r="Y45" s="64"/>
      <c r="Z45" s="64"/>
      <c r="AA45" s="60"/>
      <c r="AB45" s="148"/>
      <c r="AC45" s="90"/>
      <c r="AD45" s="90"/>
      <c r="AE45" s="44"/>
      <c r="AF45" s="79"/>
      <c r="AH45" s="123"/>
    </row>
    <row r="46" spans="1:34" s="124" customFormat="1" ht="11.25">
      <c r="A46" s="123"/>
      <c r="B46" s="123"/>
      <c r="C46" s="33"/>
      <c r="D46" s="26" t="s">
        <v>5</v>
      </c>
      <c r="E46" s="34"/>
      <c r="F46" s="74">
        <f t="shared" ref="F46:F47" si="9">F22</f>
        <v>132</v>
      </c>
      <c r="G46" s="74">
        <f t="shared" ref="G46:K47" si="10">+G22</f>
        <v>119</v>
      </c>
      <c r="H46" s="74">
        <f t="shared" si="10"/>
        <v>85</v>
      </c>
      <c r="I46" s="74">
        <f t="shared" si="10"/>
        <v>46</v>
      </c>
      <c r="J46" s="74">
        <f t="shared" si="10"/>
        <v>0</v>
      </c>
      <c r="K46" s="74">
        <f t="shared" si="10"/>
        <v>86</v>
      </c>
      <c r="L46" s="64">
        <f>IFERROR(F46/G46-1,"n/a")</f>
        <v>0.10924369747899165</v>
      </c>
      <c r="M46" s="64">
        <f>IFERROR(F46/H46-1,"n/a")</f>
        <v>0.55294117647058827</v>
      </c>
      <c r="N46" s="64">
        <f>IFERROR(F46/I46-1,"n/a")</f>
        <v>1.8695652173913042</v>
      </c>
      <c r="O46" s="64" t="str">
        <f>IFERROR(F46/J46-1,"n/a")</f>
        <v>n/a</v>
      </c>
      <c r="P46" s="60">
        <f>IFERROR(F46/K46-1,"n/a")</f>
        <v>0.53488372093023262</v>
      </c>
      <c r="Q46" s="74">
        <f>'Aug-24'!Q46+F46</f>
        <v>739</v>
      </c>
      <c r="R46" s="74">
        <f>'Aug-24'!R46+G46</f>
        <v>689</v>
      </c>
      <c r="S46" s="74">
        <f>'Aug-24'!S46+H46</f>
        <v>495</v>
      </c>
      <c r="T46" s="74">
        <f>'Aug-24'!T46+I46</f>
        <v>84</v>
      </c>
      <c r="U46" s="74">
        <f>'Aug-24'!U46+J46</f>
        <v>0</v>
      </c>
      <c r="V46" s="74">
        <f>'Aug-24'!V46+K46</f>
        <v>496</v>
      </c>
      <c r="W46" s="120">
        <f>IFERROR(Q46/R46-1,"n/a")</f>
        <v>7.2568940493468848E-2</v>
      </c>
      <c r="X46" s="120">
        <f>IFERROR(R46/S46-1,"n/a")</f>
        <v>0.391919191919192</v>
      </c>
      <c r="Y46" s="120">
        <f>IFERROR(R46/T46-1,"n/a")</f>
        <v>7.2023809523809526</v>
      </c>
      <c r="Z46" s="120" t="str">
        <f>IFERROR(R46/U46-1,"n/a")</f>
        <v>n/a</v>
      </c>
      <c r="AA46" s="121">
        <f>IFERROR(R46/V46-1,"n/a")</f>
        <v>0.38911290322580649</v>
      </c>
      <c r="AB46" s="148"/>
      <c r="AC46" s="89">
        <v>1129</v>
      </c>
      <c r="AD46" s="89">
        <v>336</v>
      </c>
      <c r="AE46" s="84">
        <v>43</v>
      </c>
      <c r="AF46" s="78">
        <v>781</v>
      </c>
      <c r="AH46" s="123"/>
    </row>
    <row r="47" spans="1:34" s="124" customFormat="1" ht="11.25">
      <c r="A47" s="123"/>
      <c r="B47" s="123"/>
      <c r="C47" s="33"/>
      <c r="D47" s="26" t="s">
        <v>11</v>
      </c>
      <c r="E47" s="32"/>
      <c r="F47" s="74">
        <f t="shared" si="9"/>
        <v>442038</v>
      </c>
      <c r="G47" s="74">
        <f t="shared" si="10"/>
        <v>374705</v>
      </c>
      <c r="H47" s="74">
        <f t="shared" si="10"/>
        <v>267710</v>
      </c>
      <c r="I47" s="74">
        <f t="shared" si="10"/>
        <v>89719</v>
      </c>
      <c r="J47" s="74">
        <f t="shared" si="10"/>
        <v>0</v>
      </c>
      <c r="K47" s="74">
        <f t="shared" si="10"/>
        <v>304036</v>
      </c>
      <c r="L47" s="64">
        <f>IFERROR(F47/G47-1,"n/a")</f>
        <v>0.17969602754166614</v>
      </c>
      <c r="M47" s="64">
        <f>IFERROR(F47/H47-1,"n/a")</f>
        <v>0.65118224944903069</v>
      </c>
      <c r="N47" s="64">
        <f>IFERROR(F47/I47-1,"n/a")</f>
        <v>3.9269162607697368</v>
      </c>
      <c r="O47" s="64" t="str">
        <f>IFERROR(F47/J47-1,"n/a")</f>
        <v>n/a</v>
      </c>
      <c r="P47" s="60">
        <f>IFERROR(F47/K47-1,"n/a")</f>
        <v>0.45390019602941756</v>
      </c>
      <c r="Q47" s="74">
        <f>'Aug-24'!Q47+F47</f>
        <v>2490657</v>
      </c>
      <c r="R47" s="74">
        <f>'Aug-24'!R47+G47</f>
        <v>2217548</v>
      </c>
      <c r="S47" s="74">
        <f>'Aug-24'!S47+H47</f>
        <v>1263970</v>
      </c>
      <c r="T47" s="74">
        <f>'Aug-24'!T47+I47</f>
        <v>167883</v>
      </c>
      <c r="U47" s="74">
        <f>'Aug-24'!U47+J47</f>
        <v>0</v>
      </c>
      <c r="V47" s="74">
        <f>'Aug-24'!V47+K47</f>
        <v>1645544</v>
      </c>
      <c r="W47" s="120">
        <f>IFERROR(Q47/R47-1,"n/a")</f>
        <v>0.1231581007491156</v>
      </c>
      <c r="X47" s="120">
        <f>IFERROR(R47/S47-1,"n/a")</f>
        <v>0.75443088047975815</v>
      </c>
      <c r="Y47" s="120">
        <f>IFERROR(R47/T47-1,"n/a")</f>
        <v>12.208889524252008</v>
      </c>
      <c r="Z47" s="120" t="str">
        <f>IFERROR(R47/U47-1,"n/a")</f>
        <v>n/a</v>
      </c>
      <c r="AA47" s="121">
        <f>IFERROR(R47/V47-1,"n/a")</f>
        <v>0.34760784275595191</v>
      </c>
      <c r="AB47" s="148"/>
      <c r="AC47" s="82">
        <v>2932981</v>
      </c>
      <c r="AD47" s="82">
        <v>533563</v>
      </c>
      <c r="AE47" s="84">
        <v>140552</v>
      </c>
      <c r="AF47" s="78">
        <v>2441594</v>
      </c>
      <c r="AH47" s="123"/>
    </row>
    <row r="48" spans="1:34" s="124" customFormat="1" ht="11.25">
      <c r="C48" s="31" t="s">
        <v>112</v>
      </c>
      <c r="D48" s="26"/>
      <c r="E48" s="32"/>
      <c r="F48" s="72"/>
      <c r="G48" s="72"/>
      <c r="H48" s="72"/>
      <c r="I48" s="72"/>
      <c r="J48" s="72"/>
      <c r="K48" s="72"/>
      <c r="L48" s="64"/>
      <c r="M48" s="64"/>
      <c r="N48" s="64"/>
      <c r="O48" s="64"/>
      <c r="P48" s="60"/>
      <c r="Q48" s="72"/>
      <c r="R48" s="72"/>
      <c r="S48" s="72"/>
      <c r="T48" s="72"/>
      <c r="U48" s="72"/>
      <c r="V48" s="72"/>
      <c r="W48" s="64"/>
      <c r="X48" s="64"/>
      <c r="Y48" s="64"/>
      <c r="Z48" s="64"/>
      <c r="AA48" s="60"/>
      <c r="AB48" s="148"/>
      <c r="AC48" s="90"/>
      <c r="AD48" s="90"/>
      <c r="AE48" s="44"/>
      <c r="AF48" s="79"/>
      <c r="AH48" s="123"/>
    </row>
    <row r="49" spans="3:34" s="124" customFormat="1" ht="11.25">
      <c r="C49" s="33"/>
      <c r="D49" s="26" t="s">
        <v>5</v>
      </c>
      <c r="E49" s="32"/>
      <c r="F49" s="74">
        <f t="shared" ref="F49:F50" si="11">F25</f>
        <v>2</v>
      </c>
      <c r="G49" s="74">
        <f t="shared" ref="G49:K50" si="12">+G25</f>
        <v>4</v>
      </c>
      <c r="H49" s="74">
        <f t="shared" si="12"/>
        <v>1</v>
      </c>
      <c r="I49" s="74">
        <f t="shared" si="12"/>
        <v>0</v>
      </c>
      <c r="J49" s="74">
        <f t="shared" si="12"/>
        <v>0</v>
      </c>
      <c r="K49" s="74">
        <f t="shared" si="12"/>
        <v>1</v>
      </c>
      <c r="L49" s="64">
        <f>IFERROR(F49/G49-1,"n/a")</f>
        <v>-0.5</v>
      </c>
      <c r="M49" s="64">
        <f>IFERROR(F49/H49-1,"n/a")</f>
        <v>1</v>
      </c>
      <c r="N49" s="64" t="str">
        <f>IFERROR(F49/I49-1,"n/a")</f>
        <v>n/a</v>
      </c>
      <c r="O49" s="64" t="str">
        <f>IFERROR(F49/J49-1,"n/a")</f>
        <v>n/a</v>
      </c>
      <c r="P49" s="60">
        <f>IFERROR(F49/K49-1,"n/a")</f>
        <v>1</v>
      </c>
      <c r="Q49" s="74">
        <f>'Aug-24'!Q49+F49</f>
        <v>12</v>
      </c>
      <c r="R49" s="74">
        <f>'Aug-24'!R49+G49</f>
        <v>19</v>
      </c>
      <c r="S49" s="74">
        <f>'Aug-24'!S49+H49</f>
        <v>8</v>
      </c>
      <c r="T49" s="74">
        <f>'Aug-24'!T49+I49</f>
        <v>0</v>
      </c>
      <c r="U49" s="74">
        <f>'Aug-24'!U49+J49</f>
        <v>0</v>
      </c>
      <c r="V49" s="74">
        <f>'Aug-24'!V49+K49</f>
        <v>13</v>
      </c>
      <c r="W49" s="120">
        <f t="shared" ref="W49:X52" si="13">IFERROR(Q49/R49-1,"n/a")</f>
        <v>-0.36842105263157898</v>
      </c>
      <c r="X49" s="120">
        <f t="shared" si="13"/>
        <v>1.375</v>
      </c>
      <c r="Y49" s="120" t="str">
        <f>IFERROR(R49/T49-1,"n/a")</f>
        <v>n/a</v>
      </c>
      <c r="Z49" s="120" t="str">
        <f>IFERROR(R49/U49-1,"n/a")</f>
        <v>n/a</v>
      </c>
      <c r="AA49" s="121">
        <f>IFERROR(R49/V49-1,"n/a")</f>
        <v>0.46153846153846145</v>
      </c>
      <c r="AB49" s="148"/>
      <c r="AC49" s="89">
        <v>9</v>
      </c>
      <c r="AD49" s="68">
        <v>0</v>
      </c>
      <c r="AE49" s="68">
        <v>0</v>
      </c>
      <c r="AF49" s="78">
        <v>16</v>
      </c>
      <c r="AH49" s="123"/>
    </row>
    <row r="50" spans="3:34" s="124" customFormat="1" ht="11.25">
      <c r="C50" s="33"/>
      <c r="D50" s="26" t="s">
        <v>11</v>
      </c>
      <c r="E50" s="32"/>
      <c r="F50" s="74">
        <f t="shared" si="11"/>
        <v>5957</v>
      </c>
      <c r="G50" s="74">
        <f t="shared" si="12"/>
        <v>7920</v>
      </c>
      <c r="H50" s="74">
        <f t="shared" si="12"/>
        <v>2266</v>
      </c>
      <c r="I50" s="74">
        <f t="shared" si="12"/>
        <v>0</v>
      </c>
      <c r="J50" s="74">
        <f t="shared" si="12"/>
        <v>0</v>
      </c>
      <c r="K50" s="74">
        <f t="shared" si="12"/>
        <v>1243</v>
      </c>
      <c r="L50" s="64">
        <f>IFERROR(F50/G50-1,"n/a")</f>
        <v>-0.24785353535353538</v>
      </c>
      <c r="M50" s="64">
        <f>IFERROR(F50/H50-1,"n/a")</f>
        <v>1.6288614298323036</v>
      </c>
      <c r="N50" s="64" t="str">
        <f>IFERROR(F50/I50-1,"n/a")</f>
        <v>n/a</v>
      </c>
      <c r="O50" s="64" t="str">
        <f>IFERROR(F50/J50-1,"n/a")</f>
        <v>n/a</v>
      </c>
      <c r="P50" s="60">
        <f>IFERROR(F50/K50-1,"n/a")</f>
        <v>3.7924376508447306</v>
      </c>
      <c r="Q50" s="74">
        <f>'Aug-24'!Q50+F50</f>
        <v>44298</v>
      </c>
      <c r="R50" s="74">
        <f>'Aug-24'!R50+G50</f>
        <v>34314</v>
      </c>
      <c r="S50" s="74">
        <f>'Aug-24'!S50+H50</f>
        <v>13279</v>
      </c>
      <c r="T50" s="74">
        <f>'Aug-24'!T50+I50</f>
        <v>0</v>
      </c>
      <c r="U50" s="74">
        <f>'Aug-24'!U50+J50</f>
        <v>0</v>
      </c>
      <c r="V50" s="74">
        <f>'Aug-24'!V50+K50</f>
        <v>16291</v>
      </c>
      <c r="W50" s="120">
        <f t="shared" si="13"/>
        <v>0.29095995803462138</v>
      </c>
      <c r="X50" s="120">
        <f t="shared" si="13"/>
        <v>1.5840801265155511</v>
      </c>
      <c r="Y50" s="120" t="str">
        <f>IFERROR(R50/T50-1,"n/a")</f>
        <v>n/a</v>
      </c>
      <c r="Z50" s="120" t="str">
        <f>IFERROR(R50/U50-1,"n/a")</f>
        <v>n/a</v>
      </c>
      <c r="AA50" s="121">
        <f>IFERROR(R50/V50-1,"n/a")</f>
        <v>1.1063163710023938</v>
      </c>
      <c r="AB50" s="148"/>
      <c r="AC50" s="82">
        <v>15637</v>
      </c>
      <c r="AD50" s="68">
        <v>0</v>
      </c>
      <c r="AE50" s="68">
        <v>0</v>
      </c>
      <c r="AF50" s="78">
        <v>20248</v>
      </c>
      <c r="AH50" s="123"/>
    </row>
    <row r="51" spans="3:34" s="124" customFormat="1" ht="12" thickBot="1">
      <c r="C51" s="35" t="s">
        <v>12</v>
      </c>
      <c r="D51" s="36"/>
      <c r="E51" s="37"/>
      <c r="F51" s="75">
        <f>F37+F40+F43+F46+F49</f>
        <v>489</v>
      </c>
      <c r="G51" s="75">
        <f>G37+G40+G43+G46+G49</f>
        <v>389</v>
      </c>
      <c r="H51" s="75">
        <f t="shared" ref="H51:K52" si="14">H37+H40+H43+H46+H49</f>
        <v>334</v>
      </c>
      <c r="I51" s="75">
        <f t="shared" si="14"/>
        <v>147</v>
      </c>
      <c r="J51" s="75">
        <f t="shared" si="14"/>
        <v>10</v>
      </c>
      <c r="K51" s="75">
        <f t="shared" si="14"/>
        <v>268</v>
      </c>
      <c r="L51" s="66">
        <f>IFERROR(F51/G51-1,"n/a")</f>
        <v>0.25706940874035999</v>
      </c>
      <c r="M51" s="66">
        <f>IFERROR(F51/H51-1,"n/a")</f>
        <v>0.46407185628742509</v>
      </c>
      <c r="N51" s="66">
        <f>IFERROR(F51/I51-1,"n/a")</f>
        <v>2.3265306122448979</v>
      </c>
      <c r="O51" s="66">
        <f>IFERROR(F51/J51-1,"n/a")</f>
        <v>47.9</v>
      </c>
      <c r="P51" s="62">
        <f>IFERROR(F51/K51-1,"n/a")</f>
        <v>0.82462686567164178</v>
      </c>
      <c r="Q51" s="75">
        <f t="shared" ref="Q51:V52" si="15">Q37+Q40+Q43+Q46+Q49</f>
        <v>2817</v>
      </c>
      <c r="R51" s="75">
        <f t="shared" si="15"/>
        <v>2253</v>
      </c>
      <c r="S51" s="75">
        <f>S37+S40+S43+S46+S49</f>
        <v>1962</v>
      </c>
      <c r="T51" s="75">
        <f t="shared" si="15"/>
        <v>363</v>
      </c>
      <c r="U51" s="75">
        <f t="shared" si="15"/>
        <v>58</v>
      </c>
      <c r="V51" s="75">
        <f t="shared" si="15"/>
        <v>1700</v>
      </c>
      <c r="W51" s="66">
        <f t="shared" si="13"/>
        <v>0.25033288948069243</v>
      </c>
      <c r="X51" s="66">
        <f t="shared" si="13"/>
        <v>0.14831804281345562</v>
      </c>
      <c r="Y51" s="66">
        <f>IFERROR(R51/T51-1,"n/a")</f>
        <v>5.2066115702479339</v>
      </c>
      <c r="Z51" s="66">
        <f t="shared" ref="Z51:Z52" si="16">IFERROR(R51/U51-1,"n/a")</f>
        <v>37.844827586206897</v>
      </c>
      <c r="AA51" s="62">
        <f>IFERROR(R51/V51-1,"n/a")</f>
        <v>0.32529411764705873</v>
      </c>
      <c r="AB51" s="66"/>
      <c r="AC51" s="46">
        <f t="shared" ref="AC51:AE52" si="17">AC37+AC40+AC43+AC46+AC49</f>
        <v>3856</v>
      </c>
      <c r="AD51" s="46">
        <f t="shared" si="17"/>
        <v>1673</v>
      </c>
      <c r="AE51" s="46">
        <f t="shared" si="17"/>
        <v>669</v>
      </c>
      <c r="AF51" s="80">
        <f>AF37+AF40+AF43+AF46+AF49</f>
        <v>3241</v>
      </c>
      <c r="AH51" s="123"/>
    </row>
    <row r="52" spans="3:34" s="124" customFormat="1" ht="12.75" thickTop="1" thickBot="1">
      <c r="C52" s="38" t="s">
        <v>13</v>
      </c>
      <c r="D52" s="39"/>
      <c r="E52" s="40"/>
      <c r="F52" s="76">
        <f>F38+F41+F44+F47+F50</f>
        <v>1455220</v>
      </c>
      <c r="G52" s="76">
        <f>G38+G41+G44+G47+G50</f>
        <v>1100804</v>
      </c>
      <c r="H52" s="76">
        <f t="shared" si="14"/>
        <v>838052</v>
      </c>
      <c r="I52" s="76">
        <f t="shared" si="14"/>
        <v>240604</v>
      </c>
      <c r="J52" s="76">
        <f t="shared" si="14"/>
        <v>6072</v>
      </c>
      <c r="K52" s="76">
        <f t="shared" si="14"/>
        <v>785421</v>
      </c>
      <c r="L52" s="67">
        <f>IFERROR(F52/G52-1,"n/a")</f>
        <v>0.32196103938575815</v>
      </c>
      <c r="M52" s="67">
        <f>IFERROR(F52/H52-1,"n/a")</f>
        <v>0.7364316295408877</v>
      </c>
      <c r="N52" s="67">
        <f>IFERROR(F52/I52-1,"n/a")</f>
        <v>5.0481953749729849</v>
      </c>
      <c r="O52" s="67">
        <f>IFERROR(F52/J52-1,"n/a")</f>
        <v>238.66073781291172</v>
      </c>
      <c r="P52" s="63">
        <f>IFERROR(F52/K52-1,"n/a")</f>
        <v>0.85278977771157116</v>
      </c>
      <c r="Q52" s="76">
        <f t="shared" si="15"/>
        <v>8761679.4000000004</v>
      </c>
      <c r="R52" s="76">
        <f t="shared" si="15"/>
        <v>6743493</v>
      </c>
      <c r="S52" s="76">
        <f t="shared" si="15"/>
        <v>4349299</v>
      </c>
      <c r="T52" s="76">
        <f t="shared" si="15"/>
        <v>558508</v>
      </c>
      <c r="U52" s="76">
        <f t="shared" si="15"/>
        <v>16907</v>
      </c>
      <c r="V52" s="76">
        <f t="shared" si="15"/>
        <v>5036943</v>
      </c>
      <c r="W52" s="67">
        <f t="shared" si="13"/>
        <v>0.29927908281361004</v>
      </c>
      <c r="X52" s="67">
        <f t="shared" si="13"/>
        <v>0.55047813452236793</v>
      </c>
      <c r="Y52" s="118">
        <f>IFERROR(R52/T52-1,"n/a")</f>
        <v>11.074120692989178</v>
      </c>
      <c r="Z52" s="118">
        <f t="shared" si="16"/>
        <v>397.85804696279649</v>
      </c>
      <c r="AA52" s="119">
        <f>IFERROR(R52/V52-1,"n/a")</f>
        <v>0.33880669286906762</v>
      </c>
      <c r="AB52" s="118"/>
      <c r="AC52" s="47">
        <f t="shared" si="17"/>
        <v>9237323</v>
      </c>
      <c r="AD52" s="47">
        <f t="shared" si="17"/>
        <v>2410085</v>
      </c>
      <c r="AE52" s="47">
        <f t="shared" si="17"/>
        <v>1324261</v>
      </c>
      <c r="AF52" s="81">
        <f>AF38+AF41+AF44+AF47+AF50</f>
        <v>8638971</v>
      </c>
      <c r="AH52" s="123"/>
    </row>
    <row r="53" spans="3:34" s="124" customFormat="1" ht="12" thickTop="1">
      <c r="AH53" s="123"/>
    </row>
    <row r="54" spans="3:34" s="124" customFormat="1" ht="11.25">
      <c r="S54" s="132"/>
      <c r="T54" s="132"/>
      <c r="U54" s="132"/>
      <c r="V54" s="132"/>
      <c r="AH54" s="123"/>
    </row>
    <row r="55" spans="3:34" ht="15">
      <c r="S55" s="111"/>
      <c r="T55" s="111"/>
      <c r="U55" s="111"/>
      <c r="V55" s="111"/>
      <c r="AH55" s="9"/>
    </row>
    <row r="56" spans="3:34" ht="15">
      <c r="S56" s="111"/>
      <c r="T56" s="111"/>
      <c r="U56" s="111"/>
      <c r="V56" s="111"/>
      <c r="AH56" s="9"/>
    </row>
    <row r="57" spans="3:34" ht="15">
      <c r="S57" s="111"/>
      <c r="T57" s="111"/>
      <c r="U57" s="111"/>
      <c r="V57" s="111"/>
      <c r="AH57" s="9"/>
    </row>
    <row r="58" spans="3:34" ht="15">
      <c r="AH58" s="9"/>
    </row>
    <row r="59" spans="3:34" ht="15">
      <c r="AH59" s="9"/>
    </row>
    <row r="60" spans="3:34" ht="15">
      <c r="AH60" s="9"/>
    </row>
    <row r="61" spans="3:34" ht="15" customHeight="1"/>
    <row r="62" spans="3:34" ht="15" customHeight="1"/>
    <row r="63" spans="3:34" ht="15" customHeight="1"/>
    <row r="64" spans="3:34" ht="15" customHeight="1"/>
    <row r="65" ht="15" customHeight="1"/>
    <row r="66" ht="15" customHeight="1"/>
  </sheetData>
  <mergeCells count="9">
    <mergeCell ref="AB34:AF34"/>
    <mergeCell ref="F9:P9"/>
    <mergeCell ref="Q9:AA9"/>
    <mergeCell ref="AB9:AF9"/>
    <mergeCell ref="F10:P10"/>
    <mergeCell ref="Q10:AA10"/>
    <mergeCell ref="F33:P33"/>
    <mergeCell ref="Q33:AA33"/>
    <mergeCell ref="AB33:AF33"/>
  </mergeCells>
  <pageMargins left="0.7" right="0.7" top="0.75" bottom="0.75" header="0.3" footer="0.3"/>
  <pageSetup paperSize="9" orientation="portrait" horizontalDpi="0" verticalDpi="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66"/>
  <sheetViews>
    <sheetView showGridLines="0" topLeftCell="Q10" zoomScale="85" zoomScaleNormal="85" workbookViewId="0">
      <selection activeCell="AB27" sqref="AB27:AB28"/>
    </sheetView>
  </sheetViews>
  <sheetFormatPr defaultColWidth="0" defaultRowHeight="0" customHeight="1" zeroHeight="1"/>
  <cols>
    <col min="1" max="2" width="4.140625" customWidth="1"/>
    <col min="3" max="3" width="3.85546875" customWidth="1"/>
    <col min="4" max="4" width="17" bestFit="1" customWidth="1"/>
    <col min="5" max="6" width="13" customWidth="1"/>
    <col min="7" max="7" width="11.140625" bestFit="1" customWidth="1"/>
    <col min="8" max="8" width="10.140625" bestFit="1" customWidth="1"/>
    <col min="9" max="10" width="8.85546875" customWidth="1"/>
    <col min="11" max="11" width="10.140625" bestFit="1" customWidth="1"/>
    <col min="12" max="12" width="8" customWidth="1"/>
    <col min="13" max="13" width="8.85546875" bestFit="1" customWidth="1"/>
    <col min="14" max="16" width="8" customWidth="1"/>
    <col min="17" max="17" width="10.140625" bestFit="1" customWidth="1"/>
    <col min="18" max="18" width="12" bestFit="1" customWidth="1"/>
    <col min="19" max="19" width="11.5703125" bestFit="1" customWidth="1"/>
    <col min="20" max="20" width="10.42578125" bestFit="1" customWidth="1"/>
    <col min="21" max="21" width="11.5703125" bestFit="1" customWidth="1"/>
    <col min="22" max="22" width="11.85546875" bestFit="1" customWidth="1"/>
    <col min="23" max="23" width="9.140625" bestFit="1" customWidth="1"/>
    <col min="24" max="24" width="8.85546875" bestFit="1" customWidth="1"/>
    <col min="25" max="25" width="8.85546875" customWidth="1"/>
    <col min="26" max="26" width="9" bestFit="1" customWidth="1"/>
    <col min="27" max="27" width="7.85546875" customWidth="1"/>
    <col min="28" max="28" width="12.140625" bestFit="1" customWidth="1"/>
    <col min="29" max="29" width="13.42578125" bestFit="1" customWidth="1"/>
    <col min="30" max="30" width="13.140625" bestFit="1" customWidth="1"/>
    <col min="31" max="31" width="12.85546875" bestFit="1" customWidth="1"/>
    <col min="32" max="32" width="15.42578125" bestFit="1" customWidth="1"/>
    <col min="33" max="33" width="11.140625" customWidth="1"/>
    <col min="34" max="34" width="3.42578125" customWidth="1"/>
    <col min="35" max="16384" width="8.85546875" hidden="1"/>
  </cols>
  <sheetData>
    <row r="1" spans="1:34" ht="15">
      <c r="A1" s="9"/>
      <c r="B1" s="9"/>
      <c r="C1" s="9"/>
      <c r="D1" s="9"/>
      <c r="E1" s="9"/>
      <c r="F1" s="9"/>
      <c r="G1" s="9"/>
      <c r="H1" s="9"/>
      <c r="I1" s="9"/>
      <c r="J1" s="9"/>
      <c r="K1" s="9"/>
      <c r="L1" s="9"/>
      <c r="M1" s="9"/>
      <c r="N1" s="9"/>
      <c r="O1" s="9"/>
      <c r="P1" s="9"/>
      <c r="Q1" s="9"/>
      <c r="R1" s="9"/>
      <c r="S1" s="9"/>
      <c r="T1" s="9"/>
      <c r="U1" s="9"/>
      <c r="V1" s="9"/>
      <c r="W1" s="9"/>
      <c r="X1" s="9"/>
      <c r="Y1" s="9"/>
      <c r="Z1" s="9"/>
      <c r="AA1" s="9"/>
      <c r="AB1" s="9"/>
      <c r="AC1" s="9"/>
      <c r="AD1" s="9"/>
      <c r="AE1" s="9"/>
      <c r="AF1" s="9"/>
      <c r="AG1" s="9"/>
      <c r="AH1" s="9"/>
    </row>
    <row r="2" spans="1:34" ht="31.35" customHeight="1" thickBot="1">
      <c r="A2" s="9"/>
      <c r="B2" s="8" t="s">
        <v>6</v>
      </c>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4"/>
      <c r="AH2" s="9"/>
    </row>
    <row r="3" spans="1:34" ht="15">
      <c r="A3" s="9"/>
      <c r="B3" s="10"/>
      <c r="C3" s="24"/>
      <c r="D3" s="24"/>
      <c r="E3" s="24"/>
      <c r="F3" s="24"/>
      <c r="G3" s="24"/>
      <c r="H3" s="24"/>
      <c r="I3" s="24"/>
      <c r="J3" s="24"/>
      <c r="K3" s="24"/>
      <c r="L3" s="24"/>
      <c r="M3" s="24"/>
      <c r="N3" s="24"/>
      <c r="O3" s="24"/>
      <c r="P3" s="24"/>
      <c r="Q3" s="24"/>
      <c r="R3" s="24"/>
      <c r="S3" s="24"/>
      <c r="T3" s="24"/>
      <c r="U3" s="24"/>
      <c r="V3" s="24"/>
      <c r="W3" s="24"/>
      <c r="X3" s="24"/>
      <c r="Y3" s="24"/>
      <c r="Z3" s="24"/>
      <c r="AA3" s="24"/>
      <c r="AB3" s="24"/>
      <c r="AC3" s="24"/>
      <c r="AD3" s="24"/>
      <c r="AE3" s="24"/>
      <c r="AF3" s="25">
        <v>45550</v>
      </c>
      <c r="AG3" s="25"/>
      <c r="AH3" s="9"/>
    </row>
    <row r="4" spans="1:34" ht="15.75">
      <c r="A4" s="9"/>
      <c r="B4" s="11" t="s">
        <v>7</v>
      </c>
      <c r="C4" s="26"/>
      <c r="D4" s="93" t="s">
        <v>69</v>
      </c>
      <c r="E4" s="134" t="s">
        <v>127</v>
      </c>
      <c r="F4" s="134"/>
      <c r="G4" s="24"/>
      <c r="H4" s="24"/>
      <c r="I4" s="24"/>
      <c r="J4" s="24"/>
      <c r="K4" s="24"/>
      <c r="L4" s="24"/>
      <c r="M4" s="24"/>
      <c r="N4" s="24"/>
      <c r="O4" s="24"/>
      <c r="P4" s="24"/>
      <c r="Q4" s="24"/>
      <c r="R4" s="24"/>
      <c r="S4" s="24"/>
      <c r="T4" s="24"/>
      <c r="U4" s="24"/>
      <c r="V4" s="24"/>
      <c r="W4" s="24"/>
      <c r="X4" s="24"/>
      <c r="Y4" s="24"/>
      <c r="Z4" s="24"/>
      <c r="AA4" s="24"/>
      <c r="AB4" s="24"/>
      <c r="AC4" s="24"/>
      <c r="AD4" s="24"/>
      <c r="AE4" s="24"/>
      <c r="AF4" s="24"/>
      <c r="AG4" s="24"/>
      <c r="AH4" s="9"/>
    </row>
    <row r="5" spans="1:34" ht="15">
      <c r="A5" s="9"/>
      <c r="B5" s="10"/>
      <c r="C5" s="24"/>
      <c r="D5" s="24"/>
      <c r="E5" s="24"/>
      <c r="F5" s="24"/>
      <c r="G5" s="24"/>
      <c r="H5" s="24"/>
      <c r="I5" s="24"/>
      <c r="J5" s="24"/>
      <c r="K5" s="24"/>
      <c r="L5" s="24"/>
      <c r="M5" s="24"/>
      <c r="N5" s="24"/>
      <c r="O5" s="24"/>
      <c r="P5" s="24"/>
      <c r="Q5" s="24"/>
      <c r="R5" s="24"/>
      <c r="S5" s="24"/>
      <c r="T5" s="24"/>
      <c r="U5" s="24"/>
      <c r="V5" s="24"/>
      <c r="W5" s="24"/>
      <c r="X5" s="24"/>
      <c r="Y5" s="24"/>
      <c r="Z5" s="24"/>
      <c r="AA5" s="24"/>
      <c r="AB5" s="24"/>
      <c r="AC5" s="24"/>
      <c r="AD5" s="24"/>
      <c r="AE5" s="24"/>
      <c r="AF5" s="24"/>
      <c r="AG5" s="24"/>
      <c r="AH5" s="9"/>
    </row>
    <row r="6" spans="1:34" ht="15">
      <c r="A6" s="9"/>
      <c r="B6" s="10"/>
      <c r="C6" s="24"/>
      <c r="D6" s="24"/>
      <c r="E6" s="24"/>
      <c r="F6" s="24"/>
      <c r="G6" s="24"/>
      <c r="H6" s="24"/>
      <c r="I6" s="24"/>
      <c r="J6" s="24"/>
      <c r="K6" s="24"/>
      <c r="L6" s="24"/>
      <c r="M6" s="24"/>
      <c r="N6" s="24"/>
      <c r="O6" s="24"/>
      <c r="P6" s="24"/>
      <c r="Q6" s="24"/>
      <c r="R6" s="24"/>
      <c r="S6" s="24"/>
      <c r="T6" s="24"/>
      <c r="U6" s="24"/>
      <c r="V6" s="24"/>
      <c r="W6" s="24"/>
      <c r="X6" s="24"/>
      <c r="Y6" s="24"/>
      <c r="Z6" s="24"/>
      <c r="AA6" s="24"/>
      <c r="AB6" s="24"/>
      <c r="AC6" s="24"/>
      <c r="AD6" s="24"/>
      <c r="AE6" s="24"/>
      <c r="AF6" s="24"/>
      <c r="AG6" s="24"/>
      <c r="AH6" s="9"/>
    </row>
    <row r="7" spans="1:34" ht="15">
      <c r="A7" s="9"/>
      <c r="B7" s="10"/>
      <c r="C7" s="86" t="s">
        <v>62</v>
      </c>
      <c r="D7" s="24"/>
      <c r="E7" s="24"/>
      <c r="F7" s="24"/>
      <c r="G7" s="24"/>
      <c r="H7" s="24"/>
      <c r="I7" s="24"/>
      <c r="J7" s="24"/>
      <c r="K7" s="24"/>
      <c r="L7" s="24"/>
      <c r="M7" s="24"/>
      <c r="N7" s="24"/>
      <c r="O7" s="24"/>
      <c r="P7" s="24"/>
      <c r="Q7" s="24"/>
      <c r="R7" s="24"/>
      <c r="S7" s="24"/>
      <c r="T7" s="24"/>
      <c r="U7" s="24"/>
      <c r="V7" s="24"/>
      <c r="W7" s="24"/>
      <c r="X7" s="24"/>
      <c r="Y7" s="24"/>
      <c r="Z7" s="24"/>
      <c r="AA7" s="24"/>
      <c r="AB7" s="24"/>
      <c r="AC7" s="24"/>
      <c r="AD7" s="24"/>
      <c r="AE7" s="24"/>
      <c r="AF7" s="24"/>
      <c r="AG7" s="24"/>
      <c r="AH7" s="9"/>
    </row>
    <row r="8" spans="1:34" ht="15">
      <c r="A8" s="9"/>
      <c r="B8" s="10"/>
      <c r="C8" s="24"/>
      <c r="D8" s="24"/>
      <c r="E8" s="24"/>
      <c r="F8" s="24"/>
      <c r="G8" s="24"/>
      <c r="H8" s="24"/>
      <c r="I8" s="24"/>
      <c r="J8" s="24"/>
      <c r="K8" s="24"/>
      <c r="L8" s="24"/>
      <c r="M8" s="24"/>
      <c r="N8" s="24"/>
      <c r="O8" s="24"/>
      <c r="P8" s="24"/>
      <c r="Q8" s="24"/>
      <c r="R8" s="24"/>
      <c r="S8" s="24"/>
      <c r="T8" s="24"/>
      <c r="U8" s="24"/>
      <c r="V8" s="24"/>
      <c r="W8" s="24"/>
      <c r="X8" s="24"/>
      <c r="Y8" s="24"/>
      <c r="Z8" s="24"/>
      <c r="AA8" s="24"/>
      <c r="AB8" s="24"/>
      <c r="AC8" s="24"/>
      <c r="AD8" s="24"/>
      <c r="AE8" s="24"/>
      <c r="AF8" s="24"/>
      <c r="AG8" s="24"/>
      <c r="AH8" s="9"/>
    </row>
    <row r="9" spans="1:34" s="124" customFormat="1" ht="15" customHeight="1">
      <c r="A9" s="123"/>
      <c r="C9" s="27" t="s">
        <v>7</v>
      </c>
      <c r="D9" s="28"/>
      <c r="E9" s="28"/>
      <c r="F9" s="155" t="str">
        <f>D4</f>
        <v>August</v>
      </c>
      <c r="G9" s="155"/>
      <c r="H9" s="155"/>
      <c r="I9" s="155"/>
      <c r="J9" s="155"/>
      <c r="K9" s="155"/>
      <c r="L9" s="155"/>
      <c r="M9" s="155"/>
      <c r="N9" s="155"/>
      <c r="O9" s="155"/>
      <c r="P9" s="156"/>
      <c r="Q9" s="157" t="str">
        <f>"January to "&amp; D4</f>
        <v>January to August</v>
      </c>
      <c r="R9" s="158"/>
      <c r="S9" s="158"/>
      <c r="T9" s="158"/>
      <c r="U9" s="158"/>
      <c r="V9" s="158"/>
      <c r="W9" s="158"/>
      <c r="X9" s="158"/>
      <c r="Y9" s="158"/>
      <c r="Z9" s="158"/>
      <c r="AA9" s="159"/>
      <c r="AB9" s="157" t="s">
        <v>57</v>
      </c>
      <c r="AC9" s="158"/>
      <c r="AD9" s="158"/>
      <c r="AE9" s="158"/>
      <c r="AF9" s="160"/>
      <c r="AG9" s="123"/>
      <c r="AH9" s="123"/>
    </row>
    <row r="10" spans="1:34" s="124" customFormat="1" ht="13.5">
      <c r="A10" s="123"/>
      <c r="B10" s="125"/>
      <c r="C10" s="29"/>
      <c r="D10" s="30"/>
      <c r="E10" s="30"/>
      <c r="F10" s="152"/>
      <c r="G10" s="153"/>
      <c r="H10" s="153"/>
      <c r="I10" s="153"/>
      <c r="J10" s="153"/>
      <c r="K10" s="153"/>
      <c r="L10" s="153"/>
      <c r="M10" s="153"/>
      <c r="N10" s="153"/>
      <c r="O10" s="153"/>
      <c r="P10" s="154"/>
      <c r="Q10" s="152"/>
      <c r="R10" s="153"/>
      <c r="S10" s="153"/>
      <c r="T10" s="153"/>
      <c r="U10" s="153"/>
      <c r="V10" s="153"/>
      <c r="W10" s="153"/>
      <c r="X10" s="153"/>
      <c r="Y10" s="153"/>
      <c r="Z10" s="153"/>
      <c r="AA10" s="154"/>
      <c r="AB10" s="30"/>
      <c r="AC10" s="30"/>
      <c r="AD10" s="30"/>
      <c r="AE10" s="30"/>
      <c r="AF10" s="56"/>
      <c r="AG10" s="123"/>
      <c r="AH10" s="123"/>
    </row>
    <row r="11" spans="1:34" s="124" customFormat="1" ht="26.1" customHeight="1">
      <c r="A11" s="126"/>
      <c r="B11" s="127"/>
      <c r="C11" s="59" t="s">
        <v>29</v>
      </c>
      <c r="D11" s="50"/>
      <c r="E11" s="51"/>
      <c r="F11" s="55">
        <v>2024</v>
      </c>
      <c r="G11" s="52">
        <v>2023</v>
      </c>
      <c r="H11" s="52">
        <v>2022</v>
      </c>
      <c r="I11" s="52">
        <v>2021</v>
      </c>
      <c r="J11" s="52">
        <v>2020</v>
      </c>
      <c r="K11" s="52">
        <v>2019</v>
      </c>
      <c r="L11" s="53" t="s">
        <v>116</v>
      </c>
      <c r="M11" s="53" t="s">
        <v>117</v>
      </c>
      <c r="N11" s="53" t="s">
        <v>118</v>
      </c>
      <c r="O11" s="53" t="s">
        <v>119</v>
      </c>
      <c r="P11" s="57" t="s">
        <v>101</v>
      </c>
      <c r="Q11" s="53">
        <v>2024</v>
      </c>
      <c r="R11" s="53">
        <v>2023</v>
      </c>
      <c r="S11" s="53">
        <v>2022</v>
      </c>
      <c r="T11" s="52">
        <v>2021</v>
      </c>
      <c r="U11" s="52">
        <v>2020</v>
      </c>
      <c r="V11" s="52">
        <v>2019</v>
      </c>
      <c r="W11" s="53" t="s">
        <v>116</v>
      </c>
      <c r="X11" s="53" t="s">
        <v>117</v>
      </c>
      <c r="Y11" s="53" t="s">
        <v>118</v>
      </c>
      <c r="Z11" s="53" t="s">
        <v>119</v>
      </c>
      <c r="AA11" s="57" t="s">
        <v>101</v>
      </c>
      <c r="AB11" s="53">
        <v>2023</v>
      </c>
      <c r="AC11" s="53">
        <v>2022</v>
      </c>
      <c r="AD11" s="53">
        <v>2021</v>
      </c>
      <c r="AE11" s="52">
        <v>2020</v>
      </c>
      <c r="AF11" s="77">
        <v>2019</v>
      </c>
      <c r="AG11" s="126"/>
      <c r="AH11" s="126"/>
    </row>
    <row r="12" spans="1:34" s="124" customFormat="1" ht="12.75">
      <c r="A12" s="123"/>
      <c r="B12" s="128"/>
      <c r="C12" s="31" t="s">
        <v>108</v>
      </c>
      <c r="D12" s="26"/>
      <c r="E12" s="32"/>
      <c r="F12" s="26"/>
      <c r="G12" s="26"/>
      <c r="H12" s="26"/>
      <c r="I12" s="26"/>
      <c r="J12" s="26"/>
      <c r="K12" s="26"/>
      <c r="L12" s="26"/>
      <c r="M12" s="26"/>
      <c r="N12" s="26"/>
      <c r="O12" s="26"/>
      <c r="P12" s="32"/>
      <c r="Q12" s="26"/>
      <c r="R12" s="26"/>
      <c r="S12" s="26"/>
      <c r="T12" s="26"/>
      <c r="U12" s="26"/>
      <c r="V12" s="26"/>
      <c r="W12" s="26"/>
      <c r="X12" s="26"/>
      <c r="Y12" s="26"/>
      <c r="Z12" s="26"/>
      <c r="AA12" s="32"/>
      <c r="AB12" s="26"/>
      <c r="AC12" s="26"/>
      <c r="AD12" s="26"/>
      <c r="AE12" s="26"/>
      <c r="AF12" s="32"/>
      <c r="AG12" s="123"/>
      <c r="AH12" s="123"/>
    </row>
    <row r="13" spans="1:34" s="124" customFormat="1" ht="12.75">
      <c r="A13" s="123"/>
      <c r="B13" s="128"/>
      <c r="C13" s="33"/>
      <c r="D13" s="26" t="s">
        <v>5</v>
      </c>
      <c r="E13" s="32"/>
      <c r="F13" s="71">
        <v>142</v>
      </c>
      <c r="G13" s="73">
        <v>99</v>
      </c>
      <c r="H13" s="71">
        <v>81</v>
      </c>
      <c r="I13" s="71">
        <v>51</v>
      </c>
      <c r="J13" s="71">
        <v>0</v>
      </c>
      <c r="K13" s="71">
        <v>97</v>
      </c>
      <c r="L13" s="64">
        <f>IFERROR(F13/G13-1,"n/a")</f>
        <v>0.43434343434343425</v>
      </c>
      <c r="M13" s="64">
        <f>IFERROR(F13/H13-1,"n/a")</f>
        <v>0.75308641975308643</v>
      </c>
      <c r="N13" s="64">
        <f>IFERROR(F13/I13-1,"n/a")</f>
        <v>1.784313725490196</v>
      </c>
      <c r="O13" s="64" t="str">
        <f>IFERROR(F13/J13-1,"n/a")</f>
        <v>n/a</v>
      </c>
      <c r="P13" s="60">
        <f>IFERROR(F13/K13-1,"n/a")</f>
        <v>0.46391752577319578</v>
      </c>
      <c r="Q13" s="68">
        <f>'July-24'!Q13+F13</f>
        <v>1516</v>
      </c>
      <c r="R13" s="68">
        <f>'July-24'!R13+G13</f>
        <v>1057</v>
      </c>
      <c r="S13" s="68">
        <f>'July-24'!S13+H13</f>
        <v>991</v>
      </c>
      <c r="T13" s="68">
        <f>'July-24'!T13+I13</f>
        <v>79</v>
      </c>
      <c r="U13" s="68">
        <f>'July-24'!U13+J13</f>
        <v>551</v>
      </c>
      <c r="V13" s="68">
        <f>'July-24'!V13+K13</f>
        <v>1023</v>
      </c>
      <c r="W13" s="64">
        <f>IFERROR(Q13/R13-1,"n/a")</f>
        <v>0.43424787133396414</v>
      </c>
      <c r="X13" s="64">
        <f>IFERROR(Q13/S13-1,"n/a")</f>
        <v>0.52976791120080735</v>
      </c>
      <c r="Y13" s="64">
        <f>IFERROR(Q13/T13-1,"n/a")</f>
        <v>18.189873417721518</v>
      </c>
      <c r="Z13" s="64">
        <f>IFERROR(Q13/U13-1,"n/a")</f>
        <v>1.7513611615245011</v>
      </c>
      <c r="AA13" s="60">
        <f>IFERROR(Q13/V13-1,"n/a")</f>
        <v>0.48191593352883677</v>
      </c>
      <c r="AB13" s="68">
        <v>1630</v>
      </c>
      <c r="AC13" s="68">
        <v>1486</v>
      </c>
      <c r="AD13" s="68">
        <v>522</v>
      </c>
      <c r="AE13" s="68">
        <v>551</v>
      </c>
      <c r="AF13" s="135">
        <v>1591</v>
      </c>
      <c r="AG13" s="123"/>
      <c r="AH13" s="123"/>
    </row>
    <row r="14" spans="1:34" s="124" customFormat="1" ht="12.75">
      <c r="A14" s="123"/>
      <c r="B14" s="128"/>
      <c r="C14" s="33"/>
      <c r="D14" s="26" t="s">
        <v>11</v>
      </c>
      <c r="E14" s="32"/>
      <c r="F14" s="71">
        <v>563849</v>
      </c>
      <c r="G14" s="73">
        <v>375428</v>
      </c>
      <c r="H14" s="71">
        <v>278520</v>
      </c>
      <c r="I14" s="71">
        <v>66591</v>
      </c>
      <c r="J14" s="71">
        <v>0</v>
      </c>
      <c r="K14" s="71">
        <v>325246</v>
      </c>
      <c r="L14" s="64">
        <f>IFERROR(F14/G14-1,"n/a")</f>
        <v>0.50188318399266962</v>
      </c>
      <c r="M14" s="64">
        <f>IFERROR(F14/H14-1,"n/a")</f>
        <v>1.0244470774091625</v>
      </c>
      <c r="N14" s="64">
        <f>IFERROR(F14/I14-1,"n/a")</f>
        <v>7.4673454370710761</v>
      </c>
      <c r="O14" s="64" t="str">
        <f>IFERROR(F14/J14-1,"n/a")</f>
        <v>n/a</v>
      </c>
      <c r="P14" s="60">
        <f>IFERROR(F14/K14-1,"n/a")</f>
        <v>0.73360779225570805</v>
      </c>
      <c r="Q14" s="68">
        <f>'July-24'!Q14+F14</f>
        <v>5158028</v>
      </c>
      <c r="R14" s="68">
        <f>'July-24'!R14+G14</f>
        <v>3472894</v>
      </c>
      <c r="S14" s="68">
        <f>'July-24'!S14+H14</f>
        <v>2114731</v>
      </c>
      <c r="T14" s="68">
        <f>'July-24'!T14+I14</f>
        <v>97505</v>
      </c>
      <c r="U14" s="68">
        <f>'July-24'!U14+J14</f>
        <v>1092884</v>
      </c>
      <c r="V14" s="68">
        <f>'July-24'!V14+K14</f>
        <v>3108965</v>
      </c>
      <c r="W14" s="64">
        <f>IFERROR(Q14/R14-1,"n/a")</f>
        <v>0.48522471460401606</v>
      </c>
      <c r="X14" s="64">
        <f>IFERROR(Q14/S14-1,"n/a")</f>
        <v>1.4390941448344967</v>
      </c>
      <c r="Y14" s="64">
        <f>IFERROR(Q14/T14-1,"n/a")</f>
        <v>51.900138454438235</v>
      </c>
      <c r="Z14" s="64">
        <f>IFERROR(Q14/U14-1,"n/a")</f>
        <v>3.7196481968809136</v>
      </c>
      <c r="AA14" s="60">
        <f>IFERROR(Q14/V14-1,"n/a")</f>
        <v>0.65908204177274432</v>
      </c>
      <c r="AB14" s="68">
        <v>5232537</v>
      </c>
      <c r="AC14" s="68">
        <v>3592413</v>
      </c>
      <c r="AD14" s="68">
        <v>768312</v>
      </c>
      <c r="AE14" s="68">
        <v>1092884</v>
      </c>
      <c r="AF14" s="135">
        <v>4592479</v>
      </c>
      <c r="AG14" s="123"/>
      <c r="AH14" s="123"/>
    </row>
    <row r="15" spans="1:34" s="124" customFormat="1" ht="12.75">
      <c r="A15" s="123"/>
      <c r="B15" s="128"/>
      <c r="C15" s="31" t="s">
        <v>135</v>
      </c>
      <c r="D15" s="26"/>
      <c r="E15" s="32"/>
      <c r="F15" s="97"/>
      <c r="G15" s="97"/>
      <c r="H15" s="26"/>
      <c r="I15" s="26"/>
      <c r="J15" s="26"/>
      <c r="K15" s="26"/>
      <c r="L15" s="64"/>
      <c r="M15" s="64"/>
      <c r="N15" s="64"/>
      <c r="O15" s="64"/>
      <c r="P15" s="61"/>
      <c r="Q15" s="87"/>
      <c r="R15" s="87"/>
      <c r="S15" s="87"/>
      <c r="T15" s="87"/>
      <c r="U15" s="87"/>
      <c r="V15" s="87"/>
      <c r="W15" s="64"/>
      <c r="X15" s="64"/>
      <c r="Y15" s="64"/>
      <c r="Z15" s="64"/>
      <c r="AA15" s="61"/>
      <c r="AB15" s="43"/>
      <c r="AC15" s="43"/>
      <c r="AD15" s="43"/>
      <c r="AE15" s="43"/>
      <c r="AF15" s="136"/>
      <c r="AG15" s="123"/>
      <c r="AH15" s="123"/>
    </row>
    <row r="16" spans="1:34" s="124" customFormat="1" ht="12.75">
      <c r="A16" s="123"/>
      <c r="B16" s="128"/>
      <c r="C16" s="33"/>
      <c r="D16" s="26" t="s">
        <v>5</v>
      </c>
      <c r="E16" s="32"/>
      <c r="F16" s="71">
        <v>103</v>
      </c>
      <c r="G16" s="74">
        <v>71</v>
      </c>
      <c r="H16" s="71">
        <v>63</v>
      </c>
      <c r="I16" s="71">
        <v>29</v>
      </c>
      <c r="J16" s="71">
        <v>2</v>
      </c>
      <c r="K16" s="71">
        <v>58</v>
      </c>
      <c r="L16" s="64">
        <f>IFERROR(F16/G16-1,"n/a")</f>
        <v>0.45070422535211274</v>
      </c>
      <c r="M16" s="64">
        <f>IFERROR(F16/H16-1,"n/a")</f>
        <v>0.63492063492063489</v>
      </c>
      <c r="N16" s="64">
        <f>IFERROR(F16/I16-1,"n/a")</f>
        <v>2.5517241379310347</v>
      </c>
      <c r="O16" s="64">
        <f>IFERROR(F16/J16-1,"n/a")</f>
        <v>50.5</v>
      </c>
      <c r="P16" s="60">
        <f>IFERROR(F16/K16-1,"n/a")</f>
        <v>0.77586206896551735</v>
      </c>
      <c r="Q16" s="68">
        <f>'July-24'!Q16+F16</f>
        <v>494</v>
      </c>
      <c r="R16" s="68">
        <f>'July-24'!R16+G16</f>
        <v>358</v>
      </c>
      <c r="S16" s="68">
        <f>'July-24'!S16+H16</f>
        <v>377</v>
      </c>
      <c r="T16" s="68">
        <f>'July-24'!T16+I16</f>
        <v>102</v>
      </c>
      <c r="U16" s="68">
        <f>'July-24'!U16+J16</f>
        <v>12</v>
      </c>
      <c r="V16" s="68">
        <f>'July-24'!V16+K16</f>
        <v>333</v>
      </c>
      <c r="W16" s="64">
        <f>IFERROR(Q16/R16-1,"n/a")</f>
        <v>0.37988826815642462</v>
      </c>
      <c r="X16" s="64">
        <f>IFERROR(Q16/S16-1,"n/a")</f>
        <v>0.31034482758620685</v>
      </c>
      <c r="Y16" s="64">
        <f>IFERROR(Q16/T16-1,"n/a")</f>
        <v>3.8431372549019605</v>
      </c>
      <c r="Z16" s="64">
        <f>IFERROR(Q16/U16-1,"n/a")</f>
        <v>40.166666666666664</v>
      </c>
      <c r="AA16" s="60">
        <f>IFERROR(Q16/V16-1,"n/a")</f>
        <v>0.48348348348348358</v>
      </c>
      <c r="AB16" s="68">
        <v>575</v>
      </c>
      <c r="AC16" s="68">
        <v>572</v>
      </c>
      <c r="AD16" s="68">
        <v>202</v>
      </c>
      <c r="AE16" s="68">
        <v>54</v>
      </c>
      <c r="AF16" s="135">
        <v>586</v>
      </c>
      <c r="AG16" s="123"/>
      <c r="AH16" s="123"/>
    </row>
    <row r="17" spans="1:34" s="124" customFormat="1" ht="12.75">
      <c r="A17" s="123"/>
      <c r="B17" s="128"/>
      <c r="C17" s="33"/>
      <c r="D17" s="26" t="s">
        <v>11</v>
      </c>
      <c r="E17" s="32"/>
      <c r="F17" s="71">
        <v>316065</v>
      </c>
      <c r="G17" s="74">
        <v>262517</v>
      </c>
      <c r="H17" s="71">
        <v>183659</v>
      </c>
      <c r="I17" s="71">
        <v>48391</v>
      </c>
      <c r="J17" s="71">
        <v>2541</v>
      </c>
      <c r="K17" s="71">
        <v>180130</v>
      </c>
      <c r="L17" s="64">
        <f>IFERROR(F17/G17-1,"n/a")</f>
        <v>0.20397917087274342</v>
      </c>
      <c r="M17" s="64">
        <f>IFERROR(F17/H17-1,"n/a")</f>
        <v>0.72093390468204666</v>
      </c>
      <c r="N17" s="64">
        <f>IFERROR(F17/I17-1,"n/a")</f>
        <v>5.5314831270277534</v>
      </c>
      <c r="O17" s="64">
        <f>IFERROR(F17/J17-1,"n/a")</f>
        <v>123.38606847697757</v>
      </c>
      <c r="P17" s="60">
        <f>IFERROR(F17/K17-1,"n/a")</f>
        <v>0.75464941986343193</v>
      </c>
      <c r="Q17" s="68">
        <f>'July-24'!Q17+F17</f>
        <v>1376921</v>
      </c>
      <c r="R17" s="68">
        <f>'July-24'!R17+G17</f>
        <v>1110652</v>
      </c>
      <c r="S17" s="68">
        <f>'July-24'!S17+H17</f>
        <v>621851</v>
      </c>
      <c r="T17" s="68">
        <f>'July-24'!T17+I17</f>
        <v>151020</v>
      </c>
      <c r="U17" s="68">
        <f>'July-24'!U17+J17</f>
        <v>43654</v>
      </c>
      <c r="V17" s="68">
        <f>'July-24'!V17+K17</f>
        <v>912754</v>
      </c>
      <c r="W17" s="64">
        <f>IFERROR(Q17/R17-1,"n/a")</f>
        <v>0.2397411610477449</v>
      </c>
      <c r="X17" s="64">
        <f>IFERROR(Q17/S17-1,"n/a")</f>
        <v>1.214229775299871</v>
      </c>
      <c r="Y17" s="64">
        <f>IFERROR(Q17/T17-1,"n/a")</f>
        <v>8.1174745066878558</v>
      </c>
      <c r="Z17" s="64">
        <f>IFERROR(Q17/U17-1,"n/a")</f>
        <v>30.541691483025609</v>
      </c>
      <c r="AA17" s="60">
        <f>IFERROR(Q17/V17-1,"n/a")</f>
        <v>0.50853461063988759</v>
      </c>
      <c r="AB17" s="68">
        <v>1660685</v>
      </c>
      <c r="AC17" s="68">
        <v>965963</v>
      </c>
      <c r="AD17" s="68">
        <v>301521</v>
      </c>
      <c r="AE17" s="68">
        <v>70675</v>
      </c>
      <c r="AF17" s="135">
        <v>1400932</v>
      </c>
      <c r="AG17" s="123"/>
      <c r="AH17" s="123"/>
    </row>
    <row r="18" spans="1:34" s="124" customFormat="1" ht="12.75">
      <c r="A18" s="123"/>
      <c r="B18" s="128"/>
      <c r="C18" s="31" t="s">
        <v>110</v>
      </c>
      <c r="D18" s="26"/>
      <c r="E18" s="32"/>
      <c r="F18" s="72"/>
      <c r="G18" s="72"/>
      <c r="H18" s="72"/>
      <c r="I18" s="72"/>
      <c r="J18" s="72"/>
      <c r="K18" s="72"/>
      <c r="L18" s="64"/>
      <c r="M18" s="64"/>
      <c r="N18" s="64"/>
      <c r="O18" s="64"/>
      <c r="P18" s="60"/>
      <c r="Q18" s="87"/>
      <c r="R18" s="87"/>
      <c r="S18" s="87"/>
      <c r="T18" s="87"/>
      <c r="U18" s="87"/>
      <c r="V18" s="87"/>
      <c r="W18" s="64"/>
      <c r="X18" s="64"/>
      <c r="Y18" s="64"/>
      <c r="Z18" s="64"/>
      <c r="AA18" s="60"/>
      <c r="AB18" s="43"/>
      <c r="AC18" s="43"/>
      <c r="AD18" s="43"/>
      <c r="AE18" s="43"/>
      <c r="AF18" s="136"/>
      <c r="AG18" s="123"/>
      <c r="AH18" s="123"/>
    </row>
    <row r="19" spans="1:34" s="124" customFormat="1" ht="12.75">
      <c r="A19" s="123"/>
      <c r="B19" s="128"/>
      <c r="C19" s="33"/>
      <c r="D19" s="26" t="s">
        <v>5</v>
      </c>
      <c r="E19" s="32"/>
      <c r="F19" s="71">
        <v>102</v>
      </c>
      <c r="G19" s="73">
        <v>95</v>
      </c>
      <c r="H19" s="71">
        <v>104</v>
      </c>
      <c r="I19" s="71">
        <v>3</v>
      </c>
      <c r="J19" s="71">
        <v>2</v>
      </c>
      <c r="K19" s="71">
        <v>43</v>
      </c>
      <c r="L19" s="64">
        <f>IFERROR(F19/G19-1,"n/a")</f>
        <v>7.3684210526315796E-2</v>
      </c>
      <c r="M19" s="64">
        <f>IFERROR(F19/H19-1,"n/a")</f>
        <v>-1.9230769230769273E-2</v>
      </c>
      <c r="N19" s="64">
        <f>IFERROR(F19/I19-1,"n/a")</f>
        <v>33</v>
      </c>
      <c r="O19" s="64">
        <f>IFERROR(F19/J19-1,"n/a")</f>
        <v>50</v>
      </c>
      <c r="P19" s="60">
        <f>IFERROR(F19/K19-1,"n/a")</f>
        <v>1.3720930232558142</v>
      </c>
      <c r="Q19" s="68">
        <f>'July-24'!Q19+F19</f>
        <v>467</v>
      </c>
      <c r="R19" s="68">
        <f>'July-24'!R19+G19</f>
        <v>444</v>
      </c>
      <c r="S19" s="68">
        <f>'July-24'!S19+H19</f>
        <v>421</v>
      </c>
      <c r="T19" s="68">
        <f>'July-24'!T19+I19</f>
        <v>9</v>
      </c>
      <c r="U19" s="68">
        <f>'July-24'!U19+J19</f>
        <v>7</v>
      </c>
      <c r="V19" s="68">
        <f>'July-24'!V19+K19</f>
        <v>199</v>
      </c>
      <c r="W19" s="64">
        <f>IFERROR(Q19/R19-1,"n/a")</f>
        <v>5.1801801801801828E-2</v>
      </c>
      <c r="X19" s="64">
        <f>IFERROR(Q19/S19-1,"n/a")</f>
        <v>0.10926365795724458</v>
      </c>
      <c r="Y19" s="64">
        <f>IFERROR(Q19/T19-1,"n/a")</f>
        <v>50.888888888888886</v>
      </c>
      <c r="Z19" s="64">
        <f>IFERROR(Q19/U19-1,"n/a")</f>
        <v>65.714285714285708</v>
      </c>
      <c r="AA19" s="60">
        <f>IFERROR(Q19/V19-1,"n/a")</f>
        <v>1.3467336683417086</v>
      </c>
      <c r="AB19" s="68">
        <v>708</v>
      </c>
      <c r="AC19" s="68">
        <v>658</v>
      </c>
      <c r="AD19" s="68">
        <v>47</v>
      </c>
      <c r="AE19" s="68">
        <v>9</v>
      </c>
      <c r="AF19" s="135">
        <v>290</v>
      </c>
      <c r="AG19" s="123"/>
      <c r="AH19" s="123"/>
    </row>
    <row r="20" spans="1:34" s="124" customFormat="1" ht="12.75">
      <c r="A20" s="123"/>
      <c r="B20" s="128"/>
      <c r="C20" s="33"/>
      <c r="D20" s="26" t="s">
        <v>11</v>
      </c>
      <c r="E20" s="32"/>
      <c r="F20" s="71">
        <v>270706</v>
      </c>
      <c r="G20" s="73">
        <v>234330</v>
      </c>
      <c r="H20" s="71">
        <v>185619</v>
      </c>
      <c r="I20" s="71">
        <v>850</v>
      </c>
      <c r="J20" s="71">
        <v>0</v>
      </c>
      <c r="K20" s="71">
        <v>126823</v>
      </c>
      <c r="L20" s="64">
        <f>IFERROR(F20/G20-1,"n/a")</f>
        <v>0.15523407160841551</v>
      </c>
      <c r="M20" s="64">
        <f>IFERROR(F20/H20-1,"n/a")</f>
        <v>0.45839596162030816</v>
      </c>
      <c r="N20" s="64">
        <f>IFERROR(F20/I20-1,"n/a")</f>
        <v>317.47764705882355</v>
      </c>
      <c r="O20" s="64" t="str">
        <f>IFERROR(F20/J20-1,"n/a")</f>
        <v>n/a</v>
      </c>
      <c r="P20" s="60">
        <f>IFERROR(F20/K20-1,"n/a")</f>
        <v>1.1345181867642307</v>
      </c>
      <c r="Q20" s="68">
        <f>'July-24'!Q20+F20</f>
        <v>1008689.4</v>
      </c>
      <c r="R20" s="68">
        <f>'July-24'!R20+G20</f>
        <v>831991</v>
      </c>
      <c r="S20" s="68">
        <f>'July-24'!S20+H20</f>
        <v>566643</v>
      </c>
      <c r="T20" s="68">
        <f>'July-24'!T20+I20</f>
        <v>1318</v>
      </c>
      <c r="U20" s="68">
        <f>'July-24'!U20+J20</f>
        <v>10047</v>
      </c>
      <c r="V20" s="68">
        <f>'July-24'!V20+K20</f>
        <v>411209</v>
      </c>
      <c r="W20" s="64">
        <f>IFERROR(Q20/R20-1,"n/a")</f>
        <v>0.21238018199716113</v>
      </c>
      <c r="X20" s="64">
        <f>IFERROR(Q20/S20-1,"n/a")</f>
        <v>0.78011446360406822</v>
      </c>
      <c r="Y20" s="64">
        <f>IFERROR(Q20/T20-1,"n/a")</f>
        <v>764.31820940819421</v>
      </c>
      <c r="Z20" s="64">
        <f>IFERROR(Q20/U20-1,"n/a")</f>
        <v>99.397073753359209</v>
      </c>
      <c r="AA20" s="60">
        <f>IFERROR(Q20/V20-1,"n/a")</f>
        <v>1.452984735256281</v>
      </c>
      <c r="AB20" s="68">
        <v>1277526</v>
      </c>
      <c r="AC20" s="68">
        <v>887495</v>
      </c>
      <c r="AD20" s="68">
        <v>17541</v>
      </c>
      <c r="AE20" s="68">
        <v>10046.999999999998</v>
      </c>
      <c r="AF20" s="135">
        <v>585930</v>
      </c>
      <c r="AG20" s="123"/>
      <c r="AH20" s="123"/>
    </row>
    <row r="21" spans="1:34" s="124" customFormat="1" ht="12.75">
      <c r="A21" s="123"/>
      <c r="B21" s="128"/>
      <c r="C21" s="31" t="s">
        <v>111</v>
      </c>
      <c r="D21" s="26"/>
      <c r="E21" s="34"/>
      <c r="F21" s="72"/>
      <c r="G21" s="72"/>
      <c r="H21" s="72"/>
      <c r="I21" s="72"/>
      <c r="J21" s="72"/>
      <c r="K21" s="72"/>
      <c r="L21" s="64"/>
      <c r="M21" s="64"/>
      <c r="N21" s="64"/>
      <c r="O21" s="64"/>
      <c r="P21" s="60"/>
      <c r="Q21" s="87"/>
      <c r="R21" s="87"/>
      <c r="S21" s="87"/>
      <c r="T21" s="87"/>
      <c r="U21" s="87"/>
      <c r="V21" s="87"/>
      <c r="W21" s="64"/>
      <c r="X21" s="64"/>
      <c r="Y21" s="64"/>
      <c r="Z21" s="64"/>
      <c r="AA21" s="60"/>
      <c r="AB21" s="43"/>
      <c r="AC21" s="43"/>
      <c r="AD21" s="43"/>
      <c r="AE21" s="43"/>
      <c r="AF21" s="136"/>
      <c r="AG21" s="123"/>
      <c r="AH21" s="123"/>
    </row>
    <row r="22" spans="1:34" s="124" customFormat="1" ht="12.75">
      <c r="A22" s="123"/>
      <c r="B22" s="128"/>
      <c r="C22" s="33"/>
      <c r="D22" s="26" t="s">
        <v>5</v>
      </c>
      <c r="E22" s="34"/>
      <c r="F22" s="71">
        <v>92</v>
      </c>
      <c r="G22" s="74">
        <v>80</v>
      </c>
      <c r="H22" s="71">
        <v>60</v>
      </c>
      <c r="I22" s="71">
        <v>24</v>
      </c>
      <c r="J22" s="71">
        <v>0</v>
      </c>
      <c r="K22" s="71">
        <v>69</v>
      </c>
      <c r="L22" s="64">
        <f>IFERROR(F22/G22-1,"n/a")</f>
        <v>0.14999999999999991</v>
      </c>
      <c r="M22" s="64">
        <f>IFERROR(F22/H22-1,"n/a")</f>
        <v>0.53333333333333344</v>
      </c>
      <c r="N22" s="64">
        <f>IFERROR(F22/I22-1,"n/a")</f>
        <v>2.8333333333333335</v>
      </c>
      <c r="O22" s="64" t="str">
        <f>IFERROR(F22/J22-1,"n/a")</f>
        <v>n/a</v>
      </c>
      <c r="P22" s="60">
        <f>IFERROR(F22/K22-1,"n/a")</f>
        <v>0.33333333333333326</v>
      </c>
      <c r="Q22" s="68">
        <f>'July-24'!Q22+F22</f>
        <v>866</v>
      </c>
      <c r="R22" s="68">
        <f>'July-24'!R22+G22</f>
        <v>857</v>
      </c>
      <c r="S22" s="68">
        <f>'July-24'!S22+H22</f>
        <v>463</v>
      </c>
      <c r="T22" s="68">
        <f>'July-24'!T22+I22</f>
        <v>38</v>
      </c>
      <c r="U22" s="68">
        <f>'July-24'!U22+J22</f>
        <v>43</v>
      </c>
      <c r="V22" s="68">
        <f>'July-24'!V22+K22</f>
        <v>499</v>
      </c>
      <c r="W22" s="64">
        <f>IFERROR(Q22/R22-1,"n/a")</f>
        <v>1.0501750291715295E-2</v>
      </c>
      <c r="X22" s="64">
        <f>IFERROR(Q22/S22-1,"n/a")</f>
        <v>0.87041036717062625</v>
      </c>
      <c r="Y22" s="64">
        <f>IFERROR(Q22/T22-1,"n/a")</f>
        <v>21.789473684210527</v>
      </c>
      <c r="Z22" s="64">
        <f>IFERROR(Q22/U22-1,"n/a")</f>
        <v>19.13953488372093</v>
      </c>
      <c r="AA22" s="60">
        <f>IFERROR(Q22/V22-1,"n/a")</f>
        <v>0.73547094188376749</v>
      </c>
      <c r="AB22" s="68">
        <v>1500</v>
      </c>
      <c r="AC22" s="68">
        <v>895</v>
      </c>
      <c r="AD22" s="68">
        <v>283</v>
      </c>
      <c r="AE22" s="68">
        <v>43</v>
      </c>
      <c r="AF22" s="135">
        <v>827</v>
      </c>
      <c r="AG22" s="123"/>
      <c r="AH22" s="123"/>
    </row>
    <row r="23" spans="1:34" s="124" customFormat="1" ht="12.75">
      <c r="A23" s="123"/>
      <c r="B23" s="128"/>
      <c r="C23" s="33"/>
      <c r="D23" s="26" t="s">
        <v>11</v>
      </c>
      <c r="E23" s="32"/>
      <c r="F23" s="71">
        <v>415300</v>
      </c>
      <c r="G23" s="73">
        <v>371804</v>
      </c>
      <c r="H23" s="71">
        <v>239102</v>
      </c>
      <c r="I23" s="71">
        <v>49688</v>
      </c>
      <c r="J23" s="71">
        <v>0</v>
      </c>
      <c r="K23" s="71">
        <v>291759</v>
      </c>
      <c r="L23" s="64">
        <f>IFERROR(F23/G23-1,"n/a")</f>
        <v>0.11698636916224681</v>
      </c>
      <c r="M23" s="64">
        <f>IFERROR(F23/H23-1,"n/a")</f>
        <v>0.73691562596716054</v>
      </c>
      <c r="N23" s="64">
        <f>IFERROR(F23/I23-1,"n/a")</f>
        <v>7.3581548864917075</v>
      </c>
      <c r="O23" s="64" t="str">
        <f>IFERROR(F23/J23-1,"n/a")</f>
        <v>n/a</v>
      </c>
      <c r="P23" s="60">
        <f>IFERROR(F23/K23-1,"n/a")</f>
        <v>0.42343509540408353</v>
      </c>
      <c r="Q23" s="68">
        <f>'July-24'!Q23+F23</f>
        <v>2961674</v>
      </c>
      <c r="R23" s="68">
        <f>'July-24'!R23+G23</f>
        <v>2679117</v>
      </c>
      <c r="S23" s="68">
        <f>'July-24'!S23+H23</f>
        <v>1064714</v>
      </c>
      <c r="T23" s="68">
        <f>'July-24'!T23+I23</f>
        <v>78164</v>
      </c>
      <c r="U23" s="68">
        <f>'July-24'!U23+J23</f>
        <v>140552</v>
      </c>
      <c r="V23" s="68">
        <f>'July-24'!V23+K23</f>
        <v>1593408</v>
      </c>
      <c r="W23" s="64">
        <f>IFERROR(Q23/R23-1,"n/a")</f>
        <v>0.10546646525702319</v>
      </c>
      <c r="X23" s="64">
        <f>IFERROR(Q23/S23-1,"n/a")</f>
        <v>1.7816615541826257</v>
      </c>
      <c r="Y23" s="64">
        <f>IFERROR(Q23/T23-1,"n/a")</f>
        <v>36.890512256281667</v>
      </c>
      <c r="Z23" s="64">
        <f>IFERROR(Q23/U23-1,"n/a")</f>
        <v>20.07173145881951</v>
      </c>
      <c r="AA23" s="60">
        <f>IFERROR(Q23/V23-1,"n/a")</f>
        <v>0.85870411093706078</v>
      </c>
      <c r="AB23" s="68">
        <v>4449177</v>
      </c>
      <c r="AC23" s="68">
        <v>2165161</v>
      </c>
      <c r="AD23" s="68">
        <v>465109</v>
      </c>
      <c r="AE23" s="68">
        <v>140552</v>
      </c>
      <c r="AF23" s="135">
        <v>2552942</v>
      </c>
      <c r="AG23" s="123"/>
      <c r="AH23" s="123"/>
    </row>
    <row r="24" spans="1:34" s="124" customFormat="1" ht="12.75">
      <c r="A24" s="123"/>
      <c r="B24" s="128"/>
      <c r="C24" s="31" t="s">
        <v>112</v>
      </c>
      <c r="D24" s="26"/>
      <c r="E24" s="32"/>
      <c r="F24" s="72"/>
      <c r="G24" s="72"/>
      <c r="H24" s="72"/>
      <c r="I24" s="72"/>
      <c r="J24" s="72"/>
      <c r="K24" s="72"/>
      <c r="L24" s="64"/>
      <c r="M24" s="64"/>
      <c r="N24" s="64"/>
      <c r="O24" s="64"/>
      <c r="P24" s="60"/>
      <c r="Q24" s="87"/>
      <c r="R24" s="87"/>
      <c r="S24" s="87"/>
      <c r="T24" s="87"/>
      <c r="U24" s="87"/>
      <c r="V24" s="87"/>
      <c r="W24" s="64"/>
      <c r="X24" s="64"/>
      <c r="Y24" s="64"/>
      <c r="Z24" s="64"/>
      <c r="AA24" s="60"/>
      <c r="AB24" s="43"/>
      <c r="AC24" s="43"/>
      <c r="AD24" s="43"/>
      <c r="AE24" s="43"/>
      <c r="AF24" s="136"/>
      <c r="AG24" s="123"/>
      <c r="AH24" s="123"/>
    </row>
    <row r="25" spans="1:34" s="124" customFormat="1" ht="12.75">
      <c r="B25" s="128"/>
      <c r="C25" s="33"/>
      <c r="D25" s="26" t="s">
        <v>5</v>
      </c>
      <c r="E25" s="32"/>
      <c r="F25" s="71">
        <v>1</v>
      </c>
      <c r="G25" s="71">
        <v>4</v>
      </c>
      <c r="H25" s="71">
        <v>2</v>
      </c>
      <c r="I25" s="71">
        <v>0</v>
      </c>
      <c r="J25" s="71">
        <v>0</v>
      </c>
      <c r="K25" s="71">
        <v>1</v>
      </c>
      <c r="L25" s="64">
        <f>IFERROR(F25/G25-1,"n/a")</f>
        <v>-0.75</v>
      </c>
      <c r="M25" s="64">
        <f>IFERROR(F25/H25-1,"n/a")</f>
        <v>-0.5</v>
      </c>
      <c r="N25" s="64" t="str">
        <f>IFERROR(F25/I25-1,"n/a")</f>
        <v>n/a</v>
      </c>
      <c r="O25" s="64" t="str">
        <f>IFERROR(F25/J25-1,"n/a")</f>
        <v>n/a</v>
      </c>
      <c r="P25" s="60">
        <f>IFERROR(F25/K25-1,"n/a")</f>
        <v>0</v>
      </c>
      <c r="Q25" s="68">
        <f>'July-24'!Q25+F25</f>
        <v>10</v>
      </c>
      <c r="R25" s="68">
        <f>'July-24'!R25+G25</f>
        <v>15</v>
      </c>
      <c r="S25" s="68">
        <f>'July-24'!S25+H25</f>
        <v>7</v>
      </c>
      <c r="T25" s="68">
        <f>'July-24'!T25+I25</f>
        <v>0</v>
      </c>
      <c r="U25" s="68">
        <f>'July-24'!U25+J25</f>
        <v>0</v>
      </c>
      <c r="V25" s="68">
        <f>'July-24'!V25+K25</f>
        <v>12</v>
      </c>
      <c r="W25" s="64">
        <f>IFERROR(Q25/R25-1,"n/a")</f>
        <v>-0.33333333333333337</v>
      </c>
      <c r="X25" s="64">
        <f>IFERROR(Q25/S25-1,"n/a")</f>
        <v>0.4285714285714286</v>
      </c>
      <c r="Y25" s="64" t="str">
        <f>IFERROR(Q25/T25-1,"n/a")</f>
        <v>n/a</v>
      </c>
      <c r="Z25" s="64" t="str">
        <f>IFERROR(Q25/U25-1,"n/a")</f>
        <v>n/a</v>
      </c>
      <c r="AA25" s="60">
        <f>IFERROR(Q25/V25-1,"n/a")</f>
        <v>-0.16666666666666663</v>
      </c>
      <c r="AB25" s="68">
        <v>21</v>
      </c>
      <c r="AC25" s="68">
        <v>9</v>
      </c>
      <c r="AD25" s="68">
        <v>0</v>
      </c>
      <c r="AE25" s="68">
        <v>0</v>
      </c>
      <c r="AF25" s="135">
        <v>16</v>
      </c>
      <c r="AG25" s="123"/>
      <c r="AH25" s="123"/>
    </row>
    <row r="26" spans="1:34" s="124" customFormat="1" ht="12.75">
      <c r="A26" s="123"/>
      <c r="B26" s="128"/>
      <c r="C26" s="33"/>
      <c r="D26" s="26" t="s">
        <v>11</v>
      </c>
      <c r="E26" s="32"/>
      <c r="F26" s="71">
        <v>4623</v>
      </c>
      <c r="G26" s="71">
        <v>6619</v>
      </c>
      <c r="H26" s="71">
        <v>2336</v>
      </c>
      <c r="I26" s="71">
        <v>0</v>
      </c>
      <c r="J26" s="71">
        <v>0</v>
      </c>
      <c r="K26" s="71">
        <v>1298</v>
      </c>
      <c r="L26" s="64">
        <f>IFERROR(F26/G26-1,"n/a")</f>
        <v>-0.30155612630306694</v>
      </c>
      <c r="M26" s="64">
        <f>IFERROR(F26/H26-1,"n/a")</f>
        <v>0.97902397260273966</v>
      </c>
      <c r="N26" s="64" t="str">
        <f>IFERROR(F26/I26-1,"n/a")</f>
        <v>n/a</v>
      </c>
      <c r="O26" s="64" t="str">
        <f>IFERROR(F26/J26-1,"n/a")</f>
        <v>n/a</v>
      </c>
      <c r="P26" s="60">
        <f>IFERROR(F26/K26-1,"n/a")</f>
        <v>2.5616332819722651</v>
      </c>
      <c r="Q26" s="68">
        <f>'July-24'!Q26+F26</f>
        <v>38341</v>
      </c>
      <c r="R26" s="68">
        <f>'July-24'!R26+G26</f>
        <v>26394</v>
      </c>
      <c r="S26" s="68">
        <f>'July-24'!S26+H26</f>
        <v>11013</v>
      </c>
      <c r="T26" s="68">
        <f>'July-24'!T26+I26</f>
        <v>0</v>
      </c>
      <c r="U26" s="68">
        <f>'July-24'!U26+J26</f>
        <v>0</v>
      </c>
      <c r="V26" s="68">
        <f>'July-24'!V26+K26</f>
        <v>15048</v>
      </c>
      <c r="W26" s="64">
        <f>IFERROR(Q26/R26-1,"n/a")</f>
        <v>0.45264075168598916</v>
      </c>
      <c r="X26" s="64">
        <f>IFERROR(Q26/S26-1,"n/a")</f>
        <v>2.4814310360483067</v>
      </c>
      <c r="Y26" s="64" t="str">
        <f>IFERROR(Q26/T26-1,"n/a")</f>
        <v>n/a</v>
      </c>
      <c r="Z26" s="64" t="str">
        <f>IFERROR(Q26/U26-1,"n/a")</f>
        <v>n/a</v>
      </c>
      <c r="AA26" s="60">
        <f>IFERROR(Q26/V26-1,"n/a")</f>
        <v>1.5479133439659756</v>
      </c>
      <c r="AB26" s="68">
        <v>38626</v>
      </c>
      <c r="AC26" s="68">
        <v>15637</v>
      </c>
      <c r="AD26" s="68">
        <v>0</v>
      </c>
      <c r="AE26" s="68">
        <v>0</v>
      </c>
      <c r="AF26" s="137">
        <v>20248</v>
      </c>
      <c r="AG26" s="123"/>
      <c r="AH26" s="123"/>
    </row>
    <row r="27" spans="1:34" s="124" customFormat="1" ht="13.5" thickBot="1">
      <c r="A27" s="123"/>
      <c r="B27" s="128"/>
      <c r="C27" s="35" t="s">
        <v>12</v>
      </c>
      <c r="D27" s="36"/>
      <c r="E27" s="37"/>
      <c r="F27" s="75">
        <f t="shared" ref="F27:K28" si="0">F13+F16+F19+F22+F25</f>
        <v>440</v>
      </c>
      <c r="G27" s="75">
        <f t="shared" si="0"/>
        <v>349</v>
      </c>
      <c r="H27" s="75">
        <f t="shared" si="0"/>
        <v>310</v>
      </c>
      <c r="I27" s="75">
        <f t="shared" si="0"/>
        <v>107</v>
      </c>
      <c r="J27" s="75">
        <f t="shared" si="0"/>
        <v>4</v>
      </c>
      <c r="K27" s="75">
        <f t="shared" si="0"/>
        <v>268</v>
      </c>
      <c r="L27" s="66">
        <f>IFERROR(F27/G27-1,"n/a")</f>
        <v>0.26074498567335236</v>
      </c>
      <c r="M27" s="66">
        <f>IFERROR(F27/H27-1,"n/a")</f>
        <v>0.41935483870967749</v>
      </c>
      <c r="N27" s="66">
        <f>IFERROR(F27/I27-1,"n/a")</f>
        <v>3.1121495327102799</v>
      </c>
      <c r="O27" s="66">
        <f>IFERROR(F27/J27-1,"n/a")</f>
        <v>109</v>
      </c>
      <c r="P27" s="62">
        <f>IFERROR(F27/K27-1,"n/a")</f>
        <v>0.64179104477611948</v>
      </c>
      <c r="Q27" s="75">
        <f t="shared" ref="Q27:V28" si="1">Q13+Q16+Q19+Q22+Q25</f>
        <v>3353</v>
      </c>
      <c r="R27" s="75">
        <f t="shared" si="1"/>
        <v>2731</v>
      </c>
      <c r="S27" s="75">
        <f t="shared" si="1"/>
        <v>2259</v>
      </c>
      <c r="T27" s="75">
        <f t="shared" si="1"/>
        <v>228</v>
      </c>
      <c r="U27" s="75">
        <f t="shared" si="1"/>
        <v>613</v>
      </c>
      <c r="V27" s="75">
        <f t="shared" si="1"/>
        <v>2066</v>
      </c>
      <c r="W27" s="66">
        <f>IFERROR(Q27/R27-1,"n/a")</f>
        <v>0.22775540095203217</v>
      </c>
      <c r="X27" s="66">
        <f>IFERROR(Q27/S27-1,"n/a")</f>
        <v>0.48428508189464359</v>
      </c>
      <c r="Y27" s="66">
        <f>IFERROR(Q27/T27-1,"n/a")</f>
        <v>13.706140350877194</v>
      </c>
      <c r="Z27" s="66">
        <f>IFERROR(Q27/U27-1,"n/a")</f>
        <v>4.4698205546492655</v>
      </c>
      <c r="AA27" s="62">
        <f>IFERROR(Q27/V27-1,"n/a")</f>
        <v>0.6229428848015488</v>
      </c>
      <c r="AB27" s="75">
        <f>AB13+AB16+AB19+AB22+AB25</f>
        <v>4434</v>
      </c>
      <c r="AC27" s="75">
        <f>AC13+AC16+AC19+AC22+AC25</f>
        <v>3620</v>
      </c>
      <c r="AD27" s="46">
        <f t="shared" ref="AD27:AF28" si="2">AD13+AD16+AD19+AD22+AD25</f>
        <v>1054</v>
      </c>
      <c r="AE27" s="46">
        <f t="shared" si="2"/>
        <v>657</v>
      </c>
      <c r="AF27" s="80">
        <f t="shared" si="2"/>
        <v>3310</v>
      </c>
      <c r="AG27" s="123"/>
      <c r="AH27" s="123"/>
    </row>
    <row r="28" spans="1:34" s="124" customFormat="1" ht="14.25" thickTop="1" thickBot="1">
      <c r="A28" s="123"/>
      <c r="B28" s="128"/>
      <c r="C28" s="38" t="s">
        <v>13</v>
      </c>
      <c r="D28" s="39"/>
      <c r="E28" s="40"/>
      <c r="F28" s="76">
        <f t="shared" si="0"/>
        <v>1570543</v>
      </c>
      <c r="G28" s="76">
        <f t="shared" si="0"/>
        <v>1250698</v>
      </c>
      <c r="H28" s="76">
        <f t="shared" si="0"/>
        <v>889236</v>
      </c>
      <c r="I28" s="76">
        <f t="shared" si="0"/>
        <v>165520</v>
      </c>
      <c r="J28" s="76">
        <f t="shared" si="0"/>
        <v>2541</v>
      </c>
      <c r="K28" s="76">
        <f t="shared" si="0"/>
        <v>925256</v>
      </c>
      <c r="L28" s="67">
        <f>IFERROR(F28/G28-1,"n/a")</f>
        <v>0.25573319858191179</v>
      </c>
      <c r="M28" s="67">
        <f>IFERROR(F28/H28-1,"n/a")</f>
        <v>0.76617118515219818</v>
      </c>
      <c r="N28" s="67">
        <f>IFERROR(F28/I28-1,"n/a")</f>
        <v>8.4885391493475115</v>
      </c>
      <c r="O28" s="67">
        <f>IFERROR(F28/J28-1,"n/a")</f>
        <v>617.08067689885877</v>
      </c>
      <c r="P28" s="63">
        <f>IFERROR(F28/K28-1,"n/a")</f>
        <v>0.6974145533776599</v>
      </c>
      <c r="Q28" s="76">
        <f t="shared" si="1"/>
        <v>10543653.4</v>
      </c>
      <c r="R28" s="76">
        <f t="shared" si="1"/>
        <v>8121048</v>
      </c>
      <c r="S28" s="76">
        <f t="shared" si="1"/>
        <v>4378952</v>
      </c>
      <c r="T28" s="76">
        <f t="shared" si="1"/>
        <v>328007</v>
      </c>
      <c r="U28" s="76">
        <f t="shared" si="1"/>
        <v>1287137</v>
      </c>
      <c r="V28" s="76">
        <f t="shared" si="1"/>
        <v>6041384</v>
      </c>
      <c r="W28" s="67">
        <f>IFERROR(Q28/R28-1,"n/a")</f>
        <v>0.29831191737815121</v>
      </c>
      <c r="X28" s="67">
        <f>IFERROR(Q28/S28-1,"n/a")</f>
        <v>1.4078029172276838</v>
      </c>
      <c r="Y28" s="67">
        <f>IFERROR(Q28/T28-1,"n/a")</f>
        <v>31.144598743319506</v>
      </c>
      <c r="Z28" s="67">
        <f>IFERROR(Q28/U28-1,"n/a")</f>
        <v>7.1915549005272954</v>
      </c>
      <c r="AA28" s="63">
        <f>IFERROR(Q28/V28-1,"n/a")</f>
        <v>0.74523807789738261</v>
      </c>
      <c r="AB28" s="76">
        <f>AB14+AB17+AB20+AB23+AB26</f>
        <v>12658551</v>
      </c>
      <c r="AC28" s="76">
        <f>AC14+AC17+AC20+AC23+AC26</f>
        <v>7626669</v>
      </c>
      <c r="AD28" s="47">
        <f t="shared" si="2"/>
        <v>1552483</v>
      </c>
      <c r="AE28" s="47">
        <f t="shared" si="2"/>
        <v>1314158</v>
      </c>
      <c r="AF28" s="81">
        <f t="shared" si="2"/>
        <v>9152531</v>
      </c>
      <c r="AG28" s="123"/>
      <c r="AH28" s="123"/>
    </row>
    <row r="29" spans="1:34" s="124" customFormat="1" ht="12" thickTop="1">
      <c r="A29" s="123"/>
      <c r="B29" s="123"/>
      <c r="C29" s="123"/>
      <c r="D29" s="123"/>
      <c r="E29" s="123"/>
      <c r="F29" s="123"/>
      <c r="G29" s="129"/>
      <c r="H29" s="129"/>
      <c r="I29" s="129"/>
      <c r="J29" s="129"/>
      <c r="K29" s="129"/>
      <c r="L29" s="129"/>
      <c r="M29" s="129"/>
      <c r="N29" s="129"/>
      <c r="O29" s="129"/>
      <c r="P29" s="123"/>
      <c r="Q29" s="123"/>
      <c r="R29" s="123"/>
      <c r="S29" s="123"/>
      <c r="T29" s="123"/>
      <c r="U29" s="123"/>
      <c r="V29" s="123"/>
      <c r="W29" s="123"/>
      <c r="X29" s="123"/>
      <c r="Y29" s="123"/>
      <c r="Z29" s="123"/>
      <c r="AA29" s="123"/>
      <c r="AB29" s="123"/>
      <c r="AC29" s="123"/>
      <c r="AD29" s="123"/>
      <c r="AE29" s="123"/>
      <c r="AF29" s="123"/>
      <c r="AG29" s="123"/>
      <c r="AH29" s="123"/>
    </row>
    <row r="30" spans="1:34" s="124" customFormat="1" ht="11.25">
      <c r="A30" s="123"/>
      <c r="B30" s="123"/>
      <c r="C30" s="123"/>
      <c r="D30" s="123"/>
      <c r="E30" s="123"/>
      <c r="F30" s="123"/>
      <c r="G30" s="129"/>
      <c r="H30" s="129"/>
      <c r="I30" s="129"/>
      <c r="J30" s="129"/>
      <c r="K30" s="129"/>
      <c r="L30" s="129"/>
      <c r="M30" s="129"/>
      <c r="N30" s="129"/>
      <c r="O30" s="129"/>
      <c r="P30" s="123"/>
      <c r="Q30" s="123"/>
      <c r="R30" s="129"/>
      <c r="S30" s="123"/>
      <c r="T30" s="123"/>
      <c r="U30" s="123"/>
      <c r="V30" s="123"/>
      <c r="W30" s="123"/>
      <c r="X30" s="123"/>
      <c r="Y30" s="123"/>
      <c r="Z30" s="123"/>
      <c r="AA30" s="123"/>
      <c r="AB30" s="123"/>
      <c r="AC30" s="123"/>
      <c r="AD30" s="123"/>
      <c r="AE30" s="123"/>
      <c r="AF30" s="123"/>
      <c r="AG30" s="123"/>
      <c r="AH30" s="123"/>
    </row>
    <row r="31" spans="1:34" s="124" customFormat="1" ht="12.75">
      <c r="A31" s="123"/>
      <c r="B31" s="130"/>
      <c r="C31" s="131" t="s">
        <v>63</v>
      </c>
      <c r="D31" s="24"/>
      <c r="E31" s="24"/>
      <c r="F31" s="24"/>
      <c r="G31" s="24"/>
      <c r="H31" s="24"/>
      <c r="I31" s="24"/>
      <c r="J31" s="24"/>
      <c r="K31" s="95"/>
      <c r="L31" s="95"/>
      <c r="M31" s="95"/>
      <c r="N31" s="95"/>
      <c r="O31" s="95"/>
      <c r="P31" s="24"/>
      <c r="Q31" s="24"/>
      <c r="R31" s="24"/>
      <c r="S31" s="24"/>
      <c r="T31" s="24"/>
      <c r="U31" s="24"/>
      <c r="V31" s="24"/>
      <c r="W31" s="24"/>
      <c r="X31" s="24"/>
      <c r="Y31" s="24"/>
      <c r="Z31" s="24"/>
      <c r="AA31" s="24"/>
      <c r="AB31" s="24"/>
      <c r="AC31" s="24"/>
      <c r="AD31" s="24"/>
      <c r="AE31" s="24"/>
      <c r="AF31" s="24"/>
      <c r="AG31" s="24"/>
      <c r="AH31" s="123"/>
    </row>
    <row r="32" spans="1:34" s="124" customFormat="1" ht="12.75">
      <c r="A32" s="123"/>
      <c r="B32" s="130"/>
      <c r="C32" s="24"/>
      <c r="D32" s="24"/>
      <c r="E32" s="24"/>
      <c r="F32" s="24"/>
      <c r="G32" s="24"/>
      <c r="H32" s="24"/>
      <c r="I32" s="24"/>
      <c r="J32" s="24"/>
      <c r="K32" s="95"/>
      <c r="L32" s="95"/>
      <c r="M32" s="95"/>
      <c r="N32" s="95"/>
      <c r="O32" s="95"/>
      <c r="P32" s="24"/>
      <c r="Q32" s="24"/>
      <c r="R32" s="24"/>
      <c r="S32" s="24"/>
      <c r="T32" s="24"/>
      <c r="U32" s="24"/>
      <c r="V32" s="24"/>
      <c r="W32" s="24"/>
      <c r="X32" s="24"/>
      <c r="Y32" s="24"/>
      <c r="Z32" s="24"/>
      <c r="AA32" s="24"/>
      <c r="AB32" s="24"/>
      <c r="AC32" s="24"/>
      <c r="AD32" s="24"/>
      <c r="AE32" s="24"/>
      <c r="AF32" s="24"/>
      <c r="AG32" s="24"/>
      <c r="AH32" s="123"/>
    </row>
    <row r="33" spans="1:34" s="124" customFormat="1" ht="15" customHeight="1">
      <c r="A33" s="123"/>
      <c r="B33" s="123"/>
      <c r="C33" s="27" t="s">
        <v>7</v>
      </c>
      <c r="D33" s="28"/>
      <c r="E33" s="28"/>
      <c r="F33" s="158" t="str">
        <f>F9</f>
        <v>August</v>
      </c>
      <c r="G33" s="158"/>
      <c r="H33" s="158"/>
      <c r="I33" s="158"/>
      <c r="J33" s="158"/>
      <c r="K33" s="158"/>
      <c r="L33" s="158"/>
      <c r="M33" s="158"/>
      <c r="N33" s="158"/>
      <c r="O33" s="158"/>
      <c r="P33" s="159"/>
      <c r="Q33" s="161" t="s">
        <v>137</v>
      </c>
      <c r="R33" s="162"/>
      <c r="S33" s="162"/>
      <c r="T33" s="162"/>
      <c r="U33" s="162"/>
      <c r="V33" s="162"/>
      <c r="W33" s="162"/>
      <c r="X33" s="162"/>
      <c r="Y33" s="162"/>
      <c r="Z33" s="162"/>
      <c r="AA33" s="163"/>
      <c r="AB33" s="161" t="s">
        <v>58</v>
      </c>
      <c r="AC33" s="162"/>
      <c r="AD33" s="162"/>
      <c r="AE33" s="162"/>
      <c r="AF33" s="164"/>
    </row>
    <row r="34" spans="1:34" s="124" customFormat="1" ht="11.25">
      <c r="A34" s="123"/>
      <c r="B34" s="123"/>
      <c r="C34" s="29"/>
      <c r="D34" s="30"/>
      <c r="E34" s="30"/>
      <c r="F34" s="143"/>
      <c r="G34" s="144"/>
      <c r="H34" s="144"/>
      <c r="I34" s="144"/>
      <c r="J34" s="144"/>
      <c r="K34" s="144"/>
      <c r="L34" s="144"/>
      <c r="M34" s="144"/>
      <c r="N34" s="144"/>
      <c r="O34" s="144"/>
      <c r="P34" s="145"/>
      <c r="Q34" s="144"/>
      <c r="R34" s="144"/>
      <c r="S34" s="144"/>
      <c r="T34" s="144"/>
      <c r="U34" s="144"/>
      <c r="V34" s="144"/>
      <c r="W34" s="144"/>
      <c r="X34" s="144"/>
      <c r="Y34" s="144"/>
      <c r="Z34" s="144"/>
      <c r="AA34" s="145"/>
      <c r="AB34" s="152"/>
      <c r="AC34" s="153"/>
      <c r="AD34" s="153"/>
      <c r="AE34" s="153"/>
      <c r="AF34" s="154"/>
    </row>
    <row r="35" spans="1:34" s="124" customFormat="1" ht="22.5">
      <c r="A35" s="123"/>
      <c r="B35" s="123"/>
      <c r="C35" s="59" t="s">
        <v>29</v>
      </c>
      <c r="D35" s="50"/>
      <c r="E35" s="51"/>
      <c r="F35" s="55">
        <v>2024</v>
      </c>
      <c r="G35" s="52">
        <v>2023</v>
      </c>
      <c r="H35" s="52">
        <v>2022</v>
      </c>
      <c r="I35" s="52">
        <v>2021</v>
      </c>
      <c r="J35" s="52">
        <v>2020</v>
      </c>
      <c r="K35" s="52">
        <v>2019</v>
      </c>
      <c r="L35" s="53" t="s">
        <v>116</v>
      </c>
      <c r="M35" s="53" t="s">
        <v>117</v>
      </c>
      <c r="N35" s="53" t="s">
        <v>118</v>
      </c>
      <c r="O35" s="53" t="s">
        <v>119</v>
      </c>
      <c r="P35" s="57" t="s">
        <v>101</v>
      </c>
      <c r="Q35" s="53" t="s">
        <v>130</v>
      </c>
      <c r="R35" s="53" t="s">
        <v>115</v>
      </c>
      <c r="S35" s="53" t="s">
        <v>53</v>
      </c>
      <c r="T35" s="52" t="s">
        <v>54</v>
      </c>
      <c r="U35" s="52" t="s">
        <v>59</v>
      </c>
      <c r="V35" s="52" t="s">
        <v>64</v>
      </c>
      <c r="W35" s="53" t="s">
        <v>131</v>
      </c>
      <c r="X35" s="53" t="s">
        <v>116</v>
      </c>
      <c r="Y35" s="53" t="s">
        <v>117</v>
      </c>
      <c r="Z35" s="53" t="s">
        <v>118</v>
      </c>
      <c r="AA35" s="57" t="s">
        <v>119</v>
      </c>
      <c r="AB35" s="146"/>
      <c r="AC35" s="53" t="s">
        <v>53</v>
      </c>
      <c r="AD35" s="53" t="s">
        <v>54</v>
      </c>
      <c r="AE35" s="53" t="s">
        <v>65</v>
      </c>
      <c r="AF35" s="57" t="s">
        <v>73</v>
      </c>
      <c r="AH35" s="123"/>
    </row>
    <row r="36" spans="1:34" s="124" customFormat="1" ht="11.25">
      <c r="A36" s="123"/>
      <c r="B36" s="123"/>
      <c r="C36" s="31" t="s">
        <v>108</v>
      </c>
      <c r="D36" s="26"/>
      <c r="E36" s="32"/>
      <c r="F36" s="26"/>
      <c r="G36" s="26"/>
      <c r="H36" s="26"/>
      <c r="I36" s="26"/>
      <c r="J36" s="26"/>
      <c r="K36" s="26"/>
      <c r="L36" s="26"/>
      <c r="M36" s="26"/>
      <c r="N36" s="26"/>
      <c r="O36" s="26"/>
      <c r="P36" s="32"/>
      <c r="Q36" s="26"/>
      <c r="R36" s="26"/>
      <c r="S36" s="26"/>
      <c r="T36" s="26"/>
      <c r="U36" s="26"/>
      <c r="V36" s="123"/>
      <c r="W36" s="26"/>
      <c r="X36" s="26"/>
      <c r="Y36" s="123"/>
      <c r="Z36" s="26"/>
      <c r="AA36" s="32"/>
      <c r="AB36" s="147"/>
      <c r="AC36" s="26"/>
      <c r="AD36" s="26"/>
      <c r="AE36" s="88"/>
      <c r="AF36" s="85"/>
      <c r="AH36" s="123"/>
    </row>
    <row r="37" spans="1:34" s="124" customFormat="1" ht="11.25">
      <c r="A37" s="123"/>
      <c r="B37" s="123"/>
      <c r="C37" s="33"/>
      <c r="D37" s="26" t="s">
        <v>5</v>
      </c>
      <c r="E37" s="32"/>
      <c r="F37" s="74">
        <f t="shared" ref="F37:F38" si="3">F13</f>
        <v>142</v>
      </c>
      <c r="G37" s="74">
        <v>99</v>
      </c>
      <c r="H37" s="74">
        <v>81</v>
      </c>
      <c r="I37" s="74">
        <v>51</v>
      </c>
      <c r="J37" s="74">
        <v>0</v>
      </c>
      <c r="K37" s="74">
        <v>97</v>
      </c>
      <c r="L37" s="64">
        <f>IFERROR(F37/G37-1,"n/a")</f>
        <v>0.43434343434343425</v>
      </c>
      <c r="M37" s="64">
        <f>IFERROR(F37/H37-1,"n/a")</f>
        <v>0.75308641975308643</v>
      </c>
      <c r="N37" s="64">
        <f>IFERROR(F37/I37-1,"n/a")</f>
        <v>1.784313725490196</v>
      </c>
      <c r="O37" s="64" t="str">
        <f>IFERROR(F37/J37-1,"n/a")</f>
        <v>n/a</v>
      </c>
      <c r="P37" s="60">
        <f>IFERROR(F37/K37-1,"n/a")</f>
        <v>0.46391752577319578</v>
      </c>
      <c r="Q37" s="74">
        <f>'July-24'!Q37+F37</f>
        <v>814</v>
      </c>
      <c r="R37" s="74">
        <f>'July-24'!R37+G37</f>
        <v>527</v>
      </c>
      <c r="S37" s="74">
        <f>'July-24'!S37+H37</f>
        <v>461</v>
      </c>
      <c r="T37" s="74">
        <f>'July-24'!T37+I37</f>
        <v>79</v>
      </c>
      <c r="U37" s="74">
        <f>'July-24'!U37+J37</f>
        <v>42</v>
      </c>
      <c r="V37" s="74">
        <f>'July-24'!V37+K37</f>
        <v>507</v>
      </c>
      <c r="W37" s="120">
        <f>IFERROR(Q37/R37-1,"n/a")</f>
        <v>0.54459203036053139</v>
      </c>
      <c r="X37" s="120">
        <f>IFERROR(R37/S37-1,"n/a")</f>
        <v>0.14316702819956606</v>
      </c>
      <c r="Y37" s="120">
        <f>IFERROR(R37/T37-1,"n/a")</f>
        <v>5.6708860759493671</v>
      </c>
      <c r="Z37" s="120">
        <f>IFERROR(R37/U37-1,"n/a")</f>
        <v>11.547619047619047</v>
      </c>
      <c r="AA37" s="121">
        <f>IFERROR(R37/V37-1,"n/a")</f>
        <v>3.9447731755424043E-2</v>
      </c>
      <c r="AB37" s="148"/>
      <c r="AC37" s="89">
        <v>1486</v>
      </c>
      <c r="AD37" s="89">
        <v>1052</v>
      </c>
      <c r="AE37" s="70">
        <v>551</v>
      </c>
      <c r="AF37" s="78">
        <v>1584</v>
      </c>
      <c r="AH37" s="123"/>
    </row>
    <row r="38" spans="1:34" s="124" customFormat="1" ht="11.25">
      <c r="A38" s="123"/>
      <c r="B38" s="123"/>
      <c r="C38" s="33"/>
      <c r="D38" s="26" t="s">
        <v>11</v>
      </c>
      <c r="E38" s="32"/>
      <c r="F38" s="74">
        <f t="shared" si="3"/>
        <v>563849</v>
      </c>
      <c r="G38" s="74">
        <v>375428</v>
      </c>
      <c r="H38" s="74">
        <v>278520</v>
      </c>
      <c r="I38" s="74">
        <v>66591</v>
      </c>
      <c r="J38" s="74">
        <v>0</v>
      </c>
      <c r="K38" s="74">
        <v>325246</v>
      </c>
      <c r="L38" s="64">
        <f>IFERROR(F38/G38-1,"n/a")</f>
        <v>0.50188318399266962</v>
      </c>
      <c r="M38" s="64">
        <f>IFERROR(F38/H38-1,"n/a")</f>
        <v>1.0244470774091625</v>
      </c>
      <c r="N38" s="64">
        <f>IFERROR(F38/I38-1,"n/a")</f>
        <v>7.4673454370710761</v>
      </c>
      <c r="O38" s="64" t="str">
        <f>IFERROR(F38/J38-1,"n/a")</f>
        <v>n/a</v>
      </c>
      <c r="P38" s="60">
        <f>IFERROR(F38/K38-1,"n/a")</f>
        <v>0.73360779225570805</v>
      </c>
      <c r="Q38" s="74">
        <f>'July-24'!Q38+F38</f>
        <v>3004204</v>
      </c>
      <c r="R38" s="74">
        <f>'July-24'!R38+G38</f>
        <v>1934710</v>
      </c>
      <c r="S38" s="74">
        <f>'July-24'!S38+H38</f>
        <v>1355073</v>
      </c>
      <c r="T38" s="74">
        <f>'July-24'!T38+I38</f>
        <v>97505</v>
      </c>
      <c r="U38" s="74">
        <f>'July-24'!U38+J38</f>
        <v>0</v>
      </c>
      <c r="V38" s="74">
        <f>'July-24'!V38+K38</f>
        <v>1657861</v>
      </c>
      <c r="W38" s="120">
        <f>IFERROR(Q38/R38-1,"n/a")</f>
        <v>0.55279292503786093</v>
      </c>
      <c r="X38" s="120">
        <f>IFERROR(R38/S38-1,"n/a")</f>
        <v>0.42775333875001564</v>
      </c>
      <c r="Y38" s="120">
        <f>IFERROR(R38/T38-1,"n/a")</f>
        <v>18.842161940413312</v>
      </c>
      <c r="Z38" s="120" t="str">
        <f>IFERROR(R38/U38-1,"n/a")</f>
        <v>n/a</v>
      </c>
      <c r="AA38" s="121">
        <f>IFERROR(R38/V38-1,"n/a")</f>
        <v>0.16699168386251917</v>
      </c>
      <c r="AB38" s="148"/>
      <c r="AC38" s="89">
        <v>4370939</v>
      </c>
      <c r="AD38" s="89">
        <v>1527970</v>
      </c>
      <c r="AE38" s="84">
        <v>1092884</v>
      </c>
      <c r="AF38" s="78">
        <v>4234259</v>
      </c>
      <c r="AH38" s="123"/>
    </row>
    <row r="39" spans="1:34" s="124" customFormat="1" ht="11.25">
      <c r="A39" s="123"/>
      <c r="B39" s="123"/>
      <c r="C39" s="31" t="s">
        <v>135</v>
      </c>
      <c r="D39" s="26"/>
      <c r="E39" s="32"/>
      <c r="F39" s="26"/>
      <c r="G39" s="26"/>
      <c r="H39" s="26"/>
      <c r="I39" s="26"/>
      <c r="J39" s="26"/>
      <c r="K39" s="26"/>
      <c r="L39" s="64"/>
      <c r="M39" s="64"/>
      <c r="N39" s="64"/>
      <c r="O39" s="64"/>
      <c r="P39" s="61"/>
      <c r="Q39" s="26"/>
      <c r="R39" s="26"/>
      <c r="S39" s="26"/>
      <c r="T39" s="26"/>
      <c r="U39" s="26"/>
      <c r="V39" s="26"/>
      <c r="W39" s="65"/>
      <c r="X39" s="65"/>
      <c r="Y39" s="65"/>
      <c r="Z39" s="65"/>
      <c r="AA39" s="61"/>
      <c r="AB39" s="149"/>
      <c r="AC39" s="90"/>
      <c r="AD39" s="90"/>
      <c r="AE39" s="44"/>
      <c r="AF39" s="79"/>
      <c r="AH39" s="123"/>
    </row>
    <row r="40" spans="1:34" s="124" customFormat="1" ht="11.25">
      <c r="A40" s="123"/>
      <c r="B40" s="123"/>
      <c r="C40" s="33"/>
      <c r="D40" s="26" t="s">
        <v>5</v>
      </c>
      <c r="E40" s="32"/>
      <c r="F40" s="74">
        <f t="shared" ref="F40:F41" si="4">F16</f>
        <v>103</v>
      </c>
      <c r="G40" s="74">
        <v>71</v>
      </c>
      <c r="H40" s="74">
        <v>63</v>
      </c>
      <c r="I40" s="74">
        <v>29</v>
      </c>
      <c r="J40" s="74">
        <v>2</v>
      </c>
      <c r="K40" s="74">
        <v>58</v>
      </c>
      <c r="L40" s="64">
        <f>IFERROR(F40/G40-1,"n/a")</f>
        <v>0.45070422535211274</v>
      </c>
      <c r="M40" s="64">
        <f>IFERROR(F40/H40-1,"n/a")</f>
        <v>0.63492063492063489</v>
      </c>
      <c r="N40" s="64">
        <f>IFERROR(F40/I40-1,"n/a")</f>
        <v>2.5517241379310347</v>
      </c>
      <c r="O40" s="64">
        <f>IFERROR(F40/J40-1,"n/a")</f>
        <v>50.5</v>
      </c>
      <c r="P40" s="60">
        <f>IFERROR(F40/K40-1,"n/a")</f>
        <v>0.77586206896551735</v>
      </c>
      <c r="Q40" s="74">
        <f>'July-24'!Q40+F40</f>
        <v>457</v>
      </c>
      <c r="R40" s="74">
        <f>'July-24'!R40+G40</f>
        <v>331</v>
      </c>
      <c r="S40" s="74">
        <f>'July-24'!S40+H40</f>
        <v>341</v>
      </c>
      <c r="T40" s="74">
        <f>'July-24'!T40+I40</f>
        <v>90</v>
      </c>
      <c r="U40" s="74">
        <f>'July-24'!U40+J40</f>
        <v>2</v>
      </c>
      <c r="V40" s="74">
        <f>'July-24'!V40+K40</f>
        <v>310</v>
      </c>
      <c r="W40" s="120">
        <f>IFERROR(Q40/R40-1,"n/a")</f>
        <v>0.38066465256797577</v>
      </c>
      <c r="X40" s="120">
        <f>IFERROR(R40/S40-1,"n/a")</f>
        <v>-2.9325513196480912E-2</v>
      </c>
      <c r="Y40" s="120">
        <f>IFERROR(R40/T40-1,"n/a")</f>
        <v>2.6777777777777776</v>
      </c>
      <c r="Z40" s="120">
        <f>IFERROR(R40/U40-1,"n/a")</f>
        <v>164.5</v>
      </c>
      <c r="AA40" s="121">
        <f>IFERROR(R40/V40-1,"n/a")</f>
        <v>6.7741935483870863E-2</v>
      </c>
      <c r="AB40" s="148"/>
      <c r="AC40" s="89">
        <v>563</v>
      </c>
      <c r="AD40" s="89">
        <v>226</v>
      </c>
      <c r="AE40" s="70">
        <v>66</v>
      </c>
      <c r="AF40" s="78">
        <v>573</v>
      </c>
      <c r="AH40" s="123"/>
    </row>
    <row r="41" spans="1:34" s="124" customFormat="1" ht="11.25">
      <c r="A41" s="123"/>
      <c r="B41" s="123"/>
      <c r="C41" s="33"/>
      <c r="D41" s="26" t="s">
        <v>11</v>
      </c>
      <c r="E41" s="32"/>
      <c r="F41" s="74">
        <f t="shared" si="4"/>
        <v>316065</v>
      </c>
      <c r="G41" s="74">
        <v>262517</v>
      </c>
      <c r="H41" s="74">
        <v>183659</v>
      </c>
      <c r="I41" s="74">
        <v>48391</v>
      </c>
      <c r="J41" s="74">
        <v>2541</v>
      </c>
      <c r="K41" s="74">
        <v>180130</v>
      </c>
      <c r="L41" s="64">
        <f>IFERROR(F41/G41-1,"n/a")</f>
        <v>0.20397917087274342</v>
      </c>
      <c r="M41" s="64">
        <f>IFERROR(F41/H41-1,"n/a")</f>
        <v>0.72093390468204666</v>
      </c>
      <c r="N41" s="64">
        <f>IFERROR(F41/I41-1,"n/a")</f>
        <v>5.5314831270277534</v>
      </c>
      <c r="O41" s="64">
        <f>IFERROR(F41/J41-1,"n/a")</f>
        <v>123.38606847697757</v>
      </c>
      <c r="P41" s="60">
        <f>IFERROR(F41/K41-1,"n/a")</f>
        <v>0.75464941986343193</v>
      </c>
      <c r="Q41" s="74">
        <f>'July-24'!Q41+F41</f>
        <v>1246347</v>
      </c>
      <c r="R41" s="74">
        <f>'July-24'!R41+G41</f>
        <v>1027597</v>
      </c>
      <c r="S41" s="74">
        <f>'July-24'!S41+H41</f>
        <v>585343</v>
      </c>
      <c r="T41" s="74">
        <f>'July-24'!T41+I41</f>
        <v>140917</v>
      </c>
      <c r="U41" s="74">
        <f>'July-24'!U41+J41</f>
        <v>2541</v>
      </c>
      <c r="V41" s="74">
        <f>'July-24'!V41+K41</f>
        <v>832380</v>
      </c>
      <c r="W41" s="120">
        <f>IFERROR(Q41/R41-1,"n/a")</f>
        <v>0.21287528087372776</v>
      </c>
      <c r="X41" s="120">
        <f>IFERROR(R41/S41-1,"n/a")</f>
        <v>0.75554674780427877</v>
      </c>
      <c r="Y41" s="120">
        <f>IFERROR(R41/T41-1,"n/a")</f>
        <v>6.2922145660211326</v>
      </c>
      <c r="Z41" s="120">
        <f>IFERROR(R41/U41-1,"n/a")</f>
        <v>403.40653286107829</v>
      </c>
      <c r="AA41" s="121">
        <f>IFERROR(R41/V41-1,"n/a")</f>
        <v>0.23452870083375377</v>
      </c>
      <c r="AB41" s="148"/>
      <c r="AC41" s="89">
        <v>1012510</v>
      </c>
      <c r="AD41" s="89">
        <v>327926</v>
      </c>
      <c r="AE41" s="84">
        <v>80778</v>
      </c>
      <c r="AF41" s="78">
        <v>1361671</v>
      </c>
      <c r="AH41" s="123"/>
    </row>
    <row r="42" spans="1:34" s="124" customFormat="1" ht="11.25">
      <c r="A42" s="123"/>
      <c r="B42" s="123"/>
      <c r="C42" s="31" t="s">
        <v>110</v>
      </c>
      <c r="D42" s="26"/>
      <c r="E42" s="32"/>
      <c r="F42" s="87"/>
      <c r="G42" s="87"/>
      <c r="H42" s="87"/>
      <c r="I42" s="87"/>
      <c r="J42" s="87"/>
      <c r="K42" s="72"/>
      <c r="L42" s="64"/>
      <c r="M42" s="64"/>
      <c r="N42" s="64"/>
      <c r="O42" s="64"/>
      <c r="P42" s="60"/>
      <c r="Q42" s="87"/>
      <c r="R42" s="87"/>
      <c r="S42" s="87"/>
      <c r="T42" s="87"/>
      <c r="U42" s="87"/>
      <c r="V42" s="72"/>
      <c r="W42" s="64"/>
      <c r="X42" s="64"/>
      <c r="Y42" s="64"/>
      <c r="Z42" s="64"/>
      <c r="AA42" s="60"/>
      <c r="AB42" s="148"/>
      <c r="AC42" s="90"/>
      <c r="AD42" s="90"/>
      <c r="AE42" s="44"/>
      <c r="AF42" s="79"/>
      <c r="AH42" s="123"/>
    </row>
    <row r="43" spans="1:34" s="124" customFormat="1" ht="11.25">
      <c r="A43" s="123"/>
      <c r="B43" s="123"/>
      <c r="C43" s="33"/>
      <c r="D43" s="26" t="s">
        <v>5</v>
      </c>
      <c r="E43" s="32"/>
      <c r="F43" s="74">
        <f t="shared" ref="F43:F44" si="5">F19</f>
        <v>102</v>
      </c>
      <c r="G43" s="74">
        <v>95</v>
      </c>
      <c r="H43" s="74">
        <v>104</v>
      </c>
      <c r="I43" s="74">
        <v>3</v>
      </c>
      <c r="J43" s="74">
        <v>2</v>
      </c>
      <c r="K43" s="74">
        <v>43</v>
      </c>
      <c r="L43" s="64">
        <f>IFERROR(F43/G43-1,"n/a")</f>
        <v>7.3684210526315796E-2</v>
      </c>
      <c r="M43" s="64">
        <f>IFERROR(F43/H43-1,"n/a")</f>
        <v>-1.9230769230769273E-2</v>
      </c>
      <c r="N43" s="64">
        <f>IFERROR(F43/I43-1,"n/a")</f>
        <v>33</v>
      </c>
      <c r="O43" s="64">
        <f>IFERROR(F43/J43-1,"n/a")</f>
        <v>50</v>
      </c>
      <c r="P43" s="60">
        <f>IFERROR(F43/K43-1,"n/a")</f>
        <v>1.3720930232558142</v>
      </c>
      <c r="Q43" s="74">
        <f>'July-24'!Q43+F43</f>
        <v>440</v>
      </c>
      <c r="R43" s="74">
        <f>'July-24'!R43+G43</f>
        <v>421</v>
      </c>
      <c r="S43" s="74">
        <f>'July-24'!S43+H43</f>
        <v>409</v>
      </c>
      <c r="T43" s="74">
        <f>'July-24'!T43+I43</f>
        <v>9</v>
      </c>
      <c r="U43" s="74">
        <f>'July-24'!U43+J43</f>
        <v>4</v>
      </c>
      <c r="V43" s="74">
        <f>'July-24'!V43+K43</f>
        <v>193</v>
      </c>
      <c r="W43" s="120">
        <f>IFERROR(Q43/R43-1,"n/a")</f>
        <v>4.5130641330166199E-2</v>
      </c>
      <c r="X43" s="120">
        <f>IFERROR(R43/S43-1,"n/a")</f>
        <v>2.9339853300733409E-2</v>
      </c>
      <c r="Y43" s="120">
        <f>IFERROR(R43/T43-1,"n/a")</f>
        <v>45.777777777777779</v>
      </c>
      <c r="Z43" s="120">
        <f>IFERROR(R43/U43-1,"n/a")</f>
        <v>104.25</v>
      </c>
      <c r="AA43" s="121">
        <f>IFERROR(R43/V43-1,"n/a")</f>
        <v>1.1813471502590676</v>
      </c>
      <c r="AB43" s="148"/>
      <c r="AC43" s="89">
        <v>669</v>
      </c>
      <c r="AD43" s="89">
        <v>59</v>
      </c>
      <c r="AE43" s="70">
        <v>9</v>
      </c>
      <c r="AF43" s="78">
        <v>287</v>
      </c>
      <c r="AH43" s="123"/>
    </row>
    <row r="44" spans="1:34" s="124" customFormat="1" ht="11.25">
      <c r="A44" s="123"/>
      <c r="B44" s="123"/>
      <c r="C44" s="33"/>
      <c r="D44" s="26" t="s">
        <v>11</v>
      </c>
      <c r="E44" s="32"/>
      <c r="F44" s="74">
        <f t="shared" si="5"/>
        <v>270706</v>
      </c>
      <c r="G44" s="74">
        <v>234330</v>
      </c>
      <c r="H44" s="74">
        <v>185619</v>
      </c>
      <c r="I44" s="74">
        <v>850</v>
      </c>
      <c r="J44" s="74">
        <v>0</v>
      </c>
      <c r="K44" s="74">
        <v>126823</v>
      </c>
      <c r="L44" s="64">
        <f>IFERROR(F44/G44-1,"n/a")</f>
        <v>0.15523407160841551</v>
      </c>
      <c r="M44" s="64">
        <f>IFERROR(F44/H44-1,"n/a")</f>
        <v>0.45839596162030816</v>
      </c>
      <c r="N44" s="64">
        <f>IFERROR(F44/I44-1,"n/a")</f>
        <v>317.47764705882355</v>
      </c>
      <c r="O44" s="64" t="str">
        <f>IFERROR(F44/J44-1,"n/a")</f>
        <v>n/a</v>
      </c>
      <c r="P44" s="60">
        <f>IFERROR(F44/K44-1,"n/a")</f>
        <v>1.1345181867642307</v>
      </c>
      <c r="Q44" s="74">
        <f>'July-24'!Q44+F44</f>
        <v>968948.4</v>
      </c>
      <c r="R44" s="74">
        <f>'July-24'!R44+G44</f>
        <v>811145</v>
      </c>
      <c r="S44" s="74">
        <f>'July-24'!S44+H44</f>
        <v>563558</v>
      </c>
      <c r="T44" s="74">
        <f>'July-24'!T44+I44</f>
        <v>1318</v>
      </c>
      <c r="U44" s="74">
        <f>'July-24'!U44+J44</f>
        <v>8294</v>
      </c>
      <c r="V44" s="74">
        <f>'July-24'!V44+K44</f>
        <v>404725</v>
      </c>
      <c r="W44" s="120">
        <f>IFERROR(Q44/R44-1,"n/a")</f>
        <v>0.19454400877771549</v>
      </c>
      <c r="X44" s="120">
        <f>IFERROR(R44/S44-1,"n/a")</f>
        <v>0.43932833887550182</v>
      </c>
      <c r="Y44" s="120">
        <f>IFERROR(R44/T44-1,"n/a")</f>
        <v>614.43626707132023</v>
      </c>
      <c r="Z44" s="120">
        <f>IFERROR(R44/U44-1,"n/a")</f>
        <v>96.799011333494093</v>
      </c>
      <c r="AA44" s="121">
        <f>IFERROR(R44/V44-1,"n/a")</f>
        <v>1.0041880289085183</v>
      </c>
      <c r="AB44" s="148"/>
      <c r="AC44" s="82">
        <v>905256</v>
      </c>
      <c r="AD44" s="82">
        <v>20626</v>
      </c>
      <c r="AE44" s="84">
        <v>10047</v>
      </c>
      <c r="AF44" s="78">
        <v>581199</v>
      </c>
      <c r="AH44" s="123"/>
    </row>
    <row r="45" spans="1:34" s="124" customFormat="1" ht="11.25">
      <c r="A45" s="123"/>
      <c r="B45" s="123"/>
      <c r="C45" s="31" t="s">
        <v>111</v>
      </c>
      <c r="D45" s="26"/>
      <c r="E45" s="34"/>
      <c r="F45" s="72"/>
      <c r="G45" s="72"/>
      <c r="H45" s="72"/>
      <c r="I45" s="72"/>
      <c r="J45" s="72"/>
      <c r="K45" s="72"/>
      <c r="L45" s="64"/>
      <c r="M45" s="64"/>
      <c r="N45" s="64"/>
      <c r="O45" s="64"/>
      <c r="P45" s="60"/>
      <c r="Q45" s="72"/>
      <c r="R45" s="72"/>
      <c r="S45" s="72"/>
      <c r="T45" s="72"/>
      <c r="U45" s="72"/>
      <c r="V45" s="72"/>
      <c r="W45" s="64"/>
      <c r="X45" s="64"/>
      <c r="Y45" s="64"/>
      <c r="Z45" s="64"/>
      <c r="AA45" s="60"/>
      <c r="AB45" s="148"/>
      <c r="AC45" s="90"/>
      <c r="AD45" s="90"/>
      <c r="AE45" s="44"/>
      <c r="AF45" s="79"/>
      <c r="AH45" s="123"/>
    </row>
    <row r="46" spans="1:34" s="124" customFormat="1" ht="11.25">
      <c r="A46" s="123"/>
      <c r="B46" s="123"/>
      <c r="C46" s="33"/>
      <c r="D46" s="26" t="s">
        <v>5</v>
      </c>
      <c r="E46" s="34"/>
      <c r="F46" s="74">
        <f t="shared" ref="F46:F47" si="6">F22</f>
        <v>92</v>
      </c>
      <c r="G46" s="74">
        <v>80</v>
      </c>
      <c r="H46" s="74">
        <v>60</v>
      </c>
      <c r="I46" s="74">
        <v>24</v>
      </c>
      <c r="J46" s="74">
        <v>0</v>
      </c>
      <c r="K46" s="74">
        <v>69</v>
      </c>
      <c r="L46" s="64">
        <f>IFERROR(F46/G46-1,"n/a")</f>
        <v>0.14999999999999991</v>
      </c>
      <c r="M46" s="64">
        <f>IFERROR(F46/H46-1,"n/a")</f>
        <v>0.53333333333333344</v>
      </c>
      <c r="N46" s="64">
        <f>IFERROR(F46/I46-1,"n/a")</f>
        <v>2.8333333333333335</v>
      </c>
      <c r="O46" s="64" t="str">
        <f>IFERROR(F46/J46-1,"n/a")</f>
        <v>n/a</v>
      </c>
      <c r="P46" s="60">
        <f>IFERROR(F46/K46-1,"n/a")</f>
        <v>0.33333333333333326</v>
      </c>
      <c r="Q46" s="74">
        <f>'July-24'!Q46+F46</f>
        <v>607</v>
      </c>
      <c r="R46" s="74">
        <f>'July-24'!R46+G46</f>
        <v>570</v>
      </c>
      <c r="S46" s="74">
        <f>'July-24'!S46+H46</f>
        <v>410</v>
      </c>
      <c r="T46" s="74">
        <f>'July-24'!T46+I46</f>
        <v>38</v>
      </c>
      <c r="U46" s="74">
        <f>'July-24'!U46+J46</f>
        <v>0</v>
      </c>
      <c r="V46" s="74">
        <f>'July-24'!V46+K46</f>
        <v>410</v>
      </c>
      <c r="W46" s="120">
        <f>IFERROR(Q46/R46-1,"n/a")</f>
        <v>6.4912280701754366E-2</v>
      </c>
      <c r="X46" s="120">
        <f>IFERROR(R46/S46-1,"n/a")</f>
        <v>0.39024390243902429</v>
      </c>
      <c r="Y46" s="120">
        <f>IFERROR(R46/T46-1,"n/a")</f>
        <v>14</v>
      </c>
      <c r="Z46" s="120" t="str">
        <f>IFERROR(R46/U46-1,"n/a")</f>
        <v>n/a</v>
      </c>
      <c r="AA46" s="121">
        <f>IFERROR(R46/V46-1,"n/a")</f>
        <v>0.39024390243902429</v>
      </c>
      <c r="AB46" s="148"/>
      <c r="AC46" s="89">
        <v>1129</v>
      </c>
      <c r="AD46" s="89">
        <v>336</v>
      </c>
      <c r="AE46" s="84">
        <v>43</v>
      </c>
      <c r="AF46" s="78">
        <v>781</v>
      </c>
      <c r="AH46" s="123"/>
    </row>
    <row r="47" spans="1:34" s="124" customFormat="1" ht="11.25">
      <c r="A47" s="123"/>
      <c r="B47" s="123"/>
      <c r="C47" s="33"/>
      <c r="D47" s="26" t="s">
        <v>11</v>
      </c>
      <c r="E47" s="32"/>
      <c r="F47" s="74">
        <f t="shared" si="6"/>
        <v>415300</v>
      </c>
      <c r="G47" s="74">
        <v>371804</v>
      </c>
      <c r="H47" s="74">
        <v>239102</v>
      </c>
      <c r="I47" s="74">
        <v>49688</v>
      </c>
      <c r="J47" s="74">
        <v>0</v>
      </c>
      <c r="K47" s="74">
        <v>291759</v>
      </c>
      <c r="L47" s="64">
        <f>IFERROR(F47/G47-1,"n/a")</f>
        <v>0.11698636916224681</v>
      </c>
      <c r="M47" s="64">
        <f>IFERROR(F47/H47-1,"n/a")</f>
        <v>0.73691562596716054</v>
      </c>
      <c r="N47" s="64">
        <f>IFERROR(F47/I47-1,"n/a")</f>
        <v>7.3581548864917075</v>
      </c>
      <c r="O47" s="64" t="str">
        <f>IFERROR(F47/J47-1,"n/a")</f>
        <v>n/a</v>
      </c>
      <c r="P47" s="60">
        <f>IFERROR(F47/K47-1,"n/a")</f>
        <v>0.42343509540408353</v>
      </c>
      <c r="Q47" s="74">
        <f>'July-24'!Q47+F47</f>
        <v>2048619</v>
      </c>
      <c r="R47" s="74">
        <f>'July-24'!R47+G47</f>
        <v>1842843</v>
      </c>
      <c r="S47" s="74">
        <f>'July-24'!S47+H47</f>
        <v>996260</v>
      </c>
      <c r="T47" s="74">
        <f>'July-24'!T47+I47</f>
        <v>78164</v>
      </c>
      <c r="U47" s="74">
        <f>'July-24'!U47+J47</f>
        <v>0</v>
      </c>
      <c r="V47" s="74">
        <f>'July-24'!V47+K47</f>
        <v>1341508</v>
      </c>
      <c r="W47" s="120">
        <f>IFERROR(Q47/R47-1,"n/a")</f>
        <v>0.11166225229170368</v>
      </c>
      <c r="X47" s="120">
        <f>IFERROR(R47/S47-1,"n/a")</f>
        <v>0.84976110653845383</v>
      </c>
      <c r="Y47" s="120">
        <f>IFERROR(R47/T47-1,"n/a")</f>
        <v>22.576620950821351</v>
      </c>
      <c r="Z47" s="120" t="str">
        <f>IFERROR(R47/U47-1,"n/a")</f>
        <v>n/a</v>
      </c>
      <c r="AA47" s="121">
        <f>IFERROR(R47/V47-1,"n/a")</f>
        <v>0.37371003378287715</v>
      </c>
      <c r="AB47" s="148"/>
      <c r="AC47" s="82">
        <v>2932981</v>
      </c>
      <c r="AD47" s="82">
        <v>533563</v>
      </c>
      <c r="AE47" s="84">
        <v>140552</v>
      </c>
      <c r="AF47" s="78">
        <v>2441594</v>
      </c>
      <c r="AH47" s="123"/>
    </row>
    <row r="48" spans="1:34" s="124" customFormat="1" ht="11.25">
      <c r="C48" s="31" t="s">
        <v>112</v>
      </c>
      <c r="D48" s="26"/>
      <c r="E48" s="32"/>
      <c r="F48" s="72"/>
      <c r="G48" s="72"/>
      <c r="H48" s="72"/>
      <c r="I48" s="72"/>
      <c r="J48" s="72"/>
      <c r="K48" s="72"/>
      <c r="L48" s="64"/>
      <c r="M48" s="64"/>
      <c r="N48" s="64"/>
      <c r="O48" s="64"/>
      <c r="P48" s="60"/>
      <c r="Q48" s="72"/>
      <c r="R48" s="72"/>
      <c r="S48" s="72"/>
      <c r="T48" s="72"/>
      <c r="U48" s="72"/>
      <c r="V48" s="72"/>
      <c r="W48" s="64"/>
      <c r="X48" s="64"/>
      <c r="Y48" s="64"/>
      <c r="Z48" s="64"/>
      <c r="AA48" s="60"/>
      <c r="AB48" s="148"/>
      <c r="AC48" s="90"/>
      <c r="AD48" s="90"/>
      <c r="AE48" s="44"/>
      <c r="AF48" s="79"/>
      <c r="AH48" s="123"/>
    </row>
    <row r="49" spans="3:34" s="124" customFormat="1" ht="11.25">
      <c r="C49" s="33"/>
      <c r="D49" s="26" t="s">
        <v>5</v>
      </c>
      <c r="E49" s="32"/>
      <c r="F49" s="74">
        <f t="shared" ref="F49:F50" si="7">F25</f>
        <v>1</v>
      </c>
      <c r="G49" s="74">
        <v>4</v>
      </c>
      <c r="H49" s="74">
        <v>2</v>
      </c>
      <c r="I49" s="74">
        <v>0</v>
      </c>
      <c r="J49" s="74">
        <v>0</v>
      </c>
      <c r="K49" s="74">
        <v>1</v>
      </c>
      <c r="L49" s="64">
        <f>IFERROR(F49/G49-1,"n/a")</f>
        <v>-0.75</v>
      </c>
      <c r="M49" s="64">
        <f>IFERROR(F49/H49-1,"n/a")</f>
        <v>-0.5</v>
      </c>
      <c r="N49" s="64" t="str">
        <f>IFERROR(F49/I49-1,"n/a")</f>
        <v>n/a</v>
      </c>
      <c r="O49" s="64" t="str">
        <f>IFERROR(F49/J49-1,"n/a")</f>
        <v>n/a</v>
      </c>
      <c r="P49" s="60">
        <f>IFERROR(F49/K49-1,"n/a")</f>
        <v>0</v>
      </c>
      <c r="Q49" s="74">
        <f>'July-24'!Q49+F49</f>
        <v>10</v>
      </c>
      <c r="R49" s="74">
        <f>'July-24'!R49+G49</f>
        <v>15</v>
      </c>
      <c r="S49" s="74">
        <f>'July-24'!S49+H49</f>
        <v>7</v>
      </c>
      <c r="T49" s="74">
        <f>'July-24'!T49+I49</f>
        <v>0</v>
      </c>
      <c r="U49" s="74">
        <f>'July-24'!U49+J49</f>
        <v>0</v>
      </c>
      <c r="V49" s="74">
        <f>'July-24'!V49+K49</f>
        <v>12</v>
      </c>
      <c r="W49" s="120">
        <f t="shared" ref="W49:X52" si="8">IFERROR(Q49/R49-1,"n/a")</f>
        <v>-0.33333333333333337</v>
      </c>
      <c r="X49" s="120">
        <f t="shared" si="8"/>
        <v>1.1428571428571428</v>
      </c>
      <c r="Y49" s="120" t="str">
        <f>IFERROR(R49/T49-1,"n/a")</f>
        <v>n/a</v>
      </c>
      <c r="Z49" s="120" t="str">
        <f>IFERROR(R49/U49-1,"n/a")</f>
        <v>n/a</v>
      </c>
      <c r="AA49" s="121">
        <f>IFERROR(R49/V49-1,"n/a")</f>
        <v>0.25</v>
      </c>
      <c r="AB49" s="148"/>
      <c r="AC49" s="89">
        <v>9</v>
      </c>
      <c r="AD49" s="68">
        <v>0</v>
      </c>
      <c r="AE49" s="68">
        <v>0</v>
      </c>
      <c r="AF49" s="78">
        <v>16</v>
      </c>
      <c r="AH49" s="123"/>
    </row>
    <row r="50" spans="3:34" s="124" customFormat="1" ht="11.25">
      <c r="C50" s="33"/>
      <c r="D50" s="26" t="s">
        <v>11</v>
      </c>
      <c r="E50" s="32"/>
      <c r="F50" s="74">
        <f t="shared" si="7"/>
        <v>4623</v>
      </c>
      <c r="G50" s="74">
        <v>6619</v>
      </c>
      <c r="H50" s="74">
        <v>2336</v>
      </c>
      <c r="I50" s="74">
        <v>0</v>
      </c>
      <c r="J50" s="74">
        <v>0</v>
      </c>
      <c r="K50" s="74">
        <v>1298</v>
      </c>
      <c r="L50" s="64">
        <f>IFERROR(F50/G50-1,"n/a")</f>
        <v>-0.30155612630306694</v>
      </c>
      <c r="M50" s="64">
        <f>IFERROR(F50/H50-1,"n/a")</f>
        <v>0.97902397260273966</v>
      </c>
      <c r="N50" s="64" t="str">
        <f>IFERROR(F50/I50-1,"n/a")</f>
        <v>n/a</v>
      </c>
      <c r="O50" s="64" t="str">
        <f>IFERROR(F50/J50-1,"n/a")</f>
        <v>n/a</v>
      </c>
      <c r="P50" s="60">
        <f>IFERROR(F50/K50-1,"n/a")</f>
        <v>2.5616332819722651</v>
      </c>
      <c r="Q50" s="74">
        <f>'July-24'!Q50+F50</f>
        <v>38341</v>
      </c>
      <c r="R50" s="74">
        <f>'July-24'!R50+G50</f>
        <v>26394</v>
      </c>
      <c r="S50" s="74">
        <f>'July-24'!S50+H50</f>
        <v>11013</v>
      </c>
      <c r="T50" s="74">
        <f>'July-24'!T50+I50</f>
        <v>0</v>
      </c>
      <c r="U50" s="74">
        <f>'July-24'!U50+J50</f>
        <v>0</v>
      </c>
      <c r="V50" s="74">
        <f>'July-24'!V50+K50</f>
        <v>15048</v>
      </c>
      <c r="W50" s="120">
        <f t="shared" si="8"/>
        <v>0.45264075168598916</v>
      </c>
      <c r="X50" s="120">
        <f t="shared" si="8"/>
        <v>1.3966221737946065</v>
      </c>
      <c r="Y50" s="120" t="str">
        <f>IFERROR(R50/T50-1,"n/a")</f>
        <v>n/a</v>
      </c>
      <c r="Z50" s="120" t="str">
        <f>IFERROR(R50/U50-1,"n/a")</f>
        <v>n/a</v>
      </c>
      <c r="AA50" s="121">
        <f>IFERROR(R50/V50-1,"n/a")</f>
        <v>0.75398724082934598</v>
      </c>
      <c r="AB50" s="148"/>
      <c r="AC50" s="82">
        <v>15637</v>
      </c>
      <c r="AD50" s="68">
        <v>0</v>
      </c>
      <c r="AE50" s="68">
        <v>0</v>
      </c>
      <c r="AF50" s="78">
        <v>20248</v>
      </c>
      <c r="AH50" s="123"/>
    </row>
    <row r="51" spans="3:34" s="124" customFormat="1" ht="12" thickBot="1">
      <c r="C51" s="35" t="s">
        <v>12</v>
      </c>
      <c r="D51" s="36"/>
      <c r="E51" s="37"/>
      <c r="F51" s="75">
        <f>F37+F40+F43+F46+F49</f>
        <v>440</v>
      </c>
      <c r="G51" s="75">
        <f>G37+G40+G43+G46+G49</f>
        <v>349</v>
      </c>
      <c r="H51" s="75">
        <f t="shared" ref="H51:K52" si="9">H37+H40+H43+H46+H49</f>
        <v>310</v>
      </c>
      <c r="I51" s="75">
        <f t="shared" si="9"/>
        <v>107</v>
      </c>
      <c r="J51" s="75">
        <f t="shared" si="9"/>
        <v>4</v>
      </c>
      <c r="K51" s="75">
        <f t="shared" si="9"/>
        <v>268</v>
      </c>
      <c r="L51" s="66">
        <f>IFERROR(F51/G51-1,"n/a")</f>
        <v>0.26074498567335236</v>
      </c>
      <c r="M51" s="66">
        <f>IFERROR(F51/H51-1,"n/a")</f>
        <v>0.41935483870967749</v>
      </c>
      <c r="N51" s="66">
        <f>IFERROR(F51/I51-1,"n/a")</f>
        <v>3.1121495327102799</v>
      </c>
      <c r="O51" s="66">
        <f>IFERROR(F51/J51-1,"n/a")</f>
        <v>109</v>
      </c>
      <c r="P51" s="62">
        <f>IFERROR(F51/K51-1,"n/a")</f>
        <v>0.64179104477611948</v>
      </c>
      <c r="Q51" s="75">
        <f t="shared" ref="Q51:V52" si="10">Q37+Q40+Q43+Q46+Q49</f>
        <v>2328</v>
      </c>
      <c r="R51" s="75">
        <f t="shared" si="10"/>
        <v>1864</v>
      </c>
      <c r="S51" s="75">
        <f>S37+S40+S43+S46+S49</f>
        <v>1628</v>
      </c>
      <c r="T51" s="75">
        <f t="shared" si="10"/>
        <v>216</v>
      </c>
      <c r="U51" s="75">
        <f t="shared" si="10"/>
        <v>48</v>
      </c>
      <c r="V51" s="75">
        <f t="shared" si="10"/>
        <v>1432</v>
      </c>
      <c r="W51" s="66">
        <f t="shared" si="8"/>
        <v>0.24892703862660936</v>
      </c>
      <c r="X51" s="66">
        <f t="shared" si="8"/>
        <v>0.144963144963145</v>
      </c>
      <c r="Y51" s="66">
        <f>IFERROR(R51/T51-1,"n/a")</f>
        <v>7.6296296296296298</v>
      </c>
      <c r="Z51" s="66">
        <f t="shared" ref="Z51:Z52" si="11">IFERROR(R51/U51-1,"n/a")</f>
        <v>37.833333333333336</v>
      </c>
      <c r="AA51" s="62">
        <f>IFERROR(R51/V51-1,"n/a")</f>
        <v>0.3016759776536313</v>
      </c>
      <c r="AB51" s="66"/>
      <c r="AC51" s="46">
        <f t="shared" ref="AC51:AE52" si="12">AC37+AC40+AC43+AC46+AC49</f>
        <v>3856</v>
      </c>
      <c r="AD51" s="46">
        <f t="shared" si="12"/>
        <v>1673</v>
      </c>
      <c r="AE51" s="46">
        <f t="shared" si="12"/>
        <v>669</v>
      </c>
      <c r="AF51" s="80">
        <f>AF37+AF40+AF43+AF46+AF49</f>
        <v>3241</v>
      </c>
      <c r="AH51" s="123"/>
    </row>
    <row r="52" spans="3:34" s="124" customFormat="1" ht="12.75" thickTop="1" thickBot="1">
      <c r="C52" s="38" t="s">
        <v>13</v>
      </c>
      <c r="D52" s="39"/>
      <c r="E52" s="40"/>
      <c r="F52" s="76">
        <f>F38+F41+F44+F47+F50</f>
        <v>1570543</v>
      </c>
      <c r="G52" s="76">
        <f>G38+G41+G44+G47+G50</f>
        <v>1250698</v>
      </c>
      <c r="H52" s="76">
        <f t="shared" si="9"/>
        <v>889236</v>
      </c>
      <c r="I52" s="76">
        <f t="shared" si="9"/>
        <v>165520</v>
      </c>
      <c r="J52" s="76">
        <f t="shared" si="9"/>
        <v>2541</v>
      </c>
      <c r="K52" s="76">
        <f t="shared" si="9"/>
        <v>925256</v>
      </c>
      <c r="L52" s="67">
        <f>IFERROR(F52/G52-1,"n/a")</f>
        <v>0.25573319858191179</v>
      </c>
      <c r="M52" s="67">
        <f>IFERROR(F52/H52-1,"n/a")</f>
        <v>0.76617118515219818</v>
      </c>
      <c r="N52" s="67">
        <f>IFERROR(F52/I52-1,"n/a")</f>
        <v>8.4885391493475115</v>
      </c>
      <c r="O52" s="67">
        <f>IFERROR(F52/J52-1,"n/a")</f>
        <v>617.08067689885877</v>
      </c>
      <c r="P52" s="63">
        <f>IFERROR(F52/K52-1,"n/a")</f>
        <v>0.6974145533776599</v>
      </c>
      <c r="Q52" s="76">
        <f t="shared" si="10"/>
        <v>7306459.4000000004</v>
      </c>
      <c r="R52" s="76">
        <f t="shared" si="10"/>
        <v>5642689</v>
      </c>
      <c r="S52" s="76">
        <f t="shared" si="10"/>
        <v>3511247</v>
      </c>
      <c r="T52" s="76">
        <f t="shared" si="10"/>
        <v>317904</v>
      </c>
      <c r="U52" s="76">
        <f t="shared" si="10"/>
        <v>10835</v>
      </c>
      <c r="V52" s="76">
        <f t="shared" si="10"/>
        <v>4251522</v>
      </c>
      <c r="W52" s="67">
        <f t="shared" si="8"/>
        <v>0.29485417324966878</v>
      </c>
      <c r="X52" s="67">
        <f t="shared" si="8"/>
        <v>0.60703277211771201</v>
      </c>
      <c r="Y52" s="118">
        <f>IFERROR(R52/T52-1,"n/a")</f>
        <v>16.749663420403643</v>
      </c>
      <c r="Z52" s="118">
        <f t="shared" si="11"/>
        <v>519.78347946469773</v>
      </c>
      <c r="AA52" s="119">
        <f>IFERROR(R52/V52-1,"n/a")</f>
        <v>0.32721622985838961</v>
      </c>
      <c r="AB52" s="118"/>
      <c r="AC52" s="47">
        <f t="shared" si="12"/>
        <v>9237323</v>
      </c>
      <c r="AD52" s="47">
        <f t="shared" si="12"/>
        <v>2410085</v>
      </c>
      <c r="AE52" s="47">
        <f t="shared" si="12"/>
        <v>1324261</v>
      </c>
      <c r="AF52" s="81">
        <f>AF38+AF41+AF44+AF47+AF50</f>
        <v>8638971</v>
      </c>
      <c r="AH52" s="123"/>
    </row>
    <row r="53" spans="3:34" s="124" customFormat="1" ht="12" thickTop="1">
      <c r="AH53" s="123"/>
    </row>
    <row r="54" spans="3:34" s="124" customFormat="1" ht="11.25">
      <c r="S54" s="132"/>
      <c r="T54" s="132"/>
      <c r="U54" s="132"/>
      <c r="V54" s="132"/>
      <c r="AH54" s="123"/>
    </row>
    <row r="55" spans="3:34" ht="15">
      <c r="S55" s="111"/>
      <c r="T55" s="111"/>
      <c r="U55" s="111"/>
      <c r="V55" s="111"/>
      <c r="AH55" s="9"/>
    </row>
    <row r="56" spans="3:34" ht="15">
      <c r="S56" s="111"/>
      <c r="T56" s="111"/>
      <c r="U56" s="111"/>
      <c r="V56" s="111"/>
      <c r="AH56" s="9"/>
    </row>
    <row r="57" spans="3:34" ht="15">
      <c r="S57" s="111"/>
      <c r="T57" s="111"/>
      <c r="U57" s="111"/>
      <c r="V57" s="111"/>
      <c r="AH57" s="9"/>
    </row>
    <row r="58" spans="3:34" ht="15">
      <c r="AH58" s="9"/>
    </row>
    <row r="59" spans="3:34" ht="15">
      <c r="AH59" s="9"/>
    </row>
    <row r="60" spans="3:34" ht="15">
      <c r="AH60" s="9"/>
    </row>
    <row r="61" spans="3:34" ht="15" customHeight="1"/>
    <row r="62" spans="3:34" ht="15" customHeight="1"/>
    <row r="63" spans="3:34" ht="15" customHeight="1"/>
    <row r="64" spans="3:34" ht="15" customHeight="1"/>
    <row r="65" ht="15" customHeight="1"/>
    <row r="66" ht="15" customHeight="1"/>
  </sheetData>
  <mergeCells count="9">
    <mergeCell ref="AB34:AF34"/>
    <mergeCell ref="F9:P9"/>
    <mergeCell ref="Q9:AA9"/>
    <mergeCell ref="AB9:AF9"/>
    <mergeCell ref="F10:P10"/>
    <mergeCell ref="Q10:AA10"/>
    <mergeCell ref="F33:P33"/>
    <mergeCell ref="Q33:AA33"/>
    <mergeCell ref="AB33:AF33"/>
  </mergeCells>
  <pageMargins left="0.7" right="0.7" top="0.75" bottom="0.75" header="0.3" footer="0.3"/>
  <pageSetup paperSize="9" orientation="portrait" horizontalDpi="0" verticalDpi="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66"/>
  <sheetViews>
    <sheetView showGridLines="0" topLeftCell="S28" zoomScale="95" zoomScaleNormal="75" workbookViewId="0">
      <selection activeCell="AB27" sqref="AB27:AB28"/>
    </sheetView>
  </sheetViews>
  <sheetFormatPr defaultColWidth="0" defaultRowHeight="0" customHeight="1" zeroHeight="1"/>
  <cols>
    <col min="1" max="2" width="4.140625" customWidth="1"/>
    <col min="3" max="3" width="3.85546875" customWidth="1"/>
    <col min="4" max="4" width="17" bestFit="1" customWidth="1"/>
    <col min="5" max="6" width="13" customWidth="1"/>
    <col min="7" max="7" width="11.140625" bestFit="1" customWidth="1"/>
    <col min="8" max="8" width="10.140625" bestFit="1" customWidth="1"/>
    <col min="9" max="10" width="8.85546875" customWidth="1"/>
    <col min="11" max="11" width="10.140625" bestFit="1" customWidth="1"/>
    <col min="12" max="12" width="8" customWidth="1"/>
    <col min="13" max="13" width="8.85546875" bestFit="1" customWidth="1"/>
    <col min="14" max="16" width="8" customWidth="1"/>
    <col min="17" max="17" width="10.140625" bestFit="1" customWidth="1"/>
    <col min="18" max="18" width="12" bestFit="1" customWidth="1"/>
    <col min="19" max="19" width="11.5703125" bestFit="1" customWidth="1"/>
    <col min="20" max="20" width="10.42578125" bestFit="1" customWidth="1"/>
    <col min="21" max="21" width="11.5703125" bestFit="1" customWidth="1"/>
    <col min="22" max="22" width="11.85546875" bestFit="1" customWidth="1"/>
    <col min="23" max="23" width="9.140625" bestFit="1" customWidth="1"/>
    <col min="24" max="24" width="8.85546875" bestFit="1" customWidth="1"/>
    <col min="25" max="25" width="8.85546875" customWidth="1"/>
    <col min="26" max="26" width="9" bestFit="1" customWidth="1"/>
    <col min="27" max="27" width="7.85546875" customWidth="1"/>
    <col min="28" max="28" width="10.140625" bestFit="1" customWidth="1"/>
    <col min="29" max="29" width="13.42578125" bestFit="1" customWidth="1"/>
    <col min="30" max="30" width="13.140625" bestFit="1" customWidth="1"/>
    <col min="31" max="31" width="12.85546875" bestFit="1" customWidth="1"/>
    <col min="32" max="32" width="15.42578125" bestFit="1" customWidth="1"/>
    <col min="33" max="33" width="11.140625" customWidth="1"/>
    <col min="34" max="34" width="3.42578125" customWidth="1"/>
    <col min="35" max="16384" width="8.85546875" hidden="1"/>
  </cols>
  <sheetData>
    <row r="1" spans="1:34" ht="15">
      <c r="A1" s="9"/>
      <c r="B1" s="9"/>
      <c r="C1" s="9"/>
      <c r="D1" s="9"/>
      <c r="E1" s="9"/>
      <c r="F1" s="9"/>
      <c r="G1" s="9"/>
      <c r="H1" s="9"/>
      <c r="I1" s="9"/>
      <c r="J1" s="9"/>
      <c r="K1" s="9"/>
      <c r="L1" s="9"/>
      <c r="M1" s="9"/>
      <c r="N1" s="9"/>
      <c r="O1" s="9"/>
      <c r="P1" s="9"/>
      <c r="Q1" s="9"/>
      <c r="R1" s="9"/>
      <c r="S1" s="9"/>
      <c r="T1" s="9"/>
      <c r="U1" s="9"/>
      <c r="V1" s="9"/>
      <c r="W1" s="9"/>
      <c r="X1" s="9"/>
      <c r="Y1" s="9"/>
      <c r="Z1" s="9"/>
      <c r="AA1" s="9"/>
      <c r="AB1" s="9"/>
      <c r="AC1" s="9"/>
      <c r="AD1" s="9"/>
      <c r="AE1" s="9"/>
      <c r="AF1" s="9"/>
      <c r="AG1" s="9"/>
      <c r="AH1" s="9"/>
    </row>
    <row r="2" spans="1:34" ht="31.35" customHeight="1" thickBot="1">
      <c r="A2" s="9"/>
      <c r="B2" s="8" t="s">
        <v>6</v>
      </c>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4"/>
      <c r="AH2" s="9"/>
    </row>
    <row r="3" spans="1:34" ht="15">
      <c r="A3" s="9"/>
      <c r="B3" s="10"/>
      <c r="C3" s="24"/>
      <c r="D3" s="24"/>
      <c r="E3" s="24"/>
      <c r="F3" s="24"/>
      <c r="G3" s="24"/>
      <c r="H3" s="24"/>
      <c r="I3" s="24"/>
      <c r="J3" s="24"/>
      <c r="K3" s="24"/>
      <c r="L3" s="24"/>
      <c r="M3" s="24"/>
      <c r="N3" s="24"/>
      <c r="O3" s="24"/>
      <c r="P3" s="24"/>
      <c r="Q3" s="24"/>
      <c r="R3" s="24"/>
      <c r="S3" s="24"/>
      <c r="T3" s="24"/>
      <c r="U3" s="24"/>
      <c r="V3" s="24"/>
      <c r="W3" s="24"/>
      <c r="X3" s="24"/>
      <c r="Y3" s="24"/>
      <c r="Z3" s="24"/>
      <c r="AA3" s="24"/>
      <c r="AB3" s="24"/>
      <c r="AC3" s="24"/>
      <c r="AD3" s="24"/>
      <c r="AE3" s="24"/>
      <c r="AF3" s="25">
        <v>45519</v>
      </c>
      <c r="AG3" s="25"/>
      <c r="AH3" s="9"/>
    </row>
    <row r="4" spans="1:34" ht="15.75">
      <c r="A4" s="9"/>
      <c r="B4" s="11" t="s">
        <v>7</v>
      </c>
      <c r="C4" s="26"/>
      <c r="D4" s="93" t="s">
        <v>55</v>
      </c>
      <c r="E4" s="134" t="s">
        <v>127</v>
      </c>
      <c r="F4" s="134"/>
      <c r="G4" s="24"/>
      <c r="H4" s="24"/>
      <c r="I4" s="24"/>
      <c r="J4" s="24"/>
      <c r="K4" s="24"/>
      <c r="L4" s="24"/>
      <c r="M4" s="24"/>
      <c r="N4" s="24"/>
      <c r="O4" s="24"/>
      <c r="P4" s="24"/>
      <c r="Q4" s="24"/>
      <c r="R4" s="24"/>
      <c r="S4" s="24"/>
      <c r="T4" s="24"/>
      <c r="U4" s="24"/>
      <c r="V4" s="24"/>
      <c r="W4" s="24"/>
      <c r="X4" s="24"/>
      <c r="Y4" s="24"/>
      <c r="Z4" s="24"/>
      <c r="AA4" s="24"/>
      <c r="AB4" s="24"/>
      <c r="AC4" s="24"/>
      <c r="AD4" s="24"/>
      <c r="AE4" s="24"/>
      <c r="AF4" s="24"/>
      <c r="AG4" s="24"/>
      <c r="AH4" s="9"/>
    </row>
    <row r="5" spans="1:34" ht="15">
      <c r="A5" s="9"/>
      <c r="B5" s="10"/>
      <c r="C5" s="24"/>
      <c r="D5" s="24"/>
      <c r="E5" s="24"/>
      <c r="F5" s="24"/>
      <c r="G5" s="24"/>
      <c r="H5" s="24"/>
      <c r="I5" s="24"/>
      <c r="J5" s="24"/>
      <c r="K5" s="24"/>
      <c r="L5" s="24"/>
      <c r="M5" s="24"/>
      <c r="N5" s="24"/>
      <c r="O5" s="24"/>
      <c r="P5" s="24"/>
      <c r="Q5" s="24"/>
      <c r="R5" s="24"/>
      <c r="S5" s="24"/>
      <c r="T5" s="24"/>
      <c r="U5" s="24"/>
      <c r="V5" s="24"/>
      <c r="W5" s="24"/>
      <c r="X5" s="24"/>
      <c r="Y5" s="24"/>
      <c r="Z5" s="24"/>
      <c r="AA5" s="24"/>
      <c r="AB5" s="24"/>
      <c r="AC5" s="24"/>
      <c r="AD5" s="24"/>
      <c r="AE5" s="24"/>
      <c r="AF5" s="24"/>
      <c r="AG5" s="24"/>
      <c r="AH5" s="9"/>
    </row>
    <row r="6" spans="1:34" ht="15">
      <c r="A6" s="9"/>
      <c r="B6" s="10"/>
      <c r="C6" s="24"/>
      <c r="D6" s="24"/>
      <c r="E6" s="24"/>
      <c r="F6" s="24"/>
      <c r="G6" s="24"/>
      <c r="H6" s="24"/>
      <c r="I6" s="24"/>
      <c r="J6" s="24"/>
      <c r="K6" s="24"/>
      <c r="L6" s="24"/>
      <c r="M6" s="24"/>
      <c r="N6" s="24"/>
      <c r="O6" s="24"/>
      <c r="P6" s="24"/>
      <c r="Q6" s="24"/>
      <c r="R6" s="24"/>
      <c r="S6" s="24"/>
      <c r="T6" s="24"/>
      <c r="U6" s="24"/>
      <c r="V6" s="24"/>
      <c r="W6" s="24"/>
      <c r="X6" s="24"/>
      <c r="Y6" s="24"/>
      <c r="Z6" s="24"/>
      <c r="AA6" s="24"/>
      <c r="AB6" s="24"/>
      <c r="AC6" s="24"/>
      <c r="AD6" s="24"/>
      <c r="AE6" s="24"/>
      <c r="AF6" s="24"/>
      <c r="AG6" s="24"/>
      <c r="AH6" s="9"/>
    </row>
    <row r="7" spans="1:34" ht="15">
      <c r="A7" s="9"/>
      <c r="B7" s="10"/>
      <c r="C7" s="86" t="s">
        <v>62</v>
      </c>
      <c r="D7" s="24"/>
      <c r="E7" s="24"/>
      <c r="F7" s="24"/>
      <c r="G7" s="24"/>
      <c r="H7" s="24"/>
      <c r="I7" s="24"/>
      <c r="J7" s="24"/>
      <c r="K7" s="24"/>
      <c r="L7" s="24"/>
      <c r="M7" s="24"/>
      <c r="N7" s="24"/>
      <c r="O7" s="24"/>
      <c r="P7" s="24"/>
      <c r="Q7" s="24"/>
      <c r="R7" s="24"/>
      <c r="S7" s="24"/>
      <c r="T7" s="24"/>
      <c r="U7" s="24"/>
      <c r="V7" s="24"/>
      <c r="W7" s="24"/>
      <c r="X7" s="24"/>
      <c r="Y7" s="24"/>
      <c r="Z7" s="24"/>
      <c r="AA7" s="24"/>
      <c r="AB7" s="24"/>
      <c r="AC7" s="24"/>
      <c r="AD7" s="24"/>
      <c r="AE7" s="24"/>
      <c r="AF7" s="24"/>
      <c r="AG7" s="24"/>
      <c r="AH7" s="9"/>
    </row>
    <row r="8" spans="1:34" ht="15">
      <c r="A8" s="9"/>
      <c r="B8" s="10"/>
      <c r="C8" s="24"/>
      <c r="D8" s="24"/>
      <c r="E8" s="24"/>
      <c r="F8" s="24"/>
      <c r="G8" s="24"/>
      <c r="H8" s="24"/>
      <c r="I8" s="24"/>
      <c r="J8" s="24"/>
      <c r="K8" s="24"/>
      <c r="L8" s="24"/>
      <c r="M8" s="24"/>
      <c r="N8" s="24"/>
      <c r="O8" s="24"/>
      <c r="P8" s="24"/>
      <c r="Q8" s="24"/>
      <c r="R8" s="24"/>
      <c r="S8" s="24"/>
      <c r="T8" s="24"/>
      <c r="U8" s="24"/>
      <c r="V8" s="24"/>
      <c r="W8" s="24"/>
      <c r="X8" s="24"/>
      <c r="Y8" s="24"/>
      <c r="Z8" s="24"/>
      <c r="AA8" s="24"/>
      <c r="AB8" s="24"/>
      <c r="AC8" s="24"/>
      <c r="AD8" s="24"/>
      <c r="AE8" s="24"/>
      <c r="AF8" s="24"/>
      <c r="AG8" s="24"/>
      <c r="AH8" s="9"/>
    </row>
    <row r="9" spans="1:34" s="124" customFormat="1" ht="15" customHeight="1">
      <c r="A9" s="123"/>
      <c r="C9" s="27" t="s">
        <v>7</v>
      </c>
      <c r="D9" s="28"/>
      <c r="E9" s="28"/>
      <c r="F9" s="155" t="str">
        <f>D4</f>
        <v>July</v>
      </c>
      <c r="G9" s="155"/>
      <c r="H9" s="155"/>
      <c r="I9" s="155"/>
      <c r="J9" s="155"/>
      <c r="K9" s="155"/>
      <c r="L9" s="155"/>
      <c r="M9" s="155"/>
      <c r="N9" s="155"/>
      <c r="O9" s="155"/>
      <c r="P9" s="156"/>
      <c r="Q9" s="157" t="str">
        <f>"January to "&amp; D4</f>
        <v>January to July</v>
      </c>
      <c r="R9" s="158"/>
      <c r="S9" s="158"/>
      <c r="T9" s="158"/>
      <c r="U9" s="158"/>
      <c r="V9" s="158"/>
      <c r="W9" s="158"/>
      <c r="X9" s="158"/>
      <c r="Y9" s="158"/>
      <c r="Z9" s="158"/>
      <c r="AA9" s="159"/>
      <c r="AB9" s="157" t="s">
        <v>57</v>
      </c>
      <c r="AC9" s="158"/>
      <c r="AD9" s="158"/>
      <c r="AE9" s="158"/>
      <c r="AF9" s="160"/>
      <c r="AG9" s="123"/>
      <c r="AH9" s="123"/>
    </row>
    <row r="10" spans="1:34" s="124" customFormat="1" ht="13.5">
      <c r="A10" s="123"/>
      <c r="B10" s="125"/>
      <c r="C10" s="29"/>
      <c r="D10" s="30"/>
      <c r="E10" s="30"/>
      <c r="F10" s="152"/>
      <c r="G10" s="153"/>
      <c r="H10" s="153"/>
      <c r="I10" s="153"/>
      <c r="J10" s="153"/>
      <c r="K10" s="153"/>
      <c r="L10" s="153"/>
      <c r="M10" s="153"/>
      <c r="N10" s="153"/>
      <c r="O10" s="153"/>
      <c r="P10" s="154"/>
      <c r="Q10" s="152"/>
      <c r="R10" s="153"/>
      <c r="S10" s="153"/>
      <c r="T10" s="153"/>
      <c r="U10" s="153"/>
      <c r="V10" s="153"/>
      <c r="W10" s="153"/>
      <c r="X10" s="153"/>
      <c r="Y10" s="153"/>
      <c r="Z10" s="153"/>
      <c r="AA10" s="154"/>
      <c r="AB10" s="30"/>
      <c r="AC10" s="30"/>
      <c r="AD10" s="30"/>
      <c r="AE10" s="30"/>
      <c r="AF10" s="56"/>
      <c r="AG10" s="123"/>
      <c r="AH10" s="123"/>
    </row>
    <row r="11" spans="1:34" s="124" customFormat="1" ht="26.1" customHeight="1">
      <c r="A11" s="126"/>
      <c r="B11" s="127"/>
      <c r="C11" s="59" t="s">
        <v>29</v>
      </c>
      <c r="D11" s="50"/>
      <c r="E11" s="51"/>
      <c r="F11" s="55">
        <v>2024</v>
      </c>
      <c r="G11" s="52">
        <v>2023</v>
      </c>
      <c r="H11" s="52">
        <v>2022</v>
      </c>
      <c r="I11" s="52">
        <v>2021</v>
      </c>
      <c r="J11" s="52">
        <v>2020</v>
      </c>
      <c r="K11" s="52">
        <v>2019</v>
      </c>
      <c r="L11" s="53" t="s">
        <v>116</v>
      </c>
      <c r="M11" s="53" t="s">
        <v>117</v>
      </c>
      <c r="N11" s="53" t="s">
        <v>118</v>
      </c>
      <c r="O11" s="53" t="s">
        <v>119</v>
      </c>
      <c r="P11" s="57" t="s">
        <v>101</v>
      </c>
      <c r="Q11" s="53">
        <v>2024</v>
      </c>
      <c r="R11" s="53">
        <v>2023</v>
      </c>
      <c r="S11" s="53">
        <v>2022</v>
      </c>
      <c r="T11" s="52">
        <v>2021</v>
      </c>
      <c r="U11" s="52">
        <v>2020</v>
      </c>
      <c r="V11" s="52">
        <v>2019</v>
      </c>
      <c r="W11" s="53" t="s">
        <v>116</v>
      </c>
      <c r="X11" s="53" t="s">
        <v>117</v>
      </c>
      <c r="Y11" s="53" t="s">
        <v>118</v>
      </c>
      <c r="Z11" s="53" t="s">
        <v>119</v>
      </c>
      <c r="AA11" s="57" t="s">
        <v>101</v>
      </c>
      <c r="AB11" s="53">
        <v>2023</v>
      </c>
      <c r="AC11" s="53">
        <v>2022</v>
      </c>
      <c r="AD11" s="53">
        <v>2021</v>
      </c>
      <c r="AE11" s="52">
        <v>2020</v>
      </c>
      <c r="AF11" s="77">
        <v>2019</v>
      </c>
      <c r="AG11" s="126"/>
      <c r="AH11" s="126"/>
    </row>
    <row r="12" spans="1:34" s="124" customFormat="1" ht="12.75">
      <c r="A12" s="123"/>
      <c r="B12" s="128"/>
      <c r="C12" s="31" t="s">
        <v>108</v>
      </c>
      <c r="D12" s="26"/>
      <c r="E12" s="32"/>
      <c r="F12" s="26"/>
      <c r="G12" s="26"/>
      <c r="H12" s="26"/>
      <c r="I12" s="26"/>
      <c r="J12" s="26"/>
      <c r="K12" s="26"/>
      <c r="L12" s="26"/>
      <c r="M12" s="26"/>
      <c r="N12" s="26"/>
      <c r="O12" s="26"/>
      <c r="P12" s="32"/>
      <c r="Q12" s="26"/>
      <c r="R12" s="26"/>
      <c r="S12" s="26"/>
      <c r="T12" s="26"/>
      <c r="U12" s="26"/>
      <c r="V12" s="26"/>
      <c r="W12" s="26"/>
      <c r="X12" s="26"/>
      <c r="Y12" s="26"/>
      <c r="Z12" s="26"/>
      <c r="AA12" s="32"/>
      <c r="AB12" s="26"/>
      <c r="AC12" s="26"/>
      <c r="AD12" s="26"/>
      <c r="AE12" s="26"/>
      <c r="AF12" s="32"/>
      <c r="AG12" s="123"/>
      <c r="AH12" s="123"/>
    </row>
    <row r="13" spans="1:34" s="124" customFormat="1" ht="12.75">
      <c r="A13" s="123"/>
      <c r="B13" s="128"/>
      <c r="C13" s="33"/>
      <c r="D13" s="26" t="s">
        <v>5</v>
      </c>
      <c r="E13" s="32"/>
      <c r="F13" s="71">
        <v>166</v>
      </c>
      <c r="G13" s="73">
        <v>105</v>
      </c>
      <c r="H13" s="71">
        <v>84</v>
      </c>
      <c r="I13" s="71">
        <v>28</v>
      </c>
      <c r="J13" s="71">
        <v>0</v>
      </c>
      <c r="K13" s="71">
        <v>101</v>
      </c>
      <c r="L13" s="64">
        <f>IFERROR(F13/G13-1,"n/a")</f>
        <v>0.58095238095238089</v>
      </c>
      <c r="M13" s="64">
        <f>IFERROR(F13/H13-1,"n/a")</f>
        <v>0.97619047619047628</v>
      </c>
      <c r="N13" s="64">
        <f>IFERROR(F13/I13-1,"n/a")</f>
        <v>4.9285714285714288</v>
      </c>
      <c r="O13" s="64" t="str">
        <f>IFERROR(F13/J13-1,"n/a")</f>
        <v>n/a</v>
      </c>
      <c r="P13" s="60">
        <f>IFERROR(F13/K13-1,"n/a")</f>
        <v>0.64356435643564347</v>
      </c>
      <c r="Q13" s="68">
        <f>'June-24'!Q13+F13</f>
        <v>1374</v>
      </c>
      <c r="R13" s="68">
        <f>'June-24'!R13+G13</f>
        <v>958</v>
      </c>
      <c r="S13" s="68">
        <f>'June-24'!S13+H13</f>
        <v>910</v>
      </c>
      <c r="T13" s="68">
        <f>'June-24'!T13+I13</f>
        <v>28</v>
      </c>
      <c r="U13" s="68">
        <f>'June-24'!U13+J13</f>
        <v>551</v>
      </c>
      <c r="V13" s="68">
        <f>'June-24'!V13+K13</f>
        <v>926</v>
      </c>
      <c r="W13" s="64">
        <f>IFERROR(Q13/R13-1,"n/a")</f>
        <v>0.43423799582463474</v>
      </c>
      <c r="X13" s="64">
        <f>IFERROR(Q13/S13-1,"n/a")</f>
        <v>0.50989010989010985</v>
      </c>
      <c r="Y13" s="64">
        <f>IFERROR(Q13/T13-1,"n/a")</f>
        <v>48.071428571428569</v>
      </c>
      <c r="Z13" s="64">
        <f>IFERROR(Q13/U13-1,"n/a")</f>
        <v>1.4936479128856623</v>
      </c>
      <c r="AA13" s="60">
        <f>IFERROR(Q13/V13-1,"n/a")</f>
        <v>0.48380129589632825</v>
      </c>
      <c r="AB13" s="68">
        <v>1630</v>
      </c>
      <c r="AC13" s="68">
        <v>1486</v>
      </c>
      <c r="AD13" s="68">
        <v>522</v>
      </c>
      <c r="AE13" s="68">
        <v>551</v>
      </c>
      <c r="AF13" s="135">
        <v>1591</v>
      </c>
      <c r="AG13" s="123"/>
      <c r="AH13" s="123"/>
    </row>
    <row r="14" spans="1:34" s="124" customFormat="1" ht="12.75">
      <c r="A14" s="123"/>
      <c r="B14" s="128"/>
      <c r="C14" s="33"/>
      <c r="D14" s="26" t="s">
        <v>11</v>
      </c>
      <c r="E14" s="32"/>
      <c r="F14" s="71">
        <v>639139</v>
      </c>
      <c r="G14" s="73">
        <v>396404</v>
      </c>
      <c r="H14" s="71">
        <v>292122</v>
      </c>
      <c r="I14" s="71">
        <v>30914</v>
      </c>
      <c r="J14" s="71">
        <v>0</v>
      </c>
      <c r="K14" s="71">
        <v>332464</v>
      </c>
      <c r="L14" s="64">
        <f>IFERROR(F14/G14-1,"n/a")</f>
        <v>0.61234245870374671</v>
      </c>
      <c r="M14" s="64">
        <f>IFERROR(F14/H14-1,"n/a")</f>
        <v>1.1879180616317839</v>
      </c>
      <c r="N14" s="64">
        <f>IFERROR(F14/I14-1,"n/a")</f>
        <v>19.674742834961506</v>
      </c>
      <c r="O14" s="64" t="str">
        <f>IFERROR(F14/J14-1,"n/a")</f>
        <v>n/a</v>
      </c>
      <c r="P14" s="60">
        <f>IFERROR(F14/K14-1,"n/a")</f>
        <v>0.92243069926367971</v>
      </c>
      <c r="Q14" s="68">
        <f>'June-24'!Q14+F14</f>
        <v>4594179</v>
      </c>
      <c r="R14" s="68">
        <f>'June-24'!R14+G14</f>
        <v>3097466</v>
      </c>
      <c r="S14" s="68">
        <f>'June-24'!S14+H14</f>
        <v>1836211</v>
      </c>
      <c r="T14" s="68">
        <f>'June-24'!T14+I14</f>
        <v>30914</v>
      </c>
      <c r="U14" s="68">
        <f>'June-24'!U14+J14</f>
        <v>1092884</v>
      </c>
      <c r="V14" s="68">
        <f>'June-24'!V14+K14</f>
        <v>2783719</v>
      </c>
      <c r="W14" s="64">
        <f>IFERROR(Q14/R14-1,"n/a")</f>
        <v>0.48320562679299783</v>
      </c>
      <c r="X14" s="64">
        <f>IFERROR(Q14/S14-1,"n/a")</f>
        <v>1.5019886058846179</v>
      </c>
      <c r="Y14" s="64">
        <f>IFERROR(Q14/T14-1,"n/a")</f>
        <v>147.61159992236526</v>
      </c>
      <c r="Z14" s="64">
        <f>IFERROR(Q14/U14-1,"n/a")</f>
        <v>3.2037206144476453</v>
      </c>
      <c r="AA14" s="60">
        <f>IFERROR(Q14/V14-1,"n/a")</f>
        <v>0.65037455289129409</v>
      </c>
      <c r="AB14" s="68">
        <v>5232537</v>
      </c>
      <c r="AC14" s="68">
        <v>3592413</v>
      </c>
      <c r="AD14" s="68">
        <v>768312</v>
      </c>
      <c r="AE14" s="68">
        <v>1092884</v>
      </c>
      <c r="AF14" s="135">
        <v>4592479</v>
      </c>
      <c r="AG14" s="123"/>
      <c r="AH14" s="123"/>
    </row>
    <row r="15" spans="1:34" s="124" customFormat="1" ht="12.75">
      <c r="A15" s="123"/>
      <c r="B15" s="128"/>
      <c r="C15" s="31" t="s">
        <v>135</v>
      </c>
      <c r="D15" s="26"/>
      <c r="E15" s="32"/>
      <c r="F15" s="97"/>
      <c r="G15" s="97"/>
      <c r="H15" s="26"/>
      <c r="I15" s="26"/>
      <c r="J15" s="26"/>
      <c r="K15" s="26"/>
      <c r="L15" s="64"/>
      <c r="M15" s="64"/>
      <c r="N15" s="64"/>
      <c r="O15" s="64"/>
      <c r="P15" s="61"/>
      <c r="Q15" s="87"/>
      <c r="R15" s="87"/>
      <c r="S15" s="87"/>
      <c r="T15" s="87"/>
      <c r="U15" s="87"/>
      <c r="V15" s="87"/>
      <c r="W15" s="64"/>
      <c r="X15" s="64"/>
      <c r="Y15" s="64"/>
      <c r="Z15" s="64"/>
      <c r="AA15" s="61"/>
      <c r="AB15" s="43"/>
      <c r="AC15" s="43"/>
      <c r="AD15" s="43"/>
      <c r="AE15" s="43"/>
      <c r="AF15" s="136"/>
      <c r="AG15" s="123"/>
      <c r="AH15" s="123"/>
    </row>
    <row r="16" spans="1:34" s="124" customFormat="1" ht="12.75">
      <c r="A16" s="123"/>
      <c r="B16" s="128"/>
      <c r="C16" s="33"/>
      <c r="D16" s="26" t="s">
        <v>5</v>
      </c>
      <c r="E16" s="32"/>
      <c r="F16" s="71">
        <v>93</v>
      </c>
      <c r="G16" s="74">
        <v>71</v>
      </c>
      <c r="H16" s="71">
        <v>62</v>
      </c>
      <c r="I16" s="71">
        <v>22</v>
      </c>
      <c r="J16" s="71">
        <v>0</v>
      </c>
      <c r="K16" s="71">
        <v>59</v>
      </c>
      <c r="L16" s="64">
        <f>IFERROR(F16/G16-1,"n/a")</f>
        <v>0.3098591549295775</v>
      </c>
      <c r="M16" s="64">
        <f>IFERROR(F16/H16-1,"n/a")</f>
        <v>0.5</v>
      </c>
      <c r="N16" s="64">
        <f>IFERROR(F16/I16-1,"n/a")</f>
        <v>3.2272727272727275</v>
      </c>
      <c r="O16" s="64" t="str">
        <f>IFERROR(F16/J16-1,"n/a")</f>
        <v>n/a</v>
      </c>
      <c r="P16" s="60">
        <f>IFERROR(F16/K16-1,"n/a")</f>
        <v>0.57627118644067798</v>
      </c>
      <c r="Q16" s="68">
        <f>'June-24'!Q16+F16</f>
        <v>391</v>
      </c>
      <c r="R16" s="68">
        <f>'June-24'!R16+G16</f>
        <v>287</v>
      </c>
      <c r="S16" s="68">
        <f>'June-24'!S16+H16</f>
        <v>314</v>
      </c>
      <c r="T16" s="68">
        <f>'June-24'!T16+I16</f>
        <v>73</v>
      </c>
      <c r="U16" s="68">
        <f>'June-24'!U16+J16</f>
        <v>10</v>
      </c>
      <c r="V16" s="68">
        <f>'June-24'!V16+K16</f>
        <v>275</v>
      </c>
      <c r="W16" s="64">
        <f>IFERROR(Q16/R16-1,"n/a")</f>
        <v>0.36236933797909399</v>
      </c>
      <c r="X16" s="64">
        <f>IFERROR(Q16/S16-1,"n/a")</f>
        <v>0.24522292993630579</v>
      </c>
      <c r="Y16" s="64">
        <f>IFERROR(Q16/T16-1,"n/a")</f>
        <v>4.3561643835616435</v>
      </c>
      <c r="Z16" s="64">
        <f>IFERROR(Q16/U16-1,"n/a")</f>
        <v>38.1</v>
      </c>
      <c r="AA16" s="60">
        <f>IFERROR(Q16/V16-1,"n/a")</f>
        <v>0.42181818181818187</v>
      </c>
      <c r="AB16" s="68">
        <v>575</v>
      </c>
      <c r="AC16" s="68">
        <v>572</v>
      </c>
      <c r="AD16" s="68">
        <v>202</v>
      </c>
      <c r="AE16" s="68">
        <v>54</v>
      </c>
      <c r="AF16" s="135">
        <v>586</v>
      </c>
      <c r="AG16" s="123"/>
      <c r="AH16" s="123"/>
    </row>
    <row r="17" spans="1:34" s="124" customFormat="1" ht="12.75">
      <c r="A17" s="123"/>
      <c r="B17" s="128"/>
      <c r="C17" s="33"/>
      <c r="D17" s="26" t="s">
        <v>11</v>
      </c>
      <c r="E17" s="32"/>
      <c r="F17" s="71">
        <v>287103</v>
      </c>
      <c r="G17" s="74">
        <v>271757</v>
      </c>
      <c r="H17" s="71">
        <v>137630</v>
      </c>
      <c r="I17" s="71">
        <v>37562</v>
      </c>
      <c r="J17" s="71">
        <v>0</v>
      </c>
      <c r="K17" s="71">
        <v>174121</v>
      </c>
      <c r="L17" s="64">
        <f>IFERROR(F17/G17-1,"n/a")</f>
        <v>5.6469566561302864E-2</v>
      </c>
      <c r="M17" s="64">
        <f>IFERROR(F17/H17-1,"n/a")</f>
        <v>1.0860495531497492</v>
      </c>
      <c r="N17" s="64">
        <f>IFERROR(F17/I17-1,"n/a")</f>
        <v>6.643442841169267</v>
      </c>
      <c r="O17" s="64" t="str">
        <f>IFERROR(F17/J17-1,"n/a")</f>
        <v>n/a</v>
      </c>
      <c r="P17" s="60">
        <f>IFERROR(F17/K17-1,"n/a")</f>
        <v>0.64887061296454762</v>
      </c>
      <c r="Q17" s="68">
        <f>'June-24'!Q17+F17</f>
        <v>1060856</v>
      </c>
      <c r="R17" s="68">
        <f>'June-24'!R17+G17</f>
        <v>848135</v>
      </c>
      <c r="S17" s="68">
        <f>'June-24'!S17+H17</f>
        <v>438192</v>
      </c>
      <c r="T17" s="68">
        <f>'June-24'!T17+I17</f>
        <v>102629</v>
      </c>
      <c r="U17" s="68">
        <f>'June-24'!U17+J17</f>
        <v>41113</v>
      </c>
      <c r="V17" s="68">
        <f>'June-24'!V17+K17</f>
        <v>732624</v>
      </c>
      <c r="W17" s="64">
        <f>IFERROR(Q17/R17-1,"n/a")</f>
        <v>0.25081030732135812</v>
      </c>
      <c r="X17" s="64">
        <f>IFERROR(Q17/S17-1,"n/a")</f>
        <v>1.4209844086610435</v>
      </c>
      <c r="Y17" s="64">
        <f>IFERROR(Q17/T17-1,"n/a")</f>
        <v>9.3368053863917613</v>
      </c>
      <c r="Z17" s="64">
        <f>IFERROR(Q17/U17-1,"n/a")</f>
        <v>24.803419842872085</v>
      </c>
      <c r="AA17" s="60">
        <f>IFERROR(Q17/V17-1,"n/a")</f>
        <v>0.44802245080696235</v>
      </c>
      <c r="AB17" s="68">
        <v>1660685</v>
      </c>
      <c r="AC17" s="68">
        <v>965963</v>
      </c>
      <c r="AD17" s="68">
        <v>301521</v>
      </c>
      <c r="AE17" s="68">
        <v>70675</v>
      </c>
      <c r="AF17" s="135">
        <v>1400932</v>
      </c>
      <c r="AG17" s="123"/>
      <c r="AH17" s="123"/>
    </row>
    <row r="18" spans="1:34" s="124" customFormat="1" ht="12.75">
      <c r="A18" s="123"/>
      <c r="B18" s="128"/>
      <c r="C18" s="31" t="s">
        <v>110</v>
      </c>
      <c r="D18" s="26"/>
      <c r="E18" s="32"/>
      <c r="F18" s="72"/>
      <c r="G18" s="72"/>
      <c r="H18" s="72"/>
      <c r="I18" s="72"/>
      <c r="J18" s="72"/>
      <c r="K18" s="72"/>
      <c r="L18" s="64"/>
      <c r="M18" s="64"/>
      <c r="N18" s="64"/>
      <c r="O18" s="64"/>
      <c r="P18" s="60"/>
      <c r="Q18" s="87"/>
      <c r="R18" s="87"/>
      <c r="S18" s="87"/>
      <c r="T18" s="87"/>
      <c r="U18" s="87"/>
      <c r="V18" s="87"/>
      <c r="W18" s="64"/>
      <c r="X18" s="64"/>
      <c r="Y18" s="64"/>
      <c r="Z18" s="64"/>
      <c r="AA18" s="60"/>
      <c r="AB18" s="43"/>
      <c r="AC18" s="43"/>
      <c r="AD18" s="43"/>
      <c r="AE18" s="43"/>
      <c r="AF18" s="136"/>
      <c r="AG18" s="123"/>
      <c r="AH18" s="123"/>
    </row>
    <row r="19" spans="1:34" s="124" customFormat="1" ht="12.75">
      <c r="A19" s="123"/>
      <c r="B19" s="128"/>
      <c r="C19" s="33"/>
      <c r="D19" s="26" t="s">
        <v>5</v>
      </c>
      <c r="E19" s="32"/>
      <c r="F19" s="71">
        <v>100</v>
      </c>
      <c r="G19" s="73">
        <v>93</v>
      </c>
      <c r="H19" s="71">
        <v>88</v>
      </c>
      <c r="I19" s="71">
        <v>3</v>
      </c>
      <c r="J19" s="71">
        <v>2</v>
      </c>
      <c r="K19" s="71">
        <v>50</v>
      </c>
      <c r="L19" s="64">
        <f>IFERROR(F19/G19-1,"n/a")</f>
        <v>7.5268817204301008E-2</v>
      </c>
      <c r="M19" s="64">
        <f>IFERROR(F19/H19-1,"n/a")</f>
        <v>0.13636363636363646</v>
      </c>
      <c r="N19" s="64">
        <f>IFERROR(F19/I19-1,"n/a")</f>
        <v>32.333333333333336</v>
      </c>
      <c r="O19" s="64">
        <f>IFERROR(F19/J19-1,"n/a")</f>
        <v>49</v>
      </c>
      <c r="P19" s="60">
        <f>IFERROR(F19/K19-1,"n/a")</f>
        <v>1</v>
      </c>
      <c r="Q19" s="68">
        <f>'June-24'!Q19+F19</f>
        <v>365</v>
      </c>
      <c r="R19" s="68">
        <f>'June-24'!R19+G19</f>
        <v>349</v>
      </c>
      <c r="S19" s="68">
        <f>'June-24'!S19+H19</f>
        <v>317</v>
      </c>
      <c r="T19" s="68">
        <f>'June-24'!T19+I19</f>
        <v>6</v>
      </c>
      <c r="U19" s="68">
        <f>'June-24'!U19+J19</f>
        <v>5</v>
      </c>
      <c r="V19" s="68">
        <f>'June-24'!V19+K19</f>
        <v>156</v>
      </c>
      <c r="W19" s="64">
        <f>IFERROR(Q19/R19-1,"n/a")</f>
        <v>4.5845272206303633E-2</v>
      </c>
      <c r="X19" s="64">
        <f>IFERROR(Q19/S19-1,"n/a")</f>
        <v>0.1514195583596214</v>
      </c>
      <c r="Y19" s="64">
        <f>IFERROR(Q19/T19-1,"n/a")</f>
        <v>59.833333333333336</v>
      </c>
      <c r="Z19" s="64">
        <f>IFERROR(Q19/U19-1,"n/a")</f>
        <v>72</v>
      </c>
      <c r="AA19" s="60">
        <f>IFERROR(Q19/V19-1,"n/a")</f>
        <v>1.3397435897435899</v>
      </c>
      <c r="AB19" s="68">
        <v>708</v>
      </c>
      <c r="AC19" s="68">
        <v>658</v>
      </c>
      <c r="AD19" s="68">
        <v>47</v>
      </c>
      <c r="AE19" s="68">
        <v>9</v>
      </c>
      <c r="AF19" s="135">
        <v>290</v>
      </c>
      <c r="AG19" s="123"/>
      <c r="AH19" s="123"/>
    </row>
    <row r="20" spans="1:34" s="124" customFormat="1" ht="12.75">
      <c r="A20" s="123"/>
      <c r="B20" s="128"/>
      <c r="C20" s="33"/>
      <c r="D20" s="26" t="s">
        <v>11</v>
      </c>
      <c r="E20" s="32"/>
      <c r="F20" s="71">
        <v>262595</v>
      </c>
      <c r="G20" s="73">
        <v>203881</v>
      </c>
      <c r="H20" s="71">
        <v>138433</v>
      </c>
      <c r="I20" s="71">
        <v>468</v>
      </c>
      <c r="J20" s="71">
        <v>6081</v>
      </c>
      <c r="K20" s="71">
        <v>97604</v>
      </c>
      <c r="L20" s="64">
        <f>IFERROR(F20/G20-1,"n/a")</f>
        <v>0.28798171482384327</v>
      </c>
      <c r="M20" s="64">
        <f>IFERROR(F20/H20-1,"n/a")</f>
        <v>0.89691041875853306</v>
      </c>
      <c r="N20" s="64">
        <f>IFERROR(F20/I20-1,"n/a")</f>
        <v>560.10042735042737</v>
      </c>
      <c r="O20" s="64">
        <f>IFERROR(F20/J20-1,"n/a")</f>
        <v>42.182864660417692</v>
      </c>
      <c r="P20" s="60">
        <f>IFERROR(F20/K20-1,"n/a")</f>
        <v>1.6904122781853204</v>
      </c>
      <c r="Q20" s="68">
        <f>'June-24'!Q20+F20</f>
        <v>737983.4</v>
      </c>
      <c r="R20" s="68">
        <f>'June-24'!R20+G20</f>
        <v>597661</v>
      </c>
      <c r="S20" s="68">
        <f>'June-24'!S20+H20</f>
        <v>381024</v>
      </c>
      <c r="T20" s="68">
        <f>'June-24'!T20+I20</f>
        <v>468</v>
      </c>
      <c r="U20" s="68">
        <f>'June-24'!U20+J20</f>
        <v>10047</v>
      </c>
      <c r="V20" s="68">
        <f>'June-24'!V20+K20</f>
        <v>284386</v>
      </c>
      <c r="W20" s="64">
        <f>IFERROR(Q20/R20-1,"n/a")</f>
        <v>0.2347859405248125</v>
      </c>
      <c r="X20" s="64">
        <f>IFERROR(Q20/S20-1,"n/a")</f>
        <v>0.93684229864785418</v>
      </c>
      <c r="Y20" s="64">
        <f>IFERROR(Q20/T20-1,"n/a")</f>
        <v>1575.8876068376069</v>
      </c>
      <c r="Z20" s="64">
        <f>IFERROR(Q20/U20-1,"n/a")</f>
        <v>72.453110381208319</v>
      </c>
      <c r="AA20" s="60">
        <f>IFERROR(Q20/V20-1,"n/a")</f>
        <v>1.5950060832811741</v>
      </c>
      <c r="AB20" s="68">
        <v>1277526</v>
      </c>
      <c r="AC20" s="68">
        <v>887495</v>
      </c>
      <c r="AD20" s="68">
        <v>17541</v>
      </c>
      <c r="AE20" s="68">
        <v>10046.999999999998</v>
      </c>
      <c r="AF20" s="135">
        <v>585930</v>
      </c>
      <c r="AG20" s="123"/>
      <c r="AH20" s="123"/>
    </row>
    <row r="21" spans="1:34" s="124" customFormat="1" ht="12.75">
      <c r="A21" s="123"/>
      <c r="B21" s="128"/>
      <c r="C21" s="31" t="s">
        <v>111</v>
      </c>
      <c r="D21" s="26"/>
      <c r="E21" s="34"/>
      <c r="F21" s="72"/>
      <c r="G21" s="72"/>
      <c r="H21" s="72"/>
      <c r="I21" s="72"/>
      <c r="J21" s="72"/>
      <c r="K21" s="72"/>
      <c r="L21" s="64"/>
      <c r="M21" s="64"/>
      <c r="N21" s="64"/>
      <c r="O21" s="64"/>
      <c r="P21" s="60"/>
      <c r="Q21" s="87"/>
      <c r="R21" s="87"/>
      <c r="S21" s="87"/>
      <c r="T21" s="87"/>
      <c r="U21" s="87"/>
      <c r="V21" s="87"/>
      <c r="W21" s="64"/>
      <c r="X21" s="64"/>
      <c r="Y21" s="64"/>
      <c r="Z21" s="64"/>
      <c r="AA21" s="60"/>
      <c r="AB21" s="43"/>
      <c r="AC21" s="43"/>
      <c r="AD21" s="43"/>
      <c r="AE21" s="43"/>
      <c r="AF21" s="136"/>
      <c r="AG21" s="123"/>
      <c r="AH21" s="123"/>
    </row>
    <row r="22" spans="1:34" s="124" customFormat="1" ht="12.75">
      <c r="A22" s="123"/>
      <c r="B22" s="128"/>
      <c r="C22" s="33"/>
      <c r="D22" s="26" t="s">
        <v>5</v>
      </c>
      <c r="E22" s="34"/>
      <c r="F22" s="71">
        <v>78</v>
      </c>
      <c r="G22" s="74">
        <v>81</v>
      </c>
      <c r="H22" s="71">
        <v>74</v>
      </c>
      <c r="I22" s="71">
        <v>10</v>
      </c>
      <c r="J22" s="71">
        <v>0</v>
      </c>
      <c r="K22" s="71">
        <v>68</v>
      </c>
      <c r="L22" s="64">
        <f>IFERROR(F22/G22-1,"n/a")</f>
        <v>-3.703703703703709E-2</v>
      </c>
      <c r="M22" s="64">
        <f>IFERROR(F22/H22-1,"n/a")</f>
        <v>5.4054054054053946E-2</v>
      </c>
      <c r="N22" s="64">
        <f>IFERROR(F22/I22-1,"n/a")</f>
        <v>6.8</v>
      </c>
      <c r="O22" s="64" t="str">
        <f>IFERROR(F22/J22-1,"n/a")</f>
        <v>n/a</v>
      </c>
      <c r="P22" s="60">
        <f>IFERROR(F22/K22-1,"n/a")</f>
        <v>0.14705882352941169</v>
      </c>
      <c r="Q22" s="68">
        <f>'June-24'!Q22+F22</f>
        <v>774</v>
      </c>
      <c r="R22" s="68">
        <f>'June-24'!R22+G22</f>
        <v>777</v>
      </c>
      <c r="S22" s="68">
        <f>'June-24'!S22+H22</f>
        <v>403</v>
      </c>
      <c r="T22" s="68">
        <f>'June-24'!T22+I22</f>
        <v>14</v>
      </c>
      <c r="U22" s="68">
        <f>'June-24'!U22+J22</f>
        <v>43</v>
      </c>
      <c r="V22" s="68">
        <f>'June-24'!V22+K22</f>
        <v>430</v>
      </c>
      <c r="W22" s="64">
        <f>IFERROR(Q22/R22-1,"n/a")</f>
        <v>-3.8610038610038533E-3</v>
      </c>
      <c r="X22" s="64">
        <f>IFERROR(Q22/S22-1,"n/a")</f>
        <v>0.92059553349875922</v>
      </c>
      <c r="Y22" s="64">
        <f>IFERROR(Q22/T22-1,"n/a")</f>
        <v>54.285714285714285</v>
      </c>
      <c r="Z22" s="64">
        <f>IFERROR(Q22/U22-1,"n/a")</f>
        <v>17</v>
      </c>
      <c r="AA22" s="60">
        <f>IFERROR(Q22/V22-1,"n/a")</f>
        <v>0.8</v>
      </c>
      <c r="AB22" s="68">
        <v>1500</v>
      </c>
      <c r="AC22" s="68">
        <v>895</v>
      </c>
      <c r="AD22" s="68">
        <v>283</v>
      </c>
      <c r="AE22" s="68">
        <v>43</v>
      </c>
      <c r="AF22" s="135">
        <v>827</v>
      </c>
      <c r="AG22" s="123"/>
      <c r="AH22" s="123"/>
    </row>
    <row r="23" spans="1:34" s="124" customFormat="1" ht="12.75">
      <c r="A23" s="123"/>
      <c r="B23" s="128"/>
      <c r="C23" s="33"/>
      <c r="D23" s="26" t="s">
        <v>11</v>
      </c>
      <c r="E23" s="32"/>
      <c r="F23" s="71">
        <v>391649</v>
      </c>
      <c r="G23" s="73">
        <v>393561</v>
      </c>
      <c r="H23" s="71">
        <v>283525</v>
      </c>
      <c r="I23" s="71">
        <v>23553</v>
      </c>
      <c r="J23" s="71">
        <v>0</v>
      </c>
      <c r="K23" s="71">
        <v>261197</v>
      </c>
      <c r="L23" s="64">
        <f>IFERROR(F23/G23-1,"n/a")</f>
        <v>-4.8582049542510441E-3</v>
      </c>
      <c r="M23" s="64">
        <f>IFERROR(F23/H23-1,"n/a")</f>
        <v>0.38135614143373608</v>
      </c>
      <c r="N23" s="64">
        <f>IFERROR(F23/I23-1,"n/a")</f>
        <v>15.628412516452258</v>
      </c>
      <c r="O23" s="64" t="str">
        <f>IFERROR(F23/J23-1,"n/a")</f>
        <v>n/a</v>
      </c>
      <c r="P23" s="60">
        <f>IFERROR(F23/K23-1,"n/a")</f>
        <v>0.49943912066371365</v>
      </c>
      <c r="Q23" s="68">
        <f>'June-24'!Q23+F23</f>
        <v>2546374</v>
      </c>
      <c r="R23" s="68">
        <f>'June-24'!R23+G23</f>
        <v>2307313</v>
      </c>
      <c r="S23" s="68">
        <f>'June-24'!S23+H23</f>
        <v>825612</v>
      </c>
      <c r="T23" s="68">
        <f>'June-24'!T23+I23</f>
        <v>28476</v>
      </c>
      <c r="U23" s="68">
        <f>'June-24'!U23+J23</f>
        <v>140552</v>
      </c>
      <c r="V23" s="68">
        <f>'June-24'!V23+K23</f>
        <v>1301649</v>
      </c>
      <c r="W23" s="64">
        <f>IFERROR(Q23/R23-1,"n/a")</f>
        <v>0.1036101300517096</v>
      </c>
      <c r="X23" s="64">
        <f>IFERROR(Q23/S23-1,"n/a")</f>
        <v>2.0842260044669891</v>
      </c>
      <c r="Y23" s="64">
        <f>IFERROR(Q23/T23-1,"n/a")</f>
        <v>88.42175867397107</v>
      </c>
      <c r="Z23" s="64">
        <f>IFERROR(Q23/U23-1,"n/a")</f>
        <v>17.11695315612727</v>
      </c>
      <c r="AA23" s="60">
        <f>IFERROR(Q23/V23-1,"n/a")</f>
        <v>0.95626778033094939</v>
      </c>
      <c r="AB23" s="68">
        <v>4449177</v>
      </c>
      <c r="AC23" s="68">
        <v>2165161</v>
      </c>
      <c r="AD23" s="68">
        <v>465109</v>
      </c>
      <c r="AE23" s="68">
        <v>140552</v>
      </c>
      <c r="AF23" s="135">
        <v>2552942</v>
      </c>
      <c r="AG23" s="123"/>
      <c r="AH23" s="123"/>
    </row>
    <row r="24" spans="1:34" s="124" customFormat="1" ht="12.75">
      <c r="A24" s="123"/>
      <c r="B24" s="128"/>
      <c r="C24" s="31" t="s">
        <v>112</v>
      </c>
      <c r="D24" s="26"/>
      <c r="E24" s="32"/>
      <c r="F24" s="72"/>
      <c r="G24" s="72"/>
      <c r="H24" s="72"/>
      <c r="I24" s="72"/>
      <c r="J24" s="72"/>
      <c r="K24" s="72"/>
      <c r="L24" s="64"/>
      <c r="M24" s="64"/>
      <c r="N24" s="64"/>
      <c r="O24" s="64"/>
      <c r="P24" s="60"/>
      <c r="Q24" s="87"/>
      <c r="R24" s="87"/>
      <c r="S24" s="87"/>
      <c r="T24" s="87"/>
      <c r="U24" s="87"/>
      <c r="V24" s="87"/>
      <c r="W24" s="64"/>
      <c r="X24" s="64"/>
      <c r="Y24" s="64"/>
      <c r="Z24" s="64"/>
      <c r="AA24" s="60"/>
      <c r="AB24" s="43"/>
      <c r="AC24" s="43"/>
      <c r="AD24" s="43"/>
      <c r="AE24" s="43"/>
      <c r="AF24" s="136"/>
      <c r="AG24" s="123"/>
      <c r="AH24" s="123"/>
    </row>
    <row r="25" spans="1:34" s="124" customFormat="1" ht="12.75">
      <c r="B25" s="128"/>
      <c r="C25" s="33"/>
      <c r="D25" s="26" t="s">
        <v>5</v>
      </c>
      <c r="E25" s="32"/>
      <c r="F25" s="71">
        <v>4</v>
      </c>
      <c r="G25" s="71">
        <v>3</v>
      </c>
      <c r="H25" s="71">
        <v>3</v>
      </c>
      <c r="I25" s="71">
        <v>0</v>
      </c>
      <c r="J25" s="71">
        <v>0</v>
      </c>
      <c r="K25" s="71">
        <v>3</v>
      </c>
      <c r="L25" s="64">
        <f>IFERROR(F25/G25-1,"n/a")</f>
        <v>0.33333333333333326</v>
      </c>
      <c r="M25" s="64">
        <f>IFERROR(F25/H25-1,"n/a")</f>
        <v>0.33333333333333326</v>
      </c>
      <c r="N25" s="64" t="str">
        <f>IFERROR(F25/I25-1,"n/a")</f>
        <v>n/a</v>
      </c>
      <c r="O25" s="64" t="str">
        <f>IFERROR(F25/J25-1,"n/a")</f>
        <v>n/a</v>
      </c>
      <c r="P25" s="60">
        <f>IFERROR(F25/K25-1,"n/a")</f>
        <v>0.33333333333333326</v>
      </c>
      <c r="Q25" s="68">
        <f>'June-24'!Q25+F25</f>
        <v>9</v>
      </c>
      <c r="R25" s="68">
        <f>'June-24'!R25+G25</f>
        <v>11</v>
      </c>
      <c r="S25" s="68">
        <f>'June-24'!S25+H25</f>
        <v>5</v>
      </c>
      <c r="T25" s="68">
        <f>'June-24'!T25+I25</f>
        <v>0</v>
      </c>
      <c r="U25" s="68">
        <f>'June-24'!U25+J25</f>
        <v>0</v>
      </c>
      <c r="V25" s="68">
        <f>'June-24'!V25+K25</f>
        <v>11</v>
      </c>
      <c r="W25" s="64">
        <f>IFERROR(Q25/R25-1,"n/a")</f>
        <v>-0.18181818181818177</v>
      </c>
      <c r="X25" s="64">
        <f>IFERROR(Q25/S25-1,"n/a")</f>
        <v>0.8</v>
      </c>
      <c r="Y25" s="64" t="str">
        <f>IFERROR(Q25/T25-1,"n/a")</f>
        <v>n/a</v>
      </c>
      <c r="Z25" s="64" t="str">
        <f>IFERROR(Q25/U25-1,"n/a")</f>
        <v>n/a</v>
      </c>
      <c r="AA25" s="60">
        <f>IFERROR(Q25/V25-1,"n/a")</f>
        <v>-0.18181818181818177</v>
      </c>
      <c r="AB25" s="68">
        <v>21</v>
      </c>
      <c r="AC25" s="68">
        <v>9</v>
      </c>
      <c r="AD25" s="68">
        <v>0</v>
      </c>
      <c r="AE25" s="68">
        <v>0</v>
      </c>
      <c r="AF25" s="135">
        <v>16</v>
      </c>
      <c r="AG25" s="123"/>
      <c r="AH25" s="123"/>
    </row>
    <row r="26" spans="1:34" s="124" customFormat="1" ht="12.75">
      <c r="A26" s="123"/>
      <c r="B26" s="128"/>
      <c r="C26" s="33"/>
      <c r="D26" s="26" t="s">
        <v>11</v>
      </c>
      <c r="E26" s="32"/>
      <c r="F26" s="71">
        <v>15059</v>
      </c>
      <c r="G26" s="71">
        <v>6188</v>
      </c>
      <c r="H26" s="71">
        <v>5526</v>
      </c>
      <c r="I26" s="71">
        <v>0</v>
      </c>
      <c r="J26" s="71">
        <v>0</v>
      </c>
      <c r="K26" s="71">
        <v>3523</v>
      </c>
      <c r="L26" s="64">
        <f>IFERROR(F26/G26-1,"n/a")</f>
        <v>1.4335811247575951</v>
      </c>
      <c r="M26" s="64">
        <f>IFERROR(F26/H26-1,"n/a")</f>
        <v>1.7251176257690917</v>
      </c>
      <c r="N26" s="64" t="str">
        <f>IFERROR(F26/I26-1,"n/a")</f>
        <v>n/a</v>
      </c>
      <c r="O26" s="64" t="str">
        <f>IFERROR(F26/J26-1,"n/a")</f>
        <v>n/a</v>
      </c>
      <c r="P26" s="60">
        <f>IFERROR(F26/K26-1,"n/a")</f>
        <v>3.2744819755889862</v>
      </c>
      <c r="Q26" s="68">
        <f>'June-24'!Q26+F26</f>
        <v>33718</v>
      </c>
      <c r="R26" s="68">
        <f>'June-24'!R26+G26</f>
        <v>19775</v>
      </c>
      <c r="S26" s="68">
        <f>'June-24'!S26+H26</f>
        <v>8677</v>
      </c>
      <c r="T26" s="68">
        <f>'June-24'!T26+I26</f>
        <v>0</v>
      </c>
      <c r="U26" s="68">
        <f>'June-24'!U26+J26</f>
        <v>0</v>
      </c>
      <c r="V26" s="68">
        <f>'June-24'!V26+K26</f>
        <v>13750</v>
      </c>
      <c r="W26" s="64">
        <f>IFERROR(Q26/R26-1,"n/a")</f>
        <v>0.70508217446270538</v>
      </c>
      <c r="X26" s="64">
        <f>IFERROR(Q26/S26-1,"n/a")</f>
        <v>2.88590526679728</v>
      </c>
      <c r="Y26" s="64" t="str">
        <f>IFERROR(Q26/T26-1,"n/a")</f>
        <v>n/a</v>
      </c>
      <c r="Z26" s="64" t="str">
        <f>IFERROR(Q26/U26-1,"n/a")</f>
        <v>n/a</v>
      </c>
      <c r="AA26" s="60">
        <f>IFERROR(Q26/V26-1,"n/a")</f>
        <v>1.4522181818181816</v>
      </c>
      <c r="AB26" s="68">
        <v>38626</v>
      </c>
      <c r="AC26" s="68">
        <v>15637</v>
      </c>
      <c r="AD26" s="68">
        <v>0</v>
      </c>
      <c r="AE26" s="68">
        <v>0</v>
      </c>
      <c r="AF26" s="137">
        <v>20248</v>
      </c>
      <c r="AG26" s="123"/>
      <c r="AH26" s="123"/>
    </row>
    <row r="27" spans="1:34" s="124" customFormat="1" ht="13.5" thickBot="1">
      <c r="A27" s="123"/>
      <c r="B27" s="128"/>
      <c r="C27" s="35" t="s">
        <v>12</v>
      </c>
      <c r="D27" s="36"/>
      <c r="E27" s="37"/>
      <c r="F27" s="75">
        <f t="shared" ref="F27:K28" si="0">F13+F16+F19+F22+F25</f>
        <v>441</v>
      </c>
      <c r="G27" s="75">
        <f t="shared" si="0"/>
        <v>353</v>
      </c>
      <c r="H27" s="75">
        <f t="shared" si="0"/>
        <v>311</v>
      </c>
      <c r="I27" s="75">
        <f t="shared" si="0"/>
        <v>63</v>
      </c>
      <c r="J27" s="75">
        <f t="shared" si="0"/>
        <v>2</v>
      </c>
      <c r="K27" s="75">
        <f t="shared" si="0"/>
        <v>281</v>
      </c>
      <c r="L27" s="66">
        <f>IFERROR(F27/G27-1,"n/a")</f>
        <v>0.24929178470254953</v>
      </c>
      <c r="M27" s="66">
        <f>IFERROR(F27/H27-1,"n/a")</f>
        <v>0.41800643086816724</v>
      </c>
      <c r="N27" s="66">
        <f>IFERROR(F27/I27-1,"n/a")</f>
        <v>6</v>
      </c>
      <c r="O27" s="66">
        <f>IFERROR(F27/J27-1,"n/a")</f>
        <v>219.5</v>
      </c>
      <c r="P27" s="62">
        <f>IFERROR(F27/K27-1,"n/a")</f>
        <v>0.56939501779359425</v>
      </c>
      <c r="Q27" s="75">
        <f t="shared" ref="Q27:V28" si="1">Q13+Q16+Q19+Q22+Q25</f>
        <v>2913</v>
      </c>
      <c r="R27" s="75">
        <f t="shared" si="1"/>
        <v>2382</v>
      </c>
      <c r="S27" s="75">
        <f t="shared" si="1"/>
        <v>1949</v>
      </c>
      <c r="T27" s="75">
        <f t="shared" si="1"/>
        <v>121</v>
      </c>
      <c r="U27" s="75">
        <f t="shared" si="1"/>
        <v>609</v>
      </c>
      <c r="V27" s="75">
        <f t="shared" si="1"/>
        <v>1798</v>
      </c>
      <c r="W27" s="66">
        <f>IFERROR(Q27/R27-1,"n/a")</f>
        <v>0.2229219143576826</v>
      </c>
      <c r="X27" s="66">
        <f>IFERROR(Q27/S27-1,"n/a")</f>
        <v>0.49461262185736277</v>
      </c>
      <c r="Y27" s="66">
        <f>IFERROR(Q27/T27-1,"n/a")</f>
        <v>23.074380165289256</v>
      </c>
      <c r="Z27" s="66">
        <f>IFERROR(Q27/U27-1,"n/a")</f>
        <v>3.7832512315270934</v>
      </c>
      <c r="AA27" s="62">
        <f>IFERROR(Q27/V27-1,"n/a")</f>
        <v>0.62013348164627358</v>
      </c>
      <c r="AB27" s="75">
        <f>AB13+AB16+AB19+AB22+AB25</f>
        <v>4434</v>
      </c>
      <c r="AC27" s="75">
        <f>AC13+AC16+AC19+AC22+AC25</f>
        <v>3620</v>
      </c>
      <c r="AD27" s="46">
        <f t="shared" ref="AD27:AF28" si="2">AD13+AD16+AD19+AD22+AD25</f>
        <v>1054</v>
      </c>
      <c r="AE27" s="46">
        <f t="shared" si="2"/>
        <v>657</v>
      </c>
      <c r="AF27" s="80">
        <f t="shared" si="2"/>
        <v>3310</v>
      </c>
      <c r="AG27" s="123"/>
      <c r="AH27" s="123"/>
    </row>
    <row r="28" spans="1:34" s="124" customFormat="1" ht="14.25" thickTop="1" thickBot="1">
      <c r="A28" s="123"/>
      <c r="B28" s="128"/>
      <c r="C28" s="38" t="s">
        <v>13</v>
      </c>
      <c r="D28" s="39"/>
      <c r="E28" s="40"/>
      <c r="F28" s="76">
        <f t="shared" si="0"/>
        <v>1595545</v>
      </c>
      <c r="G28" s="76">
        <f t="shared" si="0"/>
        <v>1271791</v>
      </c>
      <c r="H28" s="76">
        <f t="shared" si="0"/>
        <v>857236</v>
      </c>
      <c r="I28" s="76">
        <f t="shared" si="0"/>
        <v>92497</v>
      </c>
      <c r="J28" s="76">
        <f t="shared" si="0"/>
        <v>6081</v>
      </c>
      <c r="K28" s="76">
        <f t="shared" si="0"/>
        <v>868909</v>
      </c>
      <c r="L28" s="67">
        <f>IFERROR(F28/G28-1,"n/a")</f>
        <v>0.25456541208421823</v>
      </c>
      <c r="M28" s="67">
        <f>IFERROR(F28/H28-1,"n/a")</f>
        <v>0.86126690899588909</v>
      </c>
      <c r="N28" s="67">
        <f>IFERROR(F28/I28-1,"n/a")</f>
        <v>16.249694584689234</v>
      </c>
      <c r="O28" s="67">
        <f>IFERROR(F28/J28-1,"n/a")</f>
        <v>261.38200953790493</v>
      </c>
      <c r="P28" s="63">
        <f>IFERROR(F28/K28-1,"n/a")</f>
        <v>0.83626248548467097</v>
      </c>
      <c r="Q28" s="76">
        <f t="shared" si="1"/>
        <v>8973110.4000000004</v>
      </c>
      <c r="R28" s="76">
        <f t="shared" si="1"/>
        <v>6870350</v>
      </c>
      <c r="S28" s="76">
        <f t="shared" si="1"/>
        <v>3489716</v>
      </c>
      <c r="T28" s="76">
        <f t="shared" si="1"/>
        <v>162487</v>
      </c>
      <c r="U28" s="76">
        <f t="shared" si="1"/>
        <v>1284596</v>
      </c>
      <c r="V28" s="76">
        <f t="shared" si="1"/>
        <v>5116128</v>
      </c>
      <c r="W28" s="67">
        <f>IFERROR(Q28/R28-1,"n/a")</f>
        <v>0.30606306811152284</v>
      </c>
      <c r="X28" s="67">
        <f>IFERROR(Q28/S28-1,"n/a")</f>
        <v>1.5713010457011403</v>
      </c>
      <c r="Y28" s="67">
        <f>IFERROR(Q28/T28-1,"n/a")</f>
        <v>54.223558807781551</v>
      </c>
      <c r="Z28" s="67">
        <f>IFERROR(Q28/U28-1,"n/a")</f>
        <v>5.9851614048307802</v>
      </c>
      <c r="AA28" s="63">
        <f>IFERROR(Q28/V28-1,"n/a")</f>
        <v>0.75388700204529679</v>
      </c>
      <c r="AB28" s="76">
        <f>AB14+AB17+AB20+AB23+AB26</f>
        <v>12658551</v>
      </c>
      <c r="AC28" s="76">
        <f>AC14+AC17+AC20+AC23+AC26</f>
        <v>7626669</v>
      </c>
      <c r="AD28" s="47">
        <f t="shared" si="2"/>
        <v>1552483</v>
      </c>
      <c r="AE28" s="47">
        <f t="shared" si="2"/>
        <v>1314158</v>
      </c>
      <c r="AF28" s="81">
        <f t="shared" si="2"/>
        <v>9152531</v>
      </c>
      <c r="AG28" s="123"/>
      <c r="AH28" s="123"/>
    </row>
    <row r="29" spans="1:34" s="124" customFormat="1" ht="12" thickTop="1">
      <c r="A29" s="123"/>
      <c r="B29" s="123"/>
      <c r="C29" s="123"/>
      <c r="D29" s="123"/>
      <c r="E29" s="123"/>
      <c r="F29" s="123"/>
      <c r="G29" s="129"/>
      <c r="H29" s="129"/>
      <c r="I29" s="129"/>
      <c r="J29" s="129"/>
      <c r="K29" s="129"/>
      <c r="L29" s="129"/>
      <c r="M29" s="129"/>
      <c r="N29" s="129"/>
      <c r="O29" s="129"/>
      <c r="P29" s="123"/>
      <c r="Q29" s="123"/>
      <c r="R29" s="123"/>
      <c r="S29" s="123"/>
      <c r="T29" s="123"/>
      <c r="U29" s="123"/>
      <c r="V29" s="123"/>
      <c r="W29" s="123"/>
      <c r="X29" s="123"/>
      <c r="Y29" s="123"/>
      <c r="Z29" s="123"/>
      <c r="AA29" s="123"/>
      <c r="AB29" s="123"/>
      <c r="AC29" s="123"/>
      <c r="AD29" s="123"/>
      <c r="AE29" s="123"/>
      <c r="AF29" s="123"/>
      <c r="AG29" s="123"/>
      <c r="AH29" s="123"/>
    </row>
    <row r="30" spans="1:34" s="124" customFormat="1" ht="11.25">
      <c r="A30" s="123"/>
      <c r="B30" s="123"/>
      <c r="C30" s="123"/>
      <c r="D30" s="123"/>
      <c r="E30" s="123"/>
      <c r="F30" s="123"/>
      <c r="G30" s="129"/>
      <c r="H30" s="129"/>
      <c r="I30" s="129"/>
      <c r="J30" s="129"/>
      <c r="K30" s="129"/>
      <c r="L30" s="129"/>
      <c r="M30" s="129"/>
      <c r="N30" s="129"/>
      <c r="O30" s="129"/>
      <c r="P30" s="123"/>
      <c r="Q30" s="123"/>
      <c r="R30" s="129"/>
      <c r="S30" s="123"/>
      <c r="T30" s="123"/>
      <c r="U30" s="123"/>
      <c r="V30" s="123"/>
      <c r="W30" s="123"/>
      <c r="X30" s="123"/>
      <c r="Y30" s="123"/>
      <c r="Z30" s="123"/>
      <c r="AA30" s="123"/>
      <c r="AB30" s="123"/>
      <c r="AC30" s="123"/>
      <c r="AD30" s="123"/>
      <c r="AE30" s="123"/>
      <c r="AF30" s="123"/>
      <c r="AG30" s="123"/>
      <c r="AH30" s="123"/>
    </row>
    <row r="31" spans="1:34" s="124" customFormat="1" ht="12.75">
      <c r="A31" s="123"/>
      <c r="B31" s="130"/>
      <c r="C31" s="131" t="s">
        <v>63</v>
      </c>
      <c r="D31" s="24"/>
      <c r="E31" s="24"/>
      <c r="F31" s="24"/>
      <c r="G31" s="24"/>
      <c r="H31" s="24"/>
      <c r="I31" s="24"/>
      <c r="J31" s="24"/>
      <c r="K31" s="95"/>
      <c r="L31" s="95"/>
      <c r="M31" s="95"/>
      <c r="N31" s="95"/>
      <c r="O31" s="95"/>
      <c r="P31" s="24"/>
      <c r="Q31" s="24"/>
      <c r="R31" s="24"/>
      <c r="S31" s="24"/>
      <c r="T31" s="24"/>
      <c r="U31" s="24"/>
      <c r="V31" s="24"/>
      <c r="W31" s="24"/>
      <c r="X31" s="24"/>
      <c r="Y31" s="24"/>
      <c r="Z31" s="24"/>
      <c r="AA31" s="24"/>
      <c r="AB31" s="24"/>
      <c r="AC31" s="24"/>
      <c r="AD31" s="24"/>
      <c r="AE31" s="24"/>
      <c r="AF31" s="24"/>
      <c r="AG31" s="24"/>
      <c r="AH31" s="123"/>
    </row>
    <row r="32" spans="1:34" s="124" customFormat="1" ht="12.75">
      <c r="A32" s="123"/>
      <c r="B32" s="130"/>
      <c r="C32" s="24"/>
      <c r="D32" s="24"/>
      <c r="E32" s="24"/>
      <c r="F32" s="24"/>
      <c r="G32" s="24"/>
      <c r="H32" s="24"/>
      <c r="I32" s="24"/>
      <c r="J32" s="24"/>
      <c r="K32" s="95"/>
      <c r="L32" s="95"/>
      <c r="M32" s="95"/>
      <c r="N32" s="95"/>
      <c r="O32" s="95"/>
      <c r="P32" s="24"/>
      <c r="Q32" s="24"/>
      <c r="R32" s="24"/>
      <c r="S32" s="24"/>
      <c r="T32" s="24"/>
      <c r="U32" s="24"/>
      <c r="V32" s="24"/>
      <c r="W32" s="24"/>
      <c r="X32" s="24"/>
      <c r="Y32" s="24"/>
      <c r="Z32" s="24"/>
      <c r="AA32" s="24"/>
      <c r="AB32" s="24"/>
      <c r="AC32" s="24"/>
      <c r="AD32" s="24"/>
      <c r="AE32" s="24"/>
      <c r="AF32" s="24"/>
      <c r="AG32" s="24"/>
      <c r="AH32" s="123"/>
    </row>
    <row r="33" spans="1:34" s="124" customFormat="1" ht="15" customHeight="1">
      <c r="A33" s="123"/>
      <c r="B33" s="123"/>
      <c r="C33" s="27" t="s">
        <v>7</v>
      </c>
      <c r="D33" s="28"/>
      <c r="E33" s="28"/>
      <c r="F33" s="158" t="str">
        <f>F9</f>
        <v>July</v>
      </c>
      <c r="G33" s="158"/>
      <c r="H33" s="158"/>
      <c r="I33" s="158"/>
      <c r="J33" s="158"/>
      <c r="K33" s="158"/>
      <c r="L33" s="158"/>
      <c r="M33" s="158"/>
      <c r="N33" s="158"/>
      <c r="O33" s="158"/>
      <c r="P33" s="159"/>
      <c r="Q33" s="161" t="s">
        <v>136</v>
      </c>
      <c r="R33" s="162"/>
      <c r="S33" s="162"/>
      <c r="T33" s="162"/>
      <c r="U33" s="162"/>
      <c r="V33" s="162"/>
      <c r="W33" s="162"/>
      <c r="X33" s="162"/>
      <c r="Y33" s="162"/>
      <c r="Z33" s="162"/>
      <c r="AA33" s="163"/>
      <c r="AB33" s="161" t="s">
        <v>58</v>
      </c>
      <c r="AC33" s="162"/>
      <c r="AD33" s="162"/>
      <c r="AE33" s="162"/>
      <c r="AF33" s="164"/>
    </row>
    <row r="34" spans="1:34" s="124" customFormat="1" ht="11.25">
      <c r="A34" s="123"/>
      <c r="B34" s="123"/>
      <c r="C34" s="29"/>
      <c r="D34" s="30"/>
      <c r="E34" s="30"/>
      <c r="F34" s="143"/>
      <c r="G34" s="144"/>
      <c r="H34" s="144"/>
      <c r="I34" s="144"/>
      <c r="J34" s="144"/>
      <c r="K34" s="144"/>
      <c r="L34" s="144"/>
      <c r="M34" s="144"/>
      <c r="N34" s="144"/>
      <c r="O34" s="144"/>
      <c r="P34" s="145"/>
      <c r="Q34" s="144"/>
      <c r="R34" s="144"/>
      <c r="S34" s="144"/>
      <c r="T34" s="144"/>
      <c r="U34" s="144"/>
      <c r="V34" s="144"/>
      <c r="W34" s="144"/>
      <c r="X34" s="144"/>
      <c r="Y34" s="144"/>
      <c r="Z34" s="144"/>
      <c r="AA34" s="145"/>
      <c r="AB34" s="152"/>
      <c r="AC34" s="153"/>
      <c r="AD34" s="153"/>
      <c r="AE34" s="153"/>
      <c r="AF34" s="154"/>
    </row>
    <row r="35" spans="1:34" s="124" customFormat="1" ht="22.5">
      <c r="A35" s="123"/>
      <c r="B35" s="123"/>
      <c r="C35" s="59" t="s">
        <v>29</v>
      </c>
      <c r="D35" s="50"/>
      <c r="E35" s="51"/>
      <c r="F35" s="55">
        <v>2024</v>
      </c>
      <c r="G35" s="52">
        <v>2023</v>
      </c>
      <c r="H35" s="52">
        <v>2022</v>
      </c>
      <c r="I35" s="52">
        <v>2021</v>
      </c>
      <c r="J35" s="52">
        <v>2020</v>
      </c>
      <c r="K35" s="52">
        <v>2019</v>
      </c>
      <c r="L35" s="53" t="s">
        <v>116</v>
      </c>
      <c r="M35" s="53" t="s">
        <v>117</v>
      </c>
      <c r="N35" s="53" t="s">
        <v>118</v>
      </c>
      <c r="O35" s="53" t="s">
        <v>119</v>
      </c>
      <c r="P35" s="57" t="s">
        <v>101</v>
      </c>
      <c r="Q35" s="53" t="s">
        <v>130</v>
      </c>
      <c r="R35" s="53" t="s">
        <v>115</v>
      </c>
      <c r="S35" s="53" t="s">
        <v>53</v>
      </c>
      <c r="T35" s="52" t="s">
        <v>54</v>
      </c>
      <c r="U35" s="52" t="s">
        <v>59</v>
      </c>
      <c r="V35" s="52" t="s">
        <v>64</v>
      </c>
      <c r="W35" s="53" t="s">
        <v>131</v>
      </c>
      <c r="X35" s="53" t="s">
        <v>116</v>
      </c>
      <c r="Y35" s="53" t="s">
        <v>117</v>
      </c>
      <c r="Z35" s="53" t="s">
        <v>118</v>
      </c>
      <c r="AA35" s="57" t="s">
        <v>119</v>
      </c>
      <c r="AB35" s="146"/>
      <c r="AC35" s="53" t="s">
        <v>53</v>
      </c>
      <c r="AD35" s="53" t="s">
        <v>54</v>
      </c>
      <c r="AE35" s="53" t="s">
        <v>65</v>
      </c>
      <c r="AF35" s="57" t="s">
        <v>73</v>
      </c>
      <c r="AH35" s="123"/>
    </row>
    <row r="36" spans="1:34" s="124" customFormat="1" ht="11.25">
      <c r="A36" s="123"/>
      <c r="B36" s="123"/>
      <c r="C36" s="31" t="s">
        <v>108</v>
      </c>
      <c r="D36" s="26"/>
      <c r="E36" s="32"/>
      <c r="F36" s="26"/>
      <c r="G36" s="26"/>
      <c r="H36" s="26"/>
      <c r="I36" s="26"/>
      <c r="J36" s="26"/>
      <c r="K36" s="26"/>
      <c r="L36" s="26"/>
      <c r="M36" s="26"/>
      <c r="N36" s="26"/>
      <c r="O36" s="26"/>
      <c r="P36" s="32"/>
      <c r="Q36" s="26"/>
      <c r="R36" s="26"/>
      <c r="S36" s="26"/>
      <c r="T36" s="26"/>
      <c r="U36" s="26"/>
      <c r="V36" s="123"/>
      <c r="W36" s="26"/>
      <c r="X36" s="26"/>
      <c r="Y36" s="123"/>
      <c r="Z36" s="26"/>
      <c r="AA36" s="32"/>
      <c r="AB36" s="147"/>
      <c r="AC36" s="26"/>
      <c r="AD36" s="26"/>
      <c r="AE36" s="88"/>
      <c r="AF36" s="85"/>
      <c r="AH36" s="123"/>
    </row>
    <row r="37" spans="1:34" s="124" customFormat="1" ht="11.25">
      <c r="A37" s="123"/>
      <c r="B37" s="123"/>
      <c r="C37" s="33"/>
      <c r="D37" s="26" t="s">
        <v>5</v>
      </c>
      <c r="E37" s="32"/>
      <c r="F37" s="74">
        <f t="shared" ref="F37:K38" si="3">F13</f>
        <v>166</v>
      </c>
      <c r="G37" s="74">
        <f t="shared" si="3"/>
        <v>105</v>
      </c>
      <c r="H37" s="74">
        <f t="shared" si="3"/>
        <v>84</v>
      </c>
      <c r="I37" s="74">
        <f t="shared" si="3"/>
        <v>28</v>
      </c>
      <c r="J37" s="74">
        <f t="shared" si="3"/>
        <v>0</v>
      </c>
      <c r="K37" s="74">
        <f t="shared" si="3"/>
        <v>101</v>
      </c>
      <c r="L37" s="64">
        <f>IFERROR(F37/G37-1,"n/a")</f>
        <v>0.58095238095238089</v>
      </c>
      <c r="M37" s="64">
        <f>IFERROR(F37/H37-1,"n/a")</f>
        <v>0.97619047619047628</v>
      </c>
      <c r="N37" s="64">
        <f>IFERROR(F37/I37-1,"n/a")</f>
        <v>4.9285714285714288</v>
      </c>
      <c r="O37" s="64" t="str">
        <f>IFERROR(F37/J37-1,"n/a")</f>
        <v>n/a</v>
      </c>
      <c r="P37" s="60">
        <f>IFERROR(F37/K37-1,"n/a")</f>
        <v>0.64356435643564347</v>
      </c>
      <c r="Q37" s="74">
        <f>'June-24'!Q37+F37</f>
        <v>672</v>
      </c>
      <c r="R37" s="74">
        <f>'June-24'!R37+G37</f>
        <v>428</v>
      </c>
      <c r="S37" s="74">
        <f>'June-24'!S37+H37</f>
        <v>380</v>
      </c>
      <c r="T37" s="74">
        <f>'June-24'!T37+I37</f>
        <v>28</v>
      </c>
      <c r="U37" s="74">
        <f>'June-24'!U37+J37</f>
        <v>42</v>
      </c>
      <c r="V37" s="74">
        <f>'June-24'!V37+K37</f>
        <v>410</v>
      </c>
      <c r="W37" s="120">
        <f>IFERROR(Q37/R37-1,"n/a")</f>
        <v>0.57009345794392519</v>
      </c>
      <c r="X37" s="120">
        <f>IFERROR(R37/S37-1,"n/a")</f>
        <v>0.12631578947368416</v>
      </c>
      <c r="Y37" s="120">
        <f>IFERROR(R37/T37-1,"n/a")</f>
        <v>14.285714285714286</v>
      </c>
      <c r="Z37" s="120">
        <f>IFERROR(R37/U37-1,"n/a")</f>
        <v>9.1904761904761898</v>
      </c>
      <c r="AA37" s="121">
        <f>IFERROR(R37/V37-1,"n/a")</f>
        <v>4.3902439024390283E-2</v>
      </c>
      <c r="AB37" s="148"/>
      <c r="AC37" s="89">
        <v>1486</v>
      </c>
      <c r="AD37" s="89">
        <v>1052</v>
      </c>
      <c r="AE37" s="70">
        <v>551</v>
      </c>
      <c r="AF37" s="78">
        <v>1584</v>
      </c>
      <c r="AH37" s="123"/>
    </row>
    <row r="38" spans="1:34" s="124" customFormat="1" ht="11.25">
      <c r="A38" s="123"/>
      <c r="B38" s="123"/>
      <c r="C38" s="33"/>
      <c r="D38" s="26" t="s">
        <v>11</v>
      </c>
      <c r="E38" s="32"/>
      <c r="F38" s="74">
        <f t="shared" si="3"/>
        <v>639139</v>
      </c>
      <c r="G38" s="74">
        <f t="shared" si="3"/>
        <v>396404</v>
      </c>
      <c r="H38" s="74">
        <f t="shared" si="3"/>
        <v>292122</v>
      </c>
      <c r="I38" s="74">
        <f t="shared" si="3"/>
        <v>30914</v>
      </c>
      <c r="J38" s="74">
        <f t="shared" si="3"/>
        <v>0</v>
      </c>
      <c r="K38" s="74">
        <f t="shared" si="3"/>
        <v>332464</v>
      </c>
      <c r="L38" s="64">
        <f>IFERROR(F38/G38-1,"n/a")</f>
        <v>0.61234245870374671</v>
      </c>
      <c r="M38" s="64">
        <f>IFERROR(F38/H38-1,"n/a")</f>
        <v>1.1879180616317839</v>
      </c>
      <c r="N38" s="64">
        <f>IFERROR(F38/I38-1,"n/a")</f>
        <v>19.674742834961506</v>
      </c>
      <c r="O38" s="64" t="str">
        <f>IFERROR(F38/J38-1,"n/a")</f>
        <v>n/a</v>
      </c>
      <c r="P38" s="60">
        <f>IFERROR(F38/K38-1,"n/a")</f>
        <v>0.92243069926367971</v>
      </c>
      <c r="Q38" s="74">
        <f>'June-24'!Q38+F38</f>
        <v>2440355</v>
      </c>
      <c r="R38" s="74">
        <f>'June-24'!R38+G38</f>
        <v>1559282</v>
      </c>
      <c r="S38" s="74">
        <f>'June-24'!S38+H38</f>
        <v>1076553</v>
      </c>
      <c r="T38" s="74">
        <f>'June-24'!T38+I38</f>
        <v>30914</v>
      </c>
      <c r="U38" s="74">
        <f>'June-24'!U38+J38</f>
        <v>0</v>
      </c>
      <c r="V38" s="74">
        <f>'June-24'!V38+K38</f>
        <v>1332615</v>
      </c>
      <c r="W38" s="120">
        <f>IFERROR(Q38/R38-1,"n/a")</f>
        <v>0.56505045270836196</v>
      </c>
      <c r="X38" s="120">
        <f>IFERROR(R38/S38-1,"n/a")</f>
        <v>0.44840244744104574</v>
      </c>
      <c r="Y38" s="120">
        <f>IFERROR(R38/T38-1,"n/a")</f>
        <v>49.439347868279746</v>
      </c>
      <c r="Z38" s="120" t="str">
        <f>IFERROR(R38/U38-1,"n/a")</f>
        <v>n/a</v>
      </c>
      <c r="AA38" s="121">
        <f>IFERROR(R38/V38-1,"n/a")</f>
        <v>0.17009188700412348</v>
      </c>
      <c r="AB38" s="148"/>
      <c r="AC38" s="89">
        <v>4370939</v>
      </c>
      <c r="AD38" s="89">
        <v>1527970</v>
      </c>
      <c r="AE38" s="84">
        <v>1092884</v>
      </c>
      <c r="AF38" s="78">
        <v>4234259</v>
      </c>
      <c r="AH38" s="123"/>
    </row>
    <row r="39" spans="1:34" s="124" customFormat="1" ht="11.25">
      <c r="A39" s="123"/>
      <c r="B39" s="123"/>
      <c r="C39" s="31" t="s">
        <v>135</v>
      </c>
      <c r="D39" s="26"/>
      <c r="E39" s="32"/>
      <c r="F39" s="26"/>
      <c r="G39" s="26"/>
      <c r="H39" s="26"/>
      <c r="I39" s="26"/>
      <c r="J39" s="26"/>
      <c r="K39" s="26"/>
      <c r="L39" s="64"/>
      <c r="M39" s="64"/>
      <c r="N39" s="64"/>
      <c r="O39" s="64"/>
      <c r="P39" s="61"/>
      <c r="Q39" s="26"/>
      <c r="R39" s="26"/>
      <c r="S39" s="26"/>
      <c r="T39" s="26"/>
      <c r="U39" s="26"/>
      <c r="V39" s="26"/>
      <c r="W39" s="65"/>
      <c r="X39" s="65"/>
      <c r="Y39" s="65"/>
      <c r="Z39" s="65"/>
      <c r="AA39" s="61"/>
      <c r="AB39" s="149"/>
      <c r="AC39" s="90"/>
      <c r="AD39" s="90"/>
      <c r="AE39" s="44"/>
      <c r="AF39" s="79"/>
      <c r="AH39" s="123"/>
    </row>
    <row r="40" spans="1:34" s="124" customFormat="1" ht="11.25">
      <c r="A40" s="123"/>
      <c r="B40" s="123"/>
      <c r="C40" s="33"/>
      <c r="D40" s="26" t="s">
        <v>5</v>
      </c>
      <c r="E40" s="32"/>
      <c r="F40" s="74">
        <f t="shared" ref="F40:K41" si="4">F16</f>
        <v>93</v>
      </c>
      <c r="G40" s="74">
        <f t="shared" si="4"/>
        <v>71</v>
      </c>
      <c r="H40" s="74">
        <f t="shared" si="4"/>
        <v>62</v>
      </c>
      <c r="I40" s="74">
        <f t="shared" si="4"/>
        <v>22</v>
      </c>
      <c r="J40" s="74">
        <f t="shared" si="4"/>
        <v>0</v>
      </c>
      <c r="K40" s="74">
        <f t="shared" si="4"/>
        <v>59</v>
      </c>
      <c r="L40" s="64">
        <f>IFERROR(F40/G40-1,"n/a")</f>
        <v>0.3098591549295775</v>
      </c>
      <c r="M40" s="64">
        <f>IFERROR(F40/H40-1,"n/a")</f>
        <v>0.5</v>
      </c>
      <c r="N40" s="64">
        <f>IFERROR(F40/I40-1,"n/a")</f>
        <v>3.2272727272727275</v>
      </c>
      <c r="O40" s="64" t="str">
        <f>IFERROR(F40/J40-1,"n/a")</f>
        <v>n/a</v>
      </c>
      <c r="P40" s="60">
        <f>IFERROR(F40/K40-1,"n/a")</f>
        <v>0.57627118644067798</v>
      </c>
      <c r="Q40" s="74">
        <f>'June-24'!Q40+F40</f>
        <v>354</v>
      </c>
      <c r="R40" s="74">
        <f>'June-24'!R40+G40</f>
        <v>260</v>
      </c>
      <c r="S40" s="74">
        <f>'June-24'!S40+H40</f>
        <v>278</v>
      </c>
      <c r="T40" s="74">
        <f>'June-24'!T40+I40</f>
        <v>61</v>
      </c>
      <c r="U40" s="74">
        <f>'June-24'!U40+J40</f>
        <v>0</v>
      </c>
      <c r="V40" s="74">
        <f>'June-24'!V40+K40</f>
        <v>252</v>
      </c>
      <c r="W40" s="120">
        <f>IFERROR(Q40/R40-1,"n/a")</f>
        <v>0.36153846153846159</v>
      </c>
      <c r="X40" s="120">
        <f>IFERROR(R40/S40-1,"n/a")</f>
        <v>-6.4748201438848962E-2</v>
      </c>
      <c r="Y40" s="120">
        <f>IFERROR(R40/T40-1,"n/a")</f>
        <v>3.2622950819672134</v>
      </c>
      <c r="Z40" s="120" t="str">
        <f>IFERROR(R40/U40-1,"n/a")</f>
        <v>n/a</v>
      </c>
      <c r="AA40" s="121">
        <f>IFERROR(R40/V40-1,"n/a")</f>
        <v>3.1746031746031855E-2</v>
      </c>
      <c r="AB40" s="148"/>
      <c r="AC40" s="89">
        <v>563</v>
      </c>
      <c r="AD40" s="89">
        <v>226</v>
      </c>
      <c r="AE40" s="70">
        <v>66</v>
      </c>
      <c r="AF40" s="78">
        <v>573</v>
      </c>
      <c r="AH40" s="123"/>
    </row>
    <row r="41" spans="1:34" s="124" customFormat="1" ht="11.25">
      <c r="A41" s="123"/>
      <c r="B41" s="123"/>
      <c r="C41" s="33"/>
      <c r="D41" s="26" t="s">
        <v>11</v>
      </c>
      <c r="E41" s="32"/>
      <c r="F41" s="74">
        <f t="shared" si="4"/>
        <v>287103</v>
      </c>
      <c r="G41" s="74">
        <f t="shared" si="4"/>
        <v>271757</v>
      </c>
      <c r="H41" s="74">
        <f t="shared" si="4"/>
        <v>137630</v>
      </c>
      <c r="I41" s="74">
        <f t="shared" si="4"/>
        <v>37562</v>
      </c>
      <c r="J41" s="74">
        <f t="shared" si="4"/>
        <v>0</v>
      </c>
      <c r="K41" s="74">
        <f t="shared" si="4"/>
        <v>174121</v>
      </c>
      <c r="L41" s="64">
        <f>IFERROR(F41/G41-1,"n/a")</f>
        <v>5.6469566561302864E-2</v>
      </c>
      <c r="M41" s="64">
        <f>IFERROR(F41/H41-1,"n/a")</f>
        <v>1.0860495531497492</v>
      </c>
      <c r="N41" s="64">
        <f>IFERROR(F41/I41-1,"n/a")</f>
        <v>6.643442841169267</v>
      </c>
      <c r="O41" s="64" t="str">
        <f>IFERROR(F41/J41-1,"n/a")</f>
        <v>n/a</v>
      </c>
      <c r="P41" s="60">
        <f>IFERROR(F41/K41-1,"n/a")</f>
        <v>0.64887061296454762</v>
      </c>
      <c r="Q41" s="74">
        <f>'June-24'!Q41+F41</f>
        <v>930282</v>
      </c>
      <c r="R41" s="74">
        <f>'June-24'!R41+G41</f>
        <v>765080</v>
      </c>
      <c r="S41" s="74">
        <f>'June-24'!S41+H41</f>
        <v>401684</v>
      </c>
      <c r="T41" s="74">
        <f>'June-24'!T41+I41</f>
        <v>92526</v>
      </c>
      <c r="U41" s="74">
        <f>'June-24'!U41+J41</f>
        <v>0</v>
      </c>
      <c r="V41" s="74">
        <f>'June-24'!V41+K41</f>
        <v>652250</v>
      </c>
      <c r="W41" s="120">
        <f>IFERROR(Q41/R41-1,"n/a")</f>
        <v>0.2159277461180531</v>
      </c>
      <c r="X41" s="120">
        <f>IFERROR(R41/S41-1,"n/a")</f>
        <v>0.90468129176168333</v>
      </c>
      <c r="Y41" s="120">
        <f>IFERROR(R41/T41-1,"n/a")</f>
        <v>7.2688109288200078</v>
      </c>
      <c r="Z41" s="120" t="str">
        <f>IFERROR(R41/U41-1,"n/a")</f>
        <v>n/a</v>
      </c>
      <c r="AA41" s="121">
        <f>IFERROR(R41/V41-1,"n/a")</f>
        <v>0.17298581832119586</v>
      </c>
      <c r="AB41" s="148"/>
      <c r="AC41" s="89">
        <v>1012510</v>
      </c>
      <c r="AD41" s="89">
        <v>327926</v>
      </c>
      <c r="AE41" s="84">
        <v>80778</v>
      </c>
      <c r="AF41" s="78">
        <v>1361671</v>
      </c>
      <c r="AH41" s="123"/>
    </row>
    <row r="42" spans="1:34" s="124" customFormat="1" ht="11.25">
      <c r="A42" s="123"/>
      <c r="B42" s="123"/>
      <c r="C42" s="31" t="s">
        <v>110</v>
      </c>
      <c r="D42" s="26"/>
      <c r="E42" s="32"/>
      <c r="F42" s="87"/>
      <c r="G42" s="87"/>
      <c r="H42" s="87"/>
      <c r="I42" s="87"/>
      <c r="J42" s="87"/>
      <c r="K42" s="72"/>
      <c r="L42" s="64"/>
      <c r="M42" s="64"/>
      <c r="N42" s="64"/>
      <c r="O42" s="64"/>
      <c r="P42" s="60"/>
      <c r="Q42" s="87"/>
      <c r="R42" s="87"/>
      <c r="S42" s="87"/>
      <c r="T42" s="87"/>
      <c r="U42" s="87"/>
      <c r="V42" s="72"/>
      <c r="W42" s="64"/>
      <c r="X42" s="64"/>
      <c r="Y42" s="64"/>
      <c r="Z42" s="64"/>
      <c r="AA42" s="60"/>
      <c r="AB42" s="148"/>
      <c r="AC42" s="90"/>
      <c r="AD42" s="90"/>
      <c r="AE42" s="44"/>
      <c r="AF42" s="79"/>
      <c r="AH42" s="123"/>
    </row>
    <row r="43" spans="1:34" s="124" customFormat="1" ht="11.25">
      <c r="A43" s="123"/>
      <c r="B43" s="123"/>
      <c r="C43" s="33"/>
      <c r="D43" s="26" t="s">
        <v>5</v>
      </c>
      <c r="E43" s="32"/>
      <c r="F43" s="74">
        <f t="shared" ref="F43:K44" si="5">F19</f>
        <v>100</v>
      </c>
      <c r="G43" s="74">
        <f t="shared" si="5"/>
        <v>93</v>
      </c>
      <c r="H43" s="74">
        <f t="shared" si="5"/>
        <v>88</v>
      </c>
      <c r="I43" s="74">
        <f t="shared" si="5"/>
        <v>3</v>
      </c>
      <c r="J43" s="74">
        <f t="shared" si="5"/>
        <v>2</v>
      </c>
      <c r="K43" s="74">
        <f t="shared" si="5"/>
        <v>50</v>
      </c>
      <c r="L43" s="64">
        <f>IFERROR(F43/G43-1,"n/a")</f>
        <v>7.5268817204301008E-2</v>
      </c>
      <c r="M43" s="64">
        <f>IFERROR(F43/H43-1,"n/a")</f>
        <v>0.13636363636363646</v>
      </c>
      <c r="N43" s="64">
        <f>IFERROR(F43/I43-1,"n/a")</f>
        <v>32.333333333333336</v>
      </c>
      <c r="O43" s="64">
        <f>IFERROR(F43/J43-1,"n/a")</f>
        <v>49</v>
      </c>
      <c r="P43" s="60">
        <f>IFERROR(F43/K43-1,"n/a")</f>
        <v>1</v>
      </c>
      <c r="Q43" s="74">
        <f>'June-24'!Q43+F43</f>
        <v>338</v>
      </c>
      <c r="R43" s="74">
        <f>'June-24'!R43+G43</f>
        <v>326</v>
      </c>
      <c r="S43" s="74">
        <f>'June-24'!S43+H43</f>
        <v>305</v>
      </c>
      <c r="T43" s="74">
        <f>'June-24'!T43+I43</f>
        <v>6</v>
      </c>
      <c r="U43" s="74">
        <f>'June-24'!U43+J43</f>
        <v>2</v>
      </c>
      <c r="V43" s="74">
        <f>'June-24'!V43+K43</f>
        <v>150</v>
      </c>
      <c r="W43" s="120">
        <f>IFERROR(Q43/R43-1,"n/a")</f>
        <v>3.6809815950920255E-2</v>
      </c>
      <c r="X43" s="120">
        <f>IFERROR(R43/S43-1,"n/a")</f>
        <v>6.8852459016393475E-2</v>
      </c>
      <c r="Y43" s="120">
        <f>IFERROR(R43/T43-1,"n/a")</f>
        <v>53.333333333333336</v>
      </c>
      <c r="Z43" s="120">
        <f>IFERROR(R43/U43-1,"n/a")</f>
        <v>162</v>
      </c>
      <c r="AA43" s="121">
        <f>IFERROR(R43/V43-1,"n/a")</f>
        <v>1.1733333333333333</v>
      </c>
      <c r="AB43" s="148"/>
      <c r="AC43" s="89">
        <v>669</v>
      </c>
      <c r="AD43" s="89">
        <v>59</v>
      </c>
      <c r="AE43" s="70">
        <v>9</v>
      </c>
      <c r="AF43" s="78">
        <v>287</v>
      </c>
      <c r="AH43" s="123"/>
    </row>
    <row r="44" spans="1:34" s="124" customFormat="1" ht="11.25">
      <c r="A44" s="123"/>
      <c r="B44" s="123"/>
      <c r="C44" s="33"/>
      <c r="D44" s="26" t="s">
        <v>11</v>
      </c>
      <c r="E44" s="32"/>
      <c r="F44" s="74">
        <f t="shared" si="5"/>
        <v>262595</v>
      </c>
      <c r="G44" s="74">
        <f t="shared" si="5"/>
        <v>203881</v>
      </c>
      <c r="H44" s="74">
        <f t="shared" si="5"/>
        <v>138433</v>
      </c>
      <c r="I44" s="74">
        <f t="shared" si="5"/>
        <v>468</v>
      </c>
      <c r="J44" s="74">
        <f t="shared" si="5"/>
        <v>6081</v>
      </c>
      <c r="K44" s="74">
        <f t="shared" si="5"/>
        <v>97604</v>
      </c>
      <c r="L44" s="64">
        <f>IFERROR(F44/G44-1,"n/a")</f>
        <v>0.28798171482384327</v>
      </c>
      <c r="M44" s="64">
        <f>IFERROR(F44/H44-1,"n/a")</f>
        <v>0.89691041875853306</v>
      </c>
      <c r="N44" s="64">
        <f>IFERROR(F44/I44-1,"n/a")</f>
        <v>560.10042735042737</v>
      </c>
      <c r="O44" s="64">
        <f>IFERROR(F44/J44-1,"n/a")</f>
        <v>42.182864660417692</v>
      </c>
      <c r="P44" s="60">
        <f>IFERROR(F44/K44-1,"n/a")</f>
        <v>1.6904122781853204</v>
      </c>
      <c r="Q44" s="74">
        <f>'June-24'!Q44+F44</f>
        <v>698242.4</v>
      </c>
      <c r="R44" s="74">
        <f>'June-24'!R44+G44</f>
        <v>576815</v>
      </c>
      <c r="S44" s="74">
        <f>'June-24'!S44+H44</f>
        <v>377939</v>
      </c>
      <c r="T44" s="74">
        <f>'June-24'!T44+I44</f>
        <v>468</v>
      </c>
      <c r="U44" s="74">
        <f>'June-24'!U44+J44</f>
        <v>8294</v>
      </c>
      <c r="V44" s="74">
        <f>'June-24'!V44+K44</f>
        <v>277902</v>
      </c>
      <c r="W44" s="120">
        <f>IFERROR(Q44/R44-1,"n/a")</f>
        <v>0.21051359621369081</v>
      </c>
      <c r="X44" s="120">
        <f>IFERROR(R44/S44-1,"n/a")</f>
        <v>0.52621190192068035</v>
      </c>
      <c r="Y44" s="120">
        <f>IFERROR(R44/T44-1,"n/a")</f>
        <v>1231.5106837606838</v>
      </c>
      <c r="Z44" s="120">
        <f>IFERROR(R44/U44-1,"n/a")</f>
        <v>68.546057390884982</v>
      </c>
      <c r="AA44" s="121">
        <f>IFERROR(R44/V44-1,"n/a")</f>
        <v>1.0756057890911186</v>
      </c>
      <c r="AB44" s="148"/>
      <c r="AC44" s="82">
        <v>905256</v>
      </c>
      <c r="AD44" s="82">
        <v>20626</v>
      </c>
      <c r="AE44" s="84">
        <v>10047</v>
      </c>
      <c r="AF44" s="78">
        <v>581199</v>
      </c>
      <c r="AH44" s="123"/>
    </row>
    <row r="45" spans="1:34" s="124" customFormat="1" ht="11.25">
      <c r="A45" s="123"/>
      <c r="B45" s="123"/>
      <c r="C45" s="31" t="s">
        <v>111</v>
      </c>
      <c r="D45" s="26"/>
      <c r="E45" s="34"/>
      <c r="F45" s="72"/>
      <c r="G45" s="72"/>
      <c r="H45" s="72"/>
      <c r="I45" s="72"/>
      <c r="J45" s="72"/>
      <c r="K45" s="72"/>
      <c r="L45" s="64"/>
      <c r="M45" s="64"/>
      <c r="N45" s="64"/>
      <c r="O45" s="64"/>
      <c r="P45" s="60"/>
      <c r="Q45" s="72"/>
      <c r="R45" s="72"/>
      <c r="S45" s="72"/>
      <c r="T45" s="72"/>
      <c r="U45" s="72"/>
      <c r="V45" s="72"/>
      <c r="W45" s="64"/>
      <c r="X45" s="64"/>
      <c r="Y45" s="64"/>
      <c r="Z45" s="64"/>
      <c r="AA45" s="60"/>
      <c r="AB45" s="148"/>
      <c r="AC45" s="90"/>
      <c r="AD45" s="90"/>
      <c r="AE45" s="44"/>
      <c r="AF45" s="79"/>
      <c r="AH45" s="123"/>
    </row>
    <row r="46" spans="1:34" s="124" customFormat="1" ht="11.25">
      <c r="A46" s="123"/>
      <c r="B46" s="123"/>
      <c r="C46" s="33"/>
      <c r="D46" s="26" t="s">
        <v>5</v>
      </c>
      <c r="E46" s="34"/>
      <c r="F46" s="74">
        <f t="shared" ref="F46:K47" si="6">F22</f>
        <v>78</v>
      </c>
      <c r="G46" s="74">
        <f t="shared" si="6"/>
        <v>81</v>
      </c>
      <c r="H46" s="74">
        <f t="shared" si="6"/>
        <v>74</v>
      </c>
      <c r="I46" s="74">
        <f t="shared" si="6"/>
        <v>10</v>
      </c>
      <c r="J46" s="74">
        <f t="shared" si="6"/>
        <v>0</v>
      </c>
      <c r="K46" s="74">
        <f t="shared" si="6"/>
        <v>68</v>
      </c>
      <c r="L46" s="64">
        <f>IFERROR(F46/G46-1,"n/a")</f>
        <v>-3.703703703703709E-2</v>
      </c>
      <c r="M46" s="64">
        <f>IFERROR(F46/H46-1,"n/a")</f>
        <v>5.4054054054053946E-2</v>
      </c>
      <c r="N46" s="64">
        <f>IFERROR(F46/I46-1,"n/a")</f>
        <v>6.8</v>
      </c>
      <c r="O46" s="64" t="str">
        <f>IFERROR(F46/J46-1,"n/a")</f>
        <v>n/a</v>
      </c>
      <c r="P46" s="60">
        <f>IFERROR(F46/K46-1,"n/a")</f>
        <v>0.14705882352941169</v>
      </c>
      <c r="Q46" s="74">
        <f>'June-24'!Q46+F46</f>
        <v>515</v>
      </c>
      <c r="R46" s="74">
        <f>'June-24'!R46+G46</f>
        <v>490</v>
      </c>
      <c r="S46" s="74">
        <f>'June-24'!S46+H46</f>
        <v>350</v>
      </c>
      <c r="T46" s="74">
        <f>'June-24'!T46+I46</f>
        <v>14</v>
      </c>
      <c r="U46" s="74">
        <f>'June-24'!U46+J46</f>
        <v>0</v>
      </c>
      <c r="V46" s="74">
        <f>'June-24'!V46+K46</f>
        <v>341</v>
      </c>
      <c r="W46" s="120">
        <f>IFERROR(Q46/R46-1,"n/a")</f>
        <v>5.1020408163265252E-2</v>
      </c>
      <c r="X46" s="120">
        <f>IFERROR(R46/S46-1,"n/a")</f>
        <v>0.39999999999999991</v>
      </c>
      <c r="Y46" s="120">
        <f>IFERROR(R46/T46-1,"n/a")</f>
        <v>34</v>
      </c>
      <c r="Z46" s="120" t="str">
        <f>IFERROR(R46/U46-1,"n/a")</f>
        <v>n/a</v>
      </c>
      <c r="AA46" s="121">
        <f>IFERROR(R46/V46-1,"n/a")</f>
        <v>0.43695014662756604</v>
      </c>
      <c r="AB46" s="148"/>
      <c r="AC46" s="89">
        <v>1129</v>
      </c>
      <c r="AD46" s="89">
        <v>336</v>
      </c>
      <c r="AE46" s="84">
        <v>43</v>
      </c>
      <c r="AF46" s="78">
        <v>781</v>
      </c>
      <c r="AH46" s="123"/>
    </row>
    <row r="47" spans="1:34" s="124" customFormat="1" ht="11.25">
      <c r="A47" s="123"/>
      <c r="B47" s="123"/>
      <c r="C47" s="33"/>
      <c r="D47" s="26" t="s">
        <v>11</v>
      </c>
      <c r="E47" s="32"/>
      <c r="F47" s="74">
        <f t="shared" si="6"/>
        <v>391649</v>
      </c>
      <c r="G47" s="74">
        <f t="shared" si="6"/>
        <v>393561</v>
      </c>
      <c r="H47" s="74">
        <f t="shared" si="6"/>
        <v>283525</v>
      </c>
      <c r="I47" s="74">
        <f t="shared" si="6"/>
        <v>23553</v>
      </c>
      <c r="J47" s="74">
        <f t="shared" si="6"/>
        <v>0</v>
      </c>
      <c r="K47" s="74">
        <f t="shared" si="6"/>
        <v>261197</v>
      </c>
      <c r="L47" s="64">
        <f>IFERROR(F47/G47-1,"n/a")</f>
        <v>-4.8582049542510441E-3</v>
      </c>
      <c r="M47" s="64">
        <f>IFERROR(F47/H47-1,"n/a")</f>
        <v>0.38135614143373608</v>
      </c>
      <c r="N47" s="64">
        <f>IFERROR(F47/I47-1,"n/a")</f>
        <v>15.628412516452258</v>
      </c>
      <c r="O47" s="64" t="str">
        <f>IFERROR(F47/J47-1,"n/a")</f>
        <v>n/a</v>
      </c>
      <c r="P47" s="60">
        <f>IFERROR(F47/K47-1,"n/a")</f>
        <v>0.49943912066371365</v>
      </c>
      <c r="Q47" s="74">
        <f>'June-24'!Q47+F47</f>
        <v>1633319</v>
      </c>
      <c r="R47" s="74">
        <f>'June-24'!R47+G47</f>
        <v>1471039</v>
      </c>
      <c r="S47" s="74">
        <f>'June-24'!S47+H47</f>
        <v>757158</v>
      </c>
      <c r="T47" s="74">
        <f>'June-24'!T47+I47</f>
        <v>28476</v>
      </c>
      <c r="U47" s="74">
        <f>'June-24'!U47+J47</f>
        <v>0</v>
      </c>
      <c r="V47" s="74">
        <f>'June-24'!V47+K47</f>
        <v>1049749</v>
      </c>
      <c r="W47" s="120">
        <f>IFERROR(Q47/R47-1,"n/a")</f>
        <v>0.1103165857601327</v>
      </c>
      <c r="X47" s="120">
        <f>IFERROR(R47/S47-1,"n/a")</f>
        <v>0.94284284125638251</v>
      </c>
      <c r="Y47" s="120">
        <f>IFERROR(R47/T47-1,"n/a")</f>
        <v>50.658905745188932</v>
      </c>
      <c r="Z47" s="120" t="str">
        <f>IFERROR(R47/U47-1,"n/a")</f>
        <v>n/a</v>
      </c>
      <c r="AA47" s="121">
        <f>IFERROR(R47/V47-1,"n/a")</f>
        <v>0.40132450709645839</v>
      </c>
      <c r="AB47" s="148"/>
      <c r="AC47" s="82">
        <v>2932981</v>
      </c>
      <c r="AD47" s="82">
        <v>533563</v>
      </c>
      <c r="AE47" s="84">
        <v>140552</v>
      </c>
      <c r="AF47" s="78">
        <v>2441594</v>
      </c>
      <c r="AH47" s="123"/>
    </row>
    <row r="48" spans="1:34" s="124" customFormat="1" ht="11.25">
      <c r="C48" s="31" t="s">
        <v>112</v>
      </c>
      <c r="D48" s="26"/>
      <c r="E48" s="32"/>
      <c r="F48" s="72"/>
      <c r="G48" s="72"/>
      <c r="H48" s="72"/>
      <c r="I48" s="72"/>
      <c r="J48" s="72"/>
      <c r="K48" s="72"/>
      <c r="L48" s="64"/>
      <c r="M48" s="64"/>
      <c r="N48" s="64"/>
      <c r="O48" s="64"/>
      <c r="P48" s="60"/>
      <c r="Q48" s="72"/>
      <c r="R48" s="72"/>
      <c r="S48" s="72"/>
      <c r="T48" s="72"/>
      <c r="U48" s="72"/>
      <c r="V48" s="72"/>
      <c r="W48" s="64"/>
      <c r="X48" s="64"/>
      <c r="Y48" s="64"/>
      <c r="Z48" s="64"/>
      <c r="AA48" s="60"/>
      <c r="AB48" s="148"/>
      <c r="AC48" s="90"/>
      <c r="AD48" s="90"/>
      <c r="AE48" s="44"/>
      <c r="AF48" s="79"/>
      <c r="AH48" s="123"/>
    </row>
    <row r="49" spans="3:34" s="124" customFormat="1" ht="11.25">
      <c r="C49" s="33"/>
      <c r="D49" s="26" t="s">
        <v>5</v>
      </c>
      <c r="E49" s="32"/>
      <c r="F49" s="74">
        <f t="shared" ref="F49:K50" si="7">F25</f>
        <v>4</v>
      </c>
      <c r="G49" s="74">
        <f t="shared" si="7"/>
        <v>3</v>
      </c>
      <c r="H49" s="74">
        <f t="shared" si="7"/>
        <v>3</v>
      </c>
      <c r="I49" s="74">
        <f t="shared" si="7"/>
        <v>0</v>
      </c>
      <c r="J49" s="74">
        <f t="shared" si="7"/>
        <v>0</v>
      </c>
      <c r="K49" s="74">
        <f t="shared" si="7"/>
        <v>3</v>
      </c>
      <c r="L49" s="64">
        <f>IFERROR(F49/G49-1,"n/a")</f>
        <v>0.33333333333333326</v>
      </c>
      <c r="M49" s="64">
        <f>IFERROR(F49/H49-1,"n/a")</f>
        <v>0.33333333333333326</v>
      </c>
      <c r="N49" s="64" t="str">
        <f>IFERROR(F49/I49-1,"n/a")</f>
        <v>n/a</v>
      </c>
      <c r="O49" s="64" t="str">
        <f>IFERROR(F49/J49-1,"n/a")</f>
        <v>n/a</v>
      </c>
      <c r="P49" s="60">
        <f>IFERROR(F49/K49-1,"n/a")</f>
        <v>0.33333333333333326</v>
      </c>
      <c r="Q49" s="74">
        <f>'June-24'!Q49+F49</f>
        <v>9</v>
      </c>
      <c r="R49" s="74">
        <f>'June-24'!R49+G49</f>
        <v>11</v>
      </c>
      <c r="S49" s="74">
        <f>'June-24'!S49+H49</f>
        <v>5</v>
      </c>
      <c r="T49" s="74">
        <f>'June-24'!T49+I49</f>
        <v>0</v>
      </c>
      <c r="U49" s="74">
        <f>'June-24'!U49+J49</f>
        <v>0</v>
      </c>
      <c r="V49" s="74">
        <f>'June-24'!V49+K49</f>
        <v>11</v>
      </c>
      <c r="W49" s="120">
        <f t="shared" ref="W49:X52" si="8">IFERROR(Q49/R49-1,"n/a")</f>
        <v>-0.18181818181818177</v>
      </c>
      <c r="X49" s="120">
        <f t="shared" si="8"/>
        <v>1.2000000000000002</v>
      </c>
      <c r="Y49" s="120" t="str">
        <f>IFERROR(R49/T49-1,"n/a")</f>
        <v>n/a</v>
      </c>
      <c r="Z49" s="120" t="str">
        <f>IFERROR(R49/U49-1,"n/a")</f>
        <v>n/a</v>
      </c>
      <c r="AA49" s="121">
        <f>IFERROR(R49/V49-1,"n/a")</f>
        <v>0</v>
      </c>
      <c r="AB49" s="148"/>
      <c r="AC49" s="89">
        <v>9</v>
      </c>
      <c r="AD49" s="68">
        <v>0</v>
      </c>
      <c r="AE49" s="68">
        <v>0</v>
      </c>
      <c r="AF49" s="78">
        <v>16</v>
      </c>
      <c r="AH49" s="123"/>
    </row>
    <row r="50" spans="3:34" s="124" customFormat="1" ht="11.25">
      <c r="C50" s="33"/>
      <c r="D50" s="26" t="s">
        <v>11</v>
      </c>
      <c r="E50" s="32"/>
      <c r="F50" s="74">
        <f t="shared" si="7"/>
        <v>15059</v>
      </c>
      <c r="G50" s="74">
        <f t="shared" si="7"/>
        <v>6188</v>
      </c>
      <c r="H50" s="74">
        <f t="shared" si="7"/>
        <v>5526</v>
      </c>
      <c r="I50" s="74">
        <f t="shared" si="7"/>
        <v>0</v>
      </c>
      <c r="J50" s="74">
        <f t="shared" si="7"/>
        <v>0</v>
      </c>
      <c r="K50" s="74">
        <f t="shared" si="7"/>
        <v>3523</v>
      </c>
      <c r="L50" s="64">
        <f>IFERROR(F50/G50-1,"n/a")</f>
        <v>1.4335811247575951</v>
      </c>
      <c r="M50" s="64">
        <f>IFERROR(F50/H50-1,"n/a")</f>
        <v>1.7251176257690917</v>
      </c>
      <c r="N50" s="64" t="str">
        <f>IFERROR(F50/I50-1,"n/a")</f>
        <v>n/a</v>
      </c>
      <c r="O50" s="64" t="str">
        <f>IFERROR(F50/J50-1,"n/a")</f>
        <v>n/a</v>
      </c>
      <c r="P50" s="60">
        <f>IFERROR(F50/K50-1,"n/a")</f>
        <v>3.2744819755889862</v>
      </c>
      <c r="Q50" s="74">
        <f>'June-24'!Q50+F50</f>
        <v>33718</v>
      </c>
      <c r="R50" s="74">
        <f>'June-24'!R50+G50</f>
        <v>19775</v>
      </c>
      <c r="S50" s="74">
        <f>'June-24'!S50+H50</f>
        <v>8677</v>
      </c>
      <c r="T50" s="74">
        <f>'June-24'!T50+I50</f>
        <v>0</v>
      </c>
      <c r="U50" s="74">
        <f>'June-24'!U50+J50</f>
        <v>0</v>
      </c>
      <c r="V50" s="74">
        <f>'June-24'!V50+K50</f>
        <v>13750</v>
      </c>
      <c r="W50" s="120">
        <f t="shared" si="8"/>
        <v>0.70508217446270538</v>
      </c>
      <c r="X50" s="120">
        <f t="shared" si="8"/>
        <v>1.2790134839230149</v>
      </c>
      <c r="Y50" s="120" t="str">
        <f>IFERROR(R50/T50-1,"n/a")</f>
        <v>n/a</v>
      </c>
      <c r="Z50" s="120" t="str">
        <f>IFERROR(R50/U50-1,"n/a")</f>
        <v>n/a</v>
      </c>
      <c r="AA50" s="121">
        <f>IFERROR(R50/V50-1,"n/a")</f>
        <v>0.43818181818181823</v>
      </c>
      <c r="AB50" s="148"/>
      <c r="AC50" s="82">
        <v>15637</v>
      </c>
      <c r="AD50" s="68">
        <v>0</v>
      </c>
      <c r="AE50" s="68">
        <v>0</v>
      </c>
      <c r="AF50" s="78">
        <v>20248</v>
      </c>
      <c r="AH50" s="123"/>
    </row>
    <row r="51" spans="3:34" s="124" customFormat="1" ht="12" thickBot="1">
      <c r="C51" s="35" t="s">
        <v>12</v>
      </c>
      <c r="D51" s="36"/>
      <c r="E51" s="37"/>
      <c r="F51" s="75">
        <f>F37+F40+F43+F46+F49</f>
        <v>441</v>
      </c>
      <c r="G51" s="75">
        <f>G37+G40+G43+G46+G49</f>
        <v>353</v>
      </c>
      <c r="H51" s="75">
        <f t="shared" ref="H51:K52" si="9">H37+H40+H43+H46+H49</f>
        <v>311</v>
      </c>
      <c r="I51" s="75">
        <f t="shared" si="9"/>
        <v>63</v>
      </c>
      <c r="J51" s="75">
        <f t="shared" si="9"/>
        <v>2</v>
      </c>
      <c r="K51" s="75">
        <f t="shared" si="9"/>
        <v>281</v>
      </c>
      <c r="L51" s="66">
        <f>IFERROR(F51/G51-1,"n/a")</f>
        <v>0.24929178470254953</v>
      </c>
      <c r="M51" s="66">
        <f>IFERROR(F51/H51-1,"n/a")</f>
        <v>0.41800643086816724</v>
      </c>
      <c r="N51" s="66">
        <f>IFERROR(F51/I51-1,"n/a")</f>
        <v>6</v>
      </c>
      <c r="O51" s="66">
        <f>IFERROR(F51/J51-1,"n/a")</f>
        <v>219.5</v>
      </c>
      <c r="P51" s="62">
        <f>IFERROR(F51/K51-1,"n/a")</f>
        <v>0.56939501779359425</v>
      </c>
      <c r="Q51" s="75">
        <f t="shared" ref="Q51:V52" si="10">Q37+Q40+Q43+Q46+Q49</f>
        <v>1888</v>
      </c>
      <c r="R51" s="75">
        <f t="shared" si="10"/>
        <v>1515</v>
      </c>
      <c r="S51" s="75">
        <f>S37+S40+S43+S46+S49</f>
        <v>1318</v>
      </c>
      <c r="T51" s="75">
        <f t="shared" si="10"/>
        <v>109</v>
      </c>
      <c r="U51" s="75">
        <f t="shared" si="10"/>
        <v>44</v>
      </c>
      <c r="V51" s="75">
        <f t="shared" si="10"/>
        <v>1164</v>
      </c>
      <c r="W51" s="66">
        <f t="shared" si="8"/>
        <v>0.24620462046204628</v>
      </c>
      <c r="X51" s="66">
        <f t="shared" si="8"/>
        <v>0.14946889226100146</v>
      </c>
      <c r="Y51" s="66">
        <f>IFERROR(R51/T51-1,"n/a")</f>
        <v>12.899082568807339</v>
      </c>
      <c r="Z51" s="66">
        <f t="shared" ref="Z51:Z52" si="11">IFERROR(R51/U51-1,"n/a")</f>
        <v>33.43181818181818</v>
      </c>
      <c r="AA51" s="62">
        <f>IFERROR(R51/V51-1,"n/a")</f>
        <v>0.30154639175257736</v>
      </c>
      <c r="AB51" s="66"/>
      <c r="AC51" s="46">
        <f t="shared" ref="AC51:AE52" si="12">AC37+AC40+AC43+AC46+AC49</f>
        <v>3856</v>
      </c>
      <c r="AD51" s="46">
        <f t="shared" si="12"/>
        <v>1673</v>
      </c>
      <c r="AE51" s="46">
        <f t="shared" si="12"/>
        <v>669</v>
      </c>
      <c r="AF51" s="80">
        <f>AF37+AF40+AF43+AF46+AF49</f>
        <v>3241</v>
      </c>
      <c r="AH51" s="123"/>
    </row>
    <row r="52" spans="3:34" s="124" customFormat="1" ht="12.75" thickTop="1" thickBot="1">
      <c r="C52" s="38" t="s">
        <v>13</v>
      </c>
      <c r="D52" s="39"/>
      <c r="E52" s="40"/>
      <c r="F52" s="76">
        <f>F38+F41+F44+F47+F50</f>
        <v>1595545</v>
      </c>
      <c r="G52" s="76">
        <f>G38+G41+G44+G47+G50</f>
        <v>1271791</v>
      </c>
      <c r="H52" s="76">
        <f t="shared" si="9"/>
        <v>857236</v>
      </c>
      <c r="I52" s="76">
        <f t="shared" si="9"/>
        <v>92497</v>
      </c>
      <c r="J52" s="76">
        <f t="shared" si="9"/>
        <v>6081</v>
      </c>
      <c r="K52" s="76">
        <f t="shared" si="9"/>
        <v>868909</v>
      </c>
      <c r="L52" s="67">
        <f>IFERROR(F52/G52-1,"n/a")</f>
        <v>0.25456541208421823</v>
      </c>
      <c r="M52" s="67">
        <f>IFERROR(F52/H52-1,"n/a")</f>
        <v>0.86126690899588909</v>
      </c>
      <c r="N52" s="67">
        <f>IFERROR(F52/I52-1,"n/a")</f>
        <v>16.249694584689234</v>
      </c>
      <c r="O52" s="67">
        <f>IFERROR(F52/J52-1,"n/a")</f>
        <v>261.38200953790493</v>
      </c>
      <c r="P52" s="63">
        <f>IFERROR(F52/K52-1,"n/a")</f>
        <v>0.83626248548467097</v>
      </c>
      <c r="Q52" s="76">
        <f t="shared" si="10"/>
        <v>5735916.4000000004</v>
      </c>
      <c r="R52" s="76">
        <f t="shared" si="10"/>
        <v>4391991</v>
      </c>
      <c r="S52" s="76">
        <f t="shared" si="10"/>
        <v>2622011</v>
      </c>
      <c r="T52" s="76">
        <f t="shared" si="10"/>
        <v>152384</v>
      </c>
      <c r="U52" s="76">
        <f t="shared" si="10"/>
        <v>8294</v>
      </c>
      <c r="V52" s="76">
        <f t="shared" si="10"/>
        <v>3326266</v>
      </c>
      <c r="W52" s="67">
        <f t="shared" si="8"/>
        <v>0.30599457057175217</v>
      </c>
      <c r="X52" s="67">
        <f t="shared" si="8"/>
        <v>0.67504674846901858</v>
      </c>
      <c r="Y52" s="118">
        <f>IFERROR(R52/T52-1,"n/a")</f>
        <v>27.821864500209998</v>
      </c>
      <c r="Z52" s="118">
        <f t="shared" si="11"/>
        <v>528.53834096937544</v>
      </c>
      <c r="AA52" s="119">
        <f>IFERROR(R52/V52-1,"n/a")</f>
        <v>0.32039680530661108</v>
      </c>
      <c r="AB52" s="118"/>
      <c r="AC52" s="47">
        <f t="shared" si="12"/>
        <v>9237323</v>
      </c>
      <c r="AD52" s="47">
        <f t="shared" si="12"/>
        <v>2410085</v>
      </c>
      <c r="AE52" s="47">
        <f t="shared" si="12"/>
        <v>1324261</v>
      </c>
      <c r="AF52" s="81">
        <f>AF38+AF41+AF44+AF47+AF50</f>
        <v>8638971</v>
      </c>
      <c r="AH52" s="123"/>
    </row>
    <row r="53" spans="3:34" s="124" customFormat="1" ht="12" thickTop="1">
      <c r="AH53" s="123"/>
    </row>
    <row r="54" spans="3:34" s="124" customFormat="1" ht="11.25">
      <c r="S54" s="132"/>
      <c r="T54" s="132"/>
      <c r="U54" s="132"/>
      <c r="V54" s="132"/>
      <c r="AH54" s="123"/>
    </row>
    <row r="55" spans="3:34" ht="15">
      <c r="S55" s="111"/>
      <c r="T55" s="111"/>
      <c r="U55" s="111"/>
      <c r="V55" s="111"/>
      <c r="AH55" s="9"/>
    </row>
    <row r="56" spans="3:34" ht="15">
      <c r="S56" s="111"/>
      <c r="T56" s="111"/>
      <c r="U56" s="111"/>
      <c r="V56" s="111"/>
      <c r="AH56" s="9"/>
    </row>
    <row r="57" spans="3:34" ht="15">
      <c r="S57" s="111"/>
      <c r="T57" s="111"/>
      <c r="U57" s="111"/>
      <c r="V57" s="111"/>
      <c r="AH57" s="9"/>
    </row>
    <row r="58" spans="3:34" ht="15">
      <c r="AH58" s="9"/>
    </row>
    <row r="59" spans="3:34" ht="15">
      <c r="AH59" s="9"/>
    </row>
    <row r="60" spans="3:34" ht="15">
      <c r="AH60" s="9"/>
    </row>
    <row r="61" spans="3:34" ht="15" customHeight="1"/>
    <row r="62" spans="3:34" ht="15" customHeight="1"/>
    <row r="63" spans="3:34" ht="15" customHeight="1"/>
    <row r="64" spans="3:34" ht="15" customHeight="1"/>
    <row r="65" ht="15" customHeight="1"/>
    <row r="66" ht="15" customHeight="1"/>
  </sheetData>
  <mergeCells count="9">
    <mergeCell ref="AB34:AF34"/>
    <mergeCell ref="F9:P9"/>
    <mergeCell ref="Q9:AA9"/>
    <mergeCell ref="AB9:AF9"/>
    <mergeCell ref="F10:P10"/>
    <mergeCell ref="Q10:AA10"/>
    <mergeCell ref="F33:P33"/>
    <mergeCell ref="Q33:AA33"/>
    <mergeCell ref="AB33:AF33"/>
  </mergeCells>
  <pageMargins left="0.7" right="0.7" top="0.75" bottom="0.75" header="0.3" footer="0.3"/>
  <pageSetup paperSize="9" orientation="portrait" horizontalDpi="0" verticalDpi="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50acc271-0769-44fa-a07c-5c2dfce6e462" xsi:nil="true"/>
    <lcf76f155ced4ddcb4097134ff3c332f xmlns="8cd7474e-1d48-42f1-a929-9fa835c241d5">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Belge" ma:contentTypeID="0x010100B29B276ACB4E644D9A6582918F6D7D7E" ma:contentTypeVersion="16" ma:contentTypeDescription="Yeni belge oluşturun." ma:contentTypeScope="" ma:versionID="eda7cacf3c0197f08aa9dab503799167">
  <xsd:schema xmlns:xsd="http://www.w3.org/2001/XMLSchema" xmlns:xs="http://www.w3.org/2001/XMLSchema" xmlns:p="http://schemas.microsoft.com/office/2006/metadata/properties" xmlns:ns2="8cd7474e-1d48-42f1-a929-9fa835c241d5" xmlns:ns3="50acc271-0769-44fa-a07c-5c2dfce6e462" targetNamespace="http://schemas.microsoft.com/office/2006/metadata/properties" ma:root="true" ma:fieldsID="3911ece1e886a0763c6a77231a7fda3a" ns2:_="" ns3:_="">
    <xsd:import namespace="8cd7474e-1d48-42f1-a929-9fa835c241d5"/>
    <xsd:import namespace="50acc271-0769-44fa-a07c-5c2dfce6e46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cd7474e-1d48-42f1-a929-9fa835c241d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lcf76f155ced4ddcb4097134ff3c332f" ma:index="20" nillable="true" ma:taxonomy="true" ma:internalName="lcf76f155ced4ddcb4097134ff3c332f" ma:taxonomyFieldName="MediaServiceImageTags" ma:displayName="Resim Etiketleri" ma:readOnly="false" ma:fieldId="{5cf76f15-5ced-4ddc-b409-7134ff3c332f}" ma:taxonomyMulti="true" ma:sspId="2b000698-8d8e-4a24-bb1f-5c40ea2b52e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0acc271-0769-44fa-a07c-5c2dfce6e462" elementFormDefault="qualified">
    <xsd:import namespace="http://schemas.microsoft.com/office/2006/documentManagement/types"/>
    <xsd:import namespace="http://schemas.microsoft.com/office/infopath/2007/PartnerControls"/>
    <xsd:element name="SharedWithUsers" ma:index="10" nillable="true" ma:displayName="Paylaşılanla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Ayrıntıları ile Paylaşıldı" ma:internalName="SharedWithDetails" ma:readOnly="true">
      <xsd:simpleType>
        <xsd:restriction base="dms:Note">
          <xsd:maxLength value="255"/>
        </xsd:restriction>
      </xsd:simpleType>
    </xsd:element>
    <xsd:element name="TaxCatchAll" ma:index="21" nillable="true" ma:displayName="Taxonomy Catch All Column" ma:hidden="true" ma:list="{fbe57add-cae4-4e31-8402-3186dc955d50}" ma:internalName="TaxCatchAll" ma:showField="CatchAllData" ma:web="50acc271-0769-44fa-a07c-5c2dfce6e46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çerik Türü"/>
        <xsd:element ref="dc:title" minOccurs="0" maxOccurs="1" ma:index="4" ma:displayName="Başlı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16FC12F-4478-42E3-9A48-BDD9224AE15B}">
  <ds:schemaRefs>
    <ds:schemaRef ds:uri="http://www.w3.org/XML/1998/namespace"/>
    <ds:schemaRef ds:uri="http://purl.org/dc/elements/1.1/"/>
    <ds:schemaRef ds:uri="http://purl.org/dc/dcmitype/"/>
    <ds:schemaRef ds:uri="http://schemas.microsoft.com/office/infopath/2007/PartnerControls"/>
    <ds:schemaRef ds:uri="http://schemas.microsoft.com/office/2006/documentManagement/types"/>
    <ds:schemaRef ds:uri="http://schemas.microsoft.com/office/2006/metadata/properties"/>
    <ds:schemaRef ds:uri="http://schemas.openxmlformats.org/package/2006/metadata/core-properties"/>
    <ds:schemaRef ds:uri="50acc271-0769-44fa-a07c-5c2dfce6e462"/>
    <ds:schemaRef ds:uri="8cd7474e-1d48-42f1-a929-9fa835c241d5"/>
    <ds:schemaRef ds:uri="http://purl.org/dc/terms/"/>
  </ds:schemaRefs>
</ds:datastoreItem>
</file>

<file path=customXml/itemProps2.xml><?xml version="1.0" encoding="utf-8"?>
<ds:datastoreItem xmlns:ds="http://schemas.openxmlformats.org/officeDocument/2006/customXml" ds:itemID="{34C4D69E-E9A6-4C6E-930B-6845131E721B}">
  <ds:schemaRefs>
    <ds:schemaRef ds:uri="http://schemas.microsoft.com/sharepoint/v3/contenttype/forms"/>
  </ds:schemaRefs>
</ds:datastoreItem>
</file>

<file path=customXml/itemProps3.xml><?xml version="1.0" encoding="utf-8"?>
<ds:datastoreItem xmlns:ds="http://schemas.openxmlformats.org/officeDocument/2006/customXml" ds:itemID="{791A1C1B-0B33-4E15-9E6D-5814038DAB0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cd7474e-1d48-42f1-a929-9fa835c241d5"/>
    <ds:schemaRef ds:uri="50acc271-0769-44fa-a07c-5c2dfce6e46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44</vt:i4>
      </vt:variant>
      <vt:variant>
        <vt:lpstr>Named Ranges</vt:lpstr>
      </vt:variant>
      <vt:variant>
        <vt:i4>3</vt:i4>
      </vt:variant>
    </vt:vector>
  </HeadingPairs>
  <TitlesOfParts>
    <vt:vector size="47" baseType="lpstr">
      <vt:lpstr> </vt:lpstr>
      <vt:lpstr>Disclaimer</vt:lpstr>
      <vt:lpstr>Notes</vt:lpstr>
      <vt:lpstr>Occupancy_2024</vt:lpstr>
      <vt:lpstr>Traffic&gt;</vt:lpstr>
      <vt:lpstr>Oct-24</vt:lpstr>
      <vt:lpstr>Sep-24</vt:lpstr>
      <vt:lpstr>Aug-24</vt:lpstr>
      <vt:lpstr>July-24</vt:lpstr>
      <vt:lpstr>June-24</vt:lpstr>
      <vt:lpstr>May-24</vt:lpstr>
      <vt:lpstr>Apr-24</vt:lpstr>
      <vt:lpstr>Mar-24</vt:lpstr>
      <vt:lpstr>Feb-24</vt:lpstr>
      <vt:lpstr>Jan-24</vt:lpstr>
      <vt:lpstr>Dec-23</vt:lpstr>
      <vt:lpstr>Nov-23</vt:lpstr>
      <vt:lpstr>Oct-23</vt:lpstr>
      <vt:lpstr>Sep-23</vt:lpstr>
      <vt:lpstr>Aug-23</vt:lpstr>
      <vt:lpstr>July-23</vt:lpstr>
      <vt:lpstr>June-23</vt:lpstr>
      <vt:lpstr>May-23</vt:lpstr>
      <vt:lpstr>Apr-23</vt:lpstr>
      <vt:lpstr>Mar-23</vt:lpstr>
      <vt:lpstr>Mar-23_old structure</vt:lpstr>
      <vt:lpstr>Feb-23</vt:lpstr>
      <vt:lpstr>Jan-23</vt:lpstr>
      <vt:lpstr>Dec-22</vt:lpstr>
      <vt:lpstr>Nov-22</vt:lpstr>
      <vt:lpstr>Oct-22</vt:lpstr>
      <vt:lpstr>Sep-22</vt:lpstr>
      <vt:lpstr>Aug-22</vt:lpstr>
      <vt:lpstr>Jul-22</vt:lpstr>
      <vt:lpstr>Jun-22</vt:lpstr>
      <vt:lpstr>May-22</vt:lpstr>
      <vt:lpstr>Apr-22</vt:lpstr>
      <vt:lpstr>Mar-22</vt:lpstr>
      <vt:lpstr>Feb-22</vt:lpstr>
      <vt:lpstr>Jan-22</vt:lpstr>
      <vt:lpstr>Dec-21</vt:lpstr>
      <vt:lpstr>Nov-21</vt:lpstr>
      <vt:lpstr>Oct-21</vt:lpstr>
      <vt:lpstr>Sept-21</vt:lpstr>
      <vt:lpstr>Disclaimer!Print_Area</vt:lpstr>
      <vt:lpstr>Notes!Print_Area</vt:lpstr>
      <vt:lpstr>'Traffic&gt;'!Print_Area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 Fomferra</dc:creator>
  <cp:lastModifiedBy>Osman Kaan Coskun</cp:lastModifiedBy>
  <cp:lastPrinted>2022-08-04T14:43:41Z</cp:lastPrinted>
  <dcterms:created xsi:type="dcterms:W3CDTF">2021-12-10T09:13:50Z</dcterms:created>
  <dcterms:modified xsi:type="dcterms:W3CDTF">2024-11-14T12:42:49Z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0x010100B29B276ACB4E644D9A6582918F6D7D7E</vt:lpwstr>
  </property>
  <property fmtid="{D5CDD505-2E9C-101B-9397-08002B2CF9AE}" pid="5" name="MediaServiceImageTags">
    <vt:lpwstr/>
  </property>
</Properties>
</file>