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2025\December_2025\Revize\"/>
    </mc:Choice>
  </mc:AlternateContent>
  <xr:revisionPtr revIDLastSave="0" documentId="13_ncr:1_{BCC96916-56A8-4CB2-BCFF-ECAF435395B1}" xr6:coauthVersionLast="47" xr6:coauthVersionMax="47" xr10:uidLastSave="{00000000-0000-0000-0000-000000000000}"/>
  <bookViews>
    <workbookView xWindow="12780" yWindow="1635" windowWidth="14970" windowHeight="12300" tabRatio="893" activeTab="5" xr2:uid="{00000000-000D-0000-FFFF-FFFF00000000}"/>
  </bookViews>
  <sheets>
    <sheet name=" " sheetId="3" r:id="rId1"/>
    <sheet name="Disclaimer" sheetId="13" r:id="rId2"/>
    <sheet name="Notes" sheetId="11" r:id="rId3"/>
    <sheet name="Occupancy_2025" sheetId="24" r:id="rId4"/>
    <sheet name="Traffic&gt;" sheetId="25" r:id="rId5"/>
    <sheet name="Dec-25" sheetId="69" r:id="rId6"/>
    <sheet name="Nov-25" sheetId="68" r:id="rId7"/>
    <sheet name="Oct-25" sheetId="67" r:id="rId8"/>
    <sheet name="Sep-25" sheetId="66" r:id="rId9"/>
    <sheet name="Aug-25" sheetId="65" r:id="rId10"/>
    <sheet name="Jul-25" sheetId="64" r:id="rId11"/>
    <sheet name="Jun-25" sheetId="63" r:id="rId12"/>
    <sheet name="May-25" sheetId="62" r:id="rId13"/>
    <sheet name="Apr-25" sheetId="61" r:id="rId14"/>
    <sheet name="Mar-25" sheetId="60" r:id="rId15"/>
    <sheet name="Feb-25" sheetId="59" r:id="rId16"/>
    <sheet name="Jan-25" sheetId="58" r:id="rId17"/>
    <sheet name="Dec-24" sheetId="56" r:id="rId18"/>
    <sheet name="Nov-24" sheetId="55" r:id="rId19"/>
    <sheet name="Oct-24" sheetId="54" r:id="rId20"/>
    <sheet name="Sep-24" sheetId="53" r:id="rId21"/>
    <sheet name="Aug-24" sheetId="52" r:id="rId22"/>
    <sheet name="July-24" sheetId="51" r:id="rId23"/>
    <sheet name="June-24" sheetId="50" r:id="rId24"/>
    <sheet name="May-24" sheetId="49" r:id="rId25"/>
    <sheet name="Apr-24" sheetId="48" r:id="rId26"/>
    <sheet name="Mar-24" sheetId="47" r:id="rId27"/>
    <sheet name="Feb-24" sheetId="46" r:id="rId28"/>
    <sheet name="Jan-24" sheetId="45" r:id="rId29"/>
    <sheet name="Dec-23" sheetId="44" r:id="rId30"/>
    <sheet name="Nov-23" sheetId="43" r:id="rId31"/>
    <sheet name="Oct-23" sheetId="41" r:id="rId32"/>
    <sheet name="Sep-23" sheetId="40" r:id="rId33"/>
    <sheet name="Aug-23" sheetId="38" r:id="rId34"/>
    <sheet name="July-23" sheetId="37" r:id="rId35"/>
    <sheet name="June-23" sheetId="36" r:id="rId36"/>
    <sheet name="May-23" sheetId="35" r:id="rId37"/>
    <sheet name="Apr-23" sheetId="34" r:id="rId38"/>
    <sheet name="Mar-23" sheetId="33" r:id="rId39"/>
    <sheet name="Mar-23_old structure" sheetId="32" r:id="rId40"/>
    <sheet name="Feb-23" sheetId="31" r:id="rId41"/>
    <sheet name="Jan-23" sheetId="30" r:id="rId42"/>
    <sheet name="Dec-22" sheetId="29" r:id="rId43"/>
    <sheet name="Nov-22" sheetId="28" r:id="rId44"/>
    <sheet name="Oct-22" sheetId="27" r:id="rId45"/>
    <sheet name="Sep-22" sheetId="26" r:id="rId46"/>
    <sheet name="Aug-22" sheetId="22" r:id="rId47"/>
    <sheet name="Jul-22" sheetId="21" r:id="rId48"/>
    <sheet name="Jun-22" sheetId="20" r:id="rId49"/>
    <sheet name="May-22" sheetId="19" r:id="rId50"/>
    <sheet name="Apr-22" sheetId="18" r:id="rId51"/>
    <sheet name="Mar-22" sheetId="17" r:id="rId52"/>
    <sheet name="Feb-22" sheetId="16" r:id="rId53"/>
    <sheet name="Jan-22" sheetId="15" r:id="rId54"/>
    <sheet name="Dec-21" sheetId="14" r:id="rId55"/>
    <sheet name="Nov-21" sheetId="10" r:id="rId56"/>
    <sheet name="Oct-21" sheetId="9" r:id="rId57"/>
    <sheet name="Sept-21" sheetId="1" r:id="rId58"/>
  </sheets>
  <definedNames>
    <definedName name="_Order1" hidden="1">255</definedName>
    <definedName name="_Order2" hidden="1">255</definedName>
    <definedName name="_xlnm._FilterDatabase" localSheetId="5" hidden="1">'Dec-25'!$F$9:$AK$9</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50" hidden="1">'Apr-22'!$X:$XFD</definedName>
    <definedName name="Z_5F6D01E3_9E6F_4D7F_980F_63899AF95899_.wvu.Cols" localSheetId="46" hidden="1">'Aug-22'!$X:$XFD</definedName>
    <definedName name="Z_5F6D01E3_9E6F_4D7F_980F_63899AF95899_.wvu.Cols" localSheetId="54" hidden="1">'Dec-21'!$S:$XFD</definedName>
    <definedName name="Z_5F6D01E3_9E6F_4D7F_980F_63899AF95899_.wvu.Cols" localSheetId="42" hidden="1">'Dec-22'!$X:$XFD</definedName>
    <definedName name="Z_5F6D01E3_9E6F_4D7F_980F_63899AF95899_.wvu.Cols" localSheetId="1" hidden="1">Disclaimer!$X:$XFD</definedName>
    <definedName name="Z_5F6D01E3_9E6F_4D7F_980F_63899AF95899_.wvu.Cols" localSheetId="52" hidden="1">'Feb-22'!$X:$XFD</definedName>
    <definedName name="Z_5F6D01E3_9E6F_4D7F_980F_63899AF95899_.wvu.Cols" localSheetId="53" hidden="1">'Jan-22'!$X:$XFD</definedName>
    <definedName name="Z_5F6D01E3_9E6F_4D7F_980F_63899AF95899_.wvu.Cols" localSheetId="41" hidden="1">'Jan-23'!$AC:$XFD</definedName>
    <definedName name="Z_5F6D01E3_9E6F_4D7F_980F_63899AF95899_.wvu.Cols" localSheetId="47" hidden="1">'Jul-22'!$X:$XFD</definedName>
    <definedName name="Z_5F6D01E3_9E6F_4D7F_980F_63899AF95899_.wvu.Cols" localSheetId="48" hidden="1">'Jun-22'!$X:$XFD</definedName>
    <definedName name="Z_5F6D01E3_9E6F_4D7F_980F_63899AF95899_.wvu.Cols" localSheetId="51" hidden="1">'Mar-22'!$X:$XFD</definedName>
    <definedName name="Z_5F6D01E3_9E6F_4D7F_980F_63899AF95899_.wvu.Cols" localSheetId="49" hidden="1">'May-22'!$X:$XFD</definedName>
    <definedName name="Z_5F6D01E3_9E6F_4D7F_980F_63899AF95899_.wvu.Cols" localSheetId="2" hidden="1">Notes!$S:$XFD</definedName>
    <definedName name="Z_5F6D01E3_9E6F_4D7F_980F_63899AF95899_.wvu.Cols" localSheetId="55" hidden="1">'Nov-21'!$S:$XFD</definedName>
    <definedName name="Z_5F6D01E3_9E6F_4D7F_980F_63899AF95899_.wvu.Cols" localSheetId="43" hidden="1">'Nov-22'!$X:$XFD</definedName>
    <definedName name="Z_5F6D01E3_9E6F_4D7F_980F_63899AF95899_.wvu.Cols" localSheetId="3" hidden="1">Occupancy_2025!$BA:$XFD</definedName>
    <definedName name="Z_5F6D01E3_9E6F_4D7F_980F_63899AF95899_.wvu.Cols" localSheetId="56" hidden="1">'Oct-21'!$S:$XFD</definedName>
    <definedName name="Z_5F6D01E3_9E6F_4D7F_980F_63899AF95899_.wvu.Cols" localSheetId="44" hidden="1">'Oct-22'!$X:$XFD</definedName>
    <definedName name="Z_5F6D01E3_9E6F_4D7F_980F_63899AF95899_.wvu.Cols" localSheetId="45" hidden="1">'Sep-22'!$X:$XFD</definedName>
    <definedName name="Z_5F6D01E3_9E6F_4D7F_980F_63899AF95899_.wvu.Cols" localSheetId="57"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50" hidden="1">'Apr-22'!$49:$1048576,'Apr-22'!$30:$48</definedName>
    <definedName name="Z_5F6D01E3_9E6F_4D7F_980F_63899AF95899_.wvu.Rows" localSheetId="54" hidden="1">'Dec-21'!$49:$1048576,'Dec-21'!$30:$48</definedName>
    <definedName name="Z_5F6D01E3_9E6F_4D7F_980F_63899AF95899_.wvu.Rows" localSheetId="1" hidden="1">Disclaimer!$45:$1048576,Disclaimer!$30:$44</definedName>
    <definedName name="Z_5F6D01E3_9E6F_4D7F_980F_63899AF95899_.wvu.Rows" localSheetId="52" hidden="1">'Feb-22'!$49:$1048576,'Feb-22'!$30:$48</definedName>
    <definedName name="Z_5F6D01E3_9E6F_4D7F_980F_63899AF95899_.wvu.Rows" localSheetId="53" hidden="1">'Jan-22'!$49:$1048576,'Jan-22'!$30:$48</definedName>
    <definedName name="Z_5F6D01E3_9E6F_4D7F_980F_63899AF95899_.wvu.Rows" localSheetId="48" hidden="1">'Jun-22'!$49:$1048576,'Jun-22'!$30:$48</definedName>
    <definedName name="Z_5F6D01E3_9E6F_4D7F_980F_63899AF95899_.wvu.Rows" localSheetId="51" hidden="1">'Mar-22'!$49:$1048576,'Mar-22'!$30:$48</definedName>
    <definedName name="Z_5F6D01E3_9E6F_4D7F_980F_63899AF95899_.wvu.Rows" localSheetId="49" hidden="1">'May-22'!$49:$1048576,'May-22'!$30:$48</definedName>
    <definedName name="Z_5F6D01E3_9E6F_4D7F_980F_63899AF95899_.wvu.Rows" localSheetId="2" hidden="1">Notes!$50:$1048576,Notes!$32:$49</definedName>
    <definedName name="Z_5F6D01E3_9E6F_4D7F_980F_63899AF95899_.wvu.Rows" localSheetId="55" hidden="1">'Nov-21'!$49:$1048576,'Nov-21'!$30:$48</definedName>
    <definedName name="Z_5F6D01E3_9E6F_4D7F_980F_63899AF95899_.wvu.Rows" localSheetId="56" hidden="1">'Oct-21'!$49:$1048576,'Oct-21'!$30:$48</definedName>
    <definedName name="Z_5F6D01E3_9E6F_4D7F_980F_63899AF95899_.wvu.Rows" localSheetId="57"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3" i="69" l="1"/>
  <c r="S20" i="69"/>
  <c r="S17" i="69"/>
  <c r="S14" i="69"/>
  <c r="S13" i="69"/>
  <c r="S41" i="69"/>
  <c r="S47" i="69"/>
  <c r="S44" i="69"/>
  <c r="U23" i="69" l="1"/>
  <c r="U22" i="69"/>
  <c r="U17" i="69"/>
  <c r="U16" i="69"/>
  <c r="V16" i="69"/>
  <c r="W17" i="69"/>
  <c r="W16" i="69"/>
  <c r="W14" i="69"/>
  <c r="W13" i="69"/>
  <c r="X19" i="69"/>
  <c r="Y17" i="69"/>
  <c r="Y16" i="69"/>
  <c r="Y14" i="69"/>
  <c r="Y13" i="69"/>
  <c r="Y26" i="69" l="1"/>
  <c r="X26" i="69"/>
  <c r="W26" i="69"/>
  <c r="V26" i="69"/>
  <c r="U26" i="69"/>
  <c r="T26" i="69"/>
  <c r="S26" i="69"/>
  <c r="Y25" i="69"/>
  <c r="X25" i="69"/>
  <c r="W25" i="69"/>
  <c r="V25" i="69"/>
  <c r="U25" i="69"/>
  <c r="T25" i="69"/>
  <c r="S25" i="69"/>
  <c r="Y23" i="69"/>
  <c r="X23" i="69"/>
  <c r="W23" i="69"/>
  <c r="V23" i="69"/>
  <c r="T23" i="69"/>
  <c r="Y22" i="69"/>
  <c r="X22" i="69"/>
  <c r="W22" i="69"/>
  <c r="V22" i="69"/>
  <c r="T22" i="69"/>
  <c r="S22" i="69"/>
  <c r="Y20" i="69"/>
  <c r="X20" i="69"/>
  <c r="W20" i="69"/>
  <c r="V20" i="69"/>
  <c r="U20" i="69"/>
  <c r="T20" i="69"/>
  <c r="Y19" i="69"/>
  <c r="W19" i="69"/>
  <c r="V19" i="69"/>
  <c r="U19" i="69"/>
  <c r="T19" i="69"/>
  <c r="S19" i="69"/>
  <c r="X17" i="69"/>
  <c r="V17" i="69"/>
  <c r="T17" i="69"/>
  <c r="AC17" i="69"/>
  <c r="X16" i="69"/>
  <c r="T16" i="69"/>
  <c r="S16" i="69"/>
  <c r="X14" i="69"/>
  <c r="V14" i="69"/>
  <c r="U14" i="69"/>
  <c r="T14" i="69"/>
  <c r="X13" i="69"/>
  <c r="V13" i="69"/>
  <c r="U13" i="69"/>
  <c r="T13" i="69"/>
  <c r="AK52" i="69"/>
  <c r="AJ52" i="69"/>
  <c r="AI52" i="69"/>
  <c r="AH52" i="69"/>
  <c r="AG52" i="69"/>
  <c r="AF52" i="69"/>
  <c r="AK51" i="69"/>
  <c r="AJ51" i="69"/>
  <c r="AI51" i="69"/>
  <c r="AH51" i="69"/>
  <c r="AG51" i="69"/>
  <c r="AF51" i="69"/>
  <c r="L50" i="69"/>
  <c r="Y50" i="69" s="1"/>
  <c r="K50" i="69"/>
  <c r="X50" i="69" s="1"/>
  <c r="J50" i="69"/>
  <c r="W50" i="69" s="1"/>
  <c r="I50" i="69"/>
  <c r="V50" i="69" s="1"/>
  <c r="H50" i="69"/>
  <c r="U50" i="69" s="1"/>
  <c r="G50" i="69"/>
  <c r="T50" i="69" s="1"/>
  <c r="F50" i="69"/>
  <c r="S50" i="69" s="1"/>
  <c r="L49" i="69"/>
  <c r="Y49" i="69" s="1"/>
  <c r="K49" i="69"/>
  <c r="X49" i="69" s="1"/>
  <c r="J49" i="69"/>
  <c r="W49" i="69" s="1"/>
  <c r="I49" i="69"/>
  <c r="V49" i="69" s="1"/>
  <c r="H49" i="69"/>
  <c r="U49" i="69" s="1"/>
  <c r="G49" i="69"/>
  <c r="T49" i="69" s="1"/>
  <c r="F49" i="69"/>
  <c r="S49" i="69" s="1"/>
  <c r="L47" i="69"/>
  <c r="Y47" i="69" s="1"/>
  <c r="K47" i="69"/>
  <c r="X47" i="69" s="1"/>
  <c r="J47" i="69"/>
  <c r="W47" i="69" s="1"/>
  <c r="I47" i="69"/>
  <c r="V47" i="69" s="1"/>
  <c r="H47" i="69"/>
  <c r="U47" i="69" s="1"/>
  <c r="G47" i="69"/>
  <c r="T47" i="69" s="1"/>
  <c r="F47" i="69"/>
  <c r="L46" i="69"/>
  <c r="Y46" i="69" s="1"/>
  <c r="K46" i="69"/>
  <c r="X46" i="69" s="1"/>
  <c r="J46" i="69"/>
  <c r="W46" i="69" s="1"/>
  <c r="I46" i="69"/>
  <c r="V46" i="69" s="1"/>
  <c r="H46" i="69"/>
  <c r="U46" i="69" s="1"/>
  <c r="G46" i="69"/>
  <c r="T46" i="69" s="1"/>
  <c r="F46" i="69"/>
  <c r="S46" i="69" s="1"/>
  <c r="L44" i="69"/>
  <c r="Y44" i="69" s="1"/>
  <c r="K44" i="69"/>
  <c r="X44" i="69" s="1"/>
  <c r="J44" i="69"/>
  <c r="W44" i="69" s="1"/>
  <c r="I44" i="69"/>
  <c r="V44" i="69" s="1"/>
  <c r="H44" i="69"/>
  <c r="U44" i="69" s="1"/>
  <c r="G44" i="69"/>
  <c r="T44" i="69" s="1"/>
  <c r="F44" i="69"/>
  <c r="L43" i="69"/>
  <c r="Y43" i="69" s="1"/>
  <c r="K43" i="69"/>
  <c r="X43" i="69" s="1"/>
  <c r="J43" i="69"/>
  <c r="W43" i="69" s="1"/>
  <c r="I43" i="69"/>
  <c r="V43" i="69" s="1"/>
  <c r="H43" i="69"/>
  <c r="U43" i="69" s="1"/>
  <c r="G43" i="69"/>
  <c r="T43" i="69" s="1"/>
  <c r="F43" i="69"/>
  <c r="S43" i="69" s="1"/>
  <c r="L41" i="69"/>
  <c r="Y41" i="69" s="1"/>
  <c r="K41" i="69"/>
  <c r="X41" i="69" s="1"/>
  <c r="J41" i="69"/>
  <c r="W41" i="69" s="1"/>
  <c r="I41" i="69"/>
  <c r="V41" i="69" s="1"/>
  <c r="H41" i="69"/>
  <c r="U41" i="69" s="1"/>
  <c r="G41" i="69"/>
  <c r="T41" i="69" s="1"/>
  <c r="F41" i="69"/>
  <c r="L40" i="69"/>
  <c r="Y40" i="69" s="1"/>
  <c r="K40" i="69"/>
  <c r="X40" i="69" s="1"/>
  <c r="J40" i="69"/>
  <c r="W40" i="69" s="1"/>
  <c r="I40" i="69"/>
  <c r="V40" i="69" s="1"/>
  <c r="H40" i="69"/>
  <c r="U40" i="69" s="1"/>
  <c r="G40" i="69"/>
  <c r="T40" i="69" s="1"/>
  <c r="F40" i="69"/>
  <c r="S40" i="69" s="1"/>
  <c r="L38" i="69"/>
  <c r="Y38" i="69" s="1"/>
  <c r="K38" i="69"/>
  <c r="X38" i="69" s="1"/>
  <c r="J38" i="69"/>
  <c r="W38" i="69" s="1"/>
  <c r="I38" i="69"/>
  <c r="V38" i="69" s="1"/>
  <c r="H38" i="69"/>
  <c r="U38" i="69" s="1"/>
  <c r="G38" i="69"/>
  <c r="T38" i="69" s="1"/>
  <c r="F38" i="69"/>
  <c r="S38" i="69" s="1"/>
  <c r="L37" i="69"/>
  <c r="Y37" i="69" s="1"/>
  <c r="K37" i="69"/>
  <c r="J37" i="69"/>
  <c r="W37" i="69" s="1"/>
  <c r="I37" i="69"/>
  <c r="V37" i="69" s="1"/>
  <c r="H37" i="69"/>
  <c r="U37" i="69" s="1"/>
  <c r="G37" i="69"/>
  <c r="T37" i="69" s="1"/>
  <c r="F37" i="69"/>
  <c r="S37" i="69" s="1"/>
  <c r="S33" i="69"/>
  <c r="AK28" i="69"/>
  <c r="AJ28" i="69"/>
  <c r="AI28" i="69"/>
  <c r="AH28" i="69"/>
  <c r="AG28" i="69"/>
  <c r="AF28" i="69"/>
  <c r="L28" i="69"/>
  <c r="K28" i="69"/>
  <c r="J28" i="69"/>
  <c r="I28" i="69"/>
  <c r="H28" i="69"/>
  <c r="G28" i="69"/>
  <c r="F28" i="69"/>
  <c r="AK27" i="69"/>
  <c r="AJ27" i="69"/>
  <c r="AI27" i="69"/>
  <c r="AH27" i="69"/>
  <c r="AG27" i="69"/>
  <c r="AF27" i="69"/>
  <c r="L27" i="69"/>
  <c r="K27" i="69"/>
  <c r="J27" i="69"/>
  <c r="I27" i="69"/>
  <c r="H27" i="69"/>
  <c r="G27" i="69"/>
  <c r="F27" i="69"/>
  <c r="R26" i="69"/>
  <c r="Q26" i="69"/>
  <c r="P26" i="69"/>
  <c r="O26" i="69"/>
  <c r="N26" i="69"/>
  <c r="M26" i="69"/>
  <c r="R25" i="69"/>
  <c r="Q25" i="69"/>
  <c r="P25" i="69"/>
  <c r="O25" i="69"/>
  <c r="N25" i="69"/>
  <c r="M25" i="69"/>
  <c r="R23" i="69"/>
  <c r="Q23" i="69"/>
  <c r="P23" i="69"/>
  <c r="O23" i="69"/>
  <c r="N23" i="69"/>
  <c r="M23" i="69"/>
  <c r="R22" i="69"/>
  <c r="Q22" i="69"/>
  <c r="P22" i="69"/>
  <c r="O22" i="69"/>
  <c r="N22" i="69"/>
  <c r="M22" i="69"/>
  <c r="R20" i="69"/>
  <c r="Q20" i="69"/>
  <c r="P20" i="69"/>
  <c r="O20" i="69"/>
  <c r="N20" i="69"/>
  <c r="M20" i="69"/>
  <c r="R19" i="69"/>
  <c r="Q19" i="69"/>
  <c r="P19" i="69"/>
  <c r="O19" i="69"/>
  <c r="N19" i="69"/>
  <c r="M19" i="69"/>
  <c r="R17" i="69"/>
  <c r="Q17" i="69"/>
  <c r="P17" i="69"/>
  <c r="O17" i="69"/>
  <c r="N17" i="69"/>
  <c r="M17" i="69"/>
  <c r="R16" i="69"/>
  <c r="Q16" i="69"/>
  <c r="P16" i="69"/>
  <c r="O16" i="69"/>
  <c r="N16" i="69"/>
  <c r="M16" i="69"/>
  <c r="R14" i="69"/>
  <c r="Q14" i="69"/>
  <c r="P14" i="69"/>
  <c r="O14" i="69"/>
  <c r="N14" i="69"/>
  <c r="M14" i="69"/>
  <c r="R13" i="69"/>
  <c r="Q13" i="69"/>
  <c r="P13" i="69"/>
  <c r="O13" i="69"/>
  <c r="N13" i="69"/>
  <c r="M13" i="69"/>
  <c r="F9" i="69"/>
  <c r="F33" i="69" s="1"/>
  <c r="AK3" i="69"/>
  <c r="Q37" i="69" l="1"/>
  <c r="AE25" i="69"/>
  <c r="AB13" i="69"/>
  <c r="X37" i="69"/>
  <c r="X51" i="69" s="1"/>
  <c r="M28" i="69"/>
  <c r="AA17" i="69"/>
  <c r="R28" i="69"/>
  <c r="F52" i="69"/>
  <c r="Z13" i="69"/>
  <c r="AB22" i="69"/>
  <c r="Z25" i="69"/>
  <c r="I52" i="69"/>
  <c r="AC23" i="69"/>
  <c r="O50" i="69"/>
  <c r="AC20" i="69"/>
  <c r="AB16" i="69"/>
  <c r="J52" i="69"/>
  <c r="O44" i="69"/>
  <c r="Y28" i="69"/>
  <c r="O37" i="69"/>
  <c r="O43" i="69"/>
  <c r="AE14" i="69"/>
  <c r="AD19" i="69"/>
  <c r="H51" i="69"/>
  <c r="Q49" i="69"/>
  <c r="O27" i="69"/>
  <c r="Y27" i="69"/>
  <c r="Y29" i="69" s="1"/>
  <c r="W28" i="69"/>
  <c r="L51" i="69"/>
  <c r="M27" i="69"/>
  <c r="K51" i="69"/>
  <c r="M38" i="69"/>
  <c r="P38" i="69"/>
  <c r="Q41" i="69"/>
  <c r="Q43" i="69"/>
  <c r="W27" i="69"/>
  <c r="Z23" i="69"/>
  <c r="AB25" i="69"/>
  <c r="AD25" i="69"/>
  <c r="AB26" i="69"/>
  <c r="R27" i="69"/>
  <c r="O28" i="69"/>
  <c r="Q28" i="69"/>
  <c r="M37" i="69"/>
  <c r="V52" i="69"/>
  <c r="AA47" i="69"/>
  <c r="V28" i="69"/>
  <c r="V30" i="69" s="1"/>
  <c r="Q27" i="69"/>
  <c r="Q47" i="69"/>
  <c r="AD16" i="69"/>
  <c r="W52" i="69"/>
  <c r="Z22" i="69"/>
  <c r="AC22" i="69"/>
  <c r="R37" i="69"/>
  <c r="M40" i="69"/>
  <c r="M44" i="69"/>
  <c r="P44" i="69"/>
  <c r="O49" i="69"/>
  <c r="R49" i="69"/>
  <c r="R43" i="69"/>
  <c r="X28" i="69"/>
  <c r="X30" i="69" s="1"/>
  <c r="U28" i="69"/>
  <c r="AE23" i="69"/>
  <c r="AE20" i="69"/>
  <c r="U51" i="69"/>
  <c r="U53" i="69" s="1"/>
  <c r="K52" i="69"/>
  <c r="AD17" i="69"/>
  <c r="U27" i="69"/>
  <c r="X27" i="69"/>
  <c r="AA13" i="69"/>
  <c r="AD13" i="69"/>
  <c r="T27" i="69"/>
  <c r="T29" i="69" s="1"/>
  <c r="AE13" i="69"/>
  <c r="T28" i="69"/>
  <c r="T30" i="69" s="1"/>
  <c r="Z19" i="69"/>
  <c r="Y51" i="69"/>
  <c r="Y53" i="69" s="1"/>
  <c r="O38" i="69"/>
  <c r="M46" i="69"/>
  <c r="M50" i="69"/>
  <c r="P50" i="69"/>
  <c r="T52" i="69"/>
  <c r="U52" i="69"/>
  <c r="V51" i="69"/>
  <c r="Y52" i="69"/>
  <c r="AE38" i="69"/>
  <c r="AA46" i="69"/>
  <c r="Z46" i="69"/>
  <c r="AE46" i="69"/>
  <c r="AD46" i="69"/>
  <c r="AC46" i="69"/>
  <c r="AB46" i="69"/>
  <c r="T51" i="69"/>
  <c r="X52" i="69"/>
  <c r="AA40" i="69"/>
  <c r="AC40" i="69"/>
  <c r="Z40" i="69"/>
  <c r="AD40" i="69"/>
  <c r="AE40" i="69"/>
  <c r="AB40" i="69"/>
  <c r="W51" i="69"/>
  <c r="AA41" i="69"/>
  <c r="S9" i="69"/>
  <c r="AC13" i="69"/>
  <c r="Z14" i="69"/>
  <c r="AE16" i="69"/>
  <c r="AB17" i="69"/>
  <c r="AD20" i="69"/>
  <c r="AA22" i="69"/>
  <c r="AC25" i="69"/>
  <c r="Z26" i="69"/>
  <c r="P27" i="69"/>
  <c r="P28" i="69"/>
  <c r="P37" i="69"/>
  <c r="N38" i="69"/>
  <c r="AD38" i="69"/>
  <c r="R41" i="69"/>
  <c r="Z41" i="69"/>
  <c r="P43" i="69"/>
  <c r="N44" i="69"/>
  <c r="R47" i="69"/>
  <c r="Z47" i="69"/>
  <c r="P49" i="69"/>
  <c r="N50" i="69"/>
  <c r="L52" i="69"/>
  <c r="N46" i="69"/>
  <c r="AB47" i="69"/>
  <c r="F51" i="69"/>
  <c r="AC14" i="69"/>
  <c r="Z16" i="69"/>
  <c r="AE17" i="69"/>
  <c r="AB19" i="69"/>
  <c r="AD22" i="69"/>
  <c r="AA23" i="69"/>
  <c r="AC26" i="69"/>
  <c r="S27" i="69"/>
  <c r="S29" i="69" s="1"/>
  <c r="S28" i="69"/>
  <c r="S30" i="69" s="1"/>
  <c r="Q38" i="69"/>
  <c r="O40" i="69"/>
  <c r="M41" i="69"/>
  <c r="AC41" i="69"/>
  <c r="Q44" i="69"/>
  <c r="O46" i="69"/>
  <c r="M47" i="69"/>
  <c r="AC47" i="69"/>
  <c r="Q50" i="69"/>
  <c r="G51" i="69"/>
  <c r="G52" i="69"/>
  <c r="AA14" i="69"/>
  <c r="N40" i="69"/>
  <c r="AB41" i="69"/>
  <c r="AD14" i="69"/>
  <c r="AA16" i="69"/>
  <c r="AC19" i="69"/>
  <c r="Z20" i="69"/>
  <c r="AE22" i="69"/>
  <c r="AB23" i="69"/>
  <c r="AD26" i="69"/>
  <c r="R38" i="69"/>
  <c r="Z38" i="69"/>
  <c r="P40" i="69"/>
  <c r="N41" i="69"/>
  <c r="AD41" i="69"/>
  <c r="R44" i="69"/>
  <c r="P46" i="69"/>
  <c r="N47" i="69"/>
  <c r="AD47" i="69"/>
  <c r="R50" i="69"/>
  <c r="H52" i="69"/>
  <c r="AE26" i="69"/>
  <c r="Q40" i="69"/>
  <c r="O41" i="69"/>
  <c r="AE41" i="69"/>
  <c r="M43" i="69"/>
  <c r="Q46" i="69"/>
  <c r="O47" i="69"/>
  <c r="AE47" i="69"/>
  <c r="M49" i="69"/>
  <c r="I51" i="69"/>
  <c r="AA26" i="69"/>
  <c r="AB14" i="69"/>
  <c r="AA19" i="69"/>
  <c r="AA20" i="69"/>
  <c r="AC16" i="69"/>
  <c r="Z17" i="69"/>
  <c r="AE19" i="69"/>
  <c r="AB20" i="69"/>
  <c r="AD23" i="69"/>
  <c r="AA25" i="69"/>
  <c r="N27" i="69"/>
  <c r="V27" i="69"/>
  <c r="V29" i="69" s="1"/>
  <c r="N28" i="69"/>
  <c r="N37" i="69"/>
  <c r="R40" i="69"/>
  <c r="P41" i="69"/>
  <c r="N43" i="69"/>
  <c r="R46" i="69"/>
  <c r="P47" i="69"/>
  <c r="N49" i="69"/>
  <c r="J51" i="69"/>
  <c r="AA38" i="69"/>
  <c r="AC38" i="69"/>
  <c r="R52" i="69" l="1"/>
  <c r="N52" i="69"/>
  <c r="X54" i="69"/>
  <c r="X53" i="69"/>
  <c r="O52" i="69"/>
  <c r="T53" i="69"/>
  <c r="Y54" i="69"/>
  <c r="V54" i="69"/>
  <c r="U54" i="69"/>
  <c r="W54" i="69"/>
  <c r="T54" i="69"/>
  <c r="Q52" i="69"/>
  <c r="W53" i="69"/>
  <c r="M52" i="69"/>
  <c r="V53" i="69"/>
  <c r="AB38" i="69"/>
  <c r="P52" i="69"/>
  <c r="AC50" i="69"/>
  <c r="AB50" i="69"/>
  <c r="AA50" i="69"/>
  <c r="Z50" i="69"/>
  <c r="AE50" i="69"/>
  <c r="AD50" i="69"/>
  <c r="AE28" i="69"/>
  <c r="AC28" i="69"/>
  <c r="Z28" i="69"/>
  <c r="AD28" i="69"/>
  <c r="AB28" i="69"/>
  <c r="AA28" i="69"/>
  <c r="S52" i="69"/>
  <c r="S54" i="69" s="1"/>
  <c r="AE27" i="69"/>
  <c r="Z27" i="69"/>
  <c r="AD27" i="69"/>
  <c r="AC27" i="69"/>
  <c r="AB27" i="69"/>
  <c r="AA27" i="69"/>
  <c r="AE43" i="69"/>
  <c r="AD43" i="69"/>
  <c r="AC43" i="69"/>
  <c r="AB43" i="69"/>
  <c r="Z43" i="69"/>
  <c r="AA43" i="69"/>
  <c r="S51" i="69"/>
  <c r="S53" i="69" s="1"/>
  <c r="AE37" i="69"/>
  <c r="AD37" i="69"/>
  <c r="AC37" i="69"/>
  <c r="AB37" i="69"/>
  <c r="AA37" i="69"/>
  <c r="Z37" i="69"/>
  <c r="R51" i="69"/>
  <c r="Q51" i="69"/>
  <c r="M51" i="69"/>
  <c r="P51" i="69"/>
  <c r="N51" i="69"/>
  <c r="O51" i="69"/>
  <c r="AC44" i="69"/>
  <c r="AB44" i="69"/>
  <c r="AA44" i="69"/>
  <c r="Z44" i="69"/>
  <c r="AE44" i="69"/>
  <c r="AD44" i="69"/>
  <c r="AE49" i="69"/>
  <c r="AD49" i="69"/>
  <c r="AC49" i="69"/>
  <c r="AB49" i="69"/>
  <c r="Z49" i="69"/>
  <c r="AA49" i="69"/>
  <c r="AA51" i="69" l="1"/>
  <c r="AC51" i="69"/>
  <c r="Z51" i="69"/>
  <c r="AE51" i="69"/>
  <c r="AD51" i="69"/>
  <c r="AB51" i="69"/>
  <c r="AA52" i="69"/>
  <c r="Z52" i="69"/>
  <c r="AC52" i="69"/>
  <c r="AD52" i="69"/>
  <c r="AE52" i="69"/>
  <c r="AB52" i="69"/>
  <c r="S53" i="68" l="1"/>
  <c r="S37" i="68"/>
  <c r="S30" i="68"/>
  <c r="S14" i="68"/>
  <c r="S29" i="68" l="1"/>
  <c r="S13" i="68"/>
  <c r="S23" i="68" l="1"/>
  <c r="S20" i="68"/>
  <c r="S17" i="68"/>
  <c r="S54" i="68"/>
  <c r="S47" i="68"/>
  <c r="S44" i="68"/>
  <c r="S41" i="68"/>
  <c r="S38" i="68"/>
  <c r="S26" i="68"/>
  <c r="S16" i="68"/>
  <c r="S50" i="68"/>
  <c r="S40" i="68"/>
  <c r="Y50" i="68"/>
  <c r="X50" i="68"/>
  <c r="W50" i="68"/>
  <c r="V50" i="68"/>
  <c r="U50" i="68"/>
  <c r="T50" i="68"/>
  <c r="Y49" i="68"/>
  <c r="X49" i="68"/>
  <c r="W49" i="68"/>
  <c r="V49" i="68"/>
  <c r="U49" i="68"/>
  <c r="T49" i="68"/>
  <c r="S49" i="68"/>
  <c r="Y47" i="68"/>
  <c r="X47" i="68"/>
  <c r="W47" i="68"/>
  <c r="V47" i="68"/>
  <c r="U47" i="68"/>
  <c r="T47" i="68"/>
  <c r="Y46" i="68"/>
  <c r="X46" i="68"/>
  <c r="W46" i="68"/>
  <c r="V46" i="68"/>
  <c r="U46" i="68"/>
  <c r="T46" i="68"/>
  <c r="S46" i="68"/>
  <c r="Y44" i="68"/>
  <c r="X44" i="68"/>
  <c r="W44" i="68"/>
  <c r="V44" i="68"/>
  <c r="U44" i="68"/>
  <c r="T44" i="68"/>
  <c r="Y43" i="68"/>
  <c r="X43" i="68"/>
  <c r="W43" i="68"/>
  <c r="V43" i="68"/>
  <c r="U43" i="68"/>
  <c r="T43" i="68"/>
  <c r="S43" i="68"/>
  <c r="Y41" i="68"/>
  <c r="X41" i="68"/>
  <c r="W41" i="68"/>
  <c r="V41" i="68"/>
  <c r="U41" i="68"/>
  <c r="T41" i="68"/>
  <c r="Y40" i="68"/>
  <c r="X40" i="68"/>
  <c r="W40" i="68"/>
  <c r="V40" i="68"/>
  <c r="U40" i="68"/>
  <c r="T40" i="68"/>
  <c r="Y38" i="68"/>
  <c r="X38" i="68"/>
  <c r="W38" i="68"/>
  <c r="V38" i="68"/>
  <c r="U38" i="68"/>
  <c r="T38" i="68"/>
  <c r="Y37" i="68"/>
  <c r="X37" i="68"/>
  <c r="W37" i="68"/>
  <c r="V37" i="68"/>
  <c r="U37" i="68"/>
  <c r="T37" i="68"/>
  <c r="Y26" i="68"/>
  <c r="X26" i="68"/>
  <c r="W26" i="68"/>
  <c r="V26" i="68"/>
  <c r="U26" i="68"/>
  <c r="T26" i="68"/>
  <c r="Y25" i="68"/>
  <c r="X25" i="68"/>
  <c r="W25" i="68"/>
  <c r="V25" i="68"/>
  <c r="U25" i="68"/>
  <c r="T25" i="68"/>
  <c r="S25" i="68"/>
  <c r="Y23" i="68"/>
  <c r="X23" i="68"/>
  <c r="W23" i="68"/>
  <c r="V23" i="68"/>
  <c r="U23" i="68"/>
  <c r="T23" i="68"/>
  <c r="Y22" i="68"/>
  <c r="X22" i="68"/>
  <c r="W22" i="68"/>
  <c r="V22" i="68"/>
  <c r="U22" i="68"/>
  <c r="T22" i="68"/>
  <c r="S22" i="68"/>
  <c r="Y20" i="68"/>
  <c r="X20" i="68"/>
  <c r="W20" i="68"/>
  <c r="V20" i="68"/>
  <c r="U20" i="68"/>
  <c r="T20" i="68"/>
  <c r="Y19" i="68"/>
  <c r="X19" i="68"/>
  <c r="W19" i="68"/>
  <c r="V19" i="68"/>
  <c r="U19" i="68"/>
  <c r="T19" i="68"/>
  <c r="S19" i="68"/>
  <c r="Y17" i="68"/>
  <c r="X17" i="68"/>
  <c r="W17" i="68"/>
  <c r="V17" i="68"/>
  <c r="U17" i="68"/>
  <c r="T17" i="68"/>
  <c r="Y16" i="68"/>
  <c r="X16" i="68"/>
  <c r="W16" i="68"/>
  <c r="V16" i="68"/>
  <c r="U16" i="68"/>
  <c r="T16" i="68"/>
  <c r="Y14" i="68"/>
  <c r="X14" i="68"/>
  <c r="W14" i="68"/>
  <c r="V14" i="68"/>
  <c r="U14" i="68"/>
  <c r="T14" i="68"/>
  <c r="Y13" i="68"/>
  <c r="X13" i="68"/>
  <c r="W13" i="68"/>
  <c r="V13" i="68"/>
  <c r="U13" i="68"/>
  <c r="T13" i="68"/>
  <c r="AK52" i="68" l="1"/>
  <c r="AJ52" i="68"/>
  <c r="AI52" i="68"/>
  <c r="AH52" i="68"/>
  <c r="AG52" i="68"/>
  <c r="AF52" i="68"/>
  <c r="AK51" i="68"/>
  <c r="AJ51" i="68"/>
  <c r="AI51" i="68"/>
  <c r="AH51" i="68"/>
  <c r="AG51" i="68"/>
  <c r="AF51" i="68"/>
  <c r="L50" i="68"/>
  <c r="K50" i="68"/>
  <c r="J50" i="68"/>
  <c r="I50" i="68"/>
  <c r="H50" i="68"/>
  <c r="G50" i="68"/>
  <c r="F50" i="68"/>
  <c r="L49" i="68"/>
  <c r="K49" i="68"/>
  <c r="J49" i="68"/>
  <c r="I49" i="68"/>
  <c r="H49" i="68"/>
  <c r="G49" i="68"/>
  <c r="F49" i="68"/>
  <c r="L47" i="68"/>
  <c r="K47" i="68"/>
  <c r="J47" i="68"/>
  <c r="I47" i="68"/>
  <c r="H47" i="68"/>
  <c r="G47" i="68"/>
  <c r="F47" i="68"/>
  <c r="L46" i="68"/>
  <c r="K46" i="68"/>
  <c r="J46" i="68"/>
  <c r="I46" i="68"/>
  <c r="H46" i="68"/>
  <c r="G46" i="68"/>
  <c r="F46" i="68"/>
  <c r="L44" i="68"/>
  <c r="K44" i="68"/>
  <c r="J44" i="68"/>
  <c r="I44" i="68"/>
  <c r="H44" i="68"/>
  <c r="G44" i="68"/>
  <c r="F44" i="68"/>
  <c r="L43" i="68"/>
  <c r="K43" i="68"/>
  <c r="J43" i="68"/>
  <c r="I43" i="68"/>
  <c r="H43" i="68"/>
  <c r="G43" i="68"/>
  <c r="F43" i="68"/>
  <c r="L41" i="68"/>
  <c r="K41" i="68"/>
  <c r="J41" i="68"/>
  <c r="I41" i="68"/>
  <c r="H41" i="68"/>
  <c r="G41" i="68"/>
  <c r="F41" i="68"/>
  <c r="O41" i="68" s="1"/>
  <c r="R40" i="68"/>
  <c r="L40" i="68"/>
  <c r="K40" i="68"/>
  <c r="J40" i="68"/>
  <c r="I40" i="68"/>
  <c r="H40" i="68"/>
  <c r="G40" i="68"/>
  <c r="F40" i="68"/>
  <c r="L38" i="68"/>
  <c r="K38" i="68"/>
  <c r="K52" i="68" s="1"/>
  <c r="J38" i="68"/>
  <c r="I38" i="68"/>
  <c r="H38" i="68"/>
  <c r="G38" i="68"/>
  <c r="F38" i="68"/>
  <c r="Y51" i="68"/>
  <c r="Y53" i="68" s="1"/>
  <c r="L37" i="68"/>
  <c r="L51" i="68" s="1"/>
  <c r="K37" i="68"/>
  <c r="J37" i="68"/>
  <c r="I37" i="68"/>
  <c r="H37" i="68"/>
  <c r="G37" i="68"/>
  <c r="F37" i="68"/>
  <c r="O37" i="68" s="1"/>
  <c r="S33" i="68"/>
  <c r="AK28" i="68"/>
  <c r="AJ28" i="68"/>
  <c r="AI28" i="68"/>
  <c r="AH28" i="68"/>
  <c r="AG28" i="68"/>
  <c r="AF28" i="68"/>
  <c r="L28" i="68"/>
  <c r="K28" i="68"/>
  <c r="J28" i="68"/>
  <c r="I28" i="68"/>
  <c r="H28" i="68"/>
  <c r="G28" i="68"/>
  <c r="F28" i="68"/>
  <c r="O28" i="68" s="1"/>
  <c r="AK27" i="68"/>
  <c r="AJ27" i="68"/>
  <c r="AI27" i="68"/>
  <c r="AH27" i="68"/>
  <c r="AG27" i="68"/>
  <c r="AF27" i="68"/>
  <c r="L27" i="68"/>
  <c r="K27" i="68"/>
  <c r="J27" i="68"/>
  <c r="I27" i="68"/>
  <c r="H27" i="68"/>
  <c r="G27" i="68"/>
  <c r="F27" i="68"/>
  <c r="R26" i="68"/>
  <c r="Q26" i="68"/>
  <c r="P26" i="68"/>
  <c r="O26" i="68"/>
  <c r="N26" i="68"/>
  <c r="M26" i="68"/>
  <c r="R25" i="68"/>
  <c r="Q25" i="68"/>
  <c r="P25" i="68"/>
  <c r="O25" i="68"/>
  <c r="N25" i="68"/>
  <c r="M25" i="68"/>
  <c r="AE23" i="68"/>
  <c r="AC23" i="68"/>
  <c r="R23" i="68"/>
  <c r="Q23" i="68"/>
  <c r="P23" i="68"/>
  <c r="O23" i="68"/>
  <c r="N23" i="68"/>
  <c r="M23" i="68"/>
  <c r="AE22" i="68"/>
  <c r="Z22" i="68"/>
  <c r="R22" i="68"/>
  <c r="Q22" i="68"/>
  <c r="P22" i="68"/>
  <c r="O22" i="68"/>
  <c r="N22" i="68"/>
  <c r="M22" i="68"/>
  <c r="R20" i="68"/>
  <c r="Q20" i="68"/>
  <c r="P20" i="68"/>
  <c r="O20" i="68"/>
  <c r="N20" i="68"/>
  <c r="M20" i="68"/>
  <c r="Z19" i="68"/>
  <c r="AD19" i="68"/>
  <c r="R19" i="68"/>
  <c r="Q19" i="68"/>
  <c r="P19" i="68"/>
  <c r="O19" i="68"/>
  <c r="N19" i="68"/>
  <c r="M19" i="68"/>
  <c r="AA17" i="68"/>
  <c r="R17" i="68"/>
  <c r="Q17" i="68"/>
  <c r="P17" i="68"/>
  <c r="O17" i="68"/>
  <c r="N17" i="68"/>
  <c r="M17" i="68"/>
  <c r="R16" i="68"/>
  <c r="Q16" i="68"/>
  <c r="P16" i="68"/>
  <c r="O16" i="68"/>
  <c r="N16" i="68"/>
  <c r="M16" i="68"/>
  <c r="X28" i="68"/>
  <c r="X30" i="68" s="1"/>
  <c r="W28" i="68"/>
  <c r="W30" i="68" s="1"/>
  <c r="U28" i="68"/>
  <c r="U30" i="68" s="1"/>
  <c r="T28" i="68"/>
  <c r="T30" i="68" s="1"/>
  <c r="AE14" i="68"/>
  <c r="R14" i="68"/>
  <c r="Q14" i="68"/>
  <c r="P14" i="68"/>
  <c r="O14" i="68"/>
  <c r="N14" i="68"/>
  <c r="M14" i="68"/>
  <c r="X27" i="68"/>
  <c r="X29" i="68" s="1"/>
  <c r="W27" i="68"/>
  <c r="W29" i="68" s="1"/>
  <c r="U27" i="68"/>
  <c r="U29" i="68" s="1"/>
  <c r="R13" i="68"/>
  <c r="Q13" i="68"/>
  <c r="P13" i="68"/>
  <c r="O13" i="68"/>
  <c r="N13" i="68"/>
  <c r="M13" i="68"/>
  <c r="F9" i="68"/>
  <c r="S9" i="68" s="1"/>
  <c r="AD22" i="68" l="1"/>
  <c r="AC20" i="68"/>
  <c r="O44" i="68"/>
  <c r="AD16" i="68"/>
  <c r="T52" i="68"/>
  <c r="T54" i="68" s="1"/>
  <c r="O27" i="68"/>
  <c r="K51" i="68"/>
  <c r="I52" i="68"/>
  <c r="J52" i="68"/>
  <c r="AA22" i="68"/>
  <c r="AE26" i="68"/>
  <c r="X52" i="68"/>
  <c r="X54" i="68" s="1"/>
  <c r="AB13" i="68"/>
  <c r="Y27" i="68"/>
  <c r="Y29" i="68" s="1"/>
  <c r="V51" i="68"/>
  <c r="V53" i="68" s="1"/>
  <c r="X51" i="68"/>
  <c r="X53" i="68" s="1"/>
  <c r="T27" i="68"/>
  <c r="T29" i="68" s="1"/>
  <c r="AB16" i="68"/>
  <c r="V28" i="68"/>
  <c r="V30" i="68" s="1"/>
  <c r="AA20" i="68"/>
  <c r="AB25" i="68"/>
  <c r="O43" i="68"/>
  <c r="O47" i="68"/>
  <c r="V27" i="68"/>
  <c r="V29" i="68" s="1"/>
  <c r="O49" i="68"/>
  <c r="I51" i="68"/>
  <c r="F52" i="68"/>
  <c r="R52" i="68" s="1"/>
  <c r="Q41" i="68"/>
  <c r="P44" i="68"/>
  <c r="AB22" i="68"/>
  <c r="Z23" i="68"/>
  <c r="R38" i="68"/>
  <c r="M44" i="68"/>
  <c r="AB20" i="68"/>
  <c r="AC22" i="68"/>
  <c r="AD23" i="68"/>
  <c r="O38" i="68"/>
  <c r="P41" i="68"/>
  <c r="R50" i="68"/>
  <c r="AE47" i="68"/>
  <c r="Z17" i="68"/>
  <c r="AE20" i="68"/>
  <c r="P38" i="68"/>
  <c r="O50" i="68"/>
  <c r="AC17" i="68"/>
  <c r="AE19" i="68"/>
  <c r="Z20" i="68"/>
  <c r="M38" i="68"/>
  <c r="Q47" i="68"/>
  <c r="P50" i="68"/>
  <c r="AC16" i="68"/>
  <c r="AD17" i="68"/>
  <c r="AB23" i="68"/>
  <c r="AB26" i="68"/>
  <c r="M50" i="68"/>
  <c r="R44" i="68"/>
  <c r="P47" i="68"/>
  <c r="AC44" i="68"/>
  <c r="AB44" i="68"/>
  <c r="AA44" i="68"/>
  <c r="Z44" i="68"/>
  <c r="AD44" i="68"/>
  <c r="T51" i="68"/>
  <c r="T53" i="68" s="1"/>
  <c r="U51" i="68"/>
  <c r="U53" i="68" s="1"/>
  <c r="AC38" i="68"/>
  <c r="AA38" i="68"/>
  <c r="Z38" i="68"/>
  <c r="AD38" i="68"/>
  <c r="AB38" i="68"/>
  <c r="AE41" i="68"/>
  <c r="AA40" i="68"/>
  <c r="Z40" i="68"/>
  <c r="AD40" i="68"/>
  <c r="AE40" i="68"/>
  <c r="AC40" i="68"/>
  <c r="AB40" i="68"/>
  <c r="AC50" i="68"/>
  <c r="AB50" i="68"/>
  <c r="AA50" i="68"/>
  <c r="Z50" i="68"/>
  <c r="AD50" i="68"/>
  <c r="W51" i="68"/>
  <c r="W53" i="68" s="1"/>
  <c r="U52" i="68"/>
  <c r="U54" i="68" s="1"/>
  <c r="AA46" i="68"/>
  <c r="AD46" i="68"/>
  <c r="AE46" i="68"/>
  <c r="AC46" i="68"/>
  <c r="AB46" i="68"/>
  <c r="Z46" i="68"/>
  <c r="W52" i="68"/>
  <c r="W54" i="68" s="1"/>
  <c r="V52" i="68"/>
  <c r="V54" i="68" s="1"/>
  <c r="AB41" i="68"/>
  <c r="AA13" i="68"/>
  <c r="N27" i="68"/>
  <c r="N28" i="68"/>
  <c r="N37" i="68"/>
  <c r="J51" i="68"/>
  <c r="AC13" i="68"/>
  <c r="Z14" i="68"/>
  <c r="AE16" i="68"/>
  <c r="AB17" i="68"/>
  <c r="AD20" i="68"/>
  <c r="AC25" i="68"/>
  <c r="Z26" i="68"/>
  <c r="P27" i="68"/>
  <c r="P28" i="68"/>
  <c r="P37" i="68"/>
  <c r="N38" i="68"/>
  <c r="R41" i="68"/>
  <c r="Z41" i="68"/>
  <c r="P43" i="68"/>
  <c r="N44" i="68"/>
  <c r="R47" i="68"/>
  <c r="Z47" i="68"/>
  <c r="P49" i="68"/>
  <c r="N50" i="68"/>
  <c r="L52" i="68"/>
  <c r="AD25" i="68"/>
  <c r="AA26" i="68"/>
  <c r="Q27" i="68"/>
  <c r="Q28" i="68"/>
  <c r="Y28" i="68"/>
  <c r="Y30" i="68" s="1"/>
  <c r="Q37" i="68"/>
  <c r="M40" i="68"/>
  <c r="AA41" i="68"/>
  <c r="Q43" i="68"/>
  <c r="M46" i="68"/>
  <c r="AA47" i="68"/>
  <c r="Q49" i="68"/>
  <c r="AA19" i="68"/>
  <c r="R27" i="68"/>
  <c r="N40" i="68"/>
  <c r="R43" i="68"/>
  <c r="F51" i="68"/>
  <c r="AC14" i="68"/>
  <c r="Z16" i="68"/>
  <c r="AE17" i="68"/>
  <c r="AB19" i="68"/>
  <c r="AA23" i="68"/>
  <c r="AC26" i="68"/>
  <c r="S27" i="68"/>
  <c r="S28" i="68"/>
  <c r="Q38" i="68"/>
  <c r="O40" i="68"/>
  <c r="M41" i="68"/>
  <c r="AC41" i="68"/>
  <c r="Q44" i="68"/>
  <c r="AE44" i="68"/>
  <c r="O46" i="68"/>
  <c r="M47" i="68"/>
  <c r="AC47" i="68"/>
  <c r="Q50" i="68"/>
  <c r="AE50" i="68"/>
  <c r="G51" i="68"/>
  <c r="G52" i="68"/>
  <c r="O52" i="68"/>
  <c r="AD13" i="68"/>
  <c r="AB14" i="68"/>
  <c r="N46" i="68"/>
  <c r="R49" i="68"/>
  <c r="AD14" i="68"/>
  <c r="AA16" i="68"/>
  <c r="AC19" i="68"/>
  <c r="AD26" i="68"/>
  <c r="F33" i="68"/>
  <c r="P40" i="68"/>
  <c r="N41" i="68"/>
  <c r="AD41" i="68"/>
  <c r="P46" i="68"/>
  <c r="N47" i="68"/>
  <c r="AD47" i="68"/>
  <c r="H51" i="68"/>
  <c r="H52" i="68"/>
  <c r="N52" i="68" s="1"/>
  <c r="AA14" i="68"/>
  <c r="AE13" i="68"/>
  <c r="AE25" i="68"/>
  <c r="R28" i="68"/>
  <c r="R37" i="68"/>
  <c r="Z13" i="68"/>
  <c r="Z25" i="68"/>
  <c r="M27" i="68"/>
  <c r="M28" i="68"/>
  <c r="M37" i="68"/>
  <c r="Q40" i="68"/>
  <c r="M43" i="68"/>
  <c r="Q46" i="68"/>
  <c r="M49" i="68"/>
  <c r="Q52" i="68"/>
  <c r="AA25" i="68"/>
  <c r="N43" i="68"/>
  <c r="R46" i="68"/>
  <c r="N49" i="68"/>
  <c r="M52" i="68" l="1"/>
  <c r="P52" i="68"/>
  <c r="Y52" i="68"/>
  <c r="Y54" i="68" s="1"/>
  <c r="AB47" i="68"/>
  <c r="S52" i="68"/>
  <c r="S51" i="68"/>
  <c r="AE37" i="68"/>
  <c r="AD37" i="68"/>
  <c r="AC37" i="68"/>
  <c r="AB37" i="68"/>
  <c r="Z37" i="68"/>
  <c r="AA37" i="68"/>
  <c r="AE38" i="68"/>
  <c r="AE28" i="68"/>
  <c r="AC28" i="68"/>
  <c r="Z28" i="68"/>
  <c r="AB28" i="68"/>
  <c r="AA28" i="68"/>
  <c r="AD28" i="68"/>
  <c r="R51" i="68"/>
  <c r="Q51" i="68"/>
  <c r="P51" i="68"/>
  <c r="N51" i="68"/>
  <c r="O51" i="68"/>
  <c r="M51" i="68"/>
  <c r="AE43" i="68"/>
  <c r="AD43" i="68"/>
  <c r="AC43" i="68"/>
  <c r="AB43" i="68"/>
  <c r="Z43" i="68"/>
  <c r="AA43" i="68"/>
  <c r="AE27" i="68"/>
  <c r="AC27" i="68"/>
  <c r="Z27" i="68"/>
  <c r="AB27" i="68"/>
  <c r="AA27" i="68"/>
  <c r="AD27" i="68"/>
  <c r="AE49" i="68"/>
  <c r="AC49" i="68"/>
  <c r="AB49" i="68"/>
  <c r="Z49" i="68"/>
  <c r="AA49" i="68"/>
  <c r="AD49" i="68"/>
  <c r="AA52" i="68" l="1"/>
  <c r="AB52" i="68"/>
  <c r="AD52" i="68"/>
  <c r="Z52" i="68"/>
  <c r="AC52" i="68"/>
  <c r="AE52" i="68"/>
  <c r="AA51" i="68"/>
  <c r="Z51" i="68"/>
  <c r="AD51" i="68"/>
  <c r="AE51" i="68"/>
  <c r="AC51" i="68"/>
  <c r="AB51" i="68"/>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M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Y3" i="24"/>
  <c r="AK3" i="67" l="1"/>
  <c r="AK3" i="68"/>
  <c r="AK3" i="65"/>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X27" i="48"/>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<sst xmlns="http://schemas.openxmlformats.org/spreadsheetml/2006/main" count="3674" uniqueCount="157">
  <si>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</si>
  <si>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</si>
  <si>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</si>
  <si>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</si>
  <si>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</si>
  <si>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</si>
  <si>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</si>
  <si>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</si>
  <si>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</si>
  <si>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</si>
  <si>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</si>
  <si>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</si>
  <si>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</si>
  <si>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</si>
  <si>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</si>
  <si>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</si>
  <si>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</si>
  <si>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</si>
  <si>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</si>
  <si>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</si>
  <si>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</si>
  <si>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</si>
  <si>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</si>
  <si>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</si>
  <si>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</si>
  <si>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</si>
  <si>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</si>
  <si>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</si>
  <si>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</si>
  <si>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</si>
  <si>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</si>
  <si>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</si>
  <si>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</si>
  <si>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</si>
  <si>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</si>
  <si>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</si>
  <si>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</si>
  <si>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</si>
  <si>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</si>
  <si>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</si>
  <si>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</si>
  <si>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</si>
  <si>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</si>
  <si>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</si>
  <si>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</si>
  <si>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</si>
  <si>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</si>
  <si>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</si>
  <si>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</si>
  <si>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</si>
  <si>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</si>
  <si>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</si>
  <si>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</si>
  <si>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</si>
  <si>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</si>
  <si>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</si>
  <si>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</si>
  <si>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</si>
  <si>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</si>
  <si>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</si>
  <si>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</si>
  <si>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</si>
  <si>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</si>
  <si>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</si>
  <si>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</si>
  <si>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</si>
  <si>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</si>
  <si>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</si>
  <si>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</si>
  <si>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</si>
  <si>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</si>
  <si>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</si>
  <si>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</si>
  <si>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</si>
  <si>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</si>
  <si>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</si>
  <si>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</si>
  <si>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</si>
  <si>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</si>
  <si>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</si>
  <si>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</si>
  <si>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</si>
  <si>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</si>
  <si>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</si>
  <si>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</si>
  <si>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</si>
  <si>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</si>
  <si>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</si>
  <si>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</si>
  <si>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</si>
  <si>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</si>
  <si>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</si>
  <si>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</si>
  <si>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</si>
  <si>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</si>
  <si>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</si>
  <si>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</si>
  <si>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</si>
  <si>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</si>
  <si>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</si>
  <si>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</si>
  <si>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</si>
  <si>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</si>
  <si>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</si>
  <si>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</si>
  <si>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</si>
  <si>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</si>
  <si>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</si>
  <si>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</si>
  <si>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</si>
  <si>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</si>
  <si>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</si>
  <si>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</si>
  <si>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</si>
  <si>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</si>
  <si>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</si>
  <si>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</si>
  <si>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</si>
  <si>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</si>
  <si>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</si>
  <si>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</si>
  <si>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</si>
  <si>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</si>
  <si>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</si>
  <si>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</si>
  <si>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</si>
  <si>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</si>
  <si>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</si>
  <si>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</si>
  <si>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</si>
  <si>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</si>
  <si>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</si>
  <si>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</si>
  <si>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</si>
  <si>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</si>
  <si>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</si>
  <si>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</si>
  <si>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</si>
  <si>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</si>
  <si>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</si>
  <si>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</si>
  <si>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</si>
  <si>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</si>
  <si>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</si>
  <si>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</si>
  <si>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</si>
  <si>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Monthly Cruise Occupany Ratio GPH for 2022-2025</t>
  </si>
  <si>
    <t>2026/25 Chg %</t>
  </si>
  <si>
    <t>2026/24 Chg %</t>
  </si>
  <si>
    <t>2026/23 Chg %</t>
  </si>
  <si>
    <t>2026/22 Chg %</t>
  </si>
  <si>
    <t>2026/21 Chg %</t>
  </si>
  <si>
    <t>2026/20 Chg %</t>
  </si>
  <si>
    <t>Occupancy ratios will lag one month due to availability of detailed data</t>
  </si>
  <si>
    <t>Jul</t>
  </si>
  <si>
    <t>Jun</t>
  </si>
  <si>
    <t>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</si>
</sst>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0">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0" fontId="19" fillId="4" borderId="7" xfId="3"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13" xfId="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8" fillId="2" borderId="3" xfId="1" applyFont="1" applyBorder="1" applyAlignment="1">
      <alignment horizontal="center"/>
    </xf>
    <xf numFmtId="0" fontId="18" fillId="2" borderId="15"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3.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and Tarragona Cruise Port). Equity pick up entities Lisbon Cruise Port, Portugal and Singapore Cruise Port, Singapore, and Vigo Cruise Port, Spain are not included in these Traffic Stats.</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Northern Europe &amp; Central Med: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Equity pick up entities </a:t>
          </a:r>
          <a:r>
            <a:rPr kumimoji="0" lang="en-GB" sz="1100" b="0" i="0" u="none" strike="noStrike" kern="0" cap="none" spc="0" normalizeH="0" baseline="0" noProof="0">
              <a:ln>
                <a:noFill/>
              </a:ln>
              <a:solidFill>
                <a:prstClr val="black"/>
              </a:solidFill>
              <a:effectLst/>
              <a:uLnTx/>
              <a:uFillTx/>
              <a:latin typeface="+mn-lt"/>
              <a:ea typeface="+mn-ea"/>
              <a:cs typeface="+mn-cs"/>
            </a:rPr>
            <a:t>La Goulette Cruise Port, Tunisia and Venice Cruise Port, Italy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Traffic from Ha Long Bay Cruise Port management agreement, Vietnam and calls / passengers handeld by Port Services operations</a:t>
          </a:r>
          <a:r>
            <a:rPr kumimoji="0" lang="de-DE" sz="1100" b="0" i="0" u="none" strike="noStrike" kern="0" cap="none" spc="0" normalizeH="0" baseline="0" noProof="0">
              <a:ln>
                <a:noFill/>
              </a:ln>
              <a:solidFill>
                <a:prstClr val="black"/>
              </a:solidFill>
              <a:effectLst/>
              <a:uLnTx/>
              <a:uFillTx/>
              <a:latin typeface="+mn-lt"/>
              <a:ea typeface="+mn-ea"/>
              <a:cs typeface="+mn-cs"/>
            </a:rPr>
            <a:t>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50</xdr:col>
      <xdr:colOff>147530</xdr:colOff>
      <xdr:row>0</xdr:row>
      <xdr:rowOff>0</xdr:rowOff>
    </xdr:from>
    <xdr:to>
      <xdr:col>51</xdr:col>
      <xdr:colOff>148165</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EC4D0865-9D4A-488C-B58C-0F300E76C706}"/>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1D6E7C8-D3C9-49FA-8A81-0BECB7753DE1}"/>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9.xml"/><Relationship Id="rId4" Type="http://schemas.microsoft.com/office/2017/10/relationships/threadedComment" Target="../threadedComments/threadedComment1.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zoomScale="85" zoomScaleNormal="85" workbookViewId="0">
      <selection activeCell="I1" sqref="I1"/>
    </sheetView>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46034</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AA41" sqref="AA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August</v>
      </c>
      <c r="G9" s="166"/>
      <c r="H9" s="166"/>
      <c r="I9" s="166"/>
      <c r="J9" s="166"/>
      <c r="K9" s="166"/>
      <c r="L9" s="166"/>
      <c r="M9" s="166"/>
      <c r="N9" s="166"/>
      <c r="O9" s="166"/>
      <c r="P9" s="166"/>
      <c r="Q9" s="166"/>
      <c r="R9" s="167"/>
      <c r="S9" s="168" t="str">
        <f xml:space="preserve"> "January to "&amp; F9</f>
        <v>January to August</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August</v>
      </c>
      <c r="G33" s="169"/>
      <c r="H33" s="169"/>
      <c r="I33" s="169"/>
      <c r="J33" s="169"/>
      <c r="K33" s="169"/>
      <c r="L33" s="169"/>
      <c r="M33" s="169"/>
      <c r="N33" s="169"/>
      <c r="O33" s="169"/>
      <c r="P33" s="169"/>
      <c r="Q33" s="169"/>
      <c r="R33" s="170"/>
      <c r="S33" s="171" t="str">
        <f>"April to "&amp;D4&amp;" (YTD)"</f>
        <v>April to August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AA44" sqref="AA4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July</v>
      </c>
      <c r="G9" s="166"/>
      <c r="H9" s="166"/>
      <c r="I9" s="166"/>
      <c r="J9" s="166"/>
      <c r="K9" s="166"/>
      <c r="L9" s="166"/>
      <c r="M9" s="166"/>
      <c r="N9" s="166"/>
      <c r="O9" s="166"/>
      <c r="P9" s="166"/>
      <c r="Q9" s="166"/>
      <c r="R9" s="167"/>
      <c r="S9" s="168" t="str">
        <f xml:space="preserve"> "January to "&amp; F9</f>
        <v>January to July</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July</v>
      </c>
      <c r="G33" s="169"/>
      <c r="H33" s="169"/>
      <c r="I33" s="169"/>
      <c r="J33" s="169"/>
      <c r="K33" s="169"/>
      <c r="L33" s="169"/>
      <c r="M33" s="169"/>
      <c r="N33" s="169"/>
      <c r="O33" s="169"/>
      <c r="P33" s="169"/>
      <c r="Q33" s="169"/>
      <c r="R33" s="170"/>
      <c r="S33" s="171" t="str">
        <f>"April to "&amp;D4&amp;" (YTD)"</f>
        <v>April to July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Z47" sqref="Z4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June</v>
      </c>
      <c r="G9" s="166"/>
      <c r="H9" s="166"/>
      <c r="I9" s="166"/>
      <c r="J9" s="166"/>
      <c r="K9" s="166"/>
      <c r="L9" s="166"/>
      <c r="M9" s="166"/>
      <c r="N9" s="166"/>
      <c r="O9" s="166"/>
      <c r="P9" s="166"/>
      <c r="Q9" s="166"/>
      <c r="R9" s="167"/>
      <c r="S9" s="168" t="str">
        <f xml:space="preserve"> "January to "&amp; F9</f>
        <v>January to June</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June</v>
      </c>
      <c r="G33" s="169"/>
      <c r="H33" s="169"/>
      <c r="I33" s="169"/>
      <c r="J33" s="169"/>
      <c r="K33" s="169"/>
      <c r="L33" s="169"/>
      <c r="M33" s="169"/>
      <c r="N33" s="169"/>
      <c r="O33" s="169"/>
      <c r="P33" s="169"/>
      <c r="Q33" s="169"/>
      <c r="R33" s="170"/>
      <c r="S33" s="171" t="str">
        <f>"April to "&amp;D4&amp;" (YTD)"</f>
        <v>April to June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N26" zoomScale="85" zoomScaleNormal="85" workbookViewId="0">
      <selection activeCell="Z36" sqref="Z36: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May</v>
      </c>
      <c r="G9" s="166"/>
      <c r="H9" s="166"/>
      <c r="I9" s="166"/>
      <c r="J9" s="166"/>
      <c r="K9" s="166"/>
      <c r="L9" s="166"/>
      <c r="M9" s="166"/>
      <c r="N9" s="166"/>
      <c r="O9" s="166"/>
      <c r="P9" s="166"/>
      <c r="Q9" s="166"/>
      <c r="R9" s="167"/>
      <c r="S9" s="168" t="str">
        <f xml:space="preserve"> "January to "&amp; F9</f>
        <v>January to May</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May</v>
      </c>
      <c r="G33" s="169"/>
      <c r="H33" s="169"/>
      <c r="I33" s="169"/>
      <c r="J33" s="169"/>
      <c r="K33" s="169"/>
      <c r="L33" s="169"/>
      <c r="M33" s="169"/>
      <c r="N33" s="169"/>
      <c r="O33" s="169"/>
      <c r="P33" s="169"/>
      <c r="Q33" s="169"/>
      <c r="R33" s="170"/>
      <c r="S33" s="171" t="str">
        <f>"April to "&amp;D4&amp;" (YTD)"</f>
        <v>April to May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N25" zoomScale="85" zoomScaleNormal="85"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April</v>
      </c>
      <c r="G9" s="166"/>
      <c r="H9" s="166"/>
      <c r="I9" s="166"/>
      <c r="J9" s="166"/>
      <c r="K9" s="166"/>
      <c r="L9" s="166"/>
      <c r="M9" s="166"/>
      <c r="N9" s="166"/>
      <c r="O9" s="166"/>
      <c r="P9" s="166"/>
      <c r="Q9" s="166"/>
      <c r="R9" s="167"/>
      <c r="S9" s="168" t="str">
        <f xml:space="preserve"> "January to "&amp; F9</f>
        <v>January to April</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April</v>
      </c>
      <c r="G33" s="169"/>
      <c r="H33" s="169"/>
      <c r="I33" s="169"/>
      <c r="J33" s="169"/>
      <c r="K33" s="169"/>
      <c r="L33" s="169"/>
      <c r="M33" s="169"/>
      <c r="N33" s="169"/>
      <c r="O33" s="169"/>
      <c r="P33" s="169"/>
      <c r="Q33" s="169"/>
      <c r="R33" s="170"/>
      <c r="S33" s="171" t="str">
        <f>"April to "&amp;D4&amp;" (YTD)"</f>
        <v>April to April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Q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March</v>
      </c>
      <c r="G9" s="166"/>
      <c r="H9" s="166"/>
      <c r="I9" s="166"/>
      <c r="J9" s="166"/>
      <c r="K9" s="166"/>
      <c r="L9" s="166"/>
      <c r="M9" s="166"/>
      <c r="N9" s="166"/>
      <c r="O9" s="166"/>
      <c r="P9" s="166"/>
      <c r="Q9" s="166"/>
      <c r="R9" s="167"/>
      <c r="S9" s="168" t="str">
        <f>" January to "&amp; F9</f>
        <v xml:space="preserve"> January to March</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March</v>
      </c>
      <c r="G33" s="169"/>
      <c r="H33" s="169"/>
      <c r="I33" s="169"/>
      <c r="J33" s="169"/>
      <c r="K33" s="169"/>
      <c r="L33" s="169"/>
      <c r="M33" s="169"/>
      <c r="N33" s="169"/>
      <c r="O33" s="169"/>
      <c r="P33" s="169"/>
      <c r="Q33" s="169"/>
      <c r="R33" s="170"/>
      <c r="S33" s="171" t="str">
        <f>"April to "&amp;D4&amp;" (YTD)"</f>
        <v>April to March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S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February</v>
      </c>
      <c r="G9" s="166"/>
      <c r="H9" s="166"/>
      <c r="I9" s="166"/>
      <c r="J9" s="166"/>
      <c r="K9" s="166"/>
      <c r="L9" s="166"/>
      <c r="M9" s="166"/>
      <c r="N9" s="166"/>
      <c r="O9" s="166"/>
      <c r="P9" s="166"/>
      <c r="Q9" s="166"/>
      <c r="R9" s="167"/>
      <c r="S9" s="168" t="str">
        <f>"January to "&amp; F9</f>
        <v>January to February</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February</v>
      </c>
      <c r="G33" s="169"/>
      <c r="H33" s="169"/>
      <c r="I33" s="169"/>
      <c r="J33" s="169"/>
      <c r="K33" s="169"/>
      <c r="L33" s="169"/>
      <c r="M33" s="169"/>
      <c r="N33" s="169"/>
      <c r="O33" s="169"/>
      <c r="P33" s="169"/>
      <c r="Q33" s="169"/>
      <c r="R33" s="170"/>
      <c r="S33" s="171" t="str">
        <f>"April to "&amp;D4&amp;" (YTD)"</f>
        <v>April to February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N28"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January</v>
      </c>
      <c r="G9" s="166"/>
      <c r="H9" s="166"/>
      <c r="I9" s="166"/>
      <c r="J9" s="166"/>
      <c r="K9" s="166"/>
      <c r="L9" s="166"/>
      <c r="M9" s="166"/>
      <c r="N9" s="166"/>
      <c r="O9" s="166"/>
      <c r="P9" s="166"/>
      <c r="Q9" s="166"/>
      <c r="R9" s="167"/>
      <c r="S9" s="168" t="str">
        <f>"January to "&amp; F9</f>
        <v>January to January</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January</v>
      </c>
      <c r="G33" s="169"/>
      <c r="H33" s="169"/>
      <c r="I33" s="169"/>
      <c r="J33" s="169"/>
      <c r="K33" s="169"/>
      <c r="L33" s="169"/>
      <c r="M33" s="169"/>
      <c r="N33" s="169"/>
      <c r="O33" s="169"/>
      <c r="P33" s="169"/>
      <c r="Q33" s="169"/>
      <c r="R33" s="170"/>
      <c r="S33" s="171" t="str">
        <f>"April to "&amp;D4&amp;" (YTD)"</f>
        <v>April to January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P8" zoomScale="85" zoomScaleNormal="85" workbookViewId="0">
      <selection activeCell="R26" sqref="R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66" t="str">
        <f>D4</f>
        <v>December</v>
      </c>
      <c r="G9" s="166"/>
      <c r="H9" s="166"/>
      <c r="I9" s="166"/>
      <c r="J9" s="166"/>
      <c r="K9" s="166"/>
      <c r="L9" s="166"/>
      <c r="M9" s="166"/>
      <c r="N9" s="166"/>
      <c r="O9" s="166"/>
      <c r="P9" s="167"/>
      <c r="Q9" s="168" t="str">
        <f>"January to "&amp; D4</f>
        <v>January to December</v>
      </c>
      <c r="R9" s="169"/>
      <c r="S9" s="169"/>
      <c r="T9" s="169"/>
      <c r="U9" s="169"/>
      <c r="V9" s="169"/>
      <c r="W9" s="169"/>
      <c r="X9" s="169"/>
      <c r="Y9" s="169"/>
      <c r="Z9" s="169"/>
      <c r="AA9" s="170"/>
      <c r="AB9" s="168" t="s">
        <v>57</v>
      </c>
      <c r="AC9" s="169"/>
      <c r="AD9" s="169"/>
      <c r="AE9" s="169"/>
      <c r="AF9" s="175"/>
      <c r="AG9" s="122"/>
      <c r="AH9" s="122"/>
    </row>
    <row r="10" spans="1:34 16383:16383"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December</v>
      </c>
      <c r="G33" s="169"/>
      <c r="H33" s="169"/>
      <c r="I33" s="169"/>
      <c r="J33" s="169"/>
      <c r="K33" s="169"/>
      <c r="L33" s="169"/>
      <c r="M33" s="169"/>
      <c r="N33" s="169"/>
      <c r="O33" s="169"/>
      <c r="P33" s="170"/>
      <c r="Q33" s="171" t="s">
        <v>138</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A2" zoomScale="85" zoomScaleNormal="8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November</v>
      </c>
      <c r="G9" s="166"/>
      <c r="H9" s="166"/>
      <c r="I9" s="166"/>
      <c r="J9" s="166"/>
      <c r="K9" s="166"/>
      <c r="L9" s="166"/>
      <c r="M9" s="166"/>
      <c r="N9" s="166"/>
      <c r="O9" s="166"/>
      <c r="P9" s="167"/>
      <c r="Q9" s="168" t="str">
        <f>"January to "&amp; D4</f>
        <v>January to November</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November</v>
      </c>
      <c r="G33" s="169"/>
      <c r="H33" s="169"/>
      <c r="I33" s="169"/>
      <c r="J33" s="169"/>
      <c r="K33" s="169"/>
      <c r="L33" s="169"/>
      <c r="M33" s="169"/>
      <c r="N33" s="169"/>
      <c r="O33" s="169"/>
      <c r="P33" s="170"/>
      <c r="Q33" s="171" t="s">
        <v>137</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election activeCell="I29" sqref="I29"/>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October</v>
      </c>
      <c r="G9" s="166"/>
      <c r="H9" s="166"/>
      <c r="I9" s="166"/>
      <c r="J9" s="166"/>
      <c r="K9" s="166"/>
      <c r="L9" s="166"/>
      <c r="M9" s="166"/>
      <c r="N9" s="166"/>
      <c r="O9" s="166"/>
      <c r="P9" s="167"/>
      <c r="Q9" s="168" t="str">
        <f>"January to "&amp; D4</f>
        <v>January to October</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October</v>
      </c>
      <c r="G33" s="169"/>
      <c r="H33" s="169"/>
      <c r="I33" s="169"/>
      <c r="J33" s="169"/>
      <c r="K33" s="169"/>
      <c r="L33" s="169"/>
      <c r="M33" s="169"/>
      <c r="N33" s="169"/>
      <c r="O33" s="169"/>
      <c r="P33" s="170"/>
      <c r="Q33" s="171" t="s">
        <v>136</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September</v>
      </c>
      <c r="G9" s="166"/>
      <c r="H9" s="166"/>
      <c r="I9" s="166"/>
      <c r="J9" s="166"/>
      <c r="K9" s="166"/>
      <c r="L9" s="166"/>
      <c r="M9" s="166"/>
      <c r="N9" s="166"/>
      <c r="O9" s="166"/>
      <c r="P9" s="167"/>
      <c r="Q9" s="168" t="str">
        <f>"January to "&amp; D4</f>
        <v>January to September</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September</v>
      </c>
      <c r="G33" s="169"/>
      <c r="H33" s="169"/>
      <c r="I33" s="169"/>
      <c r="J33" s="169"/>
      <c r="K33" s="169"/>
      <c r="L33" s="169"/>
      <c r="M33" s="169"/>
      <c r="N33" s="169"/>
      <c r="O33" s="169"/>
      <c r="P33" s="170"/>
      <c r="Q33" s="171" t="s">
        <v>135</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August</v>
      </c>
      <c r="G9" s="166"/>
      <c r="H9" s="166"/>
      <c r="I9" s="166"/>
      <c r="J9" s="166"/>
      <c r="K9" s="166"/>
      <c r="L9" s="166"/>
      <c r="M9" s="166"/>
      <c r="N9" s="166"/>
      <c r="O9" s="166"/>
      <c r="P9" s="167"/>
      <c r="Q9" s="168" t="str">
        <f>"January to "&amp; D4</f>
        <v>January to August</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August</v>
      </c>
      <c r="G33" s="169"/>
      <c r="H33" s="169"/>
      <c r="I33" s="169"/>
      <c r="J33" s="169"/>
      <c r="K33" s="169"/>
      <c r="L33" s="169"/>
      <c r="M33" s="169"/>
      <c r="N33" s="169"/>
      <c r="O33" s="169"/>
      <c r="P33" s="170"/>
      <c r="Q33" s="171" t="s">
        <v>135</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July</v>
      </c>
      <c r="G9" s="166"/>
      <c r="H9" s="166"/>
      <c r="I9" s="166"/>
      <c r="J9" s="166"/>
      <c r="K9" s="166"/>
      <c r="L9" s="166"/>
      <c r="M9" s="166"/>
      <c r="N9" s="166"/>
      <c r="O9" s="166"/>
      <c r="P9" s="167"/>
      <c r="Q9" s="168" t="str">
        <f>"January to "&amp; D4</f>
        <v>January to July</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July</v>
      </c>
      <c r="G33" s="169"/>
      <c r="H33" s="169"/>
      <c r="I33" s="169"/>
      <c r="J33" s="169"/>
      <c r="K33" s="169"/>
      <c r="L33" s="169"/>
      <c r="M33" s="169"/>
      <c r="N33" s="169"/>
      <c r="O33" s="169"/>
      <c r="P33" s="170"/>
      <c r="Q33" s="171" t="s">
        <v>134</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June</v>
      </c>
      <c r="G9" s="166"/>
      <c r="H9" s="166"/>
      <c r="I9" s="166"/>
      <c r="J9" s="166"/>
      <c r="K9" s="166"/>
      <c r="L9" s="166"/>
      <c r="M9" s="166"/>
      <c r="N9" s="166"/>
      <c r="O9" s="166"/>
      <c r="P9" s="167"/>
      <c r="Q9" s="168" t="str">
        <f>"January to "&amp; D4</f>
        <v>January to June</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June</v>
      </c>
      <c r="G33" s="169"/>
      <c r="H33" s="169"/>
      <c r="I33" s="169"/>
      <c r="J33" s="169"/>
      <c r="K33" s="169"/>
      <c r="L33" s="169"/>
      <c r="M33" s="169"/>
      <c r="N33" s="169"/>
      <c r="O33" s="169"/>
      <c r="P33" s="170"/>
      <c r="Q33" s="171" t="s">
        <v>132</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May</v>
      </c>
      <c r="G9" s="166"/>
      <c r="H9" s="166"/>
      <c r="I9" s="166"/>
      <c r="J9" s="166"/>
      <c r="K9" s="166"/>
      <c r="L9" s="166"/>
      <c r="M9" s="166"/>
      <c r="N9" s="166"/>
      <c r="O9" s="166"/>
      <c r="P9" s="167"/>
      <c r="Q9" s="168" t="str">
        <f>"January to "&amp; D4</f>
        <v>January to May</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May</v>
      </c>
      <c r="G33" s="169"/>
      <c r="H33" s="169"/>
      <c r="I33" s="169"/>
      <c r="J33" s="169"/>
      <c r="K33" s="169"/>
      <c r="L33" s="169"/>
      <c r="M33" s="169"/>
      <c r="N33" s="169"/>
      <c r="O33" s="169"/>
      <c r="P33" s="170"/>
      <c r="Q33" s="171" t="s">
        <v>131</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April</v>
      </c>
      <c r="G9" s="166"/>
      <c r="H9" s="166"/>
      <c r="I9" s="166"/>
      <c r="J9" s="166"/>
      <c r="K9" s="166"/>
      <c r="L9" s="166"/>
      <c r="M9" s="166"/>
      <c r="N9" s="166"/>
      <c r="O9" s="166"/>
      <c r="P9" s="167"/>
      <c r="Q9" s="168" t="str">
        <f>"January to "&amp; D4</f>
        <v>January to April</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April</v>
      </c>
      <c r="G33" s="169"/>
      <c r="H33" s="169"/>
      <c r="I33" s="169"/>
      <c r="J33" s="169"/>
      <c r="K33" s="169"/>
      <c r="L33" s="169"/>
      <c r="M33" s="169"/>
      <c r="N33" s="169"/>
      <c r="O33" s="169"/>
      <c r="P33" s="170"/>
      <c r="Q33" s="171" t="s">
        <v>127</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March</v>
      </c>
      <c r="G9" s="166"/>
      <c r="H9" s="166"/>
      <c r="I9" s="166"/>
      <c r="J9" s="166"/>
      <c r="K9" s="166"/>
      <c r="L9" s="166"/>
      <c r="M9" s="166"/>
      <c r="N9" s="166"/>
      <c r="O9" s="166"/>
      <c r="P9" s="167"/>
      <c r="Q9" s="168" t="str">
        <f>"January to "&amp; D4</f>
        <v>January to March</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March</v>
      </c>
      <c r="G33" s="169"/>
      <c r="H33" s="169"/>
      <c r="I33" s="169"/>
      <c r="J33" s="169"/>
      <c r="K33" s="169"/>
      <c r="L33" s="169"/>
      <c r="M33" s="169"/>
      <c r="N33" s="169"/>
      <c r="O33" s="169"/>
      <c r="P33" s="170"/>
      <c r="Q33" s="171" t="str">
        <f>"April to "&amp;D4&amp;" (YTD)"</f>
        <v>April to March (YTD)</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February</v>
      </c>
      <c r="G9" s="166"/>
      <c r="H9" s="166"/>
      <c r="I9" s="166"/>
      <c r="J9" s="166"/>
      <c r="K9" s="166"/>
      <c r="L9" s="166"/>
      <c r="M9" s="166"/>
      <c r="N9" s="166"/>
      <c r="O9" s="166"/>
      <c r="P9" s="167"/>
      <c r="Q9" s="168" t="str">
        <f>"January to "&amp; D4</f>
        <v>January to February</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February</v>
      </c>
      <c r="G33" s="169"/>
      <c r="H33" s="169"/>
      <c r="I33" s="169"/>
      <c r="J33" s="169"/>
      <c r="K33" s="169"/>
      <c r="L33" s="169"/>
      <c r="M33" s="169"/>
      <c r="N33" s="169"/>
      <c r="O33" s="169"/>
      <c r="P33" s="170"/>
      <c r="Q33" s="171" t="str">
        <f>"April to "&amp;D4&amp;" (YTD)"</f>
        <v>April to February (YTD)</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January</v>
      </c>
      <c r="G9" s="166"/>
      <c r="H9" s="166"/>
      <c r="I9" s="166"/>
      <c r="J9" s="166"/>
      <c r="K9" s="166"/>
      <c r="L9" s="166"/>
      <c r="M9" s="166"/>
      <c r="N9" s="166"/>
      <c r="O9" s="166"/>
      <c r="P9" s="167"/>
      <c r="Q9" s="168" t="str">
        <f>F9</f>
        <v>January</v>
      </c>
      <c r="R9" s="169"/>
      <c r="S9" s="169"/>
      <c r="T9" s="169"/>
      <c r="U9" s="169"/>
      <c r="V9" s="169"/>
      <c r="W9" s="169"/>
      <c r="X9" s="169"/>
      <c r="Y9" s="169"/>
      <c r="Z9" s="169"/>
      <c r="AA9" s="170"/>
      <c r="AB9" s="168" t="s">
        <v>57</v>
      </c>
      <c r="AC9" s="169"/>
      <c r="AD9" s="169"/>
      <c r="AE9" s="169"/>
      <c r="AF9" s="175"/>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January</v>
      </c>
      <c r="G33" s="169"/>
      <c r="H33" s="169"/>
      <c r="I33" s="169"/>
      <c r="J33" s="169"/>
      <c r="K33" s="169"/>
      <c r="L33" s="169"/>
      <c r="M33" s="169"/>
      <c r="N33" s="169"/>
      <c r="O33" s="169"/>
      <c r="P33" s="170"/>
      <c r="Q33" s="171" t="str">
        <f>"April to "&amp;D4&amp;" (YTD)"</f>
        <v>April to January (YTD)</v>
      </c>
      <c r="R33" s="172"/>
      <c r="S33" s="172"/>
      <c r="T33" s="172"/>
      <c r="U33" s="172"/>
      <c r="V33" s="172"/>
      <c r="W33" s="172"/>
      <c r="X33" s="172"/>
      <c r="Y33" s="172"/>
      <c r="Z33" s="172"/>
      <c r="AA33" s="173"/>
      <c r="AB33" s="171" t="s">
        <v>58</v>
      </c>
      <c r="AC33" s="172"/>
      <c r="AD33" s="172"/>
      <c r="AE33" s="172"/>
      <c r="AF33" s="174"/>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49"/>
  <sheetViews>
    <sheetView showGridLines="0" zoomScale="85" zoomScaleNormal="85" workbookViewId="0">
      <selection activeCell="I1" sqref="I1"/>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ht="12.75"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T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December</v>
      </c>
      <c r="G9" s="169"/>
      <c r="H9" s="169"/>
      <c r="I9" s="169"/>
      <c r="J9" s="169"/>
      <c r="K9" s="169"/>
      <c r="L9" s="169"/>
      <c r="M9" s="169"/>
      <c r="N9" s="170"/>
      <c r="O9" s="168" t="str">
        <f>"January to "&amp; D4</f>
        <v>January to December</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December</v>
      </c>
      <c r="G33" s="169"/>
      <c r="H33" s="169"/>
      <c r="I33" s="169"/>
      <c r="J33" s="169"/>
      <c r="K33" s="169"/>
      <c r="L33" s="169"/>
      <c r="M33" s="169"/>
      <c r="N33" s="170"/>
      <c r="O33" s="171" t="str">
        <f>"April to "&amp;D4&amp;" (YTD)"</f>
        <v>April to December (YTD)</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November</v>
      </c>
      <c r="G9" s="169"/>
      <c r="H9" s="169"/>
      <c r="I9" s="169"/>
      <c r="J9" s="169"/>
      <c r="K9" s="169"/>
      <c r="L9" s="169"/>
      <c r="M9" s="169"/>
      <c r="N9" s="170"/>
      <c r="O9" s="168" t="str">
        <f>"January to "&amp; D4</f>
        <v>January to November</v>
      </c>
      <c r="P9" s="169"/>
      <c r="Q9" s="169"/>
      <c r="R9" s="169"/>
      <c r="S9" s="169"/>
      <c r="T9" s="169"/>
      <c r="U9" s="169"/>
      <c r="V9" s="169"/>
      <c r="W9" s="169"/>
      <c r="X9" s="176"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November</v>
      </c>
      <c r="G33" s="169"/>
      <c r="H33" s="169"/>
      <c r="I33" s="169"/>
      <c r="J33" s="169"/>
      <c r="K33" s="169"/>
      <c r="L33" s="169"/>
      <c r="M33" s="169"/>
      <c r="N33" s="170"/>
      <c r="O33" s="171" t="str">
        <f>"April to "&amp;D4&amp;" (YTD)"</f>
        <v>April to November (YTD)</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October</v>
      </c>
      <c r="G9" s="169"/>
      <c r="H9" s="169"/>
      <c r="I9" s="169"/>
      <c r="J9" s="169"/>
      <c r="K9" s="169"/>
      <c r="L9" s="169"/>
      <c r="M9" s="169"/>
      <c r="N9" s="170"/>
      <c r="O9" s="168" t="str">
        <f>"January to "&amp; D4</f>
        <v>January to October</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October</v>
      </c>
      <c r="G33" s="169"/>
      <c r="H33" s="169"/>
      <c r="I33" s="169"/>
      <c r="J33" s="169"/>
      <c r="K33" s="169"/>
      <c r="L33" s="169"/>
      <c r="M33" s="169"/>
      <c r="N33" s="170"/>
      <c r="O33" s="171" t="str">
        <f>"April to "&amp;D4&amp;" (YTD)"</f>
        <v>April to October (YTD)</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September</v>
      </c>
      <c r="G9" s="169"/>
      <c r="H9" s="169"/>
      <c r="I9" s="169"/>
      <c r="J9" s="169"/>
      <c r="K9" s="169"/>
      <c r="L9" s="169"/>
      <c r="M9" s="169"/>
      <c r="N9" s="170"/>
      <c r="O9" s="168" t="str">
        <f>"January to "&amp; D4</f>
        <v>January to September</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September</v>
      </c>
      <c r="G33" s="169"/>
      <c r="H33" s="169"/>
      <c r="I33" s="169"/>
      <c r="J33" s="169"/>
      <c r="K33" s="169"/>
      <c r="L33" s="169"/>
      <c r="M33" s="169"/>
      <c r="N33" s="170"/>
      <c r="O33" s="171" t="str">
        <f>"April to "&amp;D4&amp;" (YTD)"</f>
        <v>April to September (YTD)</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August</v>
      </c>
      <c r="G9" s="169"/>
      <c r="H9" s="169"/>
      <c r="I9" s="169"/>
      <c r="J9" s="169"/>
      <c r="K9" s="169"/>
      <c r="L9" s="169"/>
      <c r="M9" s="169"/>
      <c r="N9" s="170"/>
      <c r="O9" s="168" t="str">
        <f>"January to "&amp; D4</f>
        <v>January to August</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August</v>
      </c>
      <c r="G33" s="169"/>
      <c r="H33" s="169"/>
      <c r="I33" s="169"/>
      <c r="J33" s="169"/>
      <c r="K33" s="169"/>
      <c r="L33" s="169"/>
      <c r="M33" s="169"/>
      <c r="N33" s="170"/>
      <c r="O33" s="171" t="str">
        <f>"April to "&amp;D4&amp;" (YTD)"</f>
        <v>April to August (YTD)</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55</v>
      </c>
      <c r="G9" s="169"/>
      <c r="H9" s="169"/>
      <c r="I9" s="169"/>
      <c r="J9" s="169"/>
      <c r="K9" s="169"/>
      <c r="L9" s="169"/>
      <c r="M9" s="169"/>
      <c r="N9" s="170"/>
      <c r="O9" s="168" t="s">
        <v>125</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July</v>
      </c>
      <c r="G33" s="169"/>
      <c r="H33" s="169"/>
      <c r="I33" s="169"/>
      <c r="J33" s="169"/>
      <c r="K33" s="169"/>
      <c r="L33" s="169"/>
      <c r="M33" s="169"/>
      <c r="N33" s="170"/>
      <c r="O33" s="171" t="s">
        <v>61</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51</v>
      </c>
      <c r="G9" s="169"/>
      <c r="H9" s="169"/>
      <c r="I9" s="169"/>
      <c r="J9" s="169"/>
      <c r="K9" s="169"/>
      <c r="L9" s="169"/>
      <c r="M9" s="169"/>
      <c r="N9" s="170"/>
      <c r="O9" s="168" t="s">
        <v>52</v>
      </c>
      <c r="P9" s="169"/>
      <c r="Q9" s="169"/>
      <c r="R9" s="169"/>
      <c r="S9" s="169"/>
      <c r="T9" s="169"/>
      <c r="U9" s="169"/>
      <c r="V9" s="169"/>
      <c r="W9" s="170"/>
      <c r="X9" s="168" t="s">
        <v>57</v>
      </c>
      <c r="Y9" s="169"/>
      <c r="Z9" s="169"/>
      <c r="AA9" s="175"/>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June</v>
      </c>
      <c r="G33" s="169"/>
      <c r="H33" s="169"/>
      <c r="I33" s="169"/>
      <c r="J33" s="169"/>
      <c r="K33" s="169"/>
      <c r="L33" s="169"/>
      <c r="M33" s="169"/>
      <c r="N33" s="170"/>
      <c r="O33" s="171" t="s">
        <v>123</v>
      </c>
      <c r="P33" s="172"/>
      <c r="Q33" s="172"/>
      <c r="R33" s="172"/>
      <c r="S33" s="172"/>
      <c r="T33" s="172"/>
      <c r="U33" s="172"/>
      <c r="V33" s="172"/>
      <c r="W33" s="173"/>
      <c r="X33" s="168" t="s">
        <v>58</v>
      </c>
      <c r="Y33" s="169"/>
      <c r="Z33" s="169"/>
      <c r="AA33" s="175"/>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47</v>
      </c>
      <c r="G9" s="169"/>
      <c r="H9" s="169"/>
      <c r="I9" s="169"/>
      <c r="J9" s="169"/>
      <c r="K9" s="169"/>
      <c r="L9" s="169"/>
      <c r="M9" s="169"/>
      <c r="N9" s="170"/>
      <c r="O9" s="168" t="s">
        <v>49</v>
      </c>
      <c r="P9" s="169"/>
      <c r="Q9" s="169"/>
      <c r="R9" s="169"/>
      <c r="S9" s="169"/>
      <c r="T9" s="169"/>
      <c r="U9" s="169"/>
      <c r="V9" s="169"/>
      <c r="W9" s="170"/>
      <c r="X9" s="168" t="s">
        <v>57</v>
      </c>
      <c r="Y9" s="169"/>
      <c r="Z9" s="169"/>
      <c r="AA9" s="175"/>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May</v>
      </c>
      <c r="G33" s="169"/>
      <c r="H33" s="169"/>
      <c r="I33" s="169"/>
      <c r="J33" s="169"/>
      <c r="K33" s="169"/>
      <c r="L33" s="169"/>
      <c r="M33" s="169"/>
      <c r="N33" s="170"/>
      <c r="O33" s="171" t="s">
        <v>119</v>
      </c>
      <c r="P33" s="172"/>
      <c r="Q33" s="172"/>
      <c r="R33" s="172"/>
      <c r="S33" s="172"/>
      <c r="T33" s="172"/>
      <c r="U33" s="172"/>
      <c r="V33" s="172"/>
      <c r="W33" s="173"/>
      <c r="X33" s="168" t="s">
        <v>58</v>
      </c>
      <c r="Y33" s="169"/>
      <c r="Z33" s="169"/>
      <c r="AA33" s="175"/>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45</v>
      </c>
      <c r="G9" s="169"/>
      <c r="H9" s="169"/>
      <c r="I9" s="169"/>
      <c r="J9" s="169"/>
      <c r="K9" s="169"/>
      <c r="L9" s="169"/>
      <c r="M9" s="169"/>
      <c r="N9" s="170"/>
      <c r="O9" s="168" t="s">
        <v>46</v>
      </c>
      <c r="P9" s="169"/>
      <c r="Q9" s="169"/>
      <c r="R9" s="169"/>
      <c r="S9" s="169"/>
      <c r="T9" s="169"/>
      <c r="U9" s="169"/>
      <c r="V9" s="169"/>
      <c r="W9" s="170"/>
      <c r="X9" s="168" t="s">
        <v>57</v>
      </c>
      <c r="Y9" s="169"/>
      <c r="Z9" s="169"/>
      <c r="AA9" s="175"/>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April</v>
      </c>
      <c r="G33" s="169"/>
      <c r="H33" s="169"/>
      <c r="I33" s="169"/>
      <c r="J33" s="169"/>
      <c r="K33" s="169"/>
      <c r="L33" s="169"/>
      <c r="M33" s="169"/>
      <c r="N33" s="170"/>
      <c r="O33" s="171" t="s">
        <v>113</v>
      </c>
      <c r="P33" s="172"/>
      <c r="Q33" s="172"/>
      <c r="R33" s="172"/>
      <c r="S33" s="172"/>
      <c r="T33" s="172"/>
      <c r="U33" s="172"/>
      <c r="V33" s="172"/>
      <c r="W33" s="173"/>
      <c r="X33" s="168" t="s">
        <v>58</v>
      </c>
      <c r="Y33" s="169"/>
      <c r="Z33" s="169"/>
      <c r="AA33" s="175"/>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5"/>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69" t="str">
        <f>F9</f>
        <v>March</v>
      </c>
      <c r="G33" s="169"/>
      <c r="H33" s="169"/>
      <c r="I33" s="169"/>
      <c r="J33" s="169"/>
      <c r="K33" s="169"/>
      <c r="L33" s="169"/>
      <c r="M33" s="169"/>
      <c r="N33" s="170"/>
      <c r="O33" s="168" t="s">
        <v>106</v>
      </c>
      <c r="P33" s="169"/>
      <c r="Q33" s="169"/>
      <c r="R33" s="169"/>
      <c r="S33" s="169"/>
      <c r="T33" s="169"/>
      <c r="U33" s="169"/>
      <c r="V33" s="169"/>
      <c r="W33" s="170"/>
      <c r="X33" s="168" t="s">
        <v>58</v>
      </c>
      <c r="Y33" s="169"/>
      <c r="Z33" s="169"/>
      <c r="AA33" s="175"/>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O58"/>
  <sheetViews>
    <sheetView showGridLines="0" zoomScale="90" zoomScaleNormal="90" zoomScalePageLayoutView="40" workbookViewId="0">
      <pane xSplit="5" topLeftCell="AX1" activePane="topRight" state="frozen"/>
      <selection pane="topRight" activeCell="BA12" sqref="BA12"/>
    </sheetView>
  </sheetViews>
  <sheetFormatPr defaultColWidth="9.140625" defaultRowHeight="0" customHeight="1" zeroHeight="1"/>
  <cols>
    <col min="1" max="2" width="2.5703125" customWidth="1"/>
    <col min="3" max="3" width="39" customWidth="1"/>
    <col min="4" max="4" width="1.85546875" customWidth="1"/>
    <col min="5" max="5" width="15.42578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7.140625" customWidth="1"/>
    <col min="51" max="51" width="7.5703125" bestFit="1" customWidth="1"/>
    <col min="52" max="52" width="9.140625" style="9" bestFit="1" customWidth="1"/>
    <col min="53" max="64" width="9.140625" style="9" customWidth="1"/>
    <col min="65" max="65" width="10.7109375" style="9" bestFit="1" customWidth="1"/>
    <col min="66" max="67" width="9.140625" style="9" customWidth="1"/>
    <col min="68" max="78" width="9.140625" customWidth="1"/>
  </cols>
  <sheetData>
    <row r="1" spans="1:67"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67" ht="19.5" thickBot="1">
      <c r="A2" s="9"/>
      <c r="B2" s="8" t="s">
        <v>146</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row>
    <row r="3" spans="1:67" ht="15">
      <c r="A3" s="9"/>
      <c r="B3" s="10"/>
      <c r="C3" s="24"/>
      <c r="D3" s="24"/>
      <c r="E3" s="24"/>
      <c r="F3" s="93"/>
      <c r="G3" s="93"/>
      <c r="H3" s="93"/>
      <c r="I3" s="93"/>
      <c r="J3" s="93"/>
      <c r="K3" s="93"/>
      <c r="L3" s="93"/>
      <c r="M3" s="93"/>
      <c r="N3" s="93"/>
      <c r="O3" s="93"/>
      <c r="P3" s="93"/>
      <c r="Q3" s="93"/>
      <c r="R3" s="24"/>
      <c r="S3" s="24"/>
      <c r="AY3" s="25">
        <f>+' '!I17</f>
        <v>46034</v>
      </c>
      <c r="AZ3" s="25"/>
      <c r="BA3" s="25"/>
      <c r="BB3" s="25"/>
      <c r="BC3" s="25"/>
      <c r="BD3" s="25"/>
      <c r="BE3" s="25"/>
      <c r="BF3" s="25"/>
      <c r="BG3" s="25"/>
      <c r="BH3" s="25"/>
      <c r="BI3" s="25"/>
      <c r="BJ3" s="25"/>
      <c r="BK3" s="25"/>
      <c r="BL3" s="25"/>
      <c r="BM3" s="25">
        <f>+' '!I17</f>
        <v>46034</v>
      </c>
    </row>
    <row r="4" spans="1:67" ht="15.75">
      <c r="A4" s="9"/>
      <c r="B4" s="11" t="s">
        <v>7</v>
      </c>
      <c r="C4" s="26"/>
      <c r="D4" s="24"/>
      <c r="E4" s="58" t="s">
        <v>156</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row>
    <row r="5" spans="1:67"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row>
    <row r="6" spans="1:67"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row>
    <row r="7" spans="1:67"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c r="AY7" s="112">
        <v>2025</v>
      </c>
      <c r="AZ7" s="112">
        <v>2025</v>
      </c>
    </row>
    <row r="8" spans="1:67"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155</v>
      </c>
      <c r="AV8" s="113" t="s">
        <v>154</v>
      </c>
      <c r="AW8" s="113" t="s">
        <v>78</v>
      </c>
      <c r="AX8" s="113" t="s">
        <v>79</v>
      </c>
      <c r="AY8" s="113" t="s">
        <v>80</v>
      </c>
      <c r="AZ8" s="113" t="s">
        <v>81</v>
      </c>
      <c r="BN8" s="19"/>
      <c r="BO8" s="19"/>
    </row>
    <row r="9" spans="1:67"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c r="AY9" s="132">
        <v>1.0226008522608099</v>
      </c>
      <c r="AZ9" s="132">
        <v>1.0029666005179778</v>
      </c>
    </row>
    <row r="10" spans="1:67" ht="20.25" customHeight="1">
      <c r="A10" s="9"/>
      <c r="B10" s="18"/>
      <c r="C10" s="102"/>
      <c r="D10" s="103"/>
      <c r="E10" s="103"/>
      <c r="F10" s="99"/>
      <c r="G10" s="99"/>
      <c r="H10" s="99"/>
      <c r="I10" s="99"/>
      <c r="J10" s="99"/>
      <c r="K10" s="99"/>
      <c r="L10" s="99"/>
      <c r="M10" s="99"/>
      <c r="N10" s="99"/>
      <c r="O10" s="99"/>
      <c r="P10" s="99"/>
      <c r="Q10" s="104"/>
      <c r="R10" s="9"/>
      <c r="S10" s="9"/>
    </row>
    <row r="11" spans="1:67" ht="20.25" customHeight="1">
      <c r="A11" s="9"/>
      <c r="B11" s="9"/>
      <c r="C11" s="9"/>
      <c r="D11" s="9"/>
      <c r="E11" s="9"/>
      <c r="F11"/>
      <c r="G11"/>
      <c r="H11"/>
      <c r="I11"/>
      <c r="J11"/>
      <c r="K11"/>
      <c r="L11"/>
      <c r="M11"/>
      <c r="N11"/>
      <c r="O11" s="91"/>
      <c r="P11" s="91"/>
      <c r="Q11" s="91"/>
      <c r="R11" s="9"/>
      <c r="S11" s="9"/>
    </row>
    <row r="12" spans="1:67" ht="20.25" customHeight="1">
      <c r="A12" s="9"/>
      <c r="B12" s="9"/>
      <c r="C12" s="100" t="s">
        <v>97</v>
      </c>
      <c r="D12" s="9"/>
      <c r="E12" s="9"/>
      <c r="F12"/>
      <c r="G12"/>
      <c r="H12"/>
      <c r="I12"/>
      <c r="J12"/>
      <c r="K12"/>
      <c r="L12"/>
      <c r="M12"/>
      <c r="N12"/>
      <c r="O12" s="91"/>
      <c r="P12" s="91"/>
      <c r="Q12" s="91"/>
      <c r="R12" s="9"/>
      <c r="S12" s="9"/>
    </row>
    <row r="13" spans="1:67" ht="20.25" customHeight="1">
      <c r="A13" s="9"/>
      <c r="B13" s="9"/>
      <c r="C13" s="100" t="s">
        <v>153</v>
      </c>
      <c r="D13" s="9"/>
      <c r="E13" s="9"/>
      <c r="F13"/>
      <c r="G13"/>
      <c r="H13"/>
      <c r="I13"/>
      <c r="J13"/>
      <c r="K13"/>
      <c r="L13"/>
      <c r="M13"/>
      <c r="N13"/>
      <c r="O13" s="91"/>
      <c r="P13" s="91"/>
      <c r="Q13" s="91"/>
      <c r="R13" s="9"/>
      <c r="S13" s="9"/>
    </row>
    <row r="14" spans="1:67" ht="27" hidden="1" customHeight="1"/>
    <row r="15" spans="1:67" ht="26.45" hidden="1" customHeight="1"/>
    <row r="16" spans="1:67"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5"/>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March</v>
      </c>
      <c r="G36" s="169"/>
      <c r="H36" s="169"/>
      <c r="I36" s="169"/>
      <c r="J36" s="169"/>
      <c r="K36" s="169"/>
      <c r="L36" s="169"/>
      <c r="M36" s="169"/>
      <c r="N36" s="170"/>
      <c r="O36" s="168" t="s">
        <v>106</v>
      </c>
      <c r="P36" s="169"/>
      <c r="Q36" s="169"/>
      <c r="R36" s="169"/>
      <c r="S36" s="169"/>
      <c r="T36" s="169"/>
      <c r="U36" s="169"/>
      <c r="V36" s="169"/>
      <c r="W36" s="170"/>
      <c r="X36" s="168" t="s">
        <v>58</v>
      </c>
      <c r="Y36" s="169"/>
      <c r="Z36" s="169"/>
      <c r="AA36" s="175"/>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39</v>
      </c>
      <c r="G9" s="169"/>
      <c r="H9" s="169"/>
      <c r="I9" s="169"/>
      <c r="J9" s="169"/>
      <c r="K9" s="169"/>
      <c r="L9" s="169"/>
      <c r="M9" s="169"/>
      <c r="N9" s="170"/>
      <c r="O9" s="168" t="s">
        <v>38</v>
      </c>
      <c r="P9" s="169"/>
      <c r="Q9" s="169"/>
      <c r="R9" s="169"/>
      <c r="S9" s="169"/>
      <c r="T9" s="169"/>
      <c r="U9" s="169"/>
      <c r="V9" s="169"/>
      <c r="W9" s="170"/>
      <c r="X9" s="168" t="s">
        <v>57</v>
      </c>
      <c r="Y9" s="169"/>
      <c r="Z9" s="169"/>
      <c r="AA9" s="175"/>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February</v>
      </c>
      <c r="G36" s="169"/>
      <c r="H36" s="169"/>
      <c r="I36" s="169"/>
      <c r="J36" s="169"/>
      <c r="K36" s="169"/>
      <c r="L36" s="169"/>
      <c r="M36" s="169"/>
      <c r="N36" s="170"/>
      <c r="O36" s="168" t="s">
        <v>102</v>
      </c>
      <c r="P36" s="169"/>
      <c r="Q36" s="169"/>
      <c r="R36" s="169"/>
      <c r="S36" s="169"/>
      <c r="T36" s="169"/>
      <c r="U36" s="169"/>
      <c r="V36" s="169"/>
      <c r="W36" s="170"/>
      <c r="X36" s="168" t="s">
        <v>58</v>
      </c>
      <c r="Y36" s="169"/>
      <c r="Z36" s="169"/>
      <c r="AA36" s="175"/>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69" t="s">
        <v>33</v>
      </c>
      <c r="G9" s="169"/>
      <c r="H9" s="169"/>
      <c r="I9" s="169"/>
      <c r="J9" s="169"/>
      <c r="K9" s="169"/>
      <c r="L9" s="169"/>
      <c r="M9" s="169"/>
      <c r="N9" s="170"/>
      <c r="O9" s="168" t="s">
        <v>33</v>
      </c>
      <c r="P9" s="169"/>
      <c r="Q9" s="169"/>
      <c r="R9" s="169"/>
      <c r="S9" s="169"/>
      <c r="T9" s="169"/>
      <c r="U9" s="169"/>
      <c r="V9" s="169"/>
      <c r="W9" s="170"/>
      <c r="X9" s="168" t="s">
        <v>57</v>
      </c>
      <c r="Y9" s="169"/>
      <c r="Z9" s="169"/>
      <c r="AA9" s="175"/>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69" t="str">
        <f>F9</f>
        <v>January</v>
      </c>
      <c r="G36" s="169"/>
      <c r="H36" s="169"/>
      <c r="I36" s="169"/>
      <c r="J36" s="169"/>
      <c r="K36" s="169"/>
      <c r="L36" s="169"/>
      <c r="M36" s="169"/>
      <c r="N36" s="170"/>
      <c r="O36" s="168" t="s">
        <v>99</v>
      </c>
      <c r="P36" s="169"/>
      <c r="Q36" s="169"/>
      <c r="R36" s="169"/>
      <c r="S36" s="169"/>
      <c r="T36" s="169"/>
      <c r="U36" s="169"/>
      <c r="V36" s="169"/>
      <c r="W36" s="170"/>
      <c r="X36" s="168" t="s">
        <v>58</v>
      </c>
      <c r="Y36" s="169"/>
      <c r="Z36" s="169"/>
      <c r="AA36" s="175"/>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31</v>
      </c>
      <c r="G9" s="169"/>
      <c r="H9" s="169"/>
      <c r="I9" s="169"/>
      <c r="J9" s="169"/>
      <c r="K9" s="169"/>
      <c r="L9" s="170"/>
      <c r="M9" s="168" t="s">
        <v>95</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December</v>
      </c>
      <c r="G36" s="169"/>
      <c r="H36" s="169"/>
      <c r="I36" s="169"/>
      <c r="J36" s="169"/>
      <c r="K36" s="169"/>
      <c r="L36" s="170"/>
      <c r="M36" s="168" t="s">
        <v>96</v>
      </c>
      <c r="N36" s="169"/>
      <c r="O36" s="169"/>
      <c r="P36" s="169"/>
      <c r="Q36" s="169"/>
      <c r="R36" s="169"/>
      <c r="S36" s="170"/>
      <c r="T36" s="168" t="s">
        <v>58</v>
      </c>
      <c r="U36" s="169"/>
      <c r="V36" s="175"/>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27</v>
      </c>
      <c r="G9" s="169"/>
      <c r="H9" s="169"/>
      <c r="I9" s="169"/>
      <c r="J9" s="169"/>
      <c r="K9" s="169"/>
      <c r="L9" s="170"/>
      <c r="M9" s="168" t="s">
        <v>92</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November</v>
      </c>
      <c r="G36" s="169"/>
      <c r="H36" s="169"/>
      <c r="I36" s="169"/>
      <c r="J36" s="169"/>
      <c r="K36" s="169"/>
      <c r="L36" s="170"/>
      <c r="M36" s="168" t="s">
        <v>93</v>
      </c>
      <c r="N36" s="169"/>
      <c r="O36" s="169"/>
      <c r="P36" s="169"/>
      <c r="Q36" s="169"/>
      <c r="R36" s="169"/>
      <c r="S36" s="170"/>
      <c r="T36" s="168" t="s">
        <v>58</v>
      </c>
      <c r="U36" s="169"/>
      <c r="V36" s="175"/>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24</v>
      </c>
      <c r="G9" s="169"/>
      <c r="H9" s="169"/>
      <c r="I9" s="169"/>
      <c r="J9" s="169"/>
      <c r="K9" s="169"/>
      <c r="L9" s="170"/>
      <c r="M9" s="168" t="s">
        <v>89</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October</v>
      </c>
      <c r="G36" s="169"/>
      <c r="H36" s="169"/>
      <c r="I36" s="169"/>
      <c r="J36" s="169"/>
      <c r="K36" s="169"/>
      <c r="L36" s="170"/>
      <c r="M36" s="168" t="s">
        <v>90</v>
      </c>
      <c r="N36" s="169"/>
      <c r="O36" s="169"/>
      <c r="P36" s="169"/>
      <c r="Q36" s="169"/>
      <c r="R36" s="169"/>
      <c r="S36" s="170"/>
      <c r="T36" s="168" t="s">
        <v>58</v>
      </c>
      <c r="U36" s="169"/>
      <c r="V36" s="175"/>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22</v>
      </c>
      <c r="G9" s="169"/>
      <c r="H9" s="169"/>
      <c r="I9" s="169"/>
      <c r="J9" s="169"/>
      <c r="K9" s="169"/>
      <c r="L9" s="170"/>
      <c r="M9" s="168" t="s">
        <v>86</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September</v>
      </c>
      <c r="G36" s="169"/>
      <c r="H36" s="169"/>
      <c r="I36" s="169"/>
      <c r="J36" s="169"/>
      <c r="K36" s="169"/>
      <c r="L36" s="170"/>
      <c r="M36" s="168" t="s">
        <v>87</v>
      </c>
      <c r="N36" s="169"/>
      <c r="O36" s="169"/>
      <c r="P36" s="169"/>
      <c r="Q36" s="169"/>
      <c r="R36" s="169"/>
      <c r="S36" s="170"/>
      <c r="T36" s="168" t="s">
        <v>58</v>
      </c>
      <c r="U36" s="169"/>
      <c r="V36" s="175"/>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69</v>
      </c>
      <c r="G9" s="169"/>
      <c r="H9" s="169"/>
      <c r="I9" s="169"/>
      <c r="J9" s="169"/>
      <c r="K9" s="169"/>
      <c r="L9" s="170"/>
      <c r="M9" s="168" t="s">
        <v>71</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August</v>
      </c>
      <c r="G36" s="169"/>
      <c r="H36" s="169"/>
      <c r="I36" s="169"/>
      <c r="J36" s="169"/>
      <c r="K36" s="169"/>
      <c r="L36" s="170"/>
      <c r="M36" s="168" t="s">
        <v>70</v>
      </c>
      <c r="N36" s="169"/>
      <c r="O36" s="169"/>
      <c r="P36" s="169"/>
      <c r="Q36" s="169"/>
      <c r="R36" s="169"/>
      <c r="S36" s="170"/>
      <c r="T36" s="168" t="s">
        <v>58</v>
      </c>
      <c r="U36" s="169"/>
      <c r="V36" s="175"/>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55</v>
      </c>
      <c r="G9" s="169"/>
      <c r="H9" s="169"/>
      <c r="I9" s="169"/>
      <c r="J9" s="169"/>
      <c r="K9" s="169"/>
      <c r="L9" s="170"/>
      <c r="M9" s="168" t="s">
        <v>60</v>
      </c>
      <c r="N9" s="169"/>
      <c r="O9" s="169"/>
      <c r="P9" s="169"/>
      <c r="Q9" s="169"/>
      <c r="R9" s="169"/>
      <c r="S9" s="170"/>
      <c r="T9" s="168" t="s">
        <v>57</v>
      </c>
      <c r="U9" s="169"/>
      <c r="V9" s="175"/>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July</v>
      </c>
      <c r="G36" s="169"/>
      <c r="H36" s="169"/>
      <c r="I36" s="169"/>
      <c r="J36" s="169"/>
      <c r="K36" s="169"/>
      <c r="L36" s="170"/>
      <c r="M36" s="168" t="s">
        <v>61</v>
      </c>
      <c r="N36" s="169"/>
      <c r="O36" s="169"/>
      <c r="P36" s="169"/>
      <c r="Q36" s="169"/>
      <c r="R36" s="169"/>
      <c r="S36" s="170"/>
      <c r="T36" s="168" t="s">
        <v>58</v>
      </c>
      <c r="U36" s="169"/>
      <c r="V36" s="175"/>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69" t="s">
        <v>51</v>
      </c>
      <c r="G6" s="169"/>
      <c r="H6" s="169"/>
      <c r="I6" s="169"/>
      <c r="J6" s="169"/>
      <c r="K6" s="169"/>
      <c r="L6" s="170"/>
      <c r="M6" s="168" t="s">
        <v>52</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47</v>
      </c>
      <c r="G6" s="169"/>
      <c r="H6" s="169"/>
      <c r="I6" s="169"/>
      <c r="J6" s="169"/>
      <c r="K6" s="169"/>
      <c r="L6" s="170"/>
      <c r="M6" s="168" t="s">
        <v>49</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45</v>
      </c>
      <c r="G6" s="169"/>
      <c r="H6" s="169"/>
      <c r="I6" s="169"/>
      <c r="J6" s="169"/>
      <c r="K6" s="169"/>
      <c r="L6" s="170"/>
      <c r="M6" s="168" t="s">
        <v>46</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41</v>
      </c>
      <c r="G6" s="169"/>
      <c r="H6" s="169"/>
      <c r="I6" s="169"/>
      <c r="J6" s="169"/>
      <c r="K6" s="169"/>
      <c r="L6" s="170"/>
      <c r="M6" s="168" t="s">
        <v>43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39</v>
      </c>
      <c r="G6" s="169"/>
      <c r="H6" s="169"/>
      <c r="I6" s="169"/>
      <c r="J6" s="169"/>
      <c r="K6" s="169"/>
      <c r="L6" s="170"/>
      <c r="M6" s="168" t="s">
        <v>38</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33</v>
      </c>
      <c r="G6" s="169"/>
      <c r="H6" s="169"/>
      <c r="I6" s="169"/>
      <c r="J6" s="169"/>
      <c r="K6" s="169"/>
      <c r="L6" s="170"/>
      <c r="M6" s="168" t="s">
        <v>33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31</v>
      </c>
      <c r="G6" s="177"/>
      <c r="H6" s="177"/>
      <c r="I6" s="178"/>
      <c r="J6" s="179"/>
      <c r="K6" s="168" t="s">
        <v>32</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27</v>
      </c>
      <c r="G6" s="177"/>
      <c r="H6" s="177"/>
      <c r="I6" s="178"/>
      <c r="J6" s="179"/>
      <c r="K6" s="168" t="s">
        <v>28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24</v>
      </c>
      <c r="G6" s="177"/>
      <c r="H6" s="177"/>
      <c r="I6" s="178"/>
      <c r="J6" s="179"/>
      <c r="K6" s="168" t="s">
        <v>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22</v>
      </c>
      <c r="G6" s="177"/>
      <c r="H6" s="177"/>
      <c r="I6" s="178"/>
      <c r="J6" s="179"/>
      <c r="K6" s="168" t="s">
        <v>23</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072C2-022B-4A16-82CD-DFFF9A343571}">
  <dimension ref="A1:AN66"/>
  <sheetViews>
    <sheetView showGridLines="0" tabSelected="1" topLeftCell="P1" zoomScale="85" zoomScaleNormal="85" workbookViewId="0">
      <selection activeCell="AB29" sqref="AB29"/>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40" width="0" hidden="1" customWidth="1"/>
    <col min="41"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31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December</v>
      </c>
      <c r="G9" s="166"/>
      <c r="H9" s="166"/>
      <c r="I9" s="166"/>
      <c r="J9" s="166"/>
      <c r="K9" s="166"/>
      <c r="L9" s="166"/>
      <c r="M9" s="166"/>
      <c r="N9" s="166"/>
      <c r="O9" s="166"/>
      <c r="P9" s="166"/>
      <c r="Q9" s="166"/>
      <c r="R9" s="167"/>
      <c r="S9" s="168" t="str">
        <f xml:space="preserve"> "January to "&amp; F9</f>
        <v>January to December</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432</v>
      </c>
      <c r="G13" s="71">
        <v>390</v>
      </c>
      <c r="H13" s="73">
        <v>229</v>
      </c>
      <c r="I13" s="73">
        <v>191</v>
      </c>
      <c r="J13" s="73">
        <v>172</v>
      </c>
      <c r="K13" s="73">
        <v>0</v>
      </c>
      <c r="L13" s="73">
        <v>200</v>
      </c>
      <c r="M13" s="64">
        <f>IFERROR(F13/G13-1,"n/a")</f>
        <v>0.10769230769230775</v>
      </c>
      <c r="N13" s="64">
        <f>IFERROR(F13/H13-1,"n/a")</f>
        <v>0.88646288209606983</v>
      </c>
      <c r="O13" s="64">
        <f>IFERROR(F13/I13-1,"n/a")</f>
        <v>1.261780104712042</v>
      </c>
      <c r="P13" s="64">
        <f>IFERROR(F13/J13-1,"n/a")</f>
        <v>1.5116279069767442</v>
      </c>
      <c r="Q13" s="64" t="str">
        <f>IFERROR(F13/K13-1,"n/a")</f>
        <v>n/a</v>
      </c>
      <c r="R13" s="60">
        <f>IFERROR(F13/L13-1,"n/a")</f>
        <v>1.1600000000000001</v>
      </c>
      <c r="S13" s="68">
        <f>'Nov-25'!S13+F13</f>
        <v>2981</v>
      </c>
      <c r="T13" s="68">
        <f>'Nov-25'!T13+G13</f>
        <v>2483</v>
      </c>
      <c r="U13" s="68">
        <f>'Nov-25'!U13+H13</f>
        <v>1630</v>
      </c>
      <c r="V13" s="68">
        <f>'Nov-25'!V13+I13</f>
        <v>1486</v>
      </c>
      <c r="W13" s="68">
        <f>'Nov-25'!W13+J13+7</f>
        <v>522</v>
      </c>
      <c r="X13" s="68">
        <f>'Nov-25'!X13+K13</f>
        <v>551</v>
      </c>
      <c r="Y13" s="68">
        <f>'Nov-25'!Y13+L13+7</f>
        <v>1591</v>
      </c>
      <c r="Z13" s="64">
        <f>IFERROR(S13/T13-1,"n/a")</f>
        <v>0.20056383407168754</v>
      </c>
      <c r="AA13" s="64">
        <f>IFERROR(S13/U13-1,"n/a")</f>
        <v>0.82883435582822096</v>
      </c>
      <c r="AB13" s="64">
        <f>IFERROR(S13/V13-1,"n/a")</f>
        <v>1.006056527590848</v>
      </c>
      <c r="AC13" s="64">
        <f>IFERROR(S13/W13-1,"n/a")</f>
        <v>4.7107279693486586</v>
      </c>
      <c r="AD13" s="64">
        <f>IFERROR(S13/X13-1,"n/a")</f>
        <v>4.4101633393829403</v>
      </c>
      <c r="AE13" s="60">
        <f>IFERROR(S13/Y13-1,"n/a")</f>
        <v>0.87366436203645503</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1233239</v>
      </c>
      <c r="G14" s="71">
        <v>1045081</v>
      </c>
      <c r="H14" s="73">
        <v>666281</v>
      </c>
      <c r="I14" s="73">
        <v>518319</v>
      </c>
      <c r="J14" s="73">
        <v>253217</v>
      </c>
      <c r="K14" s="73">
        <v>0</v>
      </c>
      <c r="L14" s="73">
        <v>506611</v>
      </c>
      <c r="M14" s="64">
        <f>IFERROR(F14/G14-1,"n/a")</f>
        <v>0.18004154701884345</v>
      </c>
      <c r="N14" s="64">
        <f>IFERROR(F14/H14-1,"n/a")</f>
        <v>0.85092926257840151</v>
      </c>
      <c r="O14" s="64">
        <f>IFERROR(F14/I14-1,"n/a")</f>
        <v>1.379305022582618</v>
      </c>
      <c r="P14" s="64">
        <f>IFERROR(F14/J14-1,"n/a")</f>
        <v>3.8702851704269463</v>
      </c>
      <c r="Q14" s="64" t="str">
        <f>IFERROR(F14/K14-1,"n/a")</f>
        <v>n/a</v>
      </c>
      <c r="R14" s="60">
        <f>IFERROR(F14/L14-1,"n/a")</f>
        <v>1.4342917939010404</v>
      </c>
      <c r="S14" s="68">
        <f>'Nov-25'!S14+F14</f>
        <v>9308800</v>
      </c>
      <c r="T14" s="68">
        <f>'Nov-25'!T14+G14</f>
        <v>8019489</v>
      </c>
      <c r="U14" s="68">
        <f>'Nov-25'!U14+H14</f>
        <v>5232537</v>
      </c>
      <c r="V14" s="68">
        <f>'Nov-25'!V14+I14</f>
        <v>3592413</v>
      </c>
      <c r="W14" s="68">
        <f>'Nov-25'!W14+J14+5111</f>
        <v>768312</v>
      </c>
      <c r="X14" s="68">
        <f>'Nov-25'!X14+K14</f>
        <v>1092884</v>
      </c>
      <c r="Y14" s="68">
        <f>'Nov-25'!Y14+L14+21403</f>
        <v>4592479</v>
      </c>
      <c r="Z14" s="64">
        <f>IFERROR(S14/T14-1,"n/a")</f>
        <v>0.16077221379067907</v>
      </c>
      <c r="AA14" s="64">
        <f>IFERROR(S14/U14-1,"n/a")</f>
        <v>0.77902229836119652</v>
      </c>
      <c r="AB14" s="64">
        <f>IFERROR(S14/V14-1,"n/a")</f>
        <v>1.5912388135773923</v>
      </c>
      <c r="AC14" s="64">
        <f>IFERROR(S14/W14-1,"n/a")</f>
        <v>11.115911244390301</v>
      </c>
      <c r="AD14" s="64">
        <f>IFERROR(S14/X14-1,"n/a")</f>
        <v>7.5176468865863164</v>
      </c>
      <c r="AE14" s="60">
        <f>IFERROR(S14/Y14-1,"n/a")</f>
        <v>1.0269662637542818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25</v>
      </c>
      <c r="G16" s="71">
        <v>17</v>
      </c>
      <c r="H16" s="73">
        <v>12</v>
      </c>
      <c r="I16" s="73">
        <v>6</v>
      </c>
      <c r="J16" s="73">
        <v>7</v>
      </c>
      <c r="K16" s="73">
        <v>6</v>
      </c>
      <c r="L16" s="73">
        <v>47</v>
      </c>
      <c r="M16" s="64">
        <f t="shared" ref="M16:M17" si="0">IFERROR(F16/G16-1,"n/a")</f>
        <v>0.47058823529411775</v>
      </c>
      <c r="N16" s="64">
        <f t="shared" ref="N16:N17" si="1">IFERROR(F16/H16-1,"n/a")</f>
        <v>1.0833333333333335</v>
      </c>
      <c r="O16" s="64">
        <f t="shared" ref="O16:O17" si="2">IFERROR(F16/I16-1,"n/a")</f>
        <v>3.166666666666667</v>
      </c>
      <c r="P16" s="64">
        <f t="shared" ref="P16:P17" si="3">IFERROR(F16/J16-1,"n/a")</f>
        <v>2.5714285714285716</v>
      </c>
      <c r="Q16" s="64">
        <f t="shared" ref="Q16:Q17" si="4">IFERROR(F16/K16-1,"n/a")</f>
        <v>3.166666666666667</v>
      </c>
      <c r="R16" s="60">
        <f t="shared" ref="R16:R17" si="5">IFERROR(F16/L16-1,"n/a")</f>
        <v>-0.46808510638297873</v>
      </c>
      <c r="S16" s="68">
        <f>'Nov-25'!S16+F16</f>
        <v>1003</v>
      </c>
      <c r="T16" s="68">
        <f>'Nov-25'!T16+G16</f>
        <v>797</v>
      </c>
      <c r="U16" s="68">
        <f>'Nov-25'!U16+H16+1</f>
        <v>575</v>
      </c>
      <c r="V16" s="68">
        <f>'Nov-25'!V16+I16</f>
        <v>573</v>
      </c>
      <c r="W16" s="68">
        <f>'Nov-25'!W16+J16-2</f>
        <v>202</v>
      </c>
      <c r="X16" s="68">
        <f>'Nov-25'!X16+K16</f>
        <v>54</v>
      </c>
      <c r="Y16" s="68">
        <f>'Nov-25'!Y16+L16-7</f>
        <v>586</v>
      </c>
      <c r="Z16" s="64">
        <f t="shared" ref="Z16:Z17" si="6">IFERROR(S16/T16-1,"n/a")</f>
        <v>0.25846925972396484</v>
      </c>
      <c r="AA16" s="64">
        <f t="shared" ref="AA16:AA17" si="7">IFERROR(S16/U16-1,"n/a")</f>
        <v>0.74434782608695649</v>
      </c>
      <c r="AB16" s="64">
        <f t="shared" ref="AB16:AB17" si="8">IFERROR(S16/V16-1,"n/a")</f>
        <v>0.75043630017452001</v>
      </c>
      <c r="AC16" s="64">
        <f t="shared" ref="AC16:AC17" si="9">IFERROR(S16/W16-1,"n/a")</f>
        <v>3.9653465346534658</v>
      </c>
      <c r="AD16" s="64">
        <f t="shared" ref="AD16:AD17" si="10">IFERROR(S16/X16-1,"n/a")</f>
        <v>17.574074074074073</v>
      </c>
      <c r="AE16" s="60">
        <f t="shared" ref="AE16:AE17" si="11">IFERROR(S16/Y16-1,"n/a")</f>
        <v>0.71160409556313997</v>
      </c>
      <c r="AF16" s="68">
        <v>797</v>
      </c>
      <c r="AG16" s="68">
        <v>575</v>
      </c>
      <c r="AH16" s="68">
        <v>572</v>
      </c>
      <c r="AI16" s="68">
        <v>202</v>
      </c>
      <c r="AJ16" s="68">
        <v>54</v>
      </c>
      <c r="AK16" s="134">
        <v>586</v>
      </c>
      <c r="AL16" s="122"/>
      <c r="AM16" s="122"/>
    </row>
    <row r="17" spans="1:39" s="123" customFormat="1" ht="12.75">
      <c r="A17" s="122"/>
      <c r="B17" s="127"/>
      <c r="C17" s="33"/>
      <c r="D17" s="26" t="s">
        <v>11</v>
      </c>
      <c r="E17" s="32"/>
      <c r="F17" s="71">
        <v>59363</v>
      </c>
      <c r="G17" s="71">
        <v>37402</v>
      </c>
      <c r="H17" s="73">
        <v>30889</v>
      </c>
      <c r="I17" s="73">
        <v>22360</v>
      </c>
      <c r="J17" s="73">
        <v>13748</v>
      </c>
      <c r="K17" s="73">
        <v>2141</v>
      </c>
      <c r="L17" s="73">
        <v>55736</v>
      </c>
      <c r="M17" s="64">
        <f t="shared" si="0"/>
        <v>0.58716111437891017</v>
      </c>
      <c r="N17" s="64">
        <f t="shared" si="1"/>
        <v>0.92181682799702158</v>
      </c>
      <c r="O17" s="64">
        <f t="shared" si="2"/>
        <v>1.6548747763864045</v>
      </c>
      <c r="P17" s="64">
        <f t="shared" si="3"/>
        <v>3.3179371544951994</v>
      </c>
      <c r="Q17" s="64">
        <f t="shared" si="4"/>
        <v>26.7267631947688</v>
      </c>
      <c r="R17" s="60">
        <f t="shared" si="5"/>
        <v>6.5074637577149375E-2</v>
      </c>
      <c r="S17" s="68">
        <f>'Nov-25'!S17+F17-578</f>
        <v>2427136</v>
      </c>
      <c r="T17" s="68">
        <f>'Nov-25'!T17+G17</f>
        <v>2060976</v>
      </c>
      <c r="U17" s="68">
        <f>'Nov-25'!U17+H17-2128</f>
        <v>1660685</v>
      </c>
      <c r="V17" s="68">
        <f>'Nov-25'!V17+I17</f>
        <v>969900</v>
      </c>
      <c r="W17" s="68">
        <f>'Nov-25'!W17+J17-1014</f>
        <v>301521</v>
      </c>
      <c r="X17" s="68">
        <f>'Nov-25'!X17+K17</f>
        <v>70675</v>
      </c>
      <c r="Y17" s="68">
        <f>'Nov-25'!Y17+L17+2399</f>
        <v>1400932</v>
      </c>
      <c r="Z17" s="64">
        <f t="shared" si="6"/>
        <v>0.17766339831225597</v>
      </c>
      <c r="AA17" s="64">
        <f t="shared" si="7"/>
        <v>0.46152702047649008</v>
      </c>
      <c r="AB17" s="64">
        <f t="shared" si="8"/>
        <v>1.50246004742757</v>
      </c>
      <c r="AC17" s="64">
        <f t="shared" si="9"/>
        <v>7.0496416501669863</v>
      </c>
      <c r="AD17" s="64">
        <f t="shared" si="10"/>
        <v>33.342214361513975</v>
      </c>
      <c r="AE17" s="60">
        <f t="shared" si="11"/>
        <v>0.73251521130219022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v>
      </c>
      <c r="G19" s="71">
        <v>6</v>
      </c>
      <c r="H19" s="73">
        <v>8</v>
      </c>
      <c r="I19" s="73">
        <v>9</v>
      </c>
      <c r="J19" s="73">
        <v>3</v>
      </c>
      <c r="K19" s="73">
        <v>0</v>
      </c>
      <c r="L19" s="73">
        <v>10</v>
      </c>
      <c r="M19" s="64">
        <f t="shared" ref="M19:M20" si="12">IFERROR(F19/G19-1,"n/a")</f>
        <v>0</v>
      </c>
      <c r="N19" s="64">
        <f t="shared" ref="N19:N20" si="13">IFERROR(F19/H19-1,"n/a")</f>
        <v>-0.25</v>
      </c>
      <c r="O19" s="64">
        <f t="shared" ref="O19:O20" si="14">IFERROR(F19/I19-1,"n/a")</f>
        <v>-0.33333333333333337</v>
      </c>
      <c r="P19" s="64">
        <f t="shared" ref="P19:P20" si="15">IFERROR(F19/J19-1,"n/a")</f>
        <v>1</v>
      </c>
      <c r="Q19" s="64" t="str">
        <f t="shared" ref="Q19:Q20" si="16">IFERROR(F19/K19-1,"n/a")</f>
        <v>n/a</v>
      </c>
      <c r="R19" s="60">
        <f t="shared" ref="R19:R20" si="17">IFERROR(F19/L19-1,"n/a")</f>
        <v>-0.4</v>
      </c>
      <c r="S19" s="68">
        <f>'Nov-25'!S19+F19</f>
        <v>860</v>
      </c>
      <c r="T19" s="68">
        <f>'Nov-25'!T19+G19</f>
        <v>733</v>
      </c>
      <c r="U19" s="68">
        <f>'Nov-25'!U19+H19</f>
        <v>708</v>
      </c>
      <c r="V19" s="68">
        <f>'Nov-25'!V19+I19</f>
        <v>658</v>
      </c>
      <c r="W19" s="68">
        <f>'Nov-25'!W19+J19</f>
        <v>47</v>
      </c>
      <c r="X19" s="68">
        <f>'Nov-25'!X19+K19-1</f>
        <v>9</v>
      </c>
      <c r="Y19" s="68">
        <f>'Nov-25'!Y19+L19</f>
        <v>290</v>
      </c>
      <c r="Z19" s="64">
        <f t="shared" ref="Z19:Z20" si="18">IFERROR(S19/T19-1,"n/a")</f>
        <v>0.17326057298772168</v>
      </c>
      <c r="AA19" s="64">
        <f t="shared" ref="AA19:AA20" si="19">IFERROR(S19/U19-1,"n/a")</f>
        <v>0.21468926553672318</v>
      </c>
      <c r="AB19" s="64">
        <f t="shared" ref="AB19:AB20" si="20">IFERROR(S19/V19-1,"n/a")</f>
        <v>0.30699088145896658</v>
      </c>
      <c r="AC19" s="64">
        <f t="shared" ref="AC19:AC20" si="21">IFERROR(S19/W19-1,"n/a")</f>
        <v>17.297872340425531</v>
      </c>
      <c r="AD19" s="64">
        <f t="shared" ref="AD19:AD20" si="22">IFERROR(S19/X19-1,"n/a")</f>
        <v>94.555555555555557</v>
      </c>
      <c r="AE19" s="60">
        <f t="shared" ref="AE19:AE20" si="23">IFERROR(S19/Y19-1,"n/a")</f>
        <v>1.9655172413793105</v>
      </c>
      <c r="AF19" s="68">
        <v>733</v>
      </c>
      <c r="AG19" s="68">
        <v>708</v>
      </c>
      <c r="AH19" s="68">
        <v>658</v>
      </c>
      <c r="AI19" s="68">
        <v>47</v>
      </c>
      <c r="AJ19" s="68">
        <v>9</v>
      </c>
      <c r="AK19" s="134">
        <v>290</v>
      </c>
      <c r="AL19" s="122"/>
      <c r="AM19" s="122"/>
    </row>
    <row r="20" spans="1:39" s="123" customFormat="1" ht="12.75">
      <c r="A20" s="122"/>
      <c r="B20" s="127"/>
      <c r="C20" s="33"/>
      <c r="D20" s="26" t="s">
        <v>11</v>
      </c>
      <c r="E20" s="32"/>
      <c r="F20" s="71">
        <v>9495</v>
      </c>
      <c r="G20" s="71">
        <v>8208</v>
      </c>
      <c r="H20" s="73">
        <v>7403</v>
      </c>
      <c r="I20" s="73">
        <v>6763</v>
      </c>
      <c r="J20" s="73">
        <v>864</v>
      </c>
      <c r="K20" s="73">
        <v>0</v>
      </c>
      <c r="L20" s="73">
        <v>10787</v>
      </c>
      <c r="M20" s="64">
        <f t="shared" si="12"/>
        <v>0.1567982456140351</v>
      </c>
      <c r="N20" s="64">
        <f t="shared" si="13"/>
        <v>0.28258813994326615</v>
      </c>
      <c r="O20" s="64">
        <f t="shared" si="14"/>
        <v>0.40396273842969088</v>
      </c>
      <c r="P20" s="64">
        <f t="shared" si="15"/>
        <v>9.9895833333333339</v>
      </c>
      <c r="Q20" s="64" t="str">
        <f t="shared" si="16"/>
        <v>n/a</v>
      </c>
      <c r="R20" s="60">
        <f t="shared" si="17"/>
        <v>-0.11977380179846109</v>
      </c>
      <c r="S20" s="68">
        <f>'Nov-25'!S20+F20</f>
        <v>1728606</v>
      </c>
      <c r="T20" s="68">
        <f>'Nov-25'!T20+G20</f>
        <v>1496271.4</v>
      </c>
      <c r="U20" s="68">
        <f>'Nov-25'!U20+H20</f>
        <v>1277526</v>
      </c>
      <c r="V20" s="68">
        <f>'Nov-25'!V20+I20</f>
        <v>887495</v>
      </c>
      <c r="W20" s="68">
        <f>'Nov-25'!W20+J20</f>
        <v>17541</v>
      </c>
      <c r="X20" s="68">
        <f>'Nov-25'!X20+K20</f>
        <v>10047</v>
      </c>
      <c r="Y20" s="68">
        <f>'Nov-25'!Y20+L20</f>
        <v>585930</v>
      </c>
      <c r="Z20" s="64">
        <f t="shared" si="18"/>
        <v>0.15527570733491269</v>
      </c>
      <c r="AA20" s="64">
        <f t="shared" si="19"/>
        <v>0.35308870426120476</v>
      </c>
      <c r="AB20" s="64">
        <f t="shared" si="20"/>
        <v>0.94773604358334418</v>
      </c>
      <c r="AC20" s="64">
        <f t="shared" si="21"/>
        <v>97.546605096630756</v>
      </c>
      <c r="AD20" s="64">
        <f t="shared" si="22"/>
        <v>171.05195580770379</v>
      </c>
      <c r="AE20" s="60">
        <f t="shared" si="23"/>
        <v>1.9501920024576314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185</v>
      </c>
      <c r="G22" s="71">
        <v>177</v>
      </c>
      <c r="H22" s="73">
        <v>128</v>
      </c>
      <c r="I22" s="73">
        <v>67</v>
      </c>
      <c r="J22" s="73">
        <v>25</v>
      </c>
      <c r="K22" s="73">
        <v>0</v>
      </c>
      <c r="L22" s="73">
        <v>20</v>
      </c>
      <c r="M22" s="64">
        <f t="shared" ref="M22:M23" si="24">IFERROR(F22/G22-1,"n/a")</f>
        <v>4.5197740112994378E-2</v>
      </c>
      <c r="N22" s="64">
        <f t="shared" ref="N22:N23" si="25">IFERROR(F22/H22-1,"n/a")</f>
        <v>0.4453125</v>
      </c>
      <c r="O22" s="64">
        <f t="shared" ref="O22:O23" si="26">IFERROR(F22/I22-1,"n/a")</f>
        <v>1.7611940298507465</v>
      </c>
      <c r="P22" s="64">
        <f t="shared" ref="P22:P23" si="27">IFERROR(F22/J22-1,"n/a")</f>
        <v>6.4</v>
      </c>
      <c r="Q22" s="64" t="str">
        <f t="shared" ref="Q22:Q23" si="28">IFERROR(F22/K22-1,"n/a")</f>
        <v>n/a</v>
      </c>
      <c r="R22" s="60">
        <f t="shared" ref="R22:R23" si="29">IFERROR(F22/L22-1,"n/a")</f>
        <v>8.25</v>
      </c>
      <c r="S22" s="68">
        <f>'Nov-25'!S22+F22</f>
        <v>1736</v>
      </c>
      <c r="T22" s="68">
        <f>'Nov-25'!T22+G22</f>
        <v>1651</v>
      </c>
      <c r="U22" s="68">
        <f>'Nov-25'!U22+H22+1</f>
        <v>1500</v>
      </c>
      <c r="V22" s="68">
        <f>'Nov-25'!V22+I22</f>
        <v>894</v>
      </c>
      <c r="W22" s="68">
        <f>'Nov-25'!W22+J22</f>
        <v>283</v>
      </c>
      <c r="X22" s="68">
        <f>'Nov-25'!X22+K22</f>
        <v>43</v>
      </c>
      <c r="Y22" s="68">
        <f>'Nov-25'!Y22+L22</f>
        <v>827</v>
      </c>
      <c r="Z22" s="64">
        <f t="shared" ref="Z22:Z23" si="30">IFERROR(S22/T22-1,"n/a")</f>
        <v>5.1483949121744477E-2</v>
      </c>
      <c r="AA22" s="64">
        <f t="shared" ref="AA22:AA23" si="31">IFERROR(S22/U22-1,"n/a")</f>
        <v>0.15733333333333333</v>
      </c>
      <c r="AB22" s="64">
        <f t="shared" ref="AB22:AB23" si="32">IFERROR(S22/V22-1,"n/a")</f>
        <v>0.94183445190156601</v>
      </c>
      <c r="AC22" s="64">
        <f t="shared" ref="AC22:AC23" si="33">IFERROR(S22/W22-1,"n/a")</f>
        <v>5.1342756183745584</v>
      </c>
      <c r="AD22" s="64">
        <f t="shared" ref="AD22:AD23" si="34">IFERROR(S22/X22-1,"n/a")</f>
        <v>39.372093023255815</v>
      </c>
      <c r="AE22" s="60">
        <f t="shared" ref="AE22:AE23" si="35">IFERROR(S22/Y22-1,"n/a")</f>
        <v>1.0991535671100361</v>
      </c>
      <c r="AF22" s="68">
        <v>1651</v>
      </c>
      <c r="AG22" s="68">
        <v>1500</v>
      </c>
      <c r="AH22" s="68">
        <v>895</v>
      </c>
      <c r="AI22" s="68">
        <v>283</v>
      </c>
      <c r="AJ22" s="68">
        <v>43</v>
      </c>
      <c r="AK22" s="134">
        <v>827</v>
      </c>
      <c r="AL22" s="122"/>
      <c r="AM22" s="122"/>
    </row>
    <row r="23" spans="1:39" s="123" customFormat="1" ht="12.75">
      <c r="A23" s="122"/>
      <c r="B23" s="127"/>
      <c r="C23" s="33"/>
      <c r="D23" s="26" t="s">
        <v>11</v>
      </c>
      <c r="E23" s="32"/>
      <c r="F23" s="71">
        <v>459583</v>
      </c>
      <c r="G23" s="71">
        <v>483121</v>
      </c>
      <c r="H23" s="73">
        <v>383396</v>
      </c>
      <c r="I23" s="73">
        <v>215490</v>
      </c>
      <c r="J23" s="73">
        <v>39214</v>
      </c>
      <c r="K23" s="73">
        <v>0</v>
      </c>
      <c r="L23" s="73">
        <v>58943</v>
      </c>
      <c r="M23" s="64">
        <f t="shared" si="24"/>
        <v>-4.8720713858433018E-2</v>
      </c>
      <c r="N23" s="64">
        <f t="shared" si="25"/>
        <v>0.19871620987177741</v>
      </c>
      <c r="O23" s="64">
        <f t="shared" si="26"/>
        <v>1.1327346976657848</v>
      </c>
      <c r="P23" s="64">
        <f t="shared" si="27"/>
        <v>10.719870454429541</v>
      </c>
      <c r="Q23" s="64" t="str">
        <f t="shared" si="28"/>
        <v>n/a</v>
      </c>
      <c r="R23" s="60">
        <f t="shared" si="29"/>
        <v>6.7970751403898682</v>
      </c>
      <c r="S23" s="68">
        <f>'Nov-25'!S23+F23-9</f>
        <v>4526183</v>
      </c>
      <c r="T23" s="68">
        <f>'Nov-25'!T23+G23</f>
        <v>5046474</v>
      </c>
      <c r="U23" s="68">
        <f>'Nov-25'!U23+H23-8959</f>
        <v>4449177</v>
      </c>
      <c r="V23" s="68">
        <f>'Nov-25'!V23+I23</f>
        <v>2161224</v>
      </c>
      <c r="W23" s="68">
        <f>'Nov-25'!W23+J23</f>
        <v>465109</v>
      </c>
      <c r="X23" s="68">
        <f>'Nov-25'!X23+K23</f>
        <v>140552</v>
      </c>
      <c r="Y23" s="68">
        <f>'Nov-25'!Y23+L23</f>
        <v>2552942</v>
      </c>
      <c r="Z23" s="64">
        <f t="shared" si="30"/>
        <v>-0.10309990698455995</v>
      </c>
      <c r="AA23" s="64">
        <f t="shared" si="31"/>
        <v>1.7307920093985851E-2</v>
      </c>
      <c r="AB23" s="64">
        <f t="shared" si="32"/>
        <v>1.0942683405329574</v>
      </c>
      <c r="AC23" s="64">
        <f t="shared" si="33"/>
        <v>8.7314457471259423</v>
      </c>
      <c r="AD23" s="64">
        <f t="shared" si="34"/>
        <v>31.202907109112644</v>
      </c>
      <c r="AE23" s="60">
        <f t="shared" si="35"/>
        <v>0.77292825297245304</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'Nov-25'!S25+F25</f>
        <v>23</v>
      </c>
      <c r="T25" s="68">
        <f>'Nov-25'!T25+G25</f>
        <v>14</v>
      </c>
      <c r="U25" s="68">
        <f>'Nov-25'!U25+H25</f>
        <v>21</v>
      </c>
      <c r="V25" s="68">
        <f>'Nov-25'!V25+I25</f>
        <v>9</v>
      </c>
      <c r="W25" s="68">
        <f>'Nov-25'!W25+J25</f>
        <v>0</v>
      </c>
      <c r="X25" s="68">
        <f>'Nov-25'!X25+K25</f>
        <v>0</v>
      </c>
      <c r="Y25" s="68">
        <f>'Nov-25'!Y25+L25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'Nov-25'!S26+F26</f>
        <v>72837</v>
      </c>
      <c r="T26" s="68">
        <f>'Nov-25'!T26+G26</f>
        <v>47798</v>
      </c>
      <c r="U26" s="68">
        <f>'Nov-25'!U26+H26</f>
        <v>38626</v>
      </c>
      <c r="V26" s="68">
        <f>'Nov-25'!V26+I26</f>
        <v>15637</v>
      </c>
      <c r="W26" s="68">
        <f>'Nov-25'!W26+J26</f>
        <v>0</v>
      </c>
      <c r="X26" s="68">
        <f>'Nov-25'!X26+K26</f>
        <v>0</v>
      </c>
      <c r="Y26" s="68">
        <f>'Nov-25'!Y26+L26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648</v>
      </c>
      <c r="G27" s="75">
        <f t="shared" si="48"/>
        <v>590</v>
      </c>
      <c r="H27" s="75">
        <f t="shared" si="48"/>
        <v>377</v>
      </c>
      <c r="I27" s="75">
        <f t="shared" si="48"/>
        <v>273</v>
      </c>
      <c r="J27" s="75">
        <f t="shared" si="48"/>
        <v>207</v>
      </c>
      <c r="K27" s="75">
        <f t="shared" si="48"/>
        <v>6</v>
      </c>
      <c r="L27" s="75">
        <f t="shared" si="48"/>
        <v>277</v>
      </c>
      <c r="M27" s="66">
        <f t="shared" si="36"/>
        <v>9.8305084745762716E-2</v>
      </c>
      <c r="N27" s="66">
        <f t="shared" si="37"/>
        <v>0.71883289124668437</v>
      </c>
      <c r="O27" s="66">
        <f t="shared" si="38"/>
        <v>1.3736263736263736</v>
      </c>
      <c r="P27" s="66">
        <f t="shared" si="39"/>
        <v>2.1304347826086958</v>
      </c>
      <c r="Q27" s="66">
        <f t="shared" si="40"/>
        <v>107</v>
      </c>
      <c r="R27" s="62">
        <f t="shared" si="41"/>
        <v>1.3393501805054151</v>
      </c>
      <c r="S27" s="75">
        <f t="shared" ref="S27:Y28" si="49">S13+S16+S19+S22+S25</f>
        <v>6603</v>
      </c>
      <c r="T27" s="75">
        <f t="shared" si="49"/>
        <v>5678</v>
      </c>
      <c r="U27" s="75">
        <f t="shared" si="49"/>
        <v>4434</v>
      </c>
      <c r="V27" s="75">
        <f t="shared" si="49"/>
        <v>3620</v>
      </c>
      <c r="W27" s="75">
        <f t="shared" si="49"/>
        <v>1054</v>
      </c>
      <c r="X27" s="75">
        <f t="shared" si="49"/>
        <v>657</v>
      </c>
      <c r="Y27" s="75">
        <f t="shared" si="49"/>
        <v>3310</v>
      </c>
      <c r="Z27" s="66">
        <f t="shared" si="42"/>
        <v>0.16290947516731236</v>
      </c>
      <c r="AA27" s="66">
        <f t="shared" si="43"/>
        <v>0.48917456021650874</v>
      </c>
      <c r="AB27" s="66">
        <f t="shared" si="44"/>
        <v>0.82403314917127068</v>
      </c>
      <c r="AC27" s="66">
        <f t="shared" si="45"/>
        <v>5.2647058823529411</v>
      </c>
      <c r="AD27" s="66">
        <f t="shared" si="46"/>
        <v>9.0502283105022823</v>
      </c>
      <c r="AE27" s="62">
        <f t="shared" si="47"/>
        <v>0.99486404833836861</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1761680</v>
      </c>
      <c r="G28" s="76">
        <f t="shared" si="48"/>
        <v>1573812</v>
      </c>
      <c r="H28" s="76">
        <f t="shared" si="48"/>
        <v>1087969</v>
      </c>
      <c r="I28" s="76">
        <f t="shared" si="48"/>
        <v>762932</v>
      </c>
      <c r="J28" s="76">
        <f t="shared" si="48"/>
        <v>307043</v>
      </c>
      <c r="K28" s="76">
        <f t="shared" si="48"/>
        <v>2141</v>
      </c>
      <c r="L28" s="76">
        <f t="shared" si="48"/>
        <v>632077</v>
      </c>
      <c r="M28" s="67">
        <f t="shared" si="36"/>
        <v>0.11937130991503442</v>
      </c>
      <c r="N28" s="67">
        <f t="shared" si="37"/>
        <v>0.61923731282784722</v>
      </c>
      <c r="O28" s="67">
        <f t="shared" si="38"/>
        <v>1.3090917670251083</v>
      </c>
      <c r="P28" s="67">
        <f t="shared" si="39"/>
        <v>4.73756770224366</v>
      </c>
      <c r="Q28" s="67">
        <f t="shared" si="40"/>
        <v>821.83045305931807</v>
      </c>
      <c r="R28" s="63">
        <f t="shared" si="41"/>
        <v>1.7871287833602554</v>
      </c>
      <c r="S28" s="76">
        <f t="shared" si="49"/>
        <v>18063562</v>
      </c>
      <c r="T28" s="76">
        <f t="shared" si="49"/>
        <v>16671008.4</v>
      </c>
      <c r="U28" s="76">
        <f t="shared" si="49"/>
        <v>12658551</v>
      </c>
      <c r="V28" s="76">
        <f t="shared" si="49"/>
        <v>7626669</v>
      </c>
      <c r="W28" s="76">
        <f t="shared" si="49"/>
        <v>1552483</v>
      </c>
      <c r="X28" s="76">
        <f t="shared" si="49"/>
        <v>1314158</v>
      </c>
      <c r="Y28" s="76">
        <f t="shared" si="49"/>
        <v>9152531</v>
      </c>
      <c r="Z28" s="67">
        <f t="shared" si="42"/>
        <v>8.3531455721658654E-2</v>
      </c>
      <c r="AA28" s="67">
        <f t="shared" si="43"/>
        <v>0.42698496850073919</v>
      </c>
      <c r="AB28" s="67">
        <f t="shared" si="44"/>
        <v>1.3684733138412066</v>
      </c>
      <c r="AC28" s="67">
        <f t="shared" si="45"/>
        <v>10.635272012640396</v>
      </c>
      <c r="AD28" s="67">
        <f t="shared" si="46"/>
        <v>12.745350254687793</v>
      </c>
      <c r="AE28" s="63">
        <f t="shared" si="47"/>
        <v>0.97361385610166185</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S27-F27-'Nov-25'!S27</f>
        <v>0</v>
      </c>
      <c r="T29" s="128">
        <f>T27-G27-'Nov-25'!T27</f>
        <v>0</v>
      </c>
      <c r="U29" s="128"/>
      <c r="V29" s="128">
        <f>V27-I27-'Nov-25'!V27</f>
        <v>0</v>
      </c>
      <c r="W29" s="128"/>
      <c r="X29" s="128"/>
      <c r="Y29" s="128">
        <f>Y27-L27-'Nov-25'!Y27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S28-F28-'Nov-25'!S28+587</f>
        <v>0</v>
      </c>
      <c r="T30" s="128">
        <f>T28-G28-'Nov-25'!T28</f>
        <v>0</v>
      </c>
      <c r="U30" s="128"/>
      <c r="V30" s="128">
        <f>V28-I28-'Nov-25'!V28</f>
        <v>0</v>
      </c>
      <c r="W30" s="128"/>
      <c r="X30" s="128">
        <f>X28-K28-'Nov-25'!X28</f>
        <v>0</v>
      </c>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December</v>
      </c>
      <c r="G33" s="169"/>
      <c r="H33" s="169"/>
      <c r="I33" s="169"/>
      <c r="J33" s="169"/>
      <c r="K33" s="169"/>
      <c r="L33" s="169"/>
      <c r="M33" s="169"/>
      <c r="N33" s="169"/>
      <c r="O33" s="169"/>
      <c r="P33" s="169"/>
      <c r="Q33" s="169"/>
      <c r="R33" s="170"/>
      <c r="S33" s="171" t="str">
        <f>"April to "&amp;D4&amp;" (YTD)"</f>
        <v>April to December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432</v>
      </c>
      <c r="G37" s="74">
        <f t="shared" ref="G37:L38" si="51">G13</f>
        <v>390</v>
      </c>
      <c r="H37" s="74">
        <f t="shared" si="51"/>
        <v>229</v>
      </c>
      <c r="I37" s="74">
        <f t="shared" si="51"/>
        <v>191</v>
      </c>
      <c r="J37" s="74">
        <f t="shared" si="51"/>
        <v>172</v>
      </c>
      <c r="K37" s="74">
        <f t="shared" si="51"/>
        <v>0</v>
      </c>
      <c r="L37" s="74">
        <f t="shared" si="51"/>
        <v>200</v>
      </c>
      <c r="M37" s="64">
        <f t="shared" ref="M37:M38" si="52">IFERROR(F37/G37-1,"n/a")</f>
        <v>0.10769230769230775</v>
      </c>
      <c r="N37" s="64">
        <f t="shared" ref="N37:N38" si="53">IFERROR(F37/H37-1,"n/a")</f>
        <v>0.88646288209606983</v>
      </c>
      <c r="O37" s="64">
        <f t="shared" ref="O37:O38" si="54">IFERROR(F37/I37-1,"n/a")</f>
        <v>1.261780104712042</v>
      </c>
      <c r="P37" s="64">
        <f t="shared" ref="P37:P38" si="55">IFERROR(F37/J37-1,"n/a")</f>
        <v>1.5116279069767442</v>
      </c>
      <c r="Q37" s="64" t="str">
        <f t="shared" ref="Q37:Q38" si="56">IFERROR(F37/K37-1,"n/a")</f>
        <v>n/a</v>
      </c>
      <c r="R37" s="60">
        <f t="shared" ref="R37:R38" si="57">IFERROR(F37/L37-1,"n/a")</f>
        <v>1.1600000000000001</v>
      </c>
      <c r="S37" s="74">
        <f>'Nov-25'!S37+F37</f>
        <v>1890</v>
      </c>
      <c r="T37" s="74">
        <f>'Nov-25'!T37+G37</f>
        <v>1781</v>
      </c>
      <c r="U37" s="74">
        <f>'Nov-25'!U37+H37</f>
        <v>1100</v>
      </c>
      <c r="V37" s="74">
        <f>'Nov-25'!V37+I37</f>
        <v>956</v>
      </c>
      <c r="W37" s="74">
        <f>'Nov-25'!W37+J37</f>
        <v>515</v>
      </c>
      <c r="X37" s="74">
        <f>'Nov-25'!X37+K37</f>
        <v>42</v>
      </c>
      <c r="Y37" s="74">
        <f>'Nov-25'!Y37+L37</f>
        <v>1068</v>
      </c>
      <c r="Z37" s="147">
        <f>IFERROR(S37/T37-1,"n/a")</f>
        <v>6.1201572150477279E-2</v>
      </c>
      <c r="AA37" s="147">
        <f>IFERROR(S37/U37-1,"n/a")</f>
        <v>0.71818181818181825</v>
      </c>
      <c r="AB37" s="147">
        <f>IFERROR(S37/V37-1,"n/a")</f>
        <v>0.97698744769874479</v>
      </c>
      <c r="AC37" s="147">
        <f>IFERROR(S37/W37-1,"n/a")</f>
        <v>2.6699029126213594</v>
      </c>
      <c r="AD37" s="147">
        <f>IFERROR(S37/X37-1,"n/a")</f>
        <v>44</v>
      </c>
      <c r="AE37" s="158">
        <f>IFERROR(S37/Y37-1,"n/a")</f>
        <v>0.7696629213483146</v>
      </c>
      <c r="AF37" s="154">
        <v>2874</v>
      </c>
      <c r="AG37" s="89">
        <v>1802</v>
      </c>
      <c r="AH37" s="89">
        <v>1486</v>
      </c>
      <c r="AI37" s="89">
        <v>1052</v>
      </c>
      <c r="AJ37" s="70">
        <v>551</v>
      </c>
      <c r="AK37" s="78">
        <v>1584</v>
      </c>
      <c r="AM37" s="122"/>
    </row>
    <row r="38" spans="1:39" s="123" customFormat="1" ht="11.25">
      <c r="A38" s="122"/>
      <c r="B38" s="122"/>
      <c r="C38" s="33"/>
      <c r="D38" s="26" t="s">
        <v>11</v>
      </c>
      <c r="E38" s="32"/>
      <c r="F38" s="74">
        <f>F14</f>
        <v>1233239</v>
      </c>
      <c r="G38" s="74">
        <f t="shared" si="51"/>
        <v>1045081</v>
      </c>
      <c r="H38" s="74">
        <f t="shared" si="51"/>
        <v>666281</v>
      </c>
      <c r="I38" s="74">
        <f t="shared" si="51"/>
        <v>518319</v>
      </c>
      <c r="J38" s="74">
        <f t="shared" si="51"/>
        <v>253217</v>
      </c>
      <c r="K38" s="74">
        <f t="shared" si="51"/>
        <v>0</v>
      </c>
      <c r="L38" s="74">
        <f t="shared" si="51"/>
        <v>506611</v>
      </c>
      <c r="M38" s="64">
        <f t="shared" si="52"/>
        <v>0.18004154701884345</v>
      </c>
      <c r="N38" s="64">
        <f t="shared" si="53"/>
        <v>0.85092926257840151</v>
      </c>
      <c r="O38" s="64">
        <f t="shared" si="54"/>
        <v>1.379305022582618</v>
      </c>
      <c r="P38" s="64">
        <f t="shared" si="55"/>
        <v>3.8702851704269463</v>
      </c>
      <c r="Q38" s="64" t="str">
        <f t="shared" si="56"/>
        <v>n/a</v>
      </c>
      <c r="R38" s="60">
        <f t="shared" si="57"/>
        <v>1.4342917939010404</v>
      </c>
      <c r="S38" s="74">
        <f>'Nov-25'!S38+F38</f>
        <v>6386653</v>
      </c>
      <c r="T38" s="74">
        <f>'Nov-25'!T38+G38</f>
        <v>5865665</v>
      </c>
      <c r="U38" s="74">
        <f>'Nov-25'!U38+H38</f>
        <v>3694353</v>
      </c>
      <c r="V38" s="74">
        <f>'Nov-25'!V38+I38</f>
        <v>2832755</v>
      </c>
      <c r="W38" s="74">
        <f>'Nov-25'!W38+J38</f>
        <v>763201</v>
      </c>
      <c r="X38" s="74">
        <f>'Nov-25'!X38+K38</f>
        <v>0</v>
      </c>
      <c r="Y38" s="74">
        <f>'Nov-25'!Y38+L38</f>
        <v>3119972</v>
      </c>
      <c r="Z38" s="147">
        <f>IFERROR(S38/T38-1,"n/a")</f>
        <v>8.8819937722321329E-2</v>
      </c>
      <c r="AA38" s="147">
        <f>IFERROR(S38/U38-1,"n/a")</f>
        <v>0.72876089534486832</v>
      </c>
      <c r="AB38" s="147">
        <f>IFERROR(S38/V38-1,"n/a")</f>
        <v>1.2545730216697173</v>
      </c>
      <c r="AC38" s="147">
        <f>IFERROR(S38/W38-1,"n/a")</f>
        <v>7.3682450625719831</v>
      </c>
      <c r="AD38" s="147" t="str">
        <f>IFERROR(S38/X38-1,"n/a")</f>
        <v>n/a</v>
      </c>
      <c r="AE38" s="158">
        <f>IFERROR(S38/Y38-1,"n/a")</f>
        <v>1.0470225373817459</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25</v>
      </c>
      <c r="G40" s="74">
        <f t="shared" si="58"/>
        <v>17</v>
      </c>
      <c r="H40" s="74">
        <f t="shared" si="58"/>
        <v>12</v>
      </c>
      <c r="I40" s="74">
        <f t="shared" si="58"/>
        <v>6</v>
      </c>
      <c r="J40" s="74">
        <f t="shared" si="58"/>
        <v>7</v>
      </c>
      <c r="K40" s="74">
        <f t="shared" si="58"/>
        <v>6</v>
      </c>
      <c r="L40" s="74">
        <f t="shared" si="58"/>
        <v>47</v>
      </c>
      <c r="M40" s="64">
        <f t="shared" ref="M40:M41" si="59">IFERROR(F40/G40-1,"n/a")</f>
        <v>0.47058823529411775</v>
      </c>
      <c r="N40" s="64">
        <f t="shared" ref="N40:N41" si="60">IFERROR(F40/H40-1,"n/a")</f>
        <v>1.0833333333333335</v>
      </c>
      <c r="O40" s="64">
        <f t="shared" ref="O40:O41" si="61">IFERROR(F40/I40-1,"n/a")</f>
        <v>3.166666666666667</v>
      </c>
      <c r="P40" s="64">
        <f t="shared" ref="P40:P41" si="62">IFERROR(F40/J40-1,"n/a")</f>
        <v>2.5714285714285716</v>
      </c>
      <c r="Q40" s="64">
        <f t="shared" ref="Q40:Q41" si="63">IFERROR(F40/K40-1,"n/a")</f>
        <v>3.166666666666667</v>
      </c>
      <c r="R40" s="60">
        <f t="shared" ref="R40:R41" si="64">IFERROR(F40/L40-1,"n/a")</f>
        <v>-0.46808510638297873</v>
      </c>
      <c r="S40" s="74">
        <f>'Nov-25'!S40+F40</f>
        <v>947</v>
      </c>
      <c r="T40" s="74">
        <f>'Nov-25'!T40+G40</f>
        <v>760</v>
      </c>
      <c r="U40" s="74">
        <f>'Nov-25'!U40+H40</f>
        <v>547</v>
      </c>
      <c r="V40" s="74">
        <f>'Nov-25'!V40+I40</f>
        <v>537</v>
      </c>
      <c r="W40" s="74">
        <f>'Nov-25'!W40+J40</f>
        <v>192</v>
      </c>
      <c r="X40" s="74">
        <f>'Nov-25'!X40+K40</f>
        <v>44</v>
      </c>
      <c r="Y40" s="74">
        <f>'Nov-25'!Y40+L40</f>
        <v>570</v>
      </c>
      <c r="Z40" s="147">
        <f t="shared" ref="Z40:Z41" si="65">IFERROR(S40/T40-1,"n/a")</f>
        <v>0.2460526315789473</v>
      </c>
      <c r="AA40" s="147">
        <f t="shared" ref="AA40:AA41" si="66">IFERROR(S40/U40-1,"n/a")</f>
        <v>0.73126142595978072</v>
      </c>
      <c r="AB40" s="147">
        <f t="shared" ref="AB40:AB41" si="67">IFERROR(S40/V40-1,"n/a")</f>
        <v>0.76350093109869643</v>
      </c>
      <c r="AC40" s="147">
        <f t="shared" ref="AC40:AC41" si="68">IFERROR(S40/W40-1,"n/a")</f>
        <v>3.932291666666667</v>
      </c>
      <c r="AD40" s="147">
        <f t="shared" ref="AD40:AD41" si="69">IFERROR(S40/X40-1,"n/a")</f>
        <v>20.522727272727273</v>
      </c>
      <c r="AE40" s="158">
        <f t="shared" ref="AE40:AE41" si="70">IFERROR(S40/Y40-1,"n/a")</f>
        <v>0.66140350877192988</v>
      </c>
      <c r="AF40" s="154">
        <v>817</v>
      </c>
      <c r="AG40" s="89">
        <v>583</v>
      </c>
      <c r="AH40" s="89">
        <v>563</v>
      </c>
      <c r="AI40" s="89">
        <v>226</v>
      </c>
      <c r="AJ40" s="70">
        <v>66</v>
      </c>
      <c r="AK40" s="78">
        <v>573</v>
      </c>
      <c r="AM40" s="122"/>
    </row>
    <row r="41" spans="1:39" s="123" customFormat="1" ht="11.25">
      <c r="A41" s="122"/>
      <c r="B41" s="122"/>
      <c r="C41" s="33"/>
      <c r="D41" s="26" t="s">
        <v>11</v>
      </c>
      <c r="E41" s="32"/>
      <c r="F41" s="74">
        <f t="shared" si="58"/>
        <v>59363</v>
      </c>
      <c r="G41" s="74">
        <f t="shared" si="58"/>
        <v>37402</v>
      </c>
      <c r="H41" s="74">
        <f t="shared" si="58"/>
        <v>30889</v>
      </c>
      <c r="I41" s="74">
        <f t="shared" si="58"/>
        <v>22360</v>
      </c>
      <c r="J41" s="74">
        <f t="shared" si="58"/>
        <v>13748</v>
      </c>
      <c r="K41" s="74">
        <f t="shared" si="58"/>
        <v>2141</v>
      </c>
      <c r="L41" s="74">
        <f t="shared" si="58"/>
        <v>55736</v>
      </c>
      <c r="M41" s="64">
        <f t="shared" si="59"/>
        <v>0.58716111437891017</v>
      </c>
      <c r="N41" s="64">
        <f t="shared" si="60"/>
        <v>0.92181682799702158</v>
      </c>
      <c r="O41" s="64">
        <f t="shared" si="61"/>
        <v>1.6548747763864045</v>
      </c>
      <c r="P41" s="64">
        <f t="shared" si="62"/>
        <v>3.3179371544951994</v>
      </c>
      <c r="Q41" s="64">
        <f t="shared" si="63"/>
        <v>26.7267631947688</v>
      </c>
      <c r="R41" s="60">
        <f t="shared" si="64"/>
        <v>6.5074637577149375E-2</v>
      </c>
      <c r="S41" s="74">
        <f>'Nov-25'!S41+F41-578</f>
        <v>2282907</v>
      </c>
      <c r="T41" s="74">
        <f>'Nov-25'!T41+G41</f>
        <v>1930402</v>
      </c>
      <c r="U41" s="74">
        <f>'Nov-25'!U41+H41</f>
        <v>1579758</v>
      </c>
      <c r="V41" s="74">
        <f>'Nov-25'!V41+I41</f>
        <v>933392</v>
      </c>
      <c r="W41" s="74">
        <f>'Nov-25'!W41+J41</f>
        <v>292432</v>
      </c>
      <c r="X41" s="74">
        <f>'Nov-25'!X41+K41</f>
        <v>29562</v>
      </c>
      <c r="Y41" s="74">
        <f>'Nov-25'!Y41+L41</f>
        <v>1318159</v>
      </c>
      <c r="Z41" s="147">
        <f t="shared" si="65"/>
        <v>0.1826070424709465</v>
      </c>
      <c r="AA41" s="147">
        <f t="shared" si="66"/>
        <v>0.44509918607786769</v>
      </c>
      <c r="AB41" s="147">
        <f t="shared" si="67"/>
        <v>1.4458180485798033</v>
      </c>
      <c r="AC41" s="147">
        <f t="shared" si="68"/>
        <v>6.8066251299447389</v>
      </c>
      <c r="AD41" s="147">
        <f t="shared" si="69"/>
        <v>76.224375887964285</v>
      </c>
      <c r="AE41" s="158">
        <f t="shared" si="70"/>
        <v>0.73189046237972799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v>
      </c>
      <c r="G43" s="74">
        <f t="shared" ref="G43:L44" si="71">G19</f>
        <v>6</v>
      </c>
      <c r="H43" s="74">
        <f t="shared" si="71"/>
        <v>8</v>
      </c>
      <c r="I43" s="74">
        <f t="shared" si="71"/>
        <v>9</v>
      </c>
      <c r="J43" s="74">
        <f t="shared" si="71"/>
        <v>3</v>
      </c>
      <c r="K43" s="74">
        <f t="shared" si="71"/>
        <v>0</v>
      </c>
      <c r="L43" s="74">
        <f t="shared" si="71"/>
        <v>10</v>
      </c>
      <c r="M43" s="64">
        <f t="shared" ref="M43:M44" si="72">IFERROR(F43/G43-1,"n/a")</f>
        <v>0</v>
      </c>
      <c r="N43" s="64">
        <f t="shared" ref="N43:N44" si="73">IFERROR(F43/H43-1,"n/a")</f>
        <v>-0.25</v>
      </c>
      <c r="O43" s="64">
        <f t="shared" ref="O43:O44" si="74">IFERROR(F43/I43-1,"n/a")</f>
        <v>-0.33333333333333337</v>
      </c>
      <c r="P43" s="64">
        <f t="shared" ref="P43:P44" si="75">IFERROR(F43/J43-1,"n/a")</f>
        <v>1</v>
      </c>
      <c r="Q43" s="64" t="str">
        <f t="shared" ref="Q43:Q44" si="76">IFERROR(F43/K43-1,"n/a")</f>
        <v>n/a</v>
      </c>
      <c r="R43" s="60">
        <f t="shared" ref="R43:R44" si="77">IFERROR(F43/L43-1,"n/a")</f>
        <v>-0.4</v>
      </c>
      <c r="S43" s="74">
        <f>'Nov-25'!S43+F43</f>
        <v>838</v>
      </c>
      <c r="T43" s="74">
        <f>'Nov-25'!T43+G43</f>
        <v>706</v>
      </c>
      <c r="U43" s="74">
        <f>'Nov-25'!U43+H43</f>
        <v>685</v>
      </c>
      <c r="V43" s="74">
        <f>'Nov-25'!V43+I43</f>
        <v>646</v>
      </c>
      <c r="W43" s="74">
        <f>'Nov-25'!W43+J43</f>
        <v>47</v>
      </c>
      <c r="X43" s="74">
        <f>'Nov-25'!X43+K43</f>
        <v>7</v>
      </c>
      <c r="Y43" s="74">
        <f>'Nov-25'!Y43+L43</f>
        <v>284</v>
      </c>
      <c r="Z43" s="147">
        <f t="shared" ref="Z43:Z44" si="78">IFERROR(S43/T43-1,"n/a")</f>
        <v>0.18696883852691215</v>
      </c>
      <c r="AA43" s="147">
        <f t="shared" ref="AA43:AA44" si="79">IFERROR(S43/U43-1,"n/a")</f>
        <v>0.22335766423357661</v>
      </c>
      <c r="AB43" s="147">
        <f t="shared" ref="AB43:AB44" si="80">IFERROR(S43/V43-1,"n/a")</f>
        <v>0.29721362229102177</v>
      </c>
      <c r="AC43" s="147">
        <f t="shared" ref="AC43:AC44" si="81">IFERROR(S43/W43-1,"n/a")</f>
        <v>16.829787234042552</v>
      </c>
      <c r="AD43" s="147">
        <f t="shared" ref="AD43:AD44" si="82">IFERROR(S43/X43-1,"n/a")</f>
        <v>118.71428571428571</v>
      </c>
      <c r="AE43" s="158">
        <f t="shared" ref="AE43:AE44" si="83">IFERROR(S43/Y43-1,"n/a")</f>
        <v>1.9507042253521125</v>
      </c>
      <c r="AF43" s="154">
        <v>728</v>
      </c>
      <c r="AG43" s="89">
        <v>712</v>
      </c>
      <c r="AH43" s="89">
        <v>669</v>
      </c>
      <c r="AI43" s="89">
        <v>59</v>
      </c>
      <c r="AJ43" s="70">
        <v>9</v>
      </c>
      <c r="AK43" s="78">
        <v>287</v>
      </c>
      <c r="AM43" s="122"/>
    </row>
    <row r="44" spans="1:39" s="123" customFormat="1" ht="11.25">
      <c r="A44" s="122"/>
      <c r="B44" s="122"/>
      <c r="C44" s="33"/>
      <c r="D44" s="26" t="s">
        <v>11</v>
      </c>
      <c r="E44" s="32"/>
      <c r="F44" s="74">
        <f>F20</f>
        <v>9495</v>
      </c>
      <c r="G44" s="74">
        <f t="shared" si="71"/>
        <v>8208</v>
      </c>
      <c r="H44" s="74">
        <f t="shared" si="71"/>
        <v>7403</v>
      </c>
      <c r="I44" s="74">
        <f t="shared" si="71"/>
        <v>6763</v>
      </c>
      <c r="J44" s="74">
        <f t="shared" si="71"/>
        <v>864</v>
      </c>
      <c r="K44" s="74">
        <f t="shared" si="71"/>
        <v>0</v>
      </c>
      <c r="L44" s="74">
        <f t="shared" si="71"/>
        <v>10787</v>
      </c>
      <c r="M44" s="64">
        <f t="shared" si="72"/>
        <v>0.1567982456140351</v>
      </c>
      <c r="N44" s="64">
        <f t="shared" si="73"/>
        <v>0.28258813994326615</v>
      </c>
      <c r="O44" s="64">
        <f t="shared" si="74"/>
        <v>0.40396273842969088</v>
      </c>
      <c r="P44" s="64">
        <f t="shared" si="75"/>
        <v>9.9895833333333339</v>
      </c>
      <c r="Q44" s="64" t="str">
        <f t="shared" si="76"/>
        <v>n/a</v>
      </c>
      <c r="R44" s="60">
        <f t="shared" si="77"/>
        <v>-0.11977380179846109</v>
      </c>
      <c r="S44" s="74">
        <f>'Nov-25'!S44+F44</f>
        <v>1700346</v>
      </c>
      <c r="T44" s="74">
        <f>'Nov-25'!T44+G44</f>
        <v>1456530.4</v>
      </c>
      <c r="U44" s="74">
        <f>'Nov-25'!U44+H44</f>
        <v>1256680</v>
      </c>
      <c r="V44" s="74">
        <f>'Nov-25'!V44+I44</f>
        <v>884410</v>
      </c>
      <c r="W44" s="74">
        <f>'Nov-25'!W44+J44</f>
        <v>17541</v>
      </c>
      <c r="X44" s="74">
        <f>'Nov-25'!X44+K44</f>
        <v>8294</v>
      </c>
      <c r="Y44" s="74">
        <f>'Nov-25'!Y44+L44</f>
        <v>579446</v>
      </c>
      <c r="Z44" s="147">
        <f t="shared" si="78"/>
        <v>0.16739478970023569</v>
      </c>
      <c r="AA44" s="147">
        <f t="shared" si="79"/>
        <v>0.35304612152656212</v>
      </c>
      <c r="AB44" s="147">
        <f t="shared" si="80"/>
        <v>0.92257663300957704</v>
      </c>
      <c r="AC44" s="147">
        <f t="shared" si="81"/>
        <v>95.935522490165894</v>
      </c>
      <c r="AD44" s="147">
        <f t="shared" si="82"/>
        <v>204.00916325054257</v>
      </c>
      <c r="AE44" s="158">
        <f t="shared" si="83"/>
        <v>1.934433924817843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185</v>
      </c>
      <c r="G46" s="74">
        <f t="shared" ref="G46:L47" si="84">G22</f>
        <v>177</v>
      </c>
      <c r="H46" s="74">
        <f t="shared" si="84"/>
        <v>128</v>
      </c>
      <c r="I46" s="74">
        <f t="shared" si="84"/>
        <v>67</v>
      </c>
      <c r="J46" s="74">
        <f t="shared" si="84"/>
        <v>25</v>
      </c>
      <c r="K46" s="74">
        <f t="shared" si="84"/>
        <v>0</v>
      </c>
      <c r="L46" s="74">
        <f t="shared" si="84"/>
        <v>20</v>
      </c>
      <c r="M46" s="64">
        <f t="shared" ref="M46:M47" si="85">IFERROR(F46/G46-1,"n/a")</f>
        <v>4.5197740112994378E-2</v>
      </c>
      <c r="N46" s="64">
        <f t="shared" ref="N46:N47" si="86">IFERROR(F46/H46-1,"n/a")</f>
        <v>0.4453125</v>
      </c>
      <c r="O46" s="64">
        <f t="shared" ref="O46:O47" si="87">IFERROR(F46/I46-1,"n/a")</f>
        <v>1.7611940298507465</v>
      </c>
      <c r="P46" s="64">
        <f t="shared" ref="P46:P47" si="88">IFERROR(F46/J46-1,"n/a")</f>
        <v>6.4</v>
      </c>
      <c r="Q46" s="64" t="str">
        <f t="shared" ref="Q46:Q47" si="89">IFERROR(F46/K46-1,"n/a")</f>
        <v>n/a</v>
      </c>
      <c r="R46" s="60">
        <f t="shared" ref="R46:R47" si="90">IFERROR(F46/L46-1,"n/a")</f>
        <v>8.25</v>
      </c>
      <c r="S46" s="74">
        <f>'Nov-25'!S46+F46</f>
        <v>1340</v>
      </c>
      <c r="T46" s="74">
        <f>'Nov-25'!T46+G46</f>
        <v>1392</v>
      </c>
      <c r="U46" s="74">
        <f>'Nov-25'!U46+H46</f>
        <v>1212</v>
      </c>
      <c r="V46" s="74">
        <f>'Nov-25'!V46+I46</f>
        <v>841</v>
      </c>
      <c r="W46" s="74">
        <f>'Nov-25'!W46+J46</f>
        <v>283</v>
      </c>
      <c r="X46" s="74">
        <f>'Nov-25'!X46+K46</f>
        <v>0</v>
      </c>
      <c r="Y46" s="74">
        <f>'Nov-25'!Y46+L46</f>
        <v>738</v>
      </c>
      <c r="Z46" s="147">
        <f t="shared" ref="Z46:Z47" si="91">IFERROR(S46/T46-1,"n/a")</f>
        <v>-3.7356321839080442E-2</v>
      </c>
      <c r="AA46" s="147">
        <f t="shared" ref="AA46:AA47" si="92">IFERROR(S46/U46-1,"n/a")</f>
        <v>0.10561056105610556</v>
      </c>
      <c r="AB46" s="147">
        <f t="shared" ref="AB46:AB47" si="93">IFERROR(S46/V46-1,"n/a")</f>
        <v>0.5933412604042807</v>
      </c>
      <c r="AC46" s="147">
        <f t="shared" ref="AC46:AC47" si="94">IFERROR(S46/W46-1,"n/a")</f>
        <v>3.7349823321554769</v>
      </c>
      <c r="AD46" s="147" t="str">
        <f t="shared" ref="AD46:AD47" si="95">IFERROR(S46/X46-1,"n/a")</f>
        <v>n/a</v>
      </c>
      <c r="AE46" s="158">
        <f t="shared" ref="AE46:AE47" si="96">IFERROR(S46/Y46-1,"n/a")</f>
        <v>0.81571815718157192</v>
      </c>
      <c r="AF46" s="154">
        <v>1788</v>
      </c>
      <c r="AG46" s="89">
        <v>1471</v>
      </c>
      <c r="AH46" s="89">
        <v>1129</v>
      </c>
      <c r="AI46" s="89">
        <v>336</v>
      </c>
      <c r="AJ46" s="84">
        <v>43</v>
      </c>
      <c r="AK46" s="78">
        <v>781</v>
      </c>
      <c r="AM46" s="122"/>
    </row>
    <row r="47" spans="1:39" s="123" customFormat="1" ht="11.25">
      <c r="A47" s="122"/>
      <c r="B47" s="122"/>
      <c r="C47" s="33"/>
      <c r="D47" s="26" t="s">
        <v>11</v>
      </c>
      <c r="E47" s="32"/>
      <c r="F47" s="74">
        <f>F23</f>
        <v>459583</v>
      </c>
      <c r="G47" s="74">
        <f t="shared" si="84"/>
        <v>483121</v>
      </c>
      <c r="H47" s="74">
        <f t="shared" si="84"/>
        <v>383396</v>
      </c>
      <c r="I47" s="74">
        <f t="shared" si="84"/>
        <v>215490</v>
      </c>
      <c r="J47" s="74">
        <f t="shared" si="84"/>
        <v>39214</v>
      </c>
      <c r="K47" s="74">
        <f t="shared" si="84"/>
        <v>0</v>
      </c>
      <c r="L47" s="74">
        <f t="shared" si="84"/>
        <v>58943</v>
      </c>
      <c r="M47" s="64">
        <f t="shared" si="85"/>
        <v>-4.8720713858433018E-2</v>
      </c>
      <c r="N47" s="64">
        <f t="shared" si="86"/>
        <v>0.19871620987177741</v>
      </c>
      <c r="O47" s="64">
        <f t="shared" si="87"/>
        <v>1.1327346976657848</v>
      </c>
      <c r="P47" s="64">
        <f t="shared" si="88"/>
        <v>10.719870454429541</v>
      </c>
      <c r="Q47" s="64" t="str">
        <f t="shared" si="89"/>
        <v>n/a</v>
      </c>
      <c r="R47" s="60">
        <f t="shared" si="90"/>
        <v>6.7970751403898682</v>
      </c>
      <c r="S47" s="74">
        <f>'Nov-25'!S47+F47-9</f>
        <v>3413119</v>
      </c>
      <c r="T47" s="74">
        <f>'Nov-25'!T47+G47</f>
        <v>4133419</v>
      </c>
      <c r="U47" s="74">
        <f>'Nov-25'!U47+H47</f>
        <v>3621862</v>
      </c>
      <c r="V47" s="74">
        <f>'Nov-25'!V47+I47</f>
        <v>2092770</v>
      </c>
      <c r="W47" s="74">
        <f>'Nov-25'!W47+J47</f>
        <v>465109</v>
      </c>
      <c r="X47" s="74">
        <f>'Nov-25'!X47+K47</f>
        <v>0</v>
      </c>
      <c r="Y47" s="74">
        <f>'Nov-25'!Y47+L47</f>
        <v>2301042</v>
      </c>
      <c r="Z47" s="147">
        <f t="shared" si="91"/>
        <v>-0.17426251730105269</v>
      </c>
      <c r="AA47" s="147">
        <f t="shared" si="92"/>
        <v>-5.7634167176993545E-2</v>
      </c>
      <c r="AB47" s="147">
        <f t="shared" si="93"/>
        <v>0.63090975119100512</v>
      </c>
      <c r="AC47" s="147">
        <f t="shared" si="94"/>
        <v>6.3383206947188722</v>
      </c>
      <c r="AD47" s="147" t="str">
        <f t="shared" si="95"/>
        <v>n/a</v>
      </c>
      <c r="AE47" s="158">
        <f t="shared" si="96"/>
        <v>0.48329278648542706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'Nov-25'!S49+F49</f>
        <v>23</v>
      </c>
      <c r="T49" s="74">
        <f>'Nov-25'!T49+G49</f>
        <v>14</v>
      </c>
      <c r="U49" s="74">
        <f>'Nov-25'!U49+H49</f>
        <v>21</v>
      </c>
      <c r="V49" s="74">
        <f>'Nov-25'!V49+I49</f>
        <v>9</v>
      </c>
      <c r="W49" s="74">
        <f>'Nov-25'!W49+J49</f>
        <v>0</v>
      </c>
      <c r="X49" s="74">
        <f>'Nov-25'!X49+K49</f>
        <v>0</v>
      </c>
      <c r="Y49" s="74">
        <f>'Nov-25'!Y49+L49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'Nov-25'!S50+F50</f>
        <v>72837</v>
      </c>
      <c r="T50" s="74">
        <f>'Nov-25'!T50+G50</f>
        <v>47798</v>
      </c>
      <c r="U50" s="74">
        <f>'Nov-25'!U50+H50</f>
        <v>38626</v>
      </c>
      <c r="V50" s="74">
        <f>'Nov-25'!V50+I50</f>
        <v>15637</v>
      </c>
      <c r="W50" s="74">
        <f>'Nov-25'!W50+J50</f>
        <v>0</v>
      </c>
      <c r="X50" s="74">
        <f>'Nov-25'!X50+K50</f>
        <v>0</v>
      </c>
      <c r="Y50" s="74">
        <f>'Nov-25'!Y50+L50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648</v>
      </c>
      <c r="G51" s="75">
        <f t="shared" si="110"/>
        <v>590</v>
      </c>
      <c r="H51" s="75">
        <f t="shared" si="110"/>
        <v>377</v>
      </c>
      <c r="I51" s="75">
        <f t="shared" si="110"/>
        <v>273</v>
      </c>
      <c r="J51" s="75">
        <f t="shared" si="110"/>
        <v>207</v>
      </c>
      <c r="K51" s="75">
        <f t="shared" si="110"/>
        <v>6</v>
      </c>
      <c r="L51" s="75">
        <f t="shared" si="110"/>
        <v>277</v>
      </c>
      <c r="M51" s="66">
        <f t="shared" si="98"/>
        <v>9.8305084745762716E-2</v>
      </c>
      <c r="N51" s="66">
        <f t="shared" si="99"/>
        <v>0.71883289124668437</v>
      </c>
      <c r="O51" s="66">
        <f t="shared" si="100"/>
        <v>1.3736263736263736</v>
      </c>
      <c r="P51" s="66">
        <f t="shared" si="101"/>
        <v>2.1304347826086958</v>
      </c>
      <c r="Q51" s="66">
        <f t="shared" si="102"/>
        <v>107</v>
      </c>
      <c r="R51" s="66">
        <f t="shared" si="103"/>
        <v>1.3393501805054151</v>
      </c>
      <c r="S51" s="75">
        <f>S37+S40+S43+S46+S49</f>
        <v>5038</v>
      </c>
      <c r="T51" s="75">
        <f>T37+T40+T43+T46+T49</f>
        <v>4653</v>
      </c>
      <c r="U51" s="75">
        <f>U37+U40+U43+U46+U49</f>
        <v>3565</v>
      </c>
      <c r="V51" s="75">
        <f t="shared" ref="U51:Y52" si="111">V37+V40+V43+V46+V49</f>
        <v>2989</v>
      </c>
      <c r="W51" s="75">
        <f t="shared" si="111"/>
        <v>1037</v>
      </c>
      <c r="X51" s="75">
        <f t="shared" si="111"/>
        <v>93</v>
      </c>
      <c r="Y51" s="75">
        <f t="shared" si="111"/>
        <v>2676</v>
      </c>
      <c r="Z51" s="66">
        <f t="shared" si="104"/>
        <v>8.2742316784869985E-2</v>
      </c>
      <c r="AA51" s="66">
        <f>IFERROR(S51/U51-1,"n/a")</f>
        <v>0.41318373071528747</v>
      </c>
      <c r="AB51" s="66">
        <f t="shared" si="106"/>
        <v>0.68551354968216804</v>
      </c>
      <c r="AC51" s="66">
        <f t="shared" si="107"/>
        <v>3.8582449373191903</v>
      </c>
      <c r="AD51" s="66">
        <f t="shared" si="108"/>
        <v>53.172043010752688</v>
      </c>
      <c r="AE51" s="66">
        <f t="shared" si="109"/>
        <v>0.88266068759342309</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1761680</v>
      </c>
      <c r="G52" s="76">
        <f t="shared" si="110"/>
        <v>1573812</v>
      </c>
      <c r="H52" s="76">
        <f t="shared" si="110"/>
        <v>1087969</v>
      </c>
      <c r="I52" s="76">
        <f t="shared" si="110"/>
        <v>762932</v>
      </c>
      <c r="J52" s="76">
        <f t="shared" si="110"/>
        <v>307043</v>
      </c>
      <c r="K52" s="76">
        <f t="shared" si="110"/>
        <v>2141</v>
      </c>
      <c r="L52" s="76">
        <f t="shared" si="110"/>
        <v>632077</v>
      </c>
      <c r="M52" s="67">
        <f t="shared" si="98"/>
        <v>0.11937130991503442</v>
      </c>
      <c r="N52" s="67">
        <f t="shared" si="99"/>
        <v>0.61923731282784722</v>
      </c>
      <c r="O52" s="67">
        <f t="shared" si="100"/>
        <v>1.3090917670251083</v>
      </c>
      <c r="P52" s="67">
        <f t="shared" si="101"/>
        <v>4.73756770224366</v>
      </c>
      <c r="Q52" s="67">
        <f t="shared" si="102"/>
        <v>821.83045305931807</v>
      </c>
      <c r="R52" s="67">
        <f t="shared" si="103"/>
        <v>1.7871287833602554</v>
      </c>
      <c r="S52" s="76">
        <f t="shared" ref="S52:T52" si="113">S38+S41+S44+S47+S50</f>
        <v>13855862</v>
      </c>
      <c r="T52" s="76">
        <f t="shared" si="113"/>
        <v>13433814.4</v>
      </c>
      <c r="U52" s="76">
        <f t="shared" si="111"/>
        <v>10191279</v>
      </c>
      <c r="V52" s="76">
        <f t="shared" si="111"/>
        <v>6758964</v>
      </c>
      <c r="W52" s="76">
        <f t="shared" si="111"/>
        <v>1538283</v>
      </c>
      <c r="X52" s="76">
        <f t="shared" si="111"/>
        <v>37856</v>
      </c>
      <c r="Y52" s="76">
        <f t="shared" si="111"/>
        <v>7338867</v>
      </c>
      <c r="Z52" s="67">
        <f t="shared" si="104"/>
        <v>3.1416810403454676E-2</v>
      </c>
      <c r="AA52" s="67">
        <f>IFERROR(S52/U52-1,"n/a")</f>
        <v>0.35958028428031463</v>
      </c>
      <c r="AB52" s="67">
        <f t="shared" si="106"/>
        <v>1.0499978990863097</v>
      </c>
      <c r="AC52" s="67">
        <f t="shared" si="107"/>
        <v>8.0073556036177997</v>
      </c>
      <c r="AD52" s="67">
        <f t="shared" si="108"/>
        <v>365.01495139475907</v>
      </c>
      <c r="AE52" s="67">
        <f t="shared" si="109"/>
        <v>0.8880110512971553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S51-F51-'Nov-25'!S51</f>
        <v>0</v>
      </c>
      <c r="T53" s="128">
        <f>T51-G51-'Nov-25'!T51</f>
        <v>0</v>
      </c>
      <c r="U53" s="128">
        <f>U51-H51-'Nov-25'!U51</f>
        <v>0</v>
      </c>
      <c r="V53" s="128">
        <f>V51-I51-'Nov-25'!V51</f>
        <v>0</v>
      </c>
      <c r="W53" s="128">
        <f>W51-J51-'Nov-25'!W51</f>
        <v>0</v>
      </c>
      <c r="X53" s="128">
        <f>X51-K51-'Nov-25'!X51</f>
        <v>0</v>
      </c>
      <c r="Y53" s="128">
        <f>Y51-L51-'Nov-25'!Y51</f>
        <v>0</v>
      </c>
      <c r="AM53" s="122"/>
    </row>
    <row r="54" spans="3:39" s="123" customFormat="1" ht="11.25">
      <c r="F54" s="131"/>
      <c r="S54" s="128">
        <f>S52-F52-'Nov-25'!S52+587</f>
        <v>0</v>
      </c>
      <c r="T54" s="128">
        <f>T52-G52-'Nov-25'!T52</f>
        <v>0</v>
      </c>
      <c r="U54" s="128">
        <f>U52-H52-'Nov-25'!U52</f>
        <v>0</v>
      </c>
      <c r="V54" s="128">
        <f>V52-I52-'Nov-25'!V52</f>
        <v>0</v>
      </c>
      <c r="W54" s="128">
        <f>W52-J52-'Nov-25'!W52</f>
        <v>0</v>
      </c>
      <c r="X54" s="128">
        <f>X52-K52-'Nov-25'!X52</f>
        <v>0</v>
      </c>
      <c r="Y54" s="128">
        <f>Y52-L52-'Nov-25'!Y52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F10:R10"/>
    <mergeCell ref="S10:AE10"/>
    <mergeCell ref="F33:R33"/>
    <mergeCell ref="S33:AE33"/>
    <mergeCell ref="AF33:AK33"/>
    <mergeCell ref="AF9:AK9"/>
  </mergeCells>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ED38E-5328-4FA9-90B1-BB1E9E86837D}">
  <dimension ref="A1:AM66"/>
  <sheetViews>
    <sheetView showGridLines="0" zoomScale="85" zoomScaleNormal="85" workbookViewId="0">
      <selection activeCell="L5" sqref="L5"/>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27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November</v>
      </c>
      <c r="G9" s="166"/>
      <c r="H9" s="166"/>
      <c r="I9" s="166"/>
      <c r="J9" s="166"/>
      <c r="K9" s="166"/>
      <c r="L9" s="166"/>
      <c r="M9" s="166"/>
      <c r="N9" s="166"/>
      <c r="O9" s="166"/>
      <c r="P9" s="166"/>
      <c r="Q9" s="166"/>
      <c r="R9" s="167"/>
      <c r="S9" s="168" t="str">
        <f xml:space="preserve"> "January to "&amp; F9</f>
        <v>January to November</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312</v>
      </c>
      <c r="G13" s="71">
        <v>284</v>
      </c>
      <c r="H13" s="73">
        <v>165</v>
      </c>
      <c r="I13" s="73">
        <v>144</v>
      </c>
      <c r="J13" s="73">
        <v>115</v>
      </c>
      <c r="K13" s="73">
        <v>0</v>
      </c>
      <c r="L13" s="73">
        <v>172</v>
      </c>
      <c r="M13" s="64">
        <f>IFERROR(F13/G13-1,"n/a")</f>
        <v>9.8591549295774739E-2</v>
      </c>
      <c r="N13" s="64">
        <f>IFERROR(F13/H13-1,"n/a")</f>
        <v>0.89090909090909087</v>
      </c>
      <c r="O13" s="64">
        <f>IFERROR(F13/I13-1,"n/a")</f>
        <v>1.1666666666666665</v>
      </c>
      <c r="P13" s="64">
        <f>IFERROR(F13/J13-1,"n/a")</f>
        <v>1.7130434782608694</v>
      </c>
      <c r="Q13" s="64" t="str">
        <f>IFERROR(F13/K13-1,"n/a")</f>
        <v>n/a</v>
      </c>
      <c r="R13" s="60">
        <f>IFERROR(F13/L13-1,"n/a")</f>
        <v>0.81395348837209291</v>
      </c>
      <c r="S13" s="68">
        <f>'Oct-25'!S13+F13-1</f>
        <v>2549</v>
      </c>
      <c r="T13" s="68">
        <f>'Oct-25'!T13+G13</f>
        <v>2093</v>
      </c>
      <c r="U13" s="68">
        <f>'Oct-25'!U13+H13</f>
        <v>1401</v>
      </c>
      <c r="V13" s="68">
        <f>'Oct-25'!V13+I13</f>
        <v>1295</v>
      </c>
      <c r="W13" s="68">
        <f>'Oct-25'!W13+J13</f>
        <v>343</v>
      </c>
      <c r="X13" s="68">
        <f>'Oct-25'!X13+K13</f>
        <v>551</v>
      </c>
      <c r="Y13" s="68">
        <f>'Oct-25'!Y13+L13</f>
        <v>1384</v>
      </c>
      <c r="Z13" s="64">
        <f>IFERROR(S13/T13-1,"n/a")</f>
        <v>0.21786908743430478</v>
      </c>
      <c r="AA13" s="64">
        <f>IFERROR(S13/U13-1,"n/a")</f>
        <v>0.81941470378301218</v>
      </c>
      <c r="AB13" s="64">
        <f>IFERROR(S13/V13-1,"n/a")</f>
        <v>0.96833976833976831</v>
      </c>
      <c r="AC13" s="64">
        <f>IFERROR(S13/W13-1,"n/a")</f>
        <v>6.4314868804664727</v>
      </c>
      <c r="AD13" s="64">
        <f>IFERROR(S13/X13-1,"n/a")</f>
        <v>3.626134301270417</v>
      </c>
      <c r="AE13" s="60">
        <f>IFERROR(S13/Y13-1,"n/a")</f>
        <v>0.84176300578034691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921237</v>
      </c>
      <c r="G14" s="71">
        <v>776442</v>
      </c>
      <c r="H14" s="73">
        <v>497550</v>
      </c>
      <c r="I14" s="73">
        <v>410205</v>
      </c>
      <c r="J14" s="73">
        <v>185964</v>
      </c>
      <c r="K14" s="73">
        <v>0</v>
      </c>
      <c r="L14" s="73">
        <v>421184</v>
      </c>
      <c r="M14" s="64">
        <f>IFERROR(F14/G14-1,"n/a")</f>
        <v>0.1864852751396755</v>
      </c>
      <c r="N14" s="64">
        <f>IFERROR(F14/H14-1,"n/a")</f>
        <v>0.85154657823334334</v>
      </c>
      <c r="O14" s="64">
        <f>IFERROR(F14/I14-1,"n/a")</f>
        <v>1.245796613888178</v>
      </c>
      <c r="P14" s="64">
        <f>IFERROR(F14/J14-1,"n/a")</f>
        <v>3.9538459056591595</v>
      </c>
      <c r="Q14" s="64" t="str">
        <f>IFERROR(F14/K14-1,"n/a")</f>
        <v>n/a</v>
      </c>
      <c r="R14" s="60">
        <f>IFERROR(F14/L14-1,"n/a")</f>
        <v>1.1872554512991949</v>
      </c>
      <c r="S14" s="68">
        <f>'Oct-25'!S14+F14-6577-211</f>
        <v>8075561</v>
      </c>
      <c r="T14" s="68">
        <f>'Oct-25'!T14+G14</f>
        <v>6974408</v>
      </c>
      <c r="U14" s="68">
        <f>'Oct-25'!U14+H14</f>
        <v>4566256</v>
      </c>
      <c r="V14" s="68">
        <f>'Oct-25'!V14+I14</f>
        <v>3074094</v>
      </c>
      <c r="W14" s="68">
        <f>'Oct-25'!W14+J14</f>
        <v>509984</v>
      </c>
      <c r="X14" s="68">
        <f>'Oct-25'!X14+K14</f>
        <v>1092884</v>
      </c>
      <c r="Y14" s="68">
        <f>'Oct-25'!Y14+L14</f>
        <v>4064465</v>
      </c>
      <c r="Z14" s="64">
        <f>IFERROR(S14/T14-1,"n/a")</f>
        <v>0.15788479825097701</v>
      </c>
      <c r="AA14" s="64">
        <f>IFERROR(S14/U14-1,"n/a")</f>
        <v>0.76853006051347106</v>
      </c>
      <c r="AB14" s="64">
        <f>IFERROR(S14/V14-1,"n/a")</f>
        <v>1.6269726950444587</v>
      </c>
      <c r="AC14" s="64">
        <f>IFERROR(S14/W14-1,"n/a")</f>
        <v>14.834930115454602</v>
      </c>
      <c r="AD14" s="64">
        <f>IFERROR(S14/X14-1,"n/a")</f>
        <v>6.3892206309178281</v>
      </c>
      <c r="AE14" s="60">
        <f>IFERROR(S14/Y14-1,"n/a")</f>
        <v>0.98686936657100022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64</v>
      </c>
      <c r="G16" s="71">
        <v>59</v>
      </c>
      <c r="H16" s="73">
        <v>49</v>
      </c>
      <c r="I16" s="73">
        <v>27</v>
      </c>
      <c r="J16" s="73">
        <v>28</v>
      </c>
      <c r="K16" s="73">
        <v>10</v>
      </c>
      <c r="L16" s="73">
        <v>29</v>
      </c>
      <c r="M16" s="64">
        <f t="shared" ref="M16:M17" si="0">IFERROR(F16/G16-1,"n/a")</f>
        <v>8.4745762711864403E-2</v>
      </c>
      <c r="N16" s="64">
        <f t="shared" ref="N16:N17" si="1">IFERROR(F16/H16-1,"n/a")</f>
        <v>0.30612244897959173</v>
      </c>
      <c r="O16" s="64">
        <f t="shared" ref="O16:O17" si="2">IFERROR(F16/I16-1,"n/a")</f>
        <v>1.3703703703703702</v>
      </c>
      <c r="P16" s="64">
        <f t="shared" ref="P16:P17" si="3">IFERROR(F16/J16-1,"n/a")</f>
        <v>1.2857142857142856</v>
      </c>
      <c r="Q16" s="64">
        <f t="shared" ref="Q16:Q17" si="4">IFERROR(F16/K16-1,"n/a")</f>
        <v>5.4</v>
      </c>
      <c r="R16" s="60">
        <f t="shared" ref="R16:R17" si="5">IFERROR(F16/L16-1,"n/a")</f>
        <v>1.2068965517241379</v>
      </c>
      <c r="S16" s="68">
        <f>'Oct-25'!S16+F16</f>
        <v>978</v>
      </c>
      <c r="T16" s="68">
        <f>'Oct-25'!T16+G16</f>
        <v>780</v>
      </c>
      <c r="U16" s="68">
        <f>'Oct-25'!U16+H16</f>
        <v>562</v>
      </c>
      <c r="V16" s="68">
        <f>'Oct-25'!V16+I16</f>
        <v>567</v>
      </c>
      <c r="W16" s="68">
        <f>'Oct-25'!W16+J16</f>
        <v>197</v>
      </c>
      <c r="X16" s="68">
        <f>'Oct-25'!X16+K16</f>
        <v>48</v>
      </c>
      <c r="Y16" s="68">
        <f>'Oct-25'!Y16+L16</f>
        <v>546</v>
      </c>
      <c r="Z16" s="64">
        <f t="shared" ref="Z16:Z17" si="6">IFERROR(S16/T16-1,"n/a")</f>
        <v>0.25384615384615383</v>
      </c>
      <c r="AA16" s="64">
        <f t="shared" ref="AA16:AA17" si="7">IFERROR(S16/U16-1,"n/a")</f>
        <v>0.74021352313167266</v>
      </c>
      <c r="AB16" s="64">
        <f t="shared" ref="AB16:AB17" si="8">IFERROR(S16/V16-1,"n/a")</f>
        <v>0.72486772486772488</v>
      </c>
      <c r="AC16" s="64">
        <f t="shared" ref="AC16:AC17" si="9">IFERROR(S16/W16-1,"n/a")</f>
        <v>3.9644670050761421</v>
      </c>
      <c r="AD16" s="64">
        <f t="shared" ref="AD16:AD17" si="10">IFERROR(S16/X16-1,"n/a")</f>
        <v>19.375</v>
      </c>
      <c r="AE16" s="60">
        <f t="shared" ref="AE16:AE17" si="11">IFERROR(S16/Y16-1,"n/a")</f>
        <v>0.79120879120879128</v>
      </c>
      <c r="AF16" s="68">
        <v>797</v>
      </c>
      <c r="AG16" s="68">
        <v>575</v>
      </c>
      <c r="AH16" s="68">
        <v>572</v>
      </c>
      <c r="AI16" s="68">
        <v>202</v>
      </c>
      <c r="AJ16" s="68">
        <v>54</v>
      </c>
      <c r="AK16" s="134">
        <v>586</v>
      </c>
      <c r="AL16" s="122"/>
      <c r="AM16" s="122"/>
    </row>
    <row r="17" spans="1:39" s="123" customFormat="1" ht="12.75">
      <c r="A17" s="122"/>
      <c r="B17" s="127"/>
      <c r="C17" s="33"/>
      <c r="D17" s="26" t="s">
        <v>11</v>
      </c>
      <c r="E17" s="32"/>
      <c r="F17" s="71">
        <v>106049</v>
      </c>
      <c r="G17" s="71">
        <v>100476</v>
      </c>
      <c r="H17" s="73">
        <v>98994</v>
      </c>
      <c r="I17" s="73">
        <v>51003</v>
      </c>
      <c r="J17" s="73">
        <v>29456</v>
      </c>
      <c r="K17" s="73">
        <v>4854</v>
      </c>
      <c r="L17" s="73">
        <v>37844</v>
      </c>
      <c r="M17" s="64">
        <f t="shared" si="0"/>
        <v>5.5465981926032137E-2</v>
      </c>
      <c r="N17" s="64">
        <f t="shared" si="1"/>
        <v>7.1266945471442744E-2</v>
      </c>
      <c r="O17" s="64">
        <f t="shared" si="2"/>
        <v>1.0792698468717528</v>
      </c>
      <c r="P17" s="64">
        <f t="shared" si="3"/>
        <v>2.6002512221618685</v>
      </c>
      <c r="Q17" s="64">
        <f t="shared" si="4"/>
        <v>20.847754429336629</v>
      </c>
      <c r="R17" s="60">
        <f t="shared" si="5"/>
        <v>1.8022672021984989</v>
      </c>
      <c r="S17" s="68">
        <f>'Oct-25'!S17+F17+11</f>
        <v>2368351</v>
      </c>
      <c r="T17" s="68">
        <f>'Oct-25'!T17+G17</f>
        <v>2023574</v>
      </c>
      <c r="U17" s="68">
        <f>'Oct-25'!U17+H17</f>
        <v>1631924</v>
      </c>
      <c r="V17" s="68">
        <f>'Oct-25'!V17+I17</f>
        <v>947540</v>
      </c>
      <c r="W17" s="68">
        <f>'Oct-25'!W17+J17</f>
        <v>288787</v>
      </c>
      <c r="X17" s="68">
        <f>'Oct-25'!X17+K17</f>
        <v>68534</v>
      </c>
      <c r="Y17" s="68">
        <f>'Oct-25'!Y17+L17</f>
        <v>1342797</v>
      </c>
      <c r="Z17" s="64">
        <f t="shared" si="6"/>
        <v>0.17038022824962162</v>
      </c>
      <c r="AA17" s="64">
        <f t="shared" si="7"/>
        <v>0.45126304901453751</v>
      </c>
      <c r="AB17" s="64">
        <f t="shared" si="8"/>
        <v>1.4994733731557508</v>
      </c>
      <c r="AC17" s="64">
        <f t="shared" si="9"/>
        <v>7.20103051730168</v>
      </c>
      <c r="AD17" s="64">
        <f t="shared" si="10"/>
        <v>33.557314617562085</v>
      </c>
      <c r="AE17" s="60">
        <f t="shared" si="11"/>
        <v>0.76374463154147643</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37</v>
      </c>
      <c r="G19" s="71">
        <v>25</v>
      </c>
      <c r="H19" s="73">
        <v>39</v>
      </c>
      <c r="I19" s="73">
        <v>39</v>
      </c>
      <c r="J19" s="73">
        <v>13</v>
      </c>
      <c r="K19" s="73">
        <v>1</v>
      </c>
      <c r="L19" s="73">
        <v>15</v>
      </c>
      <c r="M19" s="64">
        <f t="shared" ref="M19:M20" si="12">IFERROR(F19/G19-1,"n/a")</f>
        <v>0.48</v>
      </c>
      <c r="N19" s="64">
        <f t="shared" ref="N19:N20" si="13">IFERROR(F19/H19-1,"n/a")</f>
        <v>-5.1282051282051322E-2</v>
      </c>
      <c r="O19" s="64">
        <f t="shared" ref="O19:O20" si="14">IFERROR(F19/I19-1,"n/a")</f>
        <v>-5.1282051282051322E-2</v>
      </c>
      <c r="P19" s="64">
        <f t="shared" ref="P19:P20" si="15">IFERROR(F19/J19-1,"n/a")</f>
        <v>1.8461538461538463</v>
      </c>
      <c r="Q19" s="64">
        <f t="shared" ref="Q19:Q20" si="16">IFERROR(F19/K19-1,"n/a")</f>
        <v>36</v>
      </c>
      <c r="R19" s="60">
        <f t="shared" ref="R19:R20" si="17">IFERROR(F19/L19-1,"n/a")</f>
        <v>1.4666666666666668</v>
      </c>
      <c r="S19" s="68">
        <f>'Oct-25'!S19+F19</f>
        <v>854</v>
      </c>
      <c r="T19" s="68">
        <f>'Oct-25'!T19+G19</f>
        <v>727</v>
      </c>
      <c r="U19" s="68">
        <f>'Oct-25'!U19+H19</f>
        <v>700</v>
      </c>
      <c r="V19" s="68">
        <f>'Oct-25'!V19+I19</f>
        <v>649</v>
      </c>
      <c r="W19" s="68">
        <f>'Oct-25'!W19+J19</f>
        <v>44</v>
      </c>
      <c r="X19" s="68">
        <f>'Oct-25'!X19+K19</f>
        <v>10</v>
      </c>
      <c r="Y19" s="68">
        <f>'Oct-25'!Y19+L19</f>
        <v>280</v>
      </c>
      <c r="Z19" s="64">
        <f t="shared" ref="Z19:Z20" si="18">IFERROR(S19/T19-1,"n/a")</f>
        <v>0.17469050894085281</v>
      </c>
      <c r="AA19" s="64">
        <f t="shared" ref="AA19:AA20" si="19">IFERROR(S19/U19-1,"n/a")</f>
        <v>0.21999999999999997</v>
      </c>
      <c r="AB19" s="64">
        <f t="shared" ref="AB19:AB20" si="20">IFERROR(S19/V19-1,"n/a")</f>
        <v>0.31587057010785835</v>
      </c>
      <c r="AC19" s="64">
        <f t="shared" ref="AC19:AC20" si="21">IFERROR(S19/W19-1,"n/a")</f>
        <v>18.40909090909091</v>
      </c>
      <c r="AD19" s="64">
        <f t="shared" ref="AD19:AD20" si="22">IFERROR(S19/X19-1,"n/a")</f>
        <v>84.4</v>
      </c>
      <c r="AE19" s="60">
        <f t="shared" ref="AE19:AE20" si="23">IFERROR(S19/Y19-1,"n/a")</f>
        <v>2.0499999999999998</v>
      </c>
      <c r="AF19" s="68">
        <v>733</v>
      </c>
      <c r="AG19" s="68">
        <v>708</v>
      </c>
      <c r="AH19" s="68">
        <v>658</v>
      </c>
      <c r="AI19" s="68">
        <v>47</v>
      </c>
      <c r="AJ19" s="68">
        <v>9</v>
      </c>
      <c r="AK19" s="134">
        <v>290</v>
      </c>
      <c r="AL19" s="122"/>
      <c r="AM19" s="122"/>
    </row>
    <row r="20" spans="1:39" s="123" customFormat="1" ht="12.75">
      <c r="A20" s="122"/>
      <c r="B20" s="127"/>
      <c r="C20" s="33"/>
      <c r="D20" s="26" t="s">
        <v>11</v>
      </c>
      <c r="E20" s="32"/>
      <c r="F20" s="71">
        <v>43680</v>
      </c>
      <c r="G20" s="71">
        <v>33600</v>
      </c>
      <c r="H20" s="73">
        <v>44881</v>
      </c>
      <c r="I20" s="73">
        <v>43590</v>
      </c>
      <c r="J20" s="73">
        <v>5685</v>
      </c>
      <c r="K20" s="73">
        <v>0</v>
      </c>
      <c r="L20" s="73">
        <v>20135</v>
      </c>
      <c r="M20" s="64">
        <f t="shared" si="12"/>
        <v>0.30000000000000004</v>
      </c>
      <c r="N20" s="64">
        <f t="shared" si="13"/>
        <v>-2.6759653305407638E-2</v>
      </c>
      <c r="O20" s="64">
        <f t="shared" si="14"/>
        <v>2.0646937370956131E-3</v>
      </c>
      <c r="P20" s="64">
        <f t="shared" si="15"/>
        <v>6.683377308707124</v>
      </c>
      <c r="Q20" s="64" t="str">
        <f t="shared" si="16"/>
        <v>n/a</v>
      </c>
      <c r="R20" s="60">
        <f t="shared" si="17"/>
        <v>1.1693568413210826</v>
      </c>
      <c r="S20" s="68">
        <f>'Oct-25'!S20+F20-5</f>
        <v>1719111</v>
      </c>
      <c r="T20" s="68">
        <f>'Oct-25'!T20+G20</f>
        <v>1488063.4</v>
      </c>
      <c r="U20" s="68">
        <f>'Oct-25'!U20+H20</f>
        <v>1270123</v>
      </c>
      <c r="V20" s="68">
        <f>'Oct-25'!V20+I20</f>
        <v>880732</v>
      </c>
      <c r="W20" s="68">
        <f>'Oct-25'!W20+J20</f>
        <v>16677</v>
      </c>
      <c r="X20" s="68">
        <f>'Oct-25'!X20+K20</f>
        <v>10047</v>
      </c>
      <c r="Y20" s="68">
        <f>'Oct-25'!Y20+L20</f>
        <v>575143</v>
      </c>
      <c r="Z20" s="64">
        <f t="shared" si="18"/>
        <v>0.15526730917513332</v>
      </c>
      <c r="AA20" s="64">
        <f t="shared" si="19"/>
        <v>0.35349962169018267</v>
      </c>
      <c r="AB20" s="64">
        <f t="shared" si="20"/>
        <v>0.9519115917214318</v>
      </c>
      <c r="AC20" s="64">
        <f t="shared" si="21"/>
        <v>102.0827486958086</v>
      </c>
      <c r="AD20" s="64">
        <f t="shared" si="22"/>
        <v>170.10689758136758</v>
      </c>
      <c r="AE20" s="60">
        <f t="shared" si="23"/>
        <v>1.9890149058581952</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256</v>
      </c>
      <c r="G22" s="71">
        <v>287</v>
      </c>
      <c r="H22" s="73">
        <v>210</v>
      </c>
      <c r="I22" s="73">
        <v>130</v>
      </c>
      <c r="J22" s="73">
        <v>67</v>
      </c>
      <c r="K22" s="73">
        <v>0</v>
      </c>
      <c r="L22" s="73">
        <v>95</v>
      </c>
      <c r="M22" s="64">
        <f t="shared" ref="M22:M23" si="24">IFERROR(F22/G22-1,"n/a")</f>
        <v>-0.10801393728222997</v>
      </c>
      <c r="N22" s="64">
        <f t="shared" ref="N22:N23" si="25">IFERROR(F22/H22-1,"n/a")</f>
        <v>0.21904761904761916</v>
      </c>
      <c r="O22" s="64">
        <f t="shared" ref="O22:O23" si="26">IFERROR(F22/I22-1,"n/a")</f>
        <v>0.96923076923076934</v>
      </c>
      <c r="P22" s="64">
        <f t="shared" ref="P22:P23" si="27">IFERROR(F22/J22-1,"n/a")</f>
        <v>2.8208955223880596</v>
      </c>
      <c r="Q22" s="64" t="str">
        <f t="shared" ref="Q22:Q23" si="28">IFERROR(F22/K22-1,"n/a")</f>
        <v>n/a</v>
      </c>
      <c r="R22" s="60">
        <f t="shared" ref="R22:R23" si="29">IFERROR(F22/L22-1,"n/a")</f>
        <v>1.6947368421052631</v>
      </c>
      <c r="S22" s="68">
        <f>'Oct-25'!S22+F22</f>
        <v>1551</v>
      </c>
      <c r="T22" s="68">
        <f>'Oct-25'!T22+G22</f>
        <v>1474</v>
      </c>
      <c r="U22" s="68">
        <f>'Oct-25'!U22+H22</f>
        <v>1371</v>
      </c>
      <c r="V22" s="68">
        <f>'Oct-25'!V22+I22</f>
        <v>827</v>
      </c>
      <c r="W22" s="68">
        <f>'Oct-25'!W22+J22</f>
        <v>258</v>
      </c>
      <c r="X22" s="68">
        <f>'Oct-25'!X22+K22</f>
        <v>43</v>
      </c>
      <c r="Y22" s="68">
        <f>'Oct-25'!Y22+L22</f>
        <v>807</v>
      </c>
      <c r="Z22" s="64">
        <f t="shared" ref="Z22:Z23" si="30">IFERROR(S22/T22-1,"n/a")</f>
        <v>5.2238805970149294E-2</v>
      </c>
      <c r="AA22" s="64">
        <f t="shared" ref="AA22:AA23" si="31">IFERROR(S22/U22-1,"n/a")</f>
        <v>0.13129102844638951</v>
      </c>
      <c r="AB22" s="64">
        <f t="shared" ref="AB22:AB23" si="32">IFERROR(S22/V22-1,"n/a")</f>
        <v>0.87545344619105192</v>
      </c>
      <c r="AC22" s="64">
        <f t="shared" ref="AC22:AC23" si="33">IFERROR(S22/W22-1,"n/a")</f>
        <v>5.0116279069767442</v>
      </c>
      <c r="AD22" s="64">
        <f t="shared" ref="AD22:AD23" si="34">IFERROR(S22/X22-1,"n/a")</f>
        <v>35.069767441860463</v>
      </c>
      <c r="AE22" s="60">
        <f t="shared" ref="AE22:AE23" si="35">IFERROR(S22/Y22-1,"n/a")</f>
        <v>0.92193308550185882</v>
      </c>
      <c r="AF22" s="68">
        <v>1651</v>
      </c>
      <c r="AG22" s="68">
        <v>1500</v>
      </c>
      <c r="AH22" s="68">
        <v>895</v>
      </c>
      <c r="AI22" s="68">
        <v>283</v>
      </c>
      <c r="AJ22" s="68">
        <v>43</v>
      </c>
      <c r="AK22" s="134">
        <v>827</v>
      </c>
      <c r="AL22" s="122"/>
      <c r="AM22" s="122"/>
    </row>
    <row r="23" spans="1:39" s="123" customFormat="1" ht="12.75">
      <c r="A23" s="122"/>
      <c r="B23" s="127"/>
      <c r="C23" s="33"/>
      <c r="D23" s="26" t="s">
        <v>11</v>
      </c>
      <c r="E23" s="32"/>
      <c r="F23" s="71">
        <v>525436</v>
      </c>
      <c r="G23" s="71">
        <v>699889</v>
      </c>
      <c r="H23" s="73">
        <v>507202</v>
      </c>
      <c r="I23" s="73">
        <v>274849</v>
      </c>
      <c r="J23" s="73">
        <v>83507</v>
      </c>
      <c r="K23" s="73">
        <v>0</v>
      </c>
      <c r="L23" s="73">
        <v>263747</v>
      </c>
      <c r="M23" s="64">
        <f t="shared" si="24"/>
        <v>-0.24925809664103882</v>
      </c>
      <c r="N23" s="64">
        <f t="shared" si="25"/>
        <v>3.5950173698053201E-2</v>
      </c>
      <c r="O23" s="64">
        <f t="shared" si="26"/>
        <v>0.91172607504484282</v>
      </c>
      <c r="P23" s="64">
        <f t="shared" si="27"/>
        <v>5.2921192235381467</v>
      </c>
      <c r="Q23" s="64" t="str">
        <f t="shared" si="28"/>
        <v>n/a</v>
      </c>
      <c r="R23" s="60">
        <f t="shared" si="29"/>
        <v>0.99219706764437121</v>
      </c>
      <c r="S23" s="68">
        <f>'Oct-25'!S23+F23-1676</f>
        <v>4066609</v>
      </c>
      <c r="T23" s="68">
        <f>'Oct-25'!T23+G23</f>
        <v>4563353</v>
      </c>
      <c r="U23" s="68">
        <f>'Oct-25'!U23+H23</f>
        <v>4074740</v>
      </c>
      <c r="V23" s="68">
        <f>'Oct-25'!V23+I23</f>
        <v>1945734</v>
      </c>
      <c r="W23" s="68">
        <f>'Oct-25'!W23+J23</f>
        <v>425895</v>
      </c>
      <c r="X23" s="68">
        <f>'Oct-25'!X23+K23</f>
        <v>140552</v>
      </c>
      <c r="Y23" s="68">
        <f>'Oct-25'!Y23+L23</f>
        <v>2493999</v>
      </c>
      <c r="Z23" s="64">
        <f t="shared" si="30"/>
        <v>-0.1088550458401969</v>
      </c>
      <c r="AA23" s="64">
        <f t="shared" si="31"/>
        <v>-1.9954647413086279E-3</v>
      </c>
      <c r="AB23" s="64">
        <f t="shared" si="32"/>
        <v>1.0900128177849595</v>
      </c>
      <c r="AC23" s="64">
        <f t="shared" si="33"/>
        <v>8.5483839913593727</v>
      </c>
      <c r="AD23" s="64">
        <f t="shared" si="34"/>
        <v>27.933127952643861</v>
      </c>
      <c r="AE23" s="60">
        <f t="shared" si="35"/>
        <v>0.63055759044009241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'Oct-25'!S25+F25</f>
        <v>23</v>
      </c>
      <c r="T25" s="68">
        <f>'Oct-25'!T25+G25</f>
        <v>14</v>
      </c>
      <c r="U25" s="68">
        <f>'Oct-25'!U25+H25</f>
        <v>21</v>
      </c>
      <c r="V25" s="68">
        <f>'Oct-25'!V25+I25</f>
        <v>9</v>
      </c>
      <c r="W25" s="68">
        <f>'Oct-25'!W25+J25</f>
        <v>0</v>
      </c>
      <c r="X25" s="68">
        <f>'Oct-25'!X25+K25</f>
        <v>0</v>
      </c>
      <c r="Y25" s="68">
        <f>'Oct-25'!Y25+L25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'Oct-25'!S26+F26</f>
        <v>72837</v>
      </c>
      <c r="T26" s="68">
        <f>'Oct-25'!T26+G26</f>
        <v>47798</v>
      </c>
      <c r="U26" s="68">
        <f>'Oct-25'!U26+H26</f>
        <v>38626</v>
      </c>
      <c r="V26" s="68">
        <f>'Oct-25'!V26+I26</f>
        <v>15637</v>
      </c>
      <c r="W26" s="68">
        <f>'Oct-25'!W26+J26</f>
        <v>0</v>
      </c>
      <c r="X26" s="68">
        <f>'Oct-25'!X26+K26</f>
        <v>0</v>
      </c>
      <c r="Y26" s="68">
        <f>'Oct-25'!Y26+L26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669</v>
      </c>
      <c r="G27" s="75">
        <f t="shared" si="48"/>
        <v>655</v>
      </c>
      <c r="H27" s="75">
        <f t="shared" si="48"/>
        <v>463</v>
      </c>
      <c r="I27" s="75">
        <f t="shared" si="48"/>
        <v>340</v>
      </c>
      <c r="J27" s="75">
        <f t="shared" si="48"/>
        <v>223</v>
      </c>
      <c r="K27" s="75">
        <f t="shared" si="48"/>
        <v>11</v>
      </c>
      <c r="L27" s="75">
        <f t="shared" si="48"/>
        <v>311</v>
      </c>
      <c r="M27" s="66">
        <f t="shared" si="36"/>
        <v>2.1374045801526798E-2</v>
      </c>
      <c r="N27" s="66">
        <f t="shared" si="37"/>
        <v>0.44492440604751615</v>
      </c>
      <c r="O27" s="66">
        <f t="shared" si="38"/>
        <v>0.9676470588235293</v>
      </c>
      <c r="P27" s="66">
        <f t="shared" si="39"/>
        <v>2</v>
      </c>
      <c r="Q27" s="66">
        <f t="shared" si="40"/>
        <v>59.81818181818182</v>
      </c>
      <c r="R27" s="62">
        <f t="shared" si="41"/>
        <v>1.1511254019292605</v>
      </c>
      <c r="S27" s="75">
        <f t="shared" ref="S27:Y28" si="49">S13+S16+S19+S22+S25</f>
        <v>5955</v>
      </c>
      <c r="T27" s="75">
        <f t="shared" si="49"/>
        <v>5088</v>
      </c>
      <c r="U27" s="75">
        <f t="shared" si="49"/>
        <v>4055</v>
      </c>
      <c r="V27" s="75">
        <f t="shared" si="49"/>
        <v>3347</v>
      </c>
      <c r="W27" s="75">
        <f t="shared" si="49"/>
        <v>842</v>
      </c>
      <c r="X27" s="75">
        <f t="shared" si="49"/>
        <v>652</v>
      </c>
      <c r="Y27" s="75">
        <f t="shared" si="49"/>
        <v>3033</v>
      </c>
      <c r="Z27" s="66">
        <f t="shared" si="42"/>
        <v>0.17040094339622636</v>
      </c>
      <c r="AA27" s="66">
        <f t="shared" si="43"/>
        <v>0.46855733662145505</v>
      </c>
      <c r="AB27" s="66">
        <f t="shared" si="44"/>
        <v>0.77920525844039434</v>
      </c>
      <c r="AC27" s="66">
        <f t="shared" si="45"/>
        <v>6.0724465558194778</v>
      </c>
      <c r="AD27" s="66">
        <f t="shared" si="46"/>
        <v>8.1334355828220861</v>
      </c>
      <c r="AE27" s="62">
        <f t="shared" si="47"/>
        <v>0.96340257171117716</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1596402</v>
      </c>
      <c r="G28" s="76">
        <f t="shared" si="48"/>
        <v>1610407</v>
      </c>
      <c r="H28" s="76">
        <f t="shared" si="48"/>
        <v>1148627</v>
      </c>
      <c r="I28" s="76">
        <f t="shared" si="48"/>
        <v>779647</v>
      </c>
      <c r="J28" s="76">
        <f t="shared" si="48"/>
        <v>304612</v>
      </c>
      <c r="K28" s="76">
        <f t="shared" si="48"/>
        <v>4854</v>
      </c>
      <c r="L28" s="76">
        <f t="shared" si="48"/>
        <v>742910</v>
      </c>
      <c r="M28" s="67">
        <f t="shared" si="36"/>
        <v>-8.6965593169925359E-3</v>
      </c>
      <c r="N28" s="67">
        <f t="shared" si="37"/>
        <v>0.38983499430189261</v>
      </c>
      <c r="O28" s="67">
        <f t="shared" si="38"/>
        <v>1.0475958991697523</v>
      </c>
      <c r="P28" s="67">
        <f t="shared" si="39"/>
        <v>4.2407718671621604</v>
      </c>
      <c r="Q28" s="67">
        <f t="shared" si="40"/>
        <v>327.88380716934489</v>
      </c>
      <c r="R28" s="63">
        <f t="shared" si="41"/>
        <v>1.1488497933800863</v>
      </c>
      <c r="S28" s="76">
        <f t="shared" si="49"/>
        <v>16302469</v>
      </c>
      <c r="T28" s="76">
        <f t="shared" si="49"/>
        <v>15097196.4</v>
      </c>
      <c r="U28" s="76">
        <f t="shared" si="49"/>
        <v>11581669</v>
      </c>
      <c r="V28" s="76">
        <f t="shared" si="49"/>
        <v>6863737</v>
      </c>
      <c r="W28" s="76">
        <f t="shared" si="49"/>
        <v>1241343</v>
      </c>
      <c r="X28" s="76">
        <f t="shared" si="49"/>
        <v>1312017</v>
      </c>
      <c r="Y28" s="76">
        <f t="shared" si="49"/>
        <v>8496652</v>
      </c>
      <c r="Z28" s="67">
        <f t="shared" si="42"/>
        <v>7.9834200209516926E-2</v>
      </c>
      <c r="AA28" s="67">
        <f t="shared" si="43"/>
        <v>0.40760964589818616</v>
      </c>
      <c r="AB28" s="67">
        <f t="shared" si="44"/>
        <v>1.3751593337565238</v>
      </c>
      <c r="AC28" s="67">
        <f t="shared" si="45"/>
        <v>12.132928610384075</v>
      </c>
      <c r="AD28" s="67">
        <f t="shared" si="46"/>
        <v>11.425501346400237</v>
      </c>
      <c r="AE28" s="63">
        <f t="shared" si="47"/>
        <v>0.91869326883106428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S27-F27-'Oct-25'!S27+1</f>
        <v>0</v>
      </c>
      <c r="T29" s="128">
        <f>T27-G27-'Oct-25'!T27</f>
        <v>0</v>
      </c>
      <c r="U29" s="128">
        <f>U27-H27-'Oct-25'!U27</f>
        <v>0</v>
      </c>
      <c r="V29" s="128">
        <f>V27-I27-'Oct-25'!V27</f>
        <v>0</v>
      </c>
      <c r="W29" s="128">
        <f>W27-J27-'Oct-25'!W27</f>
        <v>0</v>
      </c>
      <c r="X29" s="128">
        <f>X27-K27-'Oct-25'!X27</f>
        <v>0</v>
      </c>
      <c r="Y29" s="128">
        <f>Y27-L27-'Oct-25'!Y27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S28-F28-'Oct-25'!S28+8458</f>
        <v>0</v>
      </c>
      <c r="T30" s="128">
        <f>T28-G28-'Oct-25'!T28</f>
        <v>0</v>
      </c>
      <c r="U30" s="128">
        <f>U28-H28-'Oct-25'!U28</f>
        <v>0</v>
      </c>
      <c r="V30" s="128">
        <f>V28-I28-'Oct-25'!V28</f>
        <v>0</v>
      </c>
      <c r="W30" s="128">
        <f>W28-J28-'Oct-25'!W28</f>
        <v>0</v>
      </c>
      <c r="X30" s="128">
        <f>X28-K28-'Oct-25'!X28</f>
        <v>0</v>
      </c>
      <c r="Y30" s="128">
        <f>Y28-L28-'Oct-25'!Y28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November</v>
      </c>
      <c r="G33" s="169"/>
      <c r="H33" s="169"/>
      <c r="I33" s="169"/>
      <c r="J33" s="169"/>
      <c r="K33" s="169"/>
      <c r="L33" s="169"/>
      <c r="M33" s="169"/>
      <c r="N33" s="169"/>
      <c r="O33" s="169"/>
      <c r="P33" s="169"/>
      <c r="Q33" s="169"/>
      <c r="R33" s="170"/>
      <c r="S33" s="171" t="str">
        <f>"April to "&amp;D4&amp;" (YTD)"</f>
        <v>April to November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312</v>
      </c>
      <c r="G37" s="74">
        <f t="shared" ref="G37:L38" si="51">G13</f>
        <v>284</v>
      </c>
      <c r="H37" s="74">
        <f t="shared" si="51"/>
        <v>165</v>
      </c>
      <c r="I37" s="74">
        <f t="shared" si="51"/>
        <v>144</v>
      </c>
      <c r="J37" s="74">
        <f t="shared" si="51"/>
        <v>115</v>
      </c>
      <c r="K37" s="74">
        <f t="shared" si="51"/>
        <v>0</v>
      </c>
      <c r="L37" s="74">
        <f t="shared" si="51"/>
        <v>172</v>
      </c>
      <c r="M37" s="64">
        <f t="shared" ref="M37:M38" si="52">IFERROR(F37/G37-1,"n/a")</f>
        <v>9.8591549295774739E-2</v>
      </c>
      <c r="N37" s="64">
        <f t="shared" ref="N37:N38" si="53">IFERROR(F37/H37-1,"n/a")</f>
        <v>0.89090909090909087</v>
      </c>
      <c r="O37" s="64">
        <f t="shared" ref="O37:O38" si="54">IFERROR(F37/I37-1,"n/a")</f>
        <v>1.1666666666666665</v>
      </c>
      <c r="P37" s="64">
        <f t="shared" ref="P37:P38" si="55">IFERROR(F37/J37-1,"n/a")</f>
        <v>1.7130434782608694</v>
      </c>
      <c r="Q37" s="64" t="str">
        <f t="shared" ref="Q37:Q38" si="56">IFERROR(F37/K37-1,"n/a")</f>
        <v>n/a</v>
      </c>
      <c r="R37" s="60">
        <f t="shared" ref="R37:R38" si="57">IFERROR(F37/L37-1,"n/a")</f>
        <v>0.81395348837209291</v>
      </c>
      <c r="S37" s="74">
        <f>'Oct-25'!S37+F37-1</f>
        <v>1458</v>
      </c>
      <c r="T37" s="74">
        <f>'Oct-25'!T37+G37</f>
        <v>1391</v>
      </c>
      <c r="U37" s="74">
        <f>'Oct-25'!U37+H37</f>
        <v>871</v>
      </c>
      <c r="V37" s="74">
        <f>'Oct-25'!V37+I37</f>
        <v>765</v>
      </c>
      <c r="W37" s="74">
        <f>'Oct-25'!W37+J37</f>
        <v>343</v>
      </c>
      <c r="X37" s="74">
        <f>'Oct-25'!X37+K37</f>
        <v>42</v>
      </c>
      <c r="Y37" s="74">
        <f>'Oct-25'!Y37+L37</f>
        <v>868</v>
      </c>
      <c r="Z37" s="147">
        <f>IFERROR(S37/T37-1,"n/a")</f>
        <v>4.8166786484543422E-2</v>
      </c>
      <c r="AA37" s="147">
        <f>IFERROR(S37/U37-1,"n/a")</f>
        <v>0.67393800229621115</v>
      </c>
      <c r="AB37" s="147">
        <f>IFERROR(S37/V37-1,"n/a")</f>
        <v>0.90588235294117636</v>
      </c>
      <c r="AC37" s="147">
        <f>IFERROR(S37/W37-1,"n/a")</f>
        <v>3.2507288629737605</v>
      </c>
      <c r="AD37" s="147">
        <f>IFERROR(S37/X37-1,"n/a")</f>
        <v>33.714285714285715</v>
      </c>
      <c r="AE37" s="158">
        <f>IFERROR(S37/Y37-1,"n/a")</f>
        <v>0.67972350230414746</v>
      </c>
      <c r="AF37" s="154">
        <v>2874</v>
      </c>
      <c r="AG37" s="89">
        <v>1802</v>
      </c>
      <c r="AH37" s="89">
        <v>1486</v>
      </c>
      <c r="AI37" s="89">
        <v>1052</v>
      </c>
      <c r="AJ37" s="70">
        <v>551</v>
      </c>
      <c r="AK37" s="78">
        <v>1584</v>
      </c>
      <c r="AM37" s="122"/>
    </row>
    <row r="38" spans="1:39" s="123" customFormat="1" ht="11.25">
      <c r="A38" s="122"/>
      <c r="B38" s="122"/>
      <c r="C38" s="33"/>
      <c r="D38" s="26" t="s">
        <v>11</v>
      </c>
      <c r="E38" s="32"/>
      <c r="F38" s="74">
        <f>F14</f>
        <v>921237</v>
      </c>
      <c r="G38" s="74">
        <f t="shared" si="51"/>
        <v>776442</v>
      </c>
      <c r="H38" s="74">
        <f t="shared" si="51"/>
        <v>497550</v>
      </c>
      <c r="I38" s="74">
        <f t="shared" si="51"/>
        <v>410205</v>
      </c>
      <c r="J38" s="74">
        <f t="shared" si="51"/>
        <v>185964</v>
      </c>
      <c r="K38" s="74">
        <f t="shared" si="51"/>
        <v>0</v>
      </c>
      <c r="L38" s="74">
        <f t="shared" si="51"/>
        <v>421184</v>
      </c>
      <c r="M38" s="64">
        <f t="shared" si="52"/>
        <v>0.1864852751396755</v>
      </c>
      <c r="N38" s="64">
        <f t="shared" si="53"/>
        <v>0.85154657823334334</v>
      </c>
      <c r="O38" s="64">
        <f t="shared" si="54"/>
        <v>1.245796613888178</v>
      </c>
      <c r="P38" s="64">
        <f t="shared" si="55"/>
        <v>3.9538459056591595</v>
      </c>
      <c r="Q38" s="64" t="str">
        <f t="shared" si="56"/>
        <v>n/a</v>
      </c>
      <c r="R38" s="60">
        <f t="shared" si="57"/>
        <v>1.1872554512991949</v>
      </c>
      <c r="S38" s="74">
        <f>'Oct-25'!S38+F38-6788</f>
        <v>5153414</v>
      </c>
      <c r="T38" s="74">
        <f>'Oct-25'!T38+G38</f>
        <v>4820584</v>
      </c>
      <c r="U38" s="74">
        <f>'Oct-25'!U38+H38</f>
        <v>3028072</v>
      </c>
      <c r="V38" s="74">
        <f>'Oct-25'!V38+I38</f>
        <v>2314436</v>
      </c>
      <c r="W38" s="74">
        <f>'Oct-25'!W38+J38</f>
        <v>509984</v>
      </c>
      <c r="X38" s="74">
        <f>'Oct-25'!X38+K38</f>
        <v>0</v>
      </c>
      <c r="Y38" s="74">
        <f>'Oct-25'!Y38+L38</f>
        <v>2613361</v>
      </c>
      <c r="Z38" s="147">
        <f>IFERROR(S38/T38-1,"n/a")</f>
        <v>6.9043501783186523E-2</v>
      </c>
      <c r="AA38" s="147">
        <f>IFERROR(S38/U38-1,"n/a")</f>
        <v>0.70187961184542513</v>
      </c>
      <c r="AB38" s="147">
        <f>IFERROR(S38/V38-1,"n/a")</f>
        <v>1.2266392330572113</v>
      </c>
      <c r="AC38" s="147">
        <f>IFERROR(S38/W38-1,"n/a")</f>
        <v>9.1050503545209267</v>
      </c>
      <c r="AD38" s="147" t="str">
        <f>IFERROR(S38/X38-1,"n/a")</f>
        <v>n/a</v>
      </c>
      <c r="AE38" s="158">
        <f>IFERROR(S38/Y38-1,"n/a")</f>
        <v>0.9719487663587234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64</v>
      </c>
      <c r="G40" s="74">
        <f t="shared" si="58"/>
        <v>59</v>
      </c>
      <c r="H40" s="74">
        <f t="shared" si="58"/>
        <v>49</v>
      </c>
      <c r="I40" s="74">
        <f t="shared" si="58"/>
        <v>27</v>
      </c>
      <c r="J40" s="74">
        <f t="shared" si="58"/>
        <v>28</v>
      </c>
      <c r="K40" s="74">
        <f t="shared" si="58"/>
        <v>10</v>
      </c>
      <c r="L40" s="74">
        <f t="shared" si="58"/>
        <v>29</v>
      </c>
      <c r="M40" s="64">
        <f t="shared" ref="M40:M41" si="59">IFERROR(F40/G40-1,"n/a")</f>
        <v>8.4745762711864403E-2</v>
      </c>
      <c r="N40" s="64">
        <f t="shared" ref="N40:N41" si="60">IFERROR(F40/H40-1,"n/a")</f>
        <v>0.30612244897959173</v>
      </c>
      <c r="O40" s="64">
        <f t="shared" ref="O40:O41" si="61">IFERROR(F40/I40-1,"n/a")</f>
        <v>1.3703703703703702</v>
      </c>
      <c r="P40" s="64">
        <f t="shared" ref="P40:P41" si="62">IFERROR(F40/J40-1,"n/a")</f>
        <v>1.2857142857142856</v>
      </c>
      <c r="Q40" s="64">
        <f t="shared" ref="Q40:Q41" si="63">IFERROR(F40/K40-1,"n/a")</f>
        <v>5.4</v>
      </c>
      <c r="R40" s="60">
        <f t="shared" ref="R40:R41" si="64">IFERROR(F40/L40-1,"n/a")</f>
        <v>1.2068965517241379</v>
      </c>
      <c r="S40" s="74">
        <f>'Oct-25'!S40+F40</f>
        <v>922</v>
      </c>
      <c r="T40" s="74">
        <f>'Oct-25'!T40+G40</f>
        <v>743</v>
      </c>
      <c r="U40" s="74">
        <f>'Oct-25'!U40+H40</f>
        <v>535</v>
      </c>
      <c r="V40" s="74">
        <f>'Oct-25'!V40+I40</f>
        <v>531</v>
      </c>
      <c r="W40" s="74">
        <f>'Oct-25'!W40+J40</f>
        <v>185</v>
      </c>
      <c r="X40" s="74">
        <f>'Oct-25'!X40+K40</f>
        <v>38</v>
      </c>
      <c r="Y40" s="74">
        <f>'Oct-25'!Y40+L40</f>
        <v>523</v>
      </c>
      <c r="Z40" s="147">
        <f t="shared" ref="Z40:Z41" si="65">IFERROR(S40/T40-1,"n/a")</f>
        <v>0.24091520861372806</v>
      </c>
      <c r="AA40" s="147">
        <f t="shared" ref="AA40:AA41" si="66">IFERROR(S40/U40-1,"n/a")</f>
        <v>0.72336448598130842</v>
      </c>
      <c r="AB40" s="147">
        <f t="shared" ref="AB40:AB41" si="67">IFERROR(S40/V40-1,"n/a")</f>
        <v>0.73634651600753287</v>
      </c>
      <c r="AC40" s="147">
        <f t="shared" ref="AC40:AC41" si="68">IFERROR(S40/W40-1,"n/a")</f>
        <v>3.9837837837837835</v>
      </c>
      <c r="AD40" s="147">
        <f t="shared" ref="AD40:AD41" si="69">IFERROR(S40/X40-1,"n/a")</f>
        <v>23.263157894736842</v>
      </c>
      <c r="AE40" s="158">
        <f t="shared" ref="AE40:AE41" si="70">IFERROR(S40/Y40-1,"n/a")</f>
        <v>0.76290630975143414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106049</v>
      </c>
      <c r="G41" s="74">
        <f t="shared" si="58"/>
        <v>100476</v>
      </c>
      <c r="H41" s="74">
        <f t="shared" si="58"/>
        <v>98994</v>
      </c>
      <c r="I41" s="74">
        <f t="shared" si="58"/>
        <v>51003</v>
      </c>
      <c r="J41" s="74">
        <f t="shared" si="58"/>
        <v>29456</v>
      </c>
      <c r="K41" s="74">
        <f t="shared" si="58"/>
        <v>4854</v>
      </c>
      <c r="L41" s="74">
        <f t="shared" si="58"/>
        <v>37844</v>
      </c>
      <c r="M41" s="64">
        <f t="shared" si="59"/>
        <v>5.5465981926032137E-2</v>
      </c>
      <c r="N41" s="64">
        <f t="shared" si="60"/>
        <v>7.1266945471442744E-2</v>
      </c>
      <c r="O41" s="64">
        <f t="shared" si="61"/>
        <v>1.0792698468717528</v>
      </c>
      <c r="P41" s="64">
        <f t="shared" si="62"/>
        <v>2.6002512221618685</v>
      </c>
      <c r="Q41" s="64">
        <f t="shared" si="63"/>
        <v>20.847754429336629</v>
      </c>
      <c r="R41" s="60">
        <f t="shared" si="64"/>
        <v>1.8022672021984989</v>
      </c>
      <c r="S41" s="74">
        <f>'Oct-25'!S41+F41+11</f>
        <v>2224122</v>
      </c>
      <c r="T41" s="74">
        <f>'Oct-25'!T41+G41</f>
        <v>1893000</v>
      </c>
      <c r="U41" s="74">
        <f>'Oct-25'!U41+H41</f>
        <v>1548869</v>
      </c>
      <c r="V41" s="74">
        <f>'Oct-25'!V41+I41</f>
        <v>911032</v>
      </c>
      <c r="W41" s="74">
        <f>'Oct-25'!W41+J41</f>
        <v>278684</v>
      </c>
      <c r="X41" s="74">
        <f>'Oct-25'!X41+K41</f>
        <v>27421</v>
      </c>
      <c r="Y41" s="74">
        <f>'Oct-25'!Y41+L41</f>
        <v>1262423</v>
      </c>
      <c r="Z41" s="147">
        <f t="shared" si="65"/>
        <v>0.17491917591125206</v>
      </c>
      <c r="AA41" s="147">
        <f t="shared" si="66"/>
        <v>0.43596521074409789</v>
      </c>
      <c r="AB41" s="147">
        <f t="shared" si="67"/>
        <v>1.4413214903537965</v>
      </c>
      <c r="AC41" s="147">
        <f t="shared" si="68"/>
        <v>6.9808026295015146</v>
      </c>
      <c r="AD41" s="147">
        <f t="shared" si="69"/>
        <v>80.110171036796615</v>
      </c>
      <c r="AE41" s="158">
        <f t="shared" si="70"/>
        <v>0.76178824371862675</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37</v>
      </c>
      <c r="G43" s="74">
        <f t="shared" ref="G43:L44" si="71">G19</f>
        <v>25</v>
      </c>
      <c r="H43" s="74">
        <f t="shared" si="71"/>
        <v>39</v>
      </c>
      <c r="I43" s="74">
        <f t="shared" si="71"/>
        <v>39</v>
      </c>
      <c r="J43" s="74">
        <f t="shared" si="71"/>
        <v>13</v>
      </c>
      <c r="K43" s="74">
        <f t="shared" si="71"/>
        <v>1</v>
      </c>
      <c r="L43" s="74">
        <f t="shared" si="71"/>
        <v>15</v>
      </c>
      <c r="M43" s="64">
        <f t="shared" ref="M43:M44" si="72">IFERROR(F43/G43-1,"n/a")</f>
        <v>0.48</v>
      </c>
      <c r="N43" s="64">
        <f t="shared" ref="N43:N44" si="73">IFERROR(F43/H43-1,"n/a")</f>
        <v>-5.1282051282051322E-2</v>
      </c>
      <c r="O43" s="64">
        <f t="shared" ref="O43:O44" si="74">IFERROR(F43/I43-1,"n/a")</f>
        <v>-5.1282051282051322E-2</v>
      </c>
      <c r="P43" s="64">
        <f t="shared" ref="P43:P44" si="75">IFERROR(F43/J43-1,"n/a")</f>
        <v>1.8461538461538463</v>
      </c>
      <c r="Q43" s="64">
        <f t="shared" ref="Q43:Q44" si="76">IFERROR(F43/K43-1,"n/a")</f>
        <v>36</v>
      </c>
      <c r="R43" s="60">
        <f t="shared" ref="R43:R44" si="77">IFERROR(F43/L43-1,"n/a")</f>
        <v>1.4666666666666668</v>
      </c>
      <c r="S43" s="74">
        <f>'Oct-25'!S43+F43</f>
        <v>832</v>
      </c>
      <c r="T43" s="74">
        <f>'Oct-25'!T43+G43</f>
        <v>700</v>
      </c>
      <c r="U43" s="74">
        <f>'Oct-25'!U43+H43</f>
        <v>677</v>
      </c>
      <c r="V43" s="74">
        <f>'Oct-25'!V43+I43</f>
        <v>637</v>
      </c>
      <c r="W43" s="74">
        <f>'Oct-25'!W43+J43</f>
        <v>44</v>
      </c>
      <c r="X43" s="74">
        <f>'Oct-25'!X43+K43</f>
        <v>7</v>
      </c>
      <c r="Y43" s="74">
        <f>'Oct-25'!Y43+L43</f>
        <v>274</v>
      </c>
      <c r="Z43" s="147">
        <f t="shared" ref="Z43:Z44" si="78">IFERROR(S43/T43-1,"n/a")</f>
        <v>0.18857142857142861</v>
      </c>
      <c r="AA43" s="147">
        <f t="shared" ref="AA43:AA44" si="79">IFERROR(S43/U43-1,"n/a")</f>
        <v>0.22895125553914331</v>
      </c>
      <c r="AB43" s="147">
        <f t="shared" ref="AB43:AB44" si="80">IFERROR(S43/V43-1,"n/a")</f>
        <v>0.30612244897959173</v>
      </c>
      <c r="AC43" s="147">
        <f t="shared" ref="AC43:AC44" si="81">IFERROR(S43/W43-1,"n/a")</f>
        <v>17.90909090909091</v>
      </c>
      <c r="AD43" s="147">
        <f t="shared" ref="AD43:AD44" si="82">IFERROR(S43/X43-1,"n/a")</f>
        <v>117.85714285714286</v>
      </c>
      <c r="AE43" s="158">
        <f t="shared" ref="AE43:AE44" si="83">IFERROR(S43/Y43-1,"n/a")</f>
        <v>2.0364963503649633</v>
      </c>
      <c r="AF43" s="154">
        <v>728</v>
      </c>
      <c r="AG43" s="89">
        <v>712</v>
      </c>
      <c r="AH43" s="89">
        <v>669</v>
      </c>
      <c r="AI43" s="89">
        <v>59</v>
      </c>
      <c r="AJ43" s="70">
        <v>9</v>
      </c>
      <c r="AK43" s="78">
        <v>287</v>
      </c>
      <c r="AM43" s="122"/>
    </row>
    <row r="44" spans="1:39" s="123" customFormat="1" ht="11.25">
      <c r="A44" s="122"/>
      <c r="B44" s="122"/>
      <c r="C44" s="33"/>
      <c r="D44" s="26" t="s">
        <v>11</v>
      </c>
      <c r="E44" s="32"/>
      <c r="F44" s="74">
        <f>F20</f>
        <v>43680</v>
      </c>
      <c r="G44" s="74">
        <f t="shared" si="71"/>
        <v>33600</v>
      </c>
      <c r="H44" s="74">
        <f t="shared" si="71"/>
        <v>44881</v>
      </c>
      <c r="I44" s="74">
        <f t="shared" si="71"/>
        <v>43590</v>
      </c>
      <c r="J44" s="74">
        <f t="shared" si="71"/>
        <v>5685</v>
      </c>
      <c r="K44" s="74">
        <f t="shared" si="71"/>
        <v>0</v>
      </c>
      <c r="L44" s="74">
        <f t="shared" si="71"/>
        <v>20135</v>
      </c>
      <c r="M44" s="64">
        <f t="shared" si="72"/>
        <v>0.30000000000000004</v>
      </c>
      <c r="N44" s="64">
        <f t="shared" si="73"/>
        <v>-2.6759653305407638E-2</v>
      </c>
      <c r="O44" s="64">
        <f t="shared" si="74"/>
        <v>2.0646937370956131E-3</v>
      </c>
      <c r="P44" s="64">
        <f t="shared" si="75"/>
        <v>6.683377308707124</v>
      </c>
      <c r="Q44" s="64" t="str">
        <f t="shared" si="76"/>
        <v>n/a</v>
      </c>
      <c r="R44" s="60">
        <f t="shared" si="77"/>
        <v>1.1693568413210826</v>
      </c>
      <c r="S44" s="74">
        <f>'Oct-25'!S44+F44-5</f>
        <v>1690851</v>
      </c>
      <c r="T44" s="74">
        <f>'Oct-25'!T44+G44</f>
        <v>1448322.4</v>
      </c>
      <c r="U44" s="74">
        <f>'Oct-25'!U44+H44</f>
        <v>1249277</v>
      </c>
      <c r="V44" s="74">
        <f>'Oct-25'!V44+I44</f>
        <v>877647</v>
      </c>
      <c r="W44" s="74">
        <f>'Oct-25'!W44+J44</f>
        <v>16677</v>
      </c>
      <c r="X44" s="74">
        <f>'Oct-25'!X44+K44</f>
        <v>8294</v>
      </c>
      <c r="Y44" s="74">
        <f>'Oct-25'!Y44+L44</f>
        <v>568659</v>
      </c>
      <c r="Z44" s="147">
        <f t="shared" si="78"/>
        <v>0.16745484292723778</v>
      </c>
      <c r="AA44" s="147">
        <f t="shared" si="79"/>
        <v>0.35346364337132608</v>
      </c>
      <c r="AB44" s="147">
        <f t="shared" si="80"/>
        <v>0.92657298435475766</v>
      </c>
      <c r="AC44" s="147">
        <f t="shared" si="81"/>
        <v>100.38819931642382</v>
      </c>
      <c r="AD44" s="147">
        <f t="shared" si="82"/>
        <v>202.86435977815287</v>
      </c>
      <c r="AE44" s="158">
        <f t="shared" si="83"/>
        <v>1.9734005792575164</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256</v>
      </c>
      <c r="G46" s="74">
        <f t="shared" ref="G46:L47" si="84">G22</f>
        <v>287</v>
      </c>
      <c r="H46" s="74">
        <f t="shared" si="84"/>
        <v>210</v>
      </c>
      <c r="I46" s="74">
        <f t="shared" si="84"/>
        <v>130</v>
      </c>
      <c r="J46" s="74">
        <f t="shared" si="84"/>
        <v>67</v>
      </c>
      <c r="K46" s="74">
        <f t="shared" si="84"/>
        <v>0</v>
      </c>
      <c r="L46" s="74">
        <f t="shared" si="84"/>
        <v>95</v>
      </c>
      <c r="M46" s="64">
        <f t="shared" ref="M46:M47" si="85">IFERROR(F46/G46-1,"n/a")</f>
        <v>-0.10801393728222997</v>
      </c>
      <c r="N46" s="64">
        <f t="shared" ref="N46:N47" si="86">IFERROR(F46/H46-1,"n/a")</f>
        <v>0.21904761904761916</v>
      </c>
      <c r="O46" s="64">
        <f t="shared" ref="O46:O47" si="87">IFERROR(F46/I46-1,"n/a")</f>
        <v>0.96923076923076934</v>
      </c>
      <c r="P46" s="64">
        <f t="shared" ref="P46:P47" si="88">IFERROR(F46/J46-1,"n/a")</f>
        <v>2.8208955223880596</v>
      </c>
      <c r="Q46" s="64" t="str">
        <f t="shared" ref="Q46:Q47" si="89">IFERROR(F46/K46-1,"n/a")</f>
        <v>n/a</v>
      </c>
      <c r="R46" s="60">
        <f t="shared" ref="R46:R47" si="90">IFERROR(F46/L46-1,"n/a")</f>
        <v>1.6947368421052631</v>
      </c>
      <c r="S46" s="74">
        <f>'Oct-25'!S46+F46</f>
        <v>1155</v>
      </c>
      <c r="T46" s="74">
        <f>'Oct-25'!T46+G46</f>
        <v>1215</v>
      </c>
      <c r="U46" s="74">
        <f>'Oct-25'!U46+H46</f>
        <v>1084</v>
      </c>
      <c r="V46" s="74">
        <f>'Oct-25'!V46+I46</f>
        <v>774</v>
      </c>
      <c r="W46" s="74">
        <f>'Oct-25'!W46+J46</f>
        <v>258</v>
      </c>
      <c r="X46" s="74">
        <f>'Oct-25'!X46+K46</f>
        <v>0</v>
      </c>
      <c r="Y46" s="74">
        <f>'Oct-25'!Y46+L46</f>
        <v>718</v>
      </c>
      <c r="Z46" s="147">
        <f t="shared" ref="Z46:Z47" si="91">IFERROR(S46/T46-1,"n/a")</f>
        <v>-4.9382716049382713E-2</v>
      </c>
      <c r="AA46" s="147">
        <f t="shared" ref="AA46:AA47" si="92">IFERROR(S46/U46-1,"n/a")</f>
        <v>6.5498154981549872E-2</v>
      </c>
      <c r="AB46" s="147">
        <f t="shared" ref="AB46:AB47" si="93">IFERROR(S46/V46-1,"n/a")</f>
        <v>0.49224806201550386</v>
      </c>
      <c r="AC46" s="147">
        <f t="shared" ref="AC46:AC47" si="94">IFERROR(S46/W46-1,"n/a")</f>
        <v>3.4767441860465116</v>
      </c>
      <c r="AD46" s="147" t="str">
        <f t="shared" ref="AD46:AD47" si="95">IFERROR(S46/X46-1,"n/a")</f>
        <v>n/a</v>
      </c>
      <c r="AE46" s="158">
        <f t="shared" ref="AE46:AE47" si="96">IFERROR(S46/Y46-1,"n/a")</f>
        <v>0.60863509749303613</v>
      </c>
      <c r="AF46" s="154">
        <v>1788</v>
      </c>
      <c r="AG46" s="89">
        <v>1471</v>
      </c>
      <c r="AH46" s="89">
        <v>1129</v>
      </c>
      <c r="AI46" s="89">
        <v>336</v>
      </c>
      <c r="AJ46" s="84">
        <v>43</v>
      </c>
      <c r="AK46" s="78">
        <v>781</v>
      </c>
      <c r="AM46" s="122"/>
    </row>
    <row r="47" spans="1:39" s="123" customFormat="1" ht="11.25">
      <c r="A47" s="122"/>
      <c r="B47" s="122"/>
      <c r="C47" s="33"/>
      <c r="D47" s="26" t="s">
        <v>11</v>
      </c>
      <c r="E47" s="32"/>
      <c r="F47" s="74">
        <f>F23</f>
        <v>525436</v>
      </c>
      <c r="G47" s="74">
        <f t="shared" si="84"/>
        <v>699889</v>
      </c>
      <c r="H47" s="74">
        <f t="shared" si="84"/>
        <v>507202</v>
      </c>
      <c r="I47" s="74">
        <f t="shared" si="84"/>
        <v>274849</v>
      </c>
      <c r="J47" s="74">
        <f t="shared" si="84"/>
        <v>83507</v>
      </c>
      <c r="K47" s="74">
        <f t="shared" si="84"/>
        <v>0</v>
      </c>
      <c r="L47" s="74">
        <f t="shared" si="84"/>
        <v>263747</v>
      </c>
      <c r="M47" s="64">
        <f t="shared" si="85"/>
        <v>-0.24925809664103882</v>
      </c>
      <c r="N47" s="64">
        <f t="shared" si="86"/>
        <v>3.5950173698053201E-2</v>
      </c>
      <c r="O47" s="64">
        <f t="shared" si="87"/>
        <v>0.91172607504484282</v>
      </c>
      <c r="P47" s="64">
        <f t="shared" si="88"/>
        <v>5.2921192235381467</v>
      </c>
      <c r="Q47" s="64" t="str">
        <f t="shared" si="89"/>
        <v>n/a</v>
      </c>
      <c r="R47" s="60">
        <f t="shared" si="90"/>
        <v>0.99219706764437121</v>
      </c>
      <c r="S47" s="74">
        <f>'Oct-25'!S47+F47-1676</f>
        <v>2953545</v>
      </c>
      <c r="T47" s="74">
        <f>'Oct-25'!T47+G47</f>
        <v>3650298</v>
      </c>
      <c r="U47" s="74">
        <f>'Oct-25'!U47+H47</f>
        <v>3238466</v>
      </c>
      <c r="V47" s="74">
        <f>'Oct-25'!V47+I47</f>
        <v>1877280</v>
      </c>
      <c r="W47" s="74">
        <f>'Oct-25'!W47+J47</f>
        <v>425895</v>
      </c>
      <c r="X47" s="74">
        <f>'Oct-25'!X47+K47</f>
        <v>0</v>
      </c>
      <c r="Y47" s="74">
        <f>'Oct-25'!Y47+L47</f>
        <v>2242099</v>
      </c>
      <c r="Z47" s="147">
        <f t="shared" si="91"/>
        <v>-0.1908756490565976</v>
      </c>
      <c r="AA47" s="147">
        <f t="shared" si="92"/>
        <v>-8.7980235086612013E-2</v>
      </c>
      <c r="AB47" s="147">
        <f t="shared" si="93"/>
        <v>0.57331085400153414</v>
      </c>
      <c r="AC47" s="147">
        <f t="shared" si="94"/>
        <v>5.9349135350262392</v>
      </c>
      <c r="AD47" s="147" t="str">
        <f t="shared" si="95"/>
        <v>n/a</v>
      </c>
      <c r="AE47" s="158">
        <f t="shared" si="96"/>
        <v>0.31731248263346079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'Oct-25'!S49+F49</f>
        <v>23</v>
      </c>
      <c r="T49" s="74">
        <f>'Oct-25'!T49+G49</f>
        <v>14</v>
      </c>
      <c r="U49" s="74">
        <f>'Oct-25'!U49+H49</f>
        <v>21</v>
      </c>
      <c r="V49" s="74">
        <f>'Oct-25'!V49+I49</f>
        <v>9</v>
      </c>
      <c r="W49" s="74">
        <f>'Oct-25'!W49+J49</f>
        <v>0</v>
      </c>
      <c r="X49" s="74">
        <f>'Oct-25'!X49+K49</f>
        <v>0</v>
      </c>
      <c r="Y49" s="74">
        <f>'Oct-25'!Y49+L49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'Oct-25'!S50+F50</f>
        <v>72837</v>
      </c>
      <c r="T50" s="74">
        <f>'Oct-25'!T50+G50</f>
        <v>47798</v>
      </c>
      <c r="U50" s="74">
        <f>'Oct-25'!U50+H50</f>
        <v>38626</v>
      </c>
      <c r="V50" s="74">
        <f>'Oct-25'!V50+I50</f>
        <v>15637</v>
      </c>
      <c r="W50" s="74">
        <f>'Oct-25'!W50+J50</f>
        <v>0</v>
      </c>
      <c r="X50" s="74">
        <f>'Oct-25'!X50+K50</f>
        <v>0</v>
      </c>
      <c r="Y50" s="74">
        <f>'Oct-25'!Y50+L50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669</v>
      </c>
      <c r="G51" s="75">
        <f t="shared" si="110"/>
        <v>655</v>
      </c>
      <c r="H51" s="75">
        <f t="shared" si="110"/>
        <v>463</v>
      </c>
      <c r="I51" s="75">
        <f t="shared" si="110"/>
        <v>340</v>
      </c>
      <c r="J51" s="75">
        <f t="shared" si="110"/>
        <v>223</v>
      </c>
      <c r="K51" s="75">
        <f t="shared" si="110"/>
        <v>11</v>
      </c>
      <c r="L51" s="75">
        <f t="shared" si="110"/>
        <v>311</v>
      </c>
      <c r="M51" s="66">
        <f t="shared" si="98"/>
        <v>2.1374045801526798E-2</v>
      </c>
      <c r="N51" s="66">
        <f t="shared" si="99"/>
        <v>0.44492440604751615</v>
      </c>
      <c r="O51" s="66">
        <f t="shared" si="100"/>
        <v>0.9676470588235293</v>
      </c>
      <c r="P51" s="66">
        <f t="shared" si="101"/>
        <v>2</v>
      </c>
      <c r="Q51" s="66">
        <f t="shared" si="102"/>
        <v>59.81818181818182</v>
      </c>
      <c r="R51" s="66">
        <f t="shared" si="103"/>
        <v>1.1511254019292605</v>
      </c>
      <c r="S51" s="75">
        <f>S37+S40+S43+S46+S49</f>
        <v>4390</v>
      </c>
      <c r="T51" s="75">
        <f>T37+T40+T43+T46+T49</f>
        <v>4063</v>
      </c>
      <c r="U51" s="75">
        <f>U37+U40+U43+U46+U49</f>
        <v>3188</v>
      </c>
      <c r="V51" s="75">
        <f t="shared" ref="U51:Y52" si="111">V37+V40+V43+V46+V49</f>
        <v>2716</v>
      </c>
      <c r="W51" s="75">
        <f t="shared" si="111"/>
        <v>830</v>
      </c>
      <c r="X51" s="75">
        <f t="shared" si="111"/>
        <v>87</v>
      </c>
      <c r="Y51" s="75">
        <f t="shared" si="111"/>
        <v>2399</v>
      </c>
      <c r="Z51" s="66">
        <f t="shared" si="104"/>
        <v>8.0482402165887201E-2</v>
      </c>
      <c r="AA51" s="66">
        <f>IFERROR(S51/U51-1,"n/a")</f>
        <v>0.37703889585947303</v>
      </c>
      <c r="AB51" s="66">
        <f t="shared" si="106"/>
        <v>0.61634756995581741</v>
      </c>
      <c r="AC51" s="66">
        <f t="shared" si="107"/>
        <v>4.2891566265060241</v>
      </c>
      <c r="AD51" s="66">
        <f t="shared" si="108"/>
        <v>49.459770114942529</v>
      </c>
      <c r="AE51" s="66">
        <f t="shared" si="109"/>
        <v>0.82992913714047511</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1596402</v>
      </c>
      <c r="G52" s="76">
        <f t="shared" si="110"/>
        <v>1610407</v>
      </c>
      <c r="H52" s="76">
        <f t="shared" si="110"/>
        <v>1148627</v>
      </c>
      <c r="I52" s="76">
        <f t="shared" si="110"/>
        <v>779647</v>
      </c>
      <c r="J52" s="76">
        <f t="shared" si="110"/>
        <v>304612</v>
      </c>
      <c r="K52" s="76">
        <f t="shared" si="110"/>
        <v>4854</v>
      </c>
      <c r="L52" s="76">
        <f t="shared" si="110"/>
        <v>742910</v>
      </c>
      <c r="M52" s="67">
        <f t="shared" si="98"/>
        <v>-8.6965593169925359E-3</v>
      </c>
      <c r="N52" s="67">
        <f t="shared" si="99"/>
        <v>0.38983499430189261</v>
      </c>
      <c r="O52" s="67">
        <f t="shared" si="100"/>
        <v>1.0475958991697523</v>
      </c>
      <c r="P52" s="67">
        <f t="shared" si="101"/>
        <v>4.2407718671621604</v>
      </c>
      <c r="Q52" s="67">
        <f t="shared" si="102"/>
        <v>327.88380716934489</v>
      </c>
      <c r="R52" s="67">
        <f t="shared" si="103"/>
        <v>1.1488497933800863</v>
      </c>
      <c r="S52" s="76">
        <f t="shared" ref="S52:T52" si="113">S38+S41+S44+S47+S50</f>
        <v>12094769</v>
      </c>
      <c r="T52" s="76">
        <f t="shared" si="113"/>
        <v>11860002.4</v>
      </c>
      <c r="U52" s="76">
        <f t="shared" si="111"/>
        <v>9103310</v>
      </c>
      <c r="V52" s="76">
        <f t="shared" si="111"/>
        <v>5996032</v>
      </c>
      <c r="W52" s="76">
        <f t="shared" si="111"/>
        <v>1231240</v>
      </c>
      <c r="X52" s="76">
        <f t="shared" si="111"/>
        <v>35715</v>
      </c>
      <c r="Y52" s="76">
        <f t="shared" si="111"/>
        <v>6706790</v>
      </c>
      <c r="Z52" s="67">
        <f t="shared" si="104"/>
        <v>1.979481892853574E-2</v>
      </c>
      <c r="AA52" s="67">
        <f>IFERROR(S52/U52-1,"n/a")</f>
        <v>0.32861223005697937</v>
      </c>
      <c r="AB52" s="67">
        <f t="shared" si="106"/>
        <v>1.0171288278648278</v>
      </c>
      <c r="AC52" s="67">
        <f t="shared" si="107"/>
        <v>8.8232424222734807</v>
      </c>
      <c r="AD52" s="67">
        <f t="shared" si="108"/>
        <v>337.6467590648187</v>
      </c>
      <c r="AE52" s="67">
        <f t="shared" si="109"/>
        <v>0.80336181690495745</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S51-F51-'Oct-25'!S51+1</f>
        <v>0</v>
      </c>
      <c r="T53" s="128">
        <f>T51-G51-'Oct-25'!T51</f>
        <v>0</v>
      </c>
      <c r="U53" s="128">
        <f>U51-H51-'Oct-25'!U51</f>
        <v>0</v>
      </c>
      <c r="V53" s="128">
        <f>V51-I51-'Oct-25'!V51</f>
        <v>0</v>
      </c>
      <c r="W53" s="128">
        <f>W51-J51-'Oct-25'!W51</f>
        <v>0</v>
      </c>
      <c r="X53" s="128">
        <f>X51-K51-'Oct-25'!X51</f>
        <v>0</v>
      </c>
      <c r="Y53" s="128">
        <f>Y51-L51-'Oct-25'!Y51</f>
        <v>0</v>
      </c>
      <c r="AM53" s="122"/>
    </row>
    <row r="54" spans="3:39" s="123" customFormat="1" ht="11.25">
      <c r="F54" s="131"/>
      <c r="S54" s="128">
        <f>S52-F52-'Oct-25'!S52+8458</f>
        <v>0</v>
      </c>
      <c r="T54" s="128">
        <f>T52-G52-'Oct-25'!T52</f>
        <v>0</v>
      </c>
      <c r="U54" s="128">
        <f>U52-H52-'Oct-25'!U52</f>
        <v>0</v>
      </c>
      <c r="V54" s="128">
        <f>V52-I52-'Oct-25'!V52</f>
        <v>0</v>
      </c>
      <c r="W54" s="128">
        <f>W52-J52-'Oct-25'!W52</f>
        <v>0</v>
      </c>
      <c r="X54" s="128">
        <f>X52-K52-'Oct-25'!X52</f>
        <v>0</v>
      </c>
      <c r="Y54" s="128">
        <f>Y52-L52-'Oct-25'!Y52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zoomScale="85" zoomScaleNormal="85" workbookViewId="0">
      <selection activeCell="S14" sqref="S1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October</v>
      </c>
      <c r="G9" s="166"/>
      <c r="H9" s="166"/>
      <c r="I9" s="166"/>
      <c r="J9" s="166"/>
      <c r="K9" s="166"/>
      <c r="L9" s="166"/>
      <c r="M9" s="166"/>
      <c r="N9" s="166"/>
      <c r="O9" s="166"/>
      <c r="P9" s="166"/>
      <c r="Q9" s="166"/>
      <c r="R9" s="167"/>
      <c r="S9" s="168" t="str">
        <f xml:space="preserve"> "January to "&amp; F9</f>
        <v>January to October</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October</v>
      </c>
      <c r="G33" s="169"/>
      <c r="H33" s="169"/>
      <c r="I33" s="169"/>
      <c r="J33" s="169"/>
      <c r="K33" s="169"/>
      <c r="L33" s="169"/>
      <c r="M33" s="169"/>
      <c r="N33" s="169"/>
      <c r="O33" s="169"/>
      <c r="P33" s="169"/>
      <c r="Q33" s="169"/>
      <c r="R33" s="170"/>
      <c r="S33" s="171" t="str">
        <f>"April to "&amp;D4&amp;" (YTD)"</f>
        <v>April to October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4" zoomScale="85" zoomScaleNormal="85" workbookViewId="0">
      <selection activeCell="AB41" sqref="AB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46034</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September</v>
      </c>
      <c r="G9" s="166"/>
      <c r="H9" s="166"/>
      <c r="I9" s="166"/>
      <c r="J9" s="166"/>
      <c r="K9" s="166"/>
      <c r="L9" s="166"/>
      <c r="M9" s="166"/>
      <c r="N9" s="166"/>
      <c r="O9" s="166"/>
      <c r="P9" s="166"/>
      <c r="Q9" s="166"/>
      <c r="R9" s="167"/>
      <c r="S9" s="168" t="str">
        <f xml:space="preserve"> "January to "&amp; F9</f>
        <v>January to September</v>
      </c>
      <c r="T9" s="169"/>
      <c r="U9" s="169"/>
      <c r="V9" s="169"/>
      <c r="W9" s="169"/>
      <c r="X9" s="169"/>
      <c r="Y9" s="169"/>
      <c r="Z9" s="169"/>
      <c r="AA9" s="169"/>
      <c r="AB9" s="169"/>
      <c r="AC9" s="169"/>
      <c r="AD9" s="169"/>
      <c r="AE9" s="170"/>
      <c r="AF9" s="168" t="s">
        <v>57</v>
      </c>
      <c r="AG9" s="169"/>
      <c r="AH9" s="169"/>
      <c r="AI9" s="169"/>
      <c r="AJ9" s="169"/>
      <c r="AK9" s="175"/>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September</v>
      </c>
      <c r="G33" s="169"/>
      <c r="H33" s="169"/>
      <c r="I33" s="169"/>
      <c r="J33" s="169"/>
      <c r="K33" s="169"/>
      <c r="L33" s="169"/>
      <c r="M33" s="169"/>
      <c r="N33" s="169"/>
      <c r="O33" s="169"/>
      <c r="P33" s="169"/>
      <c r="Q33" s="169"/>
      <c r="R33" s="170"/>
      <c r="S33" s="171" t="str">
        <f>"April to "&amp;D4&amp;" (YTD)"</f>
        <v>April to September (YTD)</v>
      </c>
      <c r="T33" s="172"/>
      <c r="U33" s="172"/>
      <c r="V33" s="172"/>
      <c r="W33" s="172"/>
      <c r="X33" s="172"/>
      <c r="Y33" s="172"/>
      <c r="Z33" s="172"/>
      <c r="AA33" s="172"/>
      <c r="AB33" s="172"/>
      <c r="AC33" s="172"/>
      <c r="AD33" s="172"/>
      <c r="AE33" s="173"/>
      <c r="AF33" s="171" t="s">
        <v>58</v>
      </c>
      <c r="AG33" s="172"/>
      <c r="AH33" s="172"/>
      <c r="AI33" s="172"/>
      <c r="AJ33" s="172"/>
      <c r="AK33" s="174"/>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d8bdb83f8f3a6a04c5282a5f951695c4">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ae6e43a695c8c0b7cbb3a1766b918bf0"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customXml/itemProps2.xml><?xml version="1.0" encoding="utf-8"?>
<ds:datastoreItem xmlns:ds="http://schemas.openxmlformats.org/officeDocument/2006/customXml" ds:itemID="{D86A42A0-8F14-413E-A993-DE9AECE836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C4D69E-E9A6-4C6E-930B-6845131E72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58</vt:i4>
      </vt:variant>
      <vt:variant>
        <vt:lpstr>Adlandırılmış Aralıklar</vt:lpstr>
      </vt:variant>
      <vt:variant>
        <vt:i4>3</vt:i4>
      </vt:variant>
    </vt:vector>
  </HeadingPairs>
  <TitlesOfParts>
    <vt:vector size="61" baseType="lpstr">
      <vt:lpstr> </vt:lpstr>
      <vt:lpstr>Disclaimer</vt:lpstr>
      <vt:lpstr>Notes</vt:lpstr>
      <vt:lpstr>Occupancy_2025</vt:lpstr>
      <vt:lpstr>Traffic&gt;</vt:lpstr>
      <vt:lpstr>Dec-25</vt:lpstr>
      <vt:lpstr>Nov-25</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2026-01-15T11:01:24Z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