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G:\Holding\Investor Relations\GPH Yolcu Istatistikleri\2026\April_2026\"/>
    </mc:Choice>
  </mc:AlternateContent>
  <xr:revisionPtr revIDLastSave="0" documentId="13_ncr:1_{A09507BE-3BE0-4BD4-A123-B022CF0012DC}" xr6:coauthVersionLast="47" xr6:coauthVersionMax="47" xr10:uidLastSave="{00000000-0000-0000-0000-000000000000}"/>
  <bookViews>
    <workbookView xWindow="14610" yWindow="825" windowWidth="14505" windowHeight="13875" tabRatio="893" firstSheet="3" activeTab="5" xr2:uid="{00000000-000D-0000-FFFF-FFFF00000000}"/>
  </bookViews>
  <sheets>
    <sheet name=" " sheetId="3" r:id="rId1"/>
    <sheet name="Disclaimer" sheetId="13" r:id="rId2"/>
    <sheet name="Notes" sheetId="11" r:id="rId3"/>
    <sheet name="Occupancy_2026" sheetId="24" r:id="rId4"/>
    <sheet name="Traffic&gt;" sheetId="25" r:id="rId5"/>
    <sheet name="Apr-26" sheetId="73" r:id="rId6"/>
    <sheet name="Mar-26" sheetId="72" r:id="rId7"/>
    <sheet name="Feb-26" sheetId="71" r:id="rId8"/>
    <sheet name="Jan-26" sheetId="70" r:id="rId9"/>
    <sheet name="Dec-25" sheetId="69" r:id="rId10"/>
    <sheet name="Nov-25" sheetId="68" r:id="rId11"/>
    <sheet name="Oct-25" sheetId="67" r:id="rId12"/>
    <sheet name="Sep-25" sheetId="66" r:id="rId13"/>
    <sheet name="Aug-25" sheetId="65" r:id="rId14"/>
    <sheet name="Jul-25" sheetId="64" r:id="rId15"/>
    <sheet name="Jun-25" sheetId="63" r:id="rId16"/>
    <sheet name="May-25" sheetId="62" r:id="rId17"/>
    <sheet name="Apr-25" sheetId="61" r:id="rId18"/>
    <sheet name="Mar-25" sheetId="60" r:id="rId19"/>
    <sheet name="Feb-25" sheetId="59" r:id="rId20"/>
    <sheet name="Jan-25" sheetId="58" r:id="rId21"/>
    <sheet name="Dec-24" sheetId="56" r:id="rId22"/>
    <sheet name="Nov-24" sheetId="55" r:id="rId23"/>
    <sheet name="Oct-24" sheetId="54" r:id="rId24"/>
    <sheet name="Sep-24" sheetId="53" r:id="rId25"/>
    <sheet name="Aug-24" sheetId="52" r:id="rId26"/>
    <sheet name="July-24" sheetId="51" r:id="rId27"/>
    <sheet name="June-24" sheetId="50" r:id="rId28"/>
    <sheet name="May-24" sheetId="49" r:id="rId29"/>
    <sheet name="Apr-24" sheetId="48" r:id="rId30"/>
    <sheet name="Mar-24" sheetId="47" r:id="rId31"/>
    <sheet name="Feb-24" sheetId="46" r:id="rId32"/>
    <sheet name="Jan-24" sheetId="45" r:id="rId33"/>
    <sheet name="Dec-23" sheetId="44" r:id="rId34"/>
    <sheet name="Nov-23" sheetId="43" r:id="rId35"/>
    <sheet name="Oct-23" sheetId="41" r:id="rId36"/>
    <sheet name="Sep-23" sheetId="40" r:id="rId37"/>
    <sheet name="Aug-23" sheetId="38" r:id="rId38"/>
    <sheet name="July-23" sheetId="37" r:id="rId39"/>
    <sheet name="June-23" sheetId="36" r:id="rId40"/>
    <sheet name="May-23" sheetId="35" r:id="rId41"/>
    <sheet name="Apr-23" sheetId="34" r:id="rId42"/>
    <sheet name="Mar-23" sheetId="33" r:id="rId43"/>
    <sheet name="Mar-23_old structure" sheetId="32" r:id="rId44"/>
    <sheet name="Feb-23" sheetId="31" r:id="rId45"/>
    <sheet name="Jan-23" sheetId="30" r:id="rId46"/>
    <sheet name="Dec-22" sheetId="29" r:id="rId47"/>
    <sheet name="Nov-22" sheetId="28" r:id="rId48"/>
    <sheet name="Oct-22" sheetId="27" r:id="rId49"/>
    <sheet name="Sep-22" sheetId="26" r:id="rId50"/>
    <sheet name="Aug-22" sheetId="22" r:id="rId51"/>
    <sheet name="Jul-22" sheetId="21" r:id="rId52"/>
    <sheet name="Jun-22" sheetId="20" r:id="rId53"/>
    <sheet name="May-22" sheetId="19" r:id="rId54"/>
    <sheet name="Apr-22" sheetId="18" r:id="rId55"/>
    <sheet name="Mar-22" sheetId="17" r:id="rId56"/>
    <sheet name="Feb-22" sheetId="16" r:id="rId57"/>
    <sheet name="Jan-22" sheetId="15" r:id="rId58"/>
    <sheet name="Dec-21" sheetId="14" r:id="rId59"/>
    <sheet name="Nov-21" sheetId="10" r:id="rId60"/>
    <sheet name="Oct-21" sheetId="9" r:id="rId61"/>
    <sheet name="Sept-21" sheetId="1" r:id="rId62"/>
  </sheets>
  <definedNames>
    <definedName name="_Order1" hidden="1">255</definedName>
    <definedName name="_Order2" hidden="1">255</definedName>
    <definedName name="_xlnm._FilterDatabase" localSheetId="5" hidden="1">'Apr-26'!$F$9:$AP$9</definedName>
    <definedName name="_xlnm._FilterDatabase" localSheetId="9" hidden="1">'Dec-25'!$F$9:$AK$9</definedName>
    <definedName name="_xlnm._FilterDatabase" localSheetId="7" hidden="1">'Feb-26'!$F$9:$AP$9</definedName>
    <definedName name="_xlnm._FilterDatabase" localSheetId="8" hidden="1">'Jan-26'!$F$9:$AP$9</definedName>
    <definedName name="_xlnm._FilterDatabase" localSheetId="6" hidden="1">'Mar-26'!$F$9:$AP$9</definedName>
    <definedName name="AcqOppSwitch">#REF!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#REF!</definedName>
    <definedName name="LasPalmasSwitch" localSheetId="1">#REF!</definedName>
    <definedName name="LasPalmasSwitch" localSheetId="2">#REF!</definedName>
    <definedName name="LasPalmasSwitch" localSheetId="4">#REF!</definedName>
    <definedName name="LasPalmasSwitch">#REF!</definedName>
    <definedName name="ProjectionsSwitch">#REF!</definedName>
    <definedName name="SanJuanSwitch">#REF!</definedName>
    <definedName name="ScenarioSwitch">#REF!</definedName>
    <definedName name="TortolaSwitch">#REF!</definedName>
    <definedName name="ValenciaSwitch">#REF!</definedName>
    <definedName name="_xlnm.Print_Area" localSheetId="1">Disclaimer!$A$1:$CA$35</definedName>
    <definedName name="_xlnm.Print_Area" localSheetId="2">Notes!$A$1:$CA$40</definedName>
    <definedName name="_xlnm.Print_Area" localSheetId="4">'Traffic&gt;'!$A$1:$CA$35</definedName>
    <definedName name="z" localSheetId="1">#REF!</definedName>
    <definedName name="z" localSheetId="2">#REF!</definedName>
    <definedName name="z" localSheetId="4">#REF!</definedName>
    <definedName name="z">#REF!</definedName>
    <definedName name="Z_5F6D01E3_9E6F_4D7F_980F_63899AF95899_.wvu.Cols" localSheetId="0" hidden="1">' '!$M:$XFD</definedName>
    <definedName name="Z_5F6D01E3_9E6F_4D7F_980F_63899AF95899_.wvu.Cols" localSheetId="54" hidden="1">'Apr-22'!$X:$XFD</definedName>
    <definedName name="Z_5F6D01E3_9E6F_4D7F_980F_63899AF95899_.wvu.Cols" localSheetId="50" hidden="1">'Aug-22'!$X:$XFD</definedName>
    <definedName name="Z_5F6D01E3_9E6F_4D7F_980F_63899AF95899_.wvu.Cols" localSheetId="58" hidden="1">'Dec-21'!$S:$XFD</definedName>
    <definedName name="Z_5F6D01E3_9E6F_4D7F_980F_63899AF95899_.wvu.Cols" localSheetId="46" hidden="1">'Dec-22'!$X:$XFD</definedName>
    <definedName name="Z_5F6D01E3_9E6F_4D7F_980F_63899AF95899_.wvu.Cols" localSheetId="1" hidden="1">Disclaimer!$X:$XFD</definedName>
    <definedName name="Z_5F6D01E3_9E6F_4D7F_980F_63899AF95899_.wvu.Cols" localSheetId="56" hidden="1">'Feb-22'!$X:$XFD</definedName>
    <definedName name="Z_5F6D01E3_9E6F_4D7F_980F_63899AF95899_.wvu.Cols" localSheetId="57" hidden="1">'Jan-22'!$X:$XFD</definedName>
    <definedName name="Z_5F6D01E3_9E6F_4D7F_980F_63899AF95899_.wvu.Cols" localSheetId="45" hidden="1">'Jan-23'!$AC:$XFD</definedName>
    <definedName name="Z_5F6D01E3_9E6F_4D7F_980F_63899AF95899_.wvu.Cols" localSheetId="51" hidden="1">'Jul-22'!$X:$XFD</definedName>
    <definedName name="Z_5F6D01E3_9E6F_4D7F_980F_63899AF95899_.wvu.Cols" localSheetId="52" hidden="1">'Jun-22'!$X:$XFD</definedName>
    <definedName name="Z_5F6D01E3_9E6F_4D7F_980F_63899AF95899_.wvu.Cols" localSheetId="55" hidden="1">'Mar-22'!$X:$XFD</definedName>
    <definedName name="Z_5F6D01E3_9E6F_4D7F_980F_63899AF95899_.wvu.Cols" localSheetId="53" hidden="1">'May-22'!$X:$XFD</definedName>
    <definedName name="Z_5F6D01E3_9E6F_4D7F_980F_63899AF95899_.wvu.Cols" localSheetId="2" hidden="1">Notes!$S:$XFD</definedName>
    <definedName name="Z_5F6D01E3_9E6F_4D7F_980F_63899AF95899_.wvu.Cols" localSheetId="59" hidden="1">'Nov-21'!$S:$XFD</definedName>
    <definedName name="Z_5F6D01E3_9E6F_4D7F_980F_63899AF95899_.wvu.Cols" localSheetId="47" hidden="1">'Nov-22'!$X:$XFD</definedName>
    <definedName name="Z_5F6D01E3_9E6F_4D7F_980F_63899AF95899_.wvu.Cols" localSheetId="3" hidden="1">Occupancy_2026!$BA:$XFD</definedName>
    <definedName name="Z_5F6D01E3_9E6F_4D7F_980F_63899AF95899_.wvu.Cols" localSheetId="60" hidden="1">'Oct-21'!$S:$XFD</definedName>
    <definedName name="Z_5F6D01E3_9E6F_4D7F_980F_63899AF95899_.wvu.Cols" localSheetId="48" hidden="1">'Oct-22'!$X:$XFD</definedName>
    <definedName name="Z_5F6D01E3_9E6F_4D7F_980F_63899AF95899_.wvu.Cols" localSheetId="49" hidden="1">'Sep-22'!$X:$XFD</definedName>
    <definedName name="Z_5F6D01E3_9E6F_4D7F_980F_63899AF95899_.wvu.Cols" localSheetId="61" hidden="1">'Sept-21'!$S:$XFD</definedName>
    <definedName name="Z_5F6D01E3_9E6F_4D7F_980F_63899AF95899_.wvu.Cols" localSheetId="4" hidden="1">'Traffic&gt;'!$S:$XFD</definedName>
    <definedName name="Z_5F6D01E3_9E6F_4D7F_980F_63899AF95899_.wvu.PrintArea" localSheetId="1" hidden="1">Disclaimer!$A$1:$CA$35</definedName>
    <definedName name="Z_5F6D01E3_9E6F_4D7F_980F_63899AF95899_.wvu.PrintArea" localSheetId="2" hidden="1">Notes!$A$1:$CA$40</definedName>
    <definedName name="Z_5F6D01E3_9E6F_4D7F_980F_63899AF95899_.wvu.PrintArea" localSheetId="4" hidden="1">'Traffic&gt;'!$A$1:$CA$35</definedName>
    <definedName name="Z_5F6D01E3_9E6F_4D7F_980F_63899AF95899_.wvu.Rows" localSheetId="0" hidden="1">' '!$44:$1048576,' '!$29:$43</definedName>
    <definedName name="Z_5F6D01E3_9E6F_4D7F_980F_63899AF95899_.wvu.Rows" localSheetId="54" hidden="1">'Apr-22'!$49:$1048576,'Apr-22'!$30:$48</definedName>
    <definedName name="Z_5F6D01E3_9E6F_4D7F_980F_63899AF95899_.wvu.Rows" localSheetId="58" hidden="1">'Dec-21'!$49:$1048576,'Dec-21'!$30:$48</definedName>
    <definedName name="Z_5F6D01E3_9E6F_4D7F_980F_63899AF95899_.wvu.Rows" localSheetId="1" hidden="1">Disclaimer!$45:$1048576,Disclaimer!$30:$44</definedName>
    <definedName name="Z_5F6D01E3_9E6F_4D7F_980F_63899AF95899_.wvu.Rows" localSheetId="56" hidden="1">'Feb-22'!$49:$1048576,'Feb-22'!$30:$48</definedName>
    <definedName name="Z_5F6D01E3_9E6F_4D7F_980F_63899AF95899_.wvu.Rows" localSheetId="57" hidden="1">'Jan-22'!$49:$1048576,'Jan-22'!$30:$48</definedName>
    <definedName name="Z_5F6D01E3_9E6F_4D7F_980F_63899AF95899_.wvu.Rows" localSheetId="52" hidden="1">'Jun-22'!$49:$1048576,'Jun-22'!$30:$48</definedName>
    <definedName name="Z_5F6D01E3_9E6F_4D7F_980F_63899AF95899_.wvu.Rows" localSheetId="55" hidden="1">'Mar-22'!$49:$1048576,'Mar-22'!$30:$48</definedName>
    <definedName name="Z_5F6D01E3_9E6F_4D7F_980F_63899AF95899_.wvu.Rows" localSheetId="53" hidden="1">'May-22'!$49:$1048576,'May-22'!$30:$48</definedName>
    <definedName name="Z_5F6D01E3_9E6F_4D7F_980F_63899AF95899_.wvu.Rows" localSheetId="2" hidden="1">Notes!$50:$1048576,Notes!$32:$49</definedName>
    <definedName name="Z_5F6D01E3_9E6F_4D7F_980F_63899AF95899_.wvu.Rows" localSheetId="59" hidden="1">'Nov-21'!$49:$1048576,'Nov-21'!$30:$48</definedName>
    <definedName name="Z_5F6D01E3_9E6F_4D7F_980F_63899AF95899_.wvu.Rows" localSheetId="60" hidden="1">'Oct-21'!$49:$1048576,'Oct-21'!$30:$48</definedName>
    <definedName name="Z_5F6D01E3_9E6F_4D7F_980F_63899AF95899_.wvu.Rows" localSheetId="61" hidden="1">'Sept-21'!$49:$1048576,'Sept-21'!$30:$48</definedName>
    <definedName name="Z_5F6D01E3_9E6F_4D7F_980F_63899AF95899_.wvu.Rows" localSheetId="4" hidden="1">'Traffic&gt;'!$45:$1048576,'Traffic&gt;'!$27:$44</definedName>
  </definedNames>
  <calcPr calcId="191029"/>
  <customWorkbookViews>
    <customWorkbookView name="custom" guid="{5F6D01E3-9E6F-4D7F-980F-63899AF95899}" maximized="1" xWindow="1912" yWindow="-8" windowWidth="1936" windowHeight="1066"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73" l="1"/>
  <c r="U62" i="73"/>
  <c r="U61" i="73"/>
  <c r="AB60" i="73"/>
  <c r="AA60" i="73"/>
  <c r="Z60" i="73"/>
  <c r="Y60" i="73"/>
  <c r="X60" i="73"/>
  <c r="W60" i="73"/>
  <c r="V60" i="73"/>
  <c r="AB59" i="73"/>
  <c r="AA59" i="73"/>
  <c r="Z59" i="73"/>
  <c r="Y59" i="73"/>
  <c r="X59" i="73"/>
  <c r="W59" i="73"/>
  <c r="V59" i="73"/>
  <c r="U60" i="73"/>
  <c r="U59" i="73"/>
  <c r="U31" i="73"/>
  <c r="U30" i="73"/>
  <c r="AJ52" i="73"/>
  <c r="U23" i="73"/>
  <c r="U22" i="73"/>
  <c r="AJ46" i="73"/>
  <c r="U17" i="73"/>
  <c r="U14" i="73"/>
  <c r="AJ57" i="73"/>
  <c r="AJ56" i="73"/>
  <c r="AI55" i="73"/>
  <c r="AH55" i="73"/>
  <c r="AG55" i="73"/>
  <c r="AF55" i="73"/>
  <c r="AE55" i="73"/>
  <c r="AD55" i="73"/>
  <c r="AI54" i="73"/>
  <c r="AH54" i="73"/>
  <c r="AG54" i="73"/>
  <c r="AF54" i="73"/>
  <c r="AE54" i="73"/>
  <c r="AD54" i="73"/>
  <c r="AI52" i="73"/>
  <c r="AH52" i="73"/>
  <c r="AG52" i="73"/>
  <c r="AF52" i="73"/>
  <c r="AE52" i="73"/>
  <c r="AD52" i="73"/>
  <c r="AI51" i="73"/>
  <c r="AH51" i="73"/>
  <c r="AG51" i="73"/>
  <c r="AF51" i="73"/>
  <c r="AE51" i="73"/>
  <c r="AD51" i="73"/>
  <c r="AI49" i="73"/>
  <c r="AH49" i="73"/>
  <c r="AG49" i="73"/>
  <c r="AF49" i="73"/>
  <c r="AE49" i="73"/>
  <c r="AD49" i="73"/>
  <c r="AI48" i="73"/>
  <c r="AH48" i="73"/>
  <c r="AG48" i="73"/>
  <c r="AF48" i="73"/>
  <c r="AE48" i="73"/>
  <c r="AD48" i="73"/>
  <c r="AI43" i="73"/>
  <c r="AH43" i="73"/>
  <c r="AG43" i="73"/>
  <c r="AF43" i="73"/>
  <c r="AE43" i="73"/>
  <c r="AD43" i="73"/>
  <c r="AI42" i="73"/>
  <c r="AH42" i="73"/>
  <c r="AG42" i="73"/>
  <c r="AF42" i="73"/>
  <c r="AE42" i="73"/>
  <c r="AD42" i="73"/>
  <c r="AC55" i="73"/>
  <c r="AC54" i="73"/>
  <c r="AC52" i="73"/>
  <c r="AC51" i="73"/>
  <c r="AC49" i="73"/>
  <c r="AC48" i="73"/>
  <c r="AC43" i="73"/>
  <c r="AC42" i="73"/>
  <c r="AB55" i="73"/>
  <c r="AA55" i="73"/>
  <c r="Z55" i="73"/>
  <c r="Y55" i="73"/>
  <c r="X55" i="73"/>
  <c r="W55" i="73"/>
  <c r="V55" i="73"/>
  <c r="U55" i="73"/>
  <c r="AB54" i="73"/>
  <c r="AA54" i="73"/>
  <c r="Z54" i="73"/>
  <c r="Y54" i="73"/>
  <c r="X54" i="73"/>
  <c r="W54" i="73"/>
  <c r="V54" i="73"/>
  <c r="U54" i="73"/>
  <c r="AB52" i="73"/>
  <c r="AA52" i="73"/>
  <c r="Z52" i="73"/>
  <c r="Y52" i="73"/>
  <c r="X52" i="73"/>
  <c r="W52" i="73"/>
  <c r="V52" i="73"/>
  <c r="U52" i="73"/>
  <c r="AB51" i="73"/>
  <c r="AA51" i="73"/>
  <c r="Z51" i="73"/>
  <c r="Y51" i="73"/>
  <c r="X51" i="73"/>
  <c r="W51" i="73"/>
  <c r="V51" i="73"/>
  <c r="U51" i="73"/>
  <c r="AB49" i="73"/>
  <c r="AA49" i="73"/>
  <c r="Z49" i="73"/>
  <c r="Y49" i="73"/>
  <c r="X49" i="73"/>
  <c r="W49" i="73"/>
  <c r="V49" i="73"/>
  <c r="U49" i="73"/>
  <c r="AB48" i="73"/>
  <c r="AA48" i="73"/>
  <c r="Z48" i="73"/>
  <c r="Y48" i="73"/>
  <c r="X48" i="73"/>
  <c r="W48" i="73"/>
  <c r="V48" i="73"/>
  <c r="U48" i="73"/>
  <c r="AB46" i="73"/>
  <c r="AA46" i="73"/>
  <c r="Z46" i="73"/>
  <c r="Y46" i="73"/>
  <c r="X46" i="73"/>
  <c r="W46" i="73"/>
  <c r="V46" i="73"/>
  <c r="AB45" i="73"/>
  <c r="AA45" i="73"/>
  <c r="Z45" i="73"/>
  <c r="Y45" i="73"/>
  <c r="X45" i="73"/>
  <c r="W45" i="73"/>
  <c r="V45" i="73"/>
  <c r="AB43" i="73"/>
  <c r="AA43" i="73"/>
  <c r="Z43" i="73"/>
  <c r="Y43" i="73"/>
  <c r="X43" i="73"/>
  <c r="W43" i="73"/>
  <c r="V43" i="73"/>
  <c r="U43" i="73"/>
  <c r="AB42" i="73"/>
  <c r="AA42" i="73"/>
  <c r="Z42" i="73"/>
  <c r="Y42" i="73"/>
  <c r="X42" i="73"/>
  <c r="W42" i="73"/>
  <c r="V42" i="73"/>
  <c r="U42" i="73"/>
  <c r="AB35" i="73"/>
  <c r="AB26" i="73"/>
  <c r="AA26" i="73"/>
  <c r="Z26" i="73"/>
  <c r="Y26" i="73"/>
  <c r="X26" i="73"/>
  <c r="W26" i="73"/>
  <c r="V26" i="73"/>
  <c r="U26" i="73"/>
  <c r="AB25" i="73"/>
  <c r="AA25" i="73"/>
  <c r="Z25" i="73"/>
  <c r="Y25" i="73"/>
  <c r="X25" i="73"/>
  <c r="W25" i="73"/>
  <c r="V25" i="73"/>
  <c r="U25" i="73"/>
  <c r="AB23" i="73"/>
  <c r="AA23" i="73"/>
  <c r="Z23" i="73"/>
  <c r="Y23" i="73"/>
  <c r="X23" i="73"/>
  <c r="W23" i="73"/>
  <c r="V23" i="73"/>
  <c r="AB22" i="73"/>
  <c r="AA22" i="73"/>
  <c r="Z22" i="73"/>
  <c r="Y22" i="73"/>
  <c r="X22" i="73"/>
  <c r="W22" i="73"/>
  <c r="V22" i="73"/>
  <c r="AB20" i="73"/>
  <c r="AA20" i="73"/>
  <c r="Z20" i="73"/>
  <c r="Y20" i="73"/>
  <c r="X20" i="73"/>
  <c r="W20" i="73"/>
  <c r="V20" i="73"/>
  <c r="U20" i="73"/>
  <c r="AB19" i="73"/>
  <c r="AA19" i="73"/>
  <c r="Z19" i="73"/>
  <c r="Y19" i="73"/>
  <c r="X19" i="73"/>
  <c r="W19" i="73"/>
  <c r="V19" i="73"/>
  <c r="U19" i="73"/>
  <c r="AB17" i="73"/>
  <c r="AA17" i="73"/>
  <c r="Z17" i="73"/>
  <c r="Y17" i="73"/>
  <c r="X17" i="73"/>
  <c r="W17" i="73"/>
  <c r="V17" i="73"/>
  <c r="AB16" i="73"/>
  <c r="AA16" i="73"/>
  <c r="Z16" i="73"/>
  <c r="Y16" i="73"/>
  <c r="X16" i="73"/>
  <c r="W16" i="73"/>
  <c r="V16" i="73"/>
  <c r="U16" i="73"/>
  <c r="AB14" i="73"/>
  <c r="AA14" i="73"/>
  <c r="Z14" i="73"/>
  <c r="Y14" i="73"/>
  <c r="X14" i="73"/>
  <c r="W14" i="73"/>
  <c r="V14" i="73"/>
  <c r="AB13" i="73"/>
  <c r="AA13" i="73"/>
  <c r="Z13" i="73"/>
  <c r="Y13" i="73"/>
  <c r="X13" i="73"/>
  <c r="W13" i="73"/>
  <c r="V13" i="73"/>
  <c r="U13" i="73"/>
  <c r="F46" i="73"/>
  <c r="U46" i="73" s="1"/>
  <c r="M60" i="73"/>
  <c r="L60" i="73"/>
  <c r="K60" i="73"/>
  <c r="J60" i="73"/>
  <c r="I60" i="73"/>
  <c r="H60" i="73"/>
  <c r="G60" i="73"/>
  <c r="M59" i="73"/>
  <c r="L59" i="73"/>
  <c r="K59" i="73"/>
  <c r="J59" i="73"/>
  <c r="I59" i="73"/>
  <c r="H59" i="73"/>
  <c r="G59" i="73"/>
  <c r="F59" i="73"/>
  <c r="AP57" i="73"/>
  <c r="AO57" i="73"/>
  <c r="AN57" i="73"/>
  <c r="AM57" i="73"/>
  <c r="AL57" i="73"/>
  <c r="AK57" i="73"/>
  <c r="AP56" i="73"/>
  <c r="AO56" i="73"/>
  <c r="AN56" i="73"/>
  <c r="AM56" i="73"/>
  <c r="AL56" i="73"/>
  <c r="AK56" i="73"/>
  <c r="M55" i="73"/>
  <c r="L55" i="73"/>
  <c r="K55" i="73"/>
  <c r="J55" i="73"/>
  <c r="I55" i="73"/>
  <c r="H55" i="73"/>
  <c r="G55" i="73"/>
  <c r="F55" i="73"/>
  <c r="M54" i="73"/>
  <c r="L54" i="73"/>
  <c r="K54" i="73"/>
  <c r="J54" i="73"/>
  <c r="I54" i="73"/>
  <c r="H54" i="73"/>
  <c r="G54" i="73"/>
  <c r="F54" i="73"/>
  <c r="M52" i="73"/>
  <c r="L52" i="73"/>
  <c r="K52" i="73"/>
  <c r="J52" i="73"/>
  <c r="I52" i="73"/>
  <c r="H52" i="73"/>
  <c r="G52" i="73"/>
  <c r="M51" i="73"/>
  <c r="L51" i="73"/>
  <c r="K51" i="73"/>
  <c r="J51" i="73"/>
  <c r="I51" i="73"/>
  <c r="H51" i="73"/>
  <c r="G51" i="73"/>
  <c r="F51" i="73"/>
  <c r="M49" i="73"/>
  <c r="L49" i="73"/>
  <c r="K49" i="73"/>
  <c r="J49" i="73"/>
  <c r="I49" i="73"/>
  <c r="H49" i="73"/>
  <c r="G49" i="73"/>
  <c r="F49" i="73"/>
  <c r="M48" i="73"/>
  <c r="L48" i="73"/>
  <c r="K48" i="73"/>
  <c r="J48" i="73"/>
  <c r="I48" i="73"/>
  <c r="H48" i="73"/>
  <c r="G48" i="73"/>
  <c r="F48" i="73"/>
  <c r="M46" i="73"/>
  <c r="L46" i="73"/>
  <c r="K46" i="73"/>
  <c r="J46" i="73"/>
  <c r="I46" i="73"/>
  <c r="H46" i="73"/>
  <c r="G46" i="73"/>
  <c r="M45" i="73"/>
  <c r="L45" i="73"/>
  <c r="K45" i="73"/>
  <c r="J45" i="73"/>
  <c r="I45" i="73"/>
  <c r="H45" i="73"/>
  <c r="G45" i="73"/>
  <c r="F45" i="73"/>
  <c r="U45" i="73" s="1"/>
  <c r="M43" i="73"/>
  <c r="M57" i="73" s="1"/>
  <c r="L43" i="73"/>
  <c r="K43" i="73"/>
  <c r="J43" i="73"/>
  <c r="I43" i="73"/>
  <c r="H43" i="73"/>
  <c r="G43" i="73"/>
  <c r="M42" i="73"/>
  <c r="M56" i="73" s="1"/>
  <c r="L42" i="73"/>
  <c r="K42" i="73"/>
  <c r="J42" i="73"/>
  <c r="I42" i="73"/>
  <c r="H42" i="73"/>
  <c r="G42" i="73"/>
  <c r="F42" i="73"/>
  <c r="U38" i="73"/>
  <c r="AP28" i="73"/>
  <c r="AO28" i="73"/>
  <c r="AN28" i="73"/>
  <c r="AM28" i="73"/>
  <c r="AL28" i="73"/>
  <c r="AK28" i="73"/>
  <c r="AJ28" i="73"/>
  <c r="AJ33" i="73" s="1"/>
  <c r="M28" i="73"/>
  <c r="L28" i="73"/>
  <c r="K28" i="73"/>
  <c r="J28" i="73"/>
  <c r="I28" i="73"/>
  <c r="H28" i="73"/>
  <c r="G28" i="73"/>
  <c r="AP27" i="73"/>
  <c r="AO27" i="73"/>
  <c r="AN27" i="73"/>
  <c r="AM27" i="73"/>
  <c r="AL27" i="73"/>
  <c r="AK27" i="73"/>
  <c r="AJ27" i="73"/>
  <c r="AJ32" i="73" s="1"/>
  <c r="M27" i="73"/>
  <c r="L27" i="73"/>
  <c r="K27" i="73"/>
  <c r="J27" i="73"/>
  <c r="I27" i="73"/>
  <c r="H27" i="73"/>
  <c r="G27" i="73"/>
  <c r="F27" i="73"/>
  <c r="T26" i="73"/>
  <c r="S26" i="73"/>
  <c r="R26" i="73"/>
  <c r="Q26" i="73"/>
  <c r="P26" i="73"/>
  <c r="O26" i="73"/>
  <c r="N26" i="73"/>
  <c r="T25" i="73"/>
  <c r="S25" i="73"/>
  <c r="R25" i="73"/>
  <c r="Q25" i="73"/>
  <c r="P25" i="73"/>
  <c r="O25" i="73"/>
  <c r="N25" i="73"/>
  <c r="T22" i="73"/>
  <c r="S22" i="73"/>
  <c r="R22" i="73"/>
  <c r="Q22" i="73"/>
  <c r="P22" i="73"/>
  <c r="O22" i="73"/>
  <c r="N22" i="73"/>
  <c r="T20" i="73"/>
  <c r="S20" i="73"/>
  <c r="R20" i="73"/>
  <c r="Q20" i="73"/>
  <c r="P20" i="73"/>
  <c r="O20" i="73"/>
  <c r="N20" i="73"/>
  <c r="T19" i="73"/>
  <c r="S19" i="73"/>
  <c r="R19" i="73"/>
  <c r="Q19" i="73"/>
  <c r="P19" i="73"/>
  <c r="O19" i="73"/>
  <c r="N19" i="73"/>
  <c r="T17" i="73"/>
  <c r="S17" i="73"/>
  <c r="R17" i="73"/>
  <c r="Q17" i="73"/>
  <c r="P17" i="73"/>
  <c r="O17" i="73"/>
  <c r="N17" i="73"/>
  <c r="T16" i="73"/>
  <c r="S16" i="73"/>
  <c r="R16" i="73"/>
  <c r="Q16" i="73"/>
  <c r="P16" i="73"/>
  <c r="O16" i="73"/>
  <c r="N16" i="73"/>
  <c r="AB28" i="73"/>
  <c r="AA28" i="73"/>
  <c r="AA35" i="73" s="1"/>
  <c r="Z28" i="73"/>
  <c r="Z35" i="73" s="1"/>
  <c r="Y28" i="73"/>
  <c r="Y35" i="73" s="1"/>
  <c r="X28" i="73"/>
  <c r="X35" i="73" s="1"/>
  <c r="W28" i="73"/>
  <c r="W35" i="73" s="1"/>
  <c r="V28" i="73"/>
  <c r="V35" i="73" s="1"/>
  <c r="AB27" i="73"/>
  <c r="AB34" i="73" s="1"/>
  <c r="AA27" i="73"/>
  <c r="AA34" i="73" s="1"/>
  <c r="Z27" i="73"/>
  <c r="Z34" i="73" s="1"/>
  <c r="Y27" i="73"/>
  <c r="Y34" i="73" s="1"/>
  <c r="X27" i="73"/>
  <c r="X34" i="73" s="1"/>
  <c r="W27" i="73"/>
  <c r="W34" i="73" s="1"/>
  <c r="V27" i="73"/>
  <c r="V34" i="73" s="1"/>
  <c r="T13" i="73"/>
  <c r="S13" i="73"/>
  <c r="R13" i="73"/>
  <c r="Q13" i="73"/>
  <c r="P13" i="73"/>
  <c r="O13" i="73"/>
  <c r="N13" i="73"/>
  <c r="F9" i="73"/>
  <c r="AP3" i="73"/>
  <c r="U35" i="72"/>
  <c r="U31" i="72"/>
  <c r="AB35" i="72"/>
  <c r="AA35" i="72"/>
  <c r="Z35" i="72"/>
  <c r="Y35" i="72"/>
  <c r="X35" i="72"/>
  <c r="W35" i="72"/>
  <c r="V35" i="72"/>
  <c r="AB34" i="72"/>
  <c r="AA34" i="72"/>
  <c r="Z34" i="72"/>
  <c r="Y34" i="72"/>
  <c r="X34" i="72"/>
  <c r="W34" i="72"/>
  <c r="V34" i="72"/>
  <c r="AC46" i="73" l="1"/>
  <c r="AD46" i="73"/>
  <c r="AE46" i="73"/>
  <c r="AF46" i="73"/>
  <c r="AG46" i="73"/>
  <c r="AH46" i="73"/>
  <c r="AI46" i="73"/>
  <c r="U57" i="73"/>
  <c r="AC57" i="73" s="1"/>
  <c r="AC45" i="73"/>
  <c r="AD45" i="73"/>
  <c r="AE45" i="73"/>
  <c r="AF45" i="73"/>
  <c r="AG45" i="73"/>
  <c r="AH45" i="73"/>
  <c r="AI45" i="73"/>
  <c r="U56" i="73"/>
  <c r="AC56" i="73" s="1"/>
  <c r="O14" i="73"/>
  <c r="T14" i="73"/>
  <c r="R14" i="73"/>
  <c r="Q14" i="73"/>
  <c r="F43" i="73"/>
  <c r="P14" i="73"/>
  <c r="S14" i="73"/>
  <c r="N14" i="73"/>
  <c r="Q55" i="73"/>
  <c r="R55" i="73"/>
  <c r="P55" i="73"/>
  <c r="S55" i="73"/>
  <c r="T55" i="73"/>
  <c r="O55" i="73"/>
  <c r="N55" i="73"/>
  <c r="P54" i="73"/>
  <c r="O54" i="73"/>
  <c r="Q54" i="73"/>
  <c r="N54" i="73"/>
  <c r="T54" i="73"/>
  <c r="S54" i="73"/>
  <c r="R54" i="73"/>
  <c r="P51" i="73"/>
  <c r="R51" i="73"/>
  <c r="Q51" i="73"/>
  <c r="T51" i="73"/>
  <c r="O51" i="73"/>
  <c r="S51" i="73"/>
  <c r="N51" i="73"/>
  <c r="S49" i="73"/>
  <c r="Q49" i="73"/>
  <c r="P49" i="73"/>
  <c r="T49" i="73"/>
  <c r="O49" i="73"/>
  <c r="N49" i="73"/>
  <c r="R49" i="73"/>
  <c r="S48" i="73"/>
  <c r="T48" i="73"/>
  <c r="N48" i="73"/>
  <c r="P48" i="73"/>
  <c r="R48" i="73"/>
  <c r="O48" i="73"/>
  <c r="Q48" i="73"/>
  <c r="S46" i="73"/>
  <c r="N46" i="73"/>
  <c r="T46" i="73"/>
  <c r="Q46" i="73"/>
  <c r="O46" i="73"/>
  <c r="P46" i="73"/>
  <c r="R46" i="73"/>
  <c r="N45" i="73"/>
  <c r="S45" i="73"/>
  <c r="R45" i="73"/>
  <c r="P45" i="73"/>
  <c r="T45" i="73"/>
  <c r="O45" i="73"/>
  <c r="Q45" i="73"/>
  <c r="AB57" i="73"/>
  <c r="L57" i="73"/>
  <c r="K57" i="73"/>
  <c r="AA57" i="73"/>
  <c r="J57" i="73"/>
  <c r="Z57" i="73"/>
  <c r="I57" i="73"/>
  <c r="Y57" i="73"/>
  <c r="H57" i="73"/>
  <c r="X57" i="73"/>
  <c r="G57" i="73"/>
  <c r="W57" i="73"/>
  <c r="AB56" i="73"/>
  <c r="L56" i="73"/>
  <c r="K56" i="73"/>
  <c r="AA56" i="73"/>
  <c r="J56" i="73"/>
  <c r="Z56" i="73"/>
  <c r="Y56" i="73"/>
  <c r="I56" i="73"/>
  <c r="H56" i="73"/>
  <c r="X56" i="73"/>
  <c r="W56" i="73"/>
  <c r="G56" i="73"/>
  <c r="O42" i="73"/>
  <c r="S42" i="73"/>
  <c r="F56" i="73"/>
  <c r="Q42" i="73"/>
  <c r="R42" i="73"/>
  <c r="P42" i="73"/>
  <c r="T42" i="73"/>
  <c r="N42" i="73"/>
  <c r="T27" i="73"/>
  <c r="S27" i="73"/>
  <c r="O27" i="73"/>
  <c r="F32" i="73"/>
  <c r="N27" i="73"/>
  <c r="R27" i="73"/>
  <c r="P27" i="73"/>
  <c r="Q27" i="73"/>
  <c r="AE26" i="73"/>
  <c r="AF26" i="73"/>
  <c r="AG26" i="73"/>
  <c r="AC26" i="73"/>
  <c r="AH26" i="73"/>
  <c r="AD26" i="73"/>
  <c r="AI26" i="73"/>
  <c r="AF25" i="73"/>
  <c r="AE25" i="73"/>
  <c r="AI25" i="73"/>
  <c r="AC25" i="73"/>
  <c r="AH25" i="73"/>
  <c r="AG25" i="73"/>
  <c r="AD25" i="73"/>
  <c r="AI22" i="73"/>
  <c r="AH22" i="73"/>
  <c r="AD22" i="73"/>
  <c r="AE22" i="73"/>
  <c r="AC22" i="73"/>
  <c r="AF22" i="73"/>
  <c r="AG22" i="73"/>
  <c r="AD20" i="73"/>
  <c r="AI20" i="73"/>
  <c r="AG20" i="73"/>
  <c r="AH20" i="73"/>
  <c r="AC20" i="73"/>
  <c r="AF20" i="73"/>
  <c r="AE20" i="73"/>
  <c r="AG19" i="73"/>
  <c r="AI19" i="73"/>
  <c r="AE19" i="73"/>
  <c r="AH19" i="73"/>
  <c r="AD19" i="73"/>
  <c r="AC19" i="73"/>
  <c r="AF19" i="73"/>
  <c r="AD17" i="73"/>
  <c r="AG17" i="73"/>
  <c r="AE17" i="73"/>
  <c r="AF17" i="73"/>
  <c r="AH17" i="73"/>
  <c r="AI17" i="73"/>
  <c r="AC17" i="73"/>
  <c r="AI16" i="73"/>
  <c r="AD16" i="73"/>
  <c r="AH16" i="73"/>
  <c r="AG16" i="73"/>
  <c r="AE16" i="73"/>
  <c r="AC16" i="73"/>
  <c r="AF16" i="73"/>
  <c r="AD13" i="73"/>
  <c r="U27" i="73"/>
  <c r="AG13" i="73"/>
  <c r="AI13" i="73"/>
  <c r="AC13" i="73"/>
  <c r="AF13" i="73"/>
  <c r="AH13" i="73"/>
  <c r="AE13" i="73"/>
  <c r="F38" i="73"/>
  <c r="U9" i="73"/>
  <c r="V59" i="72"/>
  <c r="V43" i="72"/>
  <c r="V52" i="72"/>
  <c r="U14" i="72"/>
  <c r="V42" i="72"/>
  <c r="U30" i="72"/>
  <c r="U23" i="72"/>
  <c r="Q43" i="73" l="1"/>
  <c r="P43" i="73"/>
  <c r="AG14" i="73"/>
  <c r="AH14" i="73"/>
  <c r="AC14" i="73"/>
  <c r="AI14" i="73"/>
  <c r="AD14" i="73"/>
  <c r="AE14" i="73"/>
  <c r="AF14" i="73"/>
  <c r="S43" i="73"/>
  <c r="O43" i="73"/>
  <c r="N43" i="73"/>
  <c r="R43" i="73"/>
  <c r="T43" i="73"/>
  <c r="O56" i="73"/>
  <c r="Q56" i="73"/>
  <c r="F61" i="73"/>
  <c r="S56" i="73"/>
  <c r="N56" i="73"/>
  <c r="R56" i="73"/>
  <c r="P56" i="73"/>
  <c r="T56" i="73"/>
  <c r="V56" i="73"/>
  <c r="AE27" i="73"/>
  <c r="AI27" i="73"/>
  <c r="AH27" i="73"/>
  <c r="AD27" i="73"/>
  <c r="U32" i="73"/>
  <c r="U34" i="73" s="1"/>
  <c r="AF27" i="73"/>
  <c r="AC27" i="73"/>
  <c r="AG27" i="73"/>
  <c r="AB26" i="72"/>
  <c r="AA26" i="72"/>
  <c r="Z26" i="72"/>
  <c r="Y26" i="72"/>
  <c r="X26" i="72"/>
  <c r="W26" i="72"/>
  <c r="V26" i="72"/>
  <c r="U26" i="72"/>
  <c r="AB25" i="72"/>
  <c r="AA25" i="72"/>
  <c r="Z25" i="72"/>
  <c r="Y25" i="72"/>
  <c r="X25" i="72"/>
  <c r="W25" i="72"/>
  <c r="V25" i="72"/>
  <c r="U25" i="72"/>
  <c r="AB23" i="72"/>
  <c r="AA23" i="72"/>
  <c r="Z23" i="72"/>
  <c r="Y23" i="72"/>
  <c r="X23" i="72"/>
  <c r="W23" i="72"/>
  <c r="V23" i="72"/>
  <c r="AB22" i="72"/>
  <c r="AA22" i="72"/>
  <c r="Z22" i="72"/>
  <c r="Y22" i="72"/>
  <c r="X22" i="72"/>
  <c r="W22" i="72"/>
  <c r="V22" i="72"/>
  <c r="U22" i="72"/>
  <c r="AH22" i="72" s="1"/>
  <c r="AB20" i="72"/>
  <c r="AA20" i="72"/>
  <c r="Z20" i="72"/>
  <c r="Y20" i="72"/>
  <c r="X20" i="72"/>
  <c r="W20" i="72"/>
  <c r="V20" i="72"/>
  <c r="U20" i="72"/>
  <c r="AF20" i="72" s="1"/>
  <c r="AB19" i="72"/>
  <c r="AA19" i="72"/>
  <c r="Z19" i="72"/>
  <c r="Y19" i="72"/>
  <c r="X19" i="72"/>
  <c r="W19" i="72"/>
  <c r="V19" i="72"/>
  <c r="U19" i="72"/>
  <c r="AB17" i="72"/>
  <c r="AA17" i="72"/>
  <c r="Z17" i="72"/>
  <c r="Y17" i="72"/>
  <c r="X17" i="72"/>
  <c r="W17" i="72"/>
  <c r="V17" i="72"/>
  <c r="U17" i="72"/>
  <c r="AB16" i="72"/>
  <c r="AA16" i="72"/>
  <c r="Z16" i="72"/>
  <c r="Y16" i="72"/>
  <c r="X16" i="72"/>
  <c r="W16" i="72"/>
  <c r="V16" i="72"/>
  <c r="U16" i="72"/>
  <c r="AH16" i="72" s="1"/>
  <c r="AB14" i="72"/>
  <c r="AA14" i="72"/>
  <c r="Z14" i="72"/>
  <c r="Y14" i="72"/>
  <c r="X14" i="72"/>
  <c r="W14" i="72"/>
  <c r="V14" i="72"/>
  <c r="AB13" i="72"/>
  <c r="AA13" i="72"/>
  <c r="Z13" i="72"/>
  <c r="Y13" i="72"/>
  <c r="X13" i="72"/>
  <c r="W13" i="72"/>
  <c r="V13" i="72"/>
  <c r="U13" i="72"/>
  <c r="AH13" i="72" s="1"/>
  <c r="AB55" i="72"/>
  <c r="AA55" i="72"/>
  <c r="Z55" i="72"/>
  <c r="Y55" i="72"/>
  <c r="X55" i="72"/>
  <c r="W55" i="72"/>
  <c r="V55" i="72"/>
  <c r="AB54" i="72"/>
  <c r="AA54" i="72"/>
  <c r="Z54" i="72"/>
  <c r="Y54" i="72"/>
  <c r="X54" i="72"/>
  <c r="W54" i="72"/>
  <c r="AB52" i="72"/>
  <c r="AA52" i="72"/>
  <c r="Z52" i="72"/>
  <c r="Y52" i="72"/>
  <c r="X52" i="72"/>
  <c r="W52" i="72"/>
  <c r="AB51" i="72"/>
  <c r="AA51" i="72"/>
  <c r="Z51" i="72"/>
  <c r="Y51" i="72"/>
  <c r="X51" i="72"/>
  <c r="W51" i="72"/>
  <c r="V51" i="72"/>
  <c r="AB49" i="72"/>
  <c r="AA49" i="72"/>
  <c r="Z49" i="72"/>
  <c r="Y49" i="72"/>
  <c r="X49" i="72"/>
  <c r="W49" i="72"/>
  <c r="AB48" i="72"/>
  <c r="AA48" i="72"/>
  <c r="Z48" i="72"/>
  <c r="Y48" i="72"/>
  <c r="X48" i="72"/>
  <c r="W48" i="72"/>
  <c r="V48" i="72"/>
  <c r="AB46" i="72"/>
  <c r="AA46" i="72"/>
  <c r="Z46" i="72"/>
  <c r="Y46" i="72"/>
  <c r="X46" i="72"/>
  <c r="W46" i="72"/>
  <c r="V46" i="72"/>
  <c r="AB45" i="72"/>
  <c r="AA45" i="72"/>
  <c r="Z45" i="72"/>
  <c r="Y45" i="72"/>
  <c r="X45" i="72"/>
  <c r="W45" i="72"/>
  <c r="V45" i="72"/>
  <c r="AB43" i="72"/>
  <c r="AA43" i="72"/>
  <c r="Z43" i="72"/>
  <c r="Y43" i="72"/>
  <c r="X43" i="72"/>
  <c r="W43" i="72"/>
  <c r="AB42" i="72"/>
  <c r="AA42" i="72"/>
  <c r="Z42" i="72"/>
  <c r="Y42" i="72"/>
  <c r="X42" i="72"/>
  <c r="W42" i="72"/>
  <c r="M60" i="72"/>
  <c r="L60" i="72"/>
  <c r="K60" i="72"/>
  <c r="J60" i="72"/>
  <c r="I60" i="72"/>
  <c r="H60" i="72"/>
  <c r="G60" i="72"/>
  <c r="F60" i="72"/>
  <c r="M59" i="72"/>
  <c r="L59" i="72"/>
  <c r="K59" i="72"/>
  <c r="J59" i="72"/>
  <c r="I59" i="72"/>
  <c r="H59" i="72"/>
  <c r="G59" i="72"/>
  <c r="F59" i="72"/>
  <c r="AP57" i="72"/>
  <c r="AO57" i="72"/>
  <c r="AN57" i="72"/>
  <c r="AM57" i="72"/>
  <c r="AL57" i="72"/>
  <c r="AK57" i="72"/>
  <c r="U57" i="72"/>
  <c r="AP56" i="72"/>
  <c r="AO56" i="72"/>
  <c r="AN56" i="72"/>
  <c r="AM56" i="72"/>
  <c r="AL56" i="72"/>
  <c r="AK56" i="72"/>
  <c r="U56" i="72"/>
  <c r="M55" i="72"/>
  <c r="L55" i="72"/>
  <c r="K55" i="72"/>
  <c r="J55" i="72"/>
  <c r="I55" i="72"/>
  <c r="H55" i="72"/>
  <c r="G55" i="72"/>
  <c r="F55" i="72"/>
  <c r="M54" i="72"/>
  <c r="L54" i="72"/>
  <c r="K54" i="72"/>
  <c r="J54" i="72"/>
  <c r="I54" i="72"/>
  <c r="H54" i="72"/>
  <c r="G54" i="72"/>
  <c r="F54" i="72"/>
  <c r="V54" i="72" s="1"/>
  <c r="M52" i="72"/>
  <c r="L52" i="72"/>
  <c r="K52" i="72"/>
  <c r="J52" i="72"/>
  <c r="I52" i="72"/>
  <c r="H52" i="72"/>
  <c r="G52" i="72"/>
  <c r="F52" i="72"/>
  <c r="M51" i="72"/>
  <c r="L51" i="72"/>
  <c r="K51" i="72"/>
  <c r="J51" i="72"/>
  <c r="I51" i="72"/>
  <c r="H51" i="72"/>
  <c r="G51" i="72"/>
  <c r="F51" i="72"/>
  <c r="M49" i="72"/>
  <c r="L49" i="72"/>
  <c r="K49" i="72"/>
  <c r="J49" i="72"/>
  <c r="I49" i="72"/>
  <c r="H49" i="72"/>
  <c r="G49" i="72"/>
  <c r="F49" i="72"/>
  <c r="V49" i="72" s="1"/>
  <c r="M48" i="72"/>
  <c r="L48" i="72"/>
  <c r="K48" i="72"/>
  <c r="J48" i="72"/>
  <c r="I48" i="72"/>
  <c r="H48" i="72"/>
  <c r="G48" i="72"/>
  <c r="F48" i="72"/>
  <c r="M46" i="72"/>
  <c r="L46" i="72"/>
  <c r="K46" i="72"/>
  <c r="J46" i="72"/>
  <c r="I46" i="72"/>
  <c r="H46" i="72"/>
  <c r="G46" i="72"/>
  <c r="F46" i="72"/>
  <c r="M45" i="72"/>
  <c r="L45" i="72"/>
  <c r="K45" i="72"/>
  <c r="J45" i="72"/>
  <c r="I45" i="72"/>
  <c r="H45" i="72"/>
  <c r="G45" i="72"/>
  <c r="F45" i="72"/>
  <c r="M43" i="72"/>
  <c r="L43" i="72"/>
  <c r="K43" i="72"/>
  <c r="J43" i="72"/>
  <c r="I43" i="72"/>
  <c r="H43" i="72"/>
  <c r="G43" i="72"/>
  <c r="F43" i="72"/>
  <c r="M42" i="72"/>
  <c r="L42" i="72"/>
  <c r="K42" i="72"/>
  <c r="J42" i="72"/>
  <c r="I42" i="72"/>
  <c r="H42" i="72"/>
  <c r="G42" i="72"/>
  <c r="F42" i="72"/>
  <c r="U38" i="72"/>
  <c r="AJ32" i="72"/>
  <c r="AP28" i="72"/>
  <c r="AO28" i="72"/>
  <c r="AN28" i="72"/>
  <c r="AM28" i="72"/>
  <c r="AL28" i="72"/>
  <c r="AK28" i="72"/>
  <c r="AJ28" i="72"/>
  <c r="AJ33" i="72" s="1"/>
  <c r="M28" i="72"/>
  <c r="L28" i="72"/>
  <c r="K28" i="72"/>
  <c r="J28" i="72"/>
  <c r="I28" i="72"/>
  <c r="H28" i="72"/>
  <c r="G28" i="72"/>
  <c r="F28" i="72"/>
  <c r="F33" i="72" s="1"/>
  <c r="AP27" i="72"/>
  <c r="AO27" i="72"/>
  <c r="AN27" i="72"/>
  <c r="AM27" i="72"/>
  <c r="AL27" i="72"/>
  <c r="AK27" i="72"/>
  <c r="AJ27" i="72"/>
  <c r="M27" i="72"/>
  <c r="L27" i="72"/>
  <c r="K27" i="72"/>
  <c r="J27" i="72"/>
  <c r="I27" i="72"/>
  <c r="H27" i="72"/>
  <c r="G27" i="72"/>
  <c r="F27" i="72"/>
  <c r="T26" i="72"/>
  <c r="S26" i="72"/>
  <c r="R26" i="72"/>
  <c r="Q26" i="72"/>
  <c r="P26" i="72"/>
  <c r="O26" i="72"/>
  <c r="N26" i="72"/>
  <c r="T25" i="72"/>
  <c r="S25" i="72"/>
  <c r="R25" i="72"/>
  <c r="Q25" i="72"/>
  <c r="P25" i="72"/>
  <c r="O25" i="72"/>
  <c r="N25" i="72"/>
  <c r="T23" i="72"/>
  <c r="S23" i="72"/>
  <c r="R23" i="72"/>
  <c r="Q23" i="72"/>
  <c r="P23" i="72"/>
  <c r="O23" i="72"/>
  <c r="N23" i="72"/>
  <c r="T22" i="72"/>
  <c r="S22" i="72"/>
  <c r="R22" i="72"/>
  <c r="Q22" i="72"/>
  <c r="P22" i="72"/>
  <c r="O22" i="72"/>
  <c r="N22" i="72"/>
  <c r="AG20" i="72"/>
  <c r="T20" i="72"/>
  <c r="S20" i="72"/>
  <c r="R20" i="72"/>
  <c r="Q20" i="72"/>
  <c r="P20" i="72"/>
  <c r="O20" i="72"/>
  <c r="N20" i="72"/>
  <c r="T19" i="72"/>
  <c r="S19" i="72"/>
  <c r="R19" i="72"/>
  <c r="Q19" i="72"/>
  <c r="P19" i="72"/>
  <c r="O19" i="72"/>
  <c r="N19" i="72"/>
  <c r="T17" i="72"/>
  <c r="S17" i="72"/>
  <c r="R17" i="72"/>
  <c r="Q17" i="72"/>
  <c r="P17" i="72"/>
  <c r="O17" i="72"/>
  <c r="N17" i="72"/>
  <c r="T16" i="72"/>
  <c r="S16" i="72"/>
  <c r="R16" i="72"/>
  <c r="Q16" i="72"/>
  <c r="P16" i="72"/>
  <c r="O16" i="72"/>
  <c r="N16" i="72"/>
  <c r="T14" i="72"/>
  <c r="S14" i="72"/>
  <c r="R14" i="72"/>
  <c r="Q14" i="72"/>
  <c r="P14" i="72"/>
  <c r="O14" i="72"/>
  <c r="N14" i="72"/>
  <c r="T13" i="72"/>
  <c r="S13" i="72"/>
  <c r="R13" i="72"/>
  <c r="Q13" i="72"/>
  <c r="P13" i="72"/>
  <c r="O13" i="72"/>
  <c r="N13" i="72"/>
  <c r="F9" i="72"/>
  <c r="U9" i="72" s="1"/>
  <c r="AE56" i="73" l="1"/>
  <c r="AD56" i="73"/>
  <c r="AG56" i="73"/>
  <c r="AH56" i="73"/>
  <c r="AI56" i="73"/>
  <c r="AF56" i="73"/>
  <c r="AC25" i="72"/>
  <c r="AE20" i="72"/>
  <c r="AD46" i="72"/>
  <c r="S49" i="72"/>
  <c r="Q51" i="72"/>
  <c r="S52" i="72"/>
  <c r="O54" i="72"/>
  <c r="S55" i="72"/>
  <c r="AB27" i="72"/>
  <c r="V28" i="72"/>
  <c r="O42" i="72"/>
  <c r="M57" i="72"/>
  <c r="O45" i="72"/>
  <c r="W27" i="72"/>
  <c r="S43" i="72"/>
  <c r="S27" i="72"/>
  <c r="AE46" i="72"/>
  <c r="Z28" i="72"/>
  <c r="I56" i="72"/>
  <c r="H57" i="72"/>
  <c r="AC19" i="72"/>
  <c r="AG22" i="72"/>
  <c r="J57" i="72"/>
  <c r="AC13" i="72"/>
  <c r="AE14" i="72"/>
  <c r="L56" i="72"/>
  <c r="AF14" i="72"/>
  <c r="Y27" i="72"/>
  <c r="AE26" i="72"/>
  <c r="AF26" i="72"/>
  <c r="Y28" i="72"/>
  <c r="AH19" i="72"/>
  <c r="AD20" i="72"/>
  <c r="Q27" i="72"/>
  <c r="R27" i="72"/>
  <c r="X56" i="72"/>
  <c r="X58" i="72" s="1"/>
  <c r="Y56" i="72"/>
  <c r="Y58" i="72" s="1"/>
  <c r="AB57" i="72"/>
  <c r="AB59" i="72" s="1"/>
  <c r="S46" i="72"/>
  <c r="T46" i="72"/>
  <c r="O51" i="72"/>
  <c r="P51" i="72"/>
  <c r="Z56" i="72"/>
  <c r="Z58" i="72" s="1"/>
  <c r="AA28" i="72"/>
  <c r="Z27" i="72"/>
  <c r="AD22" i="72"/>
  <c r="J56" i="72"/>
  <c r="T43" i="72"/>
  <c r="O48" i="72"/>
  <c r="P48" i="72"/>
  <c r="T55" i="72"/>
  <c r="U28" i="72"/>
  <c r="U33" i="72" s="1"/>
  <c r="AD13" i="72"/>
  <c r="V27" i="72"/>
  <c r="AE13" i="72"/>
  <c r="AB28" i="72"/>
  <c r="AA27" i="72"/>
  <c r="AF22" i="72"/>
  <c r="K56" i="72"/>
  <c r="G57" i="72"/>
  <c r="AI43" i="72"/>
  <c r="Q48" i="72"/>
  <c r="AE55" i="72"/>
  <c r="AD25" i="72"/>
  <c r="T52" i="72"/>
  <c r="P45" i="72"/>
  <c r="X27" i="72"/>
  <c r="AG14" i="72"/>
  <c r="AG16" i="72"/>
  <c r="AD16" i="72"/>
  <c r="AI22" i="72"/>
  <c r="AI23" i="72"/>
  <c r="AE25" i="72"/>
  <c r="M56" i="72"/>
  <c r="I57" i="72"/>
  <c r="Q45" i="72"/>
  <c r="AD52" i="72"/>
  <c r="W28" i="72"/>
  <c r="P42" i="72"/>
  <c r="T49" i="72"/>
  <c r="P54" i="72"/>
  <c r="AD19" i="72"/>
  <c r="AH25" i="72"/>
  <c r="X28" i="72"/>
  <c r="AI16" i="72"/>
  <c r="AI17" i="72"/>
  <c r="AE19" i="72"/>
  <c r="AG26" i="72"/>
  <c r="G56" i="72"/>
  <c r="Q42" i="72"/>
  <c r="K57" i="72"/>
  <c r="AD49" i="72"/>
  <c r="Q54" i="72"/>
  <c r="L57" i="72"/>
  <c r="AC17" i="72"/>
  <c r="AF13" i="72"/>
  <c r="AH14" i="72"/>
  <c r="AD17" i="72"/>
  <c r="AF19" i="72"/>
  <c r="AH20" i="72"/>
  <c r="AD23" i="72"/>
  <c r="AF25" i="72"/>
  <c r="AH26" i="72"/>
  <c r="T27" i="72"/>
  <c r="O28" i="72"/>
  <c r="F32" i="72"/>
  <c r="R42" i="72"/>
  <c r="AA56" i="72"/>
  <c r="AA58" i="72" s="1"/>
  <c r="N43" i="72"/>
  <c r="R45" i="72"/>
  <c r="N46" i="72"/>
  <c r="AF46" i="72"/>
  <c r="R48" i="72"/>
  <c r="N49" i="72"/>
  <c r="AF49" i="72"/>
  <c r="R51" i="72"/>
  <c r="N52" i="72"/>
  <c r="AF52" i="72"/>
  <c r="R54" i="72"/>
  <c r="N55" i="72"/>
  <c r="AF55" i="72"/>
  <c r="F57" i="72"/>
  <c r="V57" i="72"/>
  <c r="AG13" i="72"/>
  <c r="AI14" i="72"/>
  <c r="AC16" i="72"/>
  <c r="AE17" i="72"/>
  <c r="AG19" i="72"/>
  <c r="AI20" i="72"/>
  <c r="AC22" i="72"/>
  <c r="AE23" i="72"/>
  <c r="AG25" i="72"/>
  <c r="AI26" i="72"/>
  <c r="U27" i="72"/>
  <c r="P28" i="72"/>
  <c r="S42" i="72"/>
  <c r="AB56" i="72"/>
  <c r="AB58" i="72" s="1"/>
  <c r="O43" i="72"/>
  <c r="X57" i="72"/>
  <c r="X59" i="72" s="1"/>
  <c r="S45" i="72"/>
  <c r="O46" i="72"/>
  <c r="AG46" i="72"/>
  <c r="S48" i="72"/>
  <c r="O49" i="72"/>
  <c r="S51" i="72"/>
  <c r="O52" i="72"/>
  <c r="S54" i="72"/>
  <c r="O55" i="72"/>
  <c r="AG55" i="72"/>
  <c r="H56" i="72"/>
  <c r="AF17" i="72"/>
  <c r="AF23" i="72"/>
  <c r="N27" i="72"/>
  <c r="Q28" i="72"/>
  <c r="F38" i="72"/>
  <c r="T42" i="72"/>
  <c r="P43" i="72"/>
  <c r="Y57" i="72"/>
  <c r="Y59" i="72" s="1"/>
  <c r="T45" i="72"/>
  <c r="P46" i="72"/>
  <c r="AH46" i="72"/>
  <c r="T48" i="72"/>
  <c r="P49" i="72"/>
  <c r="T51" i="72"/>
  <c r="P52" i="72"/>
  <c r="T54" i="72"/>
  <c r="P55" i="72"/>
  <c r="AH55" i="72"/>
  <c r="AI13" i="72"/>
  <c r="AC14" i="72"/>
  <c r="AE16" i="72"/>
  <c r="AG17" i="72"/>
  <c r="AI19" i="72"/>
  <c r="AC20" i="72"/>
  <c r="AE22" i="72"/>
  <c r="AG23" i="72"/>
  <c r="AI25" i="72"/>
  <c r="AC26" i="72"/>
  <c r="O27" i="72"/>
  <c r="R28" i="72"/>
  <c r="Q43" i="72"/>
  <c r="Z57" i="72"/>
  <c r="Z59" i="72" s="1"/>
  <c r="Q46" i="72"/>
  <c r="AI46" i="72"/>
  <c r="Q49" i="72"/>
  <c r="Q52" i="72"/>
  <c r="Q55" i="72"/>
  <c r="AC23" i="72"/>
  <c r="AD14" i="72"/>
  <c r="AF16" i="72"/>
  <c r="AH17" i="72"/>
  <c r="AH23" i="72"/>
  <c r="AD26" i="72"/>
  <c r="P27" i="72"/>
  <c r="S28" i="72"/>
  <c r="N42" i="72"/>
  <c r="W56" i="72"/>
  <c r="W58" i="72" s="1"/>
  <c r="R43" i="72"/>
  <c r="AA57" i="72"/>
  <c r="AA59" i="72" s="1"/>
  <c r="N45" i="72"/>
  <c r="R46" i="72"/>
  <c r="N48" i="72"/>
  <c r="R49" i="72"/>
  <c r="N51" i="72"/>
  <c r="R52" i="72"/>
  <c r="N54" i="72"/>
  <c r="R55" i="72"/>
  <c r="F56" i="72"/>
  <c r="N28" i="72"/>
  <c r="T28" i="72"/>
  <c r="U34" i="72" l="1"/>
  <c r="AG28" i="72"/>
  <c r="AF28" i="72"/>
  <c r="AC28" i="72"/>
  <c r="AI28" i="72"/>
  <c r="AD28" i="72"/>
  <c r="AE28" i="72"/>
  <c r="AH28" i="72"/>
  <c r="AE43" i="72"/>
  <c r="AH49" i="72"/>
  <c r="AI49" i="72"/>
  <c r="AE49" i="72"/>
  <c r="AG49" i="72"/>
  <c r="AE52" i="72"/>
  <c r="AI55" i="72"/>
  <c r="AH52" i="72"/>
  <c r="AI52" i="72"/>
  <c r="AH43" i="72"/>
  <c r="AG52" i="72"/>
  <c r="AD55" i="72"/>
  <c r="AG27" i="72"/>
  <c r="AF27" i="72"/>
  <c r="AE27" i="72"/>
  <c r="U32" i="72"/>
  <c r="AD27" i="72"/>
  <c r="AC27" i="72"/>
  <c r="AH27" i="72"/>
  <c r="AI27" i="72"/>
  <c r="AG45" i="72"/>
  <c r="AF45" i="72"/>
  <c r="AI45" i="72"/>
  <c r="AE45" i="72"/>
  <c r="AD45" i="72"/>
  <c r="AH45" i="72"/>
  <c r="AG54" i="72"/>
  <c r="AF54" i="72"/>
  <c r="AE54" i="72"/>
  <c r="AI54" i="72"/>
  <c r="AD54" i="72"/>
  <c r="AH54" i="72"/>
  <c r="AG43" i="72"/>
  <c r="AG51" i="72"/>
  <c r="AH51" i="72"/>
  <c r="AF51" i="72"/>
  <c r="AE51" i="72"/>
  <c r="AD51" i="72"/>
  <c r="AI51" i="72"/>
  <c r="O56" i="72"/>
  <c r="N56" i="72"/>
  <c r="T56" i="72"/>
  <c r="S56" i="72"/>
  <c r="P56" i="72"/>
  <c r="F61" i="72"/>
  <c r="R56" i="72"/>
  <c r="Q56" i="72"/>
  <c r="AG48" i="72"/>
  <c r="AF48" i="72"/>
  <c r="AH48" i="72"/>
  <c r="AE48" i="72"/>
  <c r="AI48" i="72"/>
  <c r="AD48" i="72"/>
  <c r="AF43" i="72"/>
  <c r="S57" i="72"/>
  <c r="T57" i="72"/>
  <c r="R57" i="72"/>
  <c r="Q57" i="72"/>
  <c r="P57" i="72"/>
  <c r="O57" i="72"/>
  <c r="F62" i="72"/>
  <c r="N57" i="72"/>
  <c r="AG42" i="72"/>
  <c r="V56" i="72"/>
  <c r="V58" i="72" s="1"/>
  <c r="AF42" i="72"/>
  <c r="AE42" i="72"/>
  <c r="AD42" i="72"/>
  <c r="AH42" i="72"/>
  <c r="AI42" i="72"/>
  <c r="AD43" i="72"/>
  <c r="W57" i="72"/>
  <c r="W59" i="72" s="1"/>
  <c r="AI57" i="72"/>
  <c r="AH57" i="72"/>
  <c r="AG57" i="72"/>
  <c r="AF57" i="72"/>
  <c r="AE57" i="72"/>
  <c r="AF56" i="72" l="1"/>
  <c r="AE56" i="72"/>
  <c r="AD56" i="72"/>
  <c r="AG56" i="72"/>
  <c r="AH56" i="72"/>
  <c r="AI56" i="72"/>
  <c r="AD57" i="72"/>
  <c r="V59" i="71" l="1"/>
  <c r="V52" i="71"/>
  <c r="U23" i="71"/>
  <c r="F62" i="70"/>
  <c r="F61" i="70"/>
  <c r="M60" i="70"/>
  <c r="L60" i="70"/>
  <c r="K60" i="70"/>
  <c r="J60" i="70"/>
  <c r="I60" i="70"/>
  <c r="H60" i="70"/>
  <c r="G60" i="70"/>
  <c r="M59" i="70"/>
  <c r="L59" i="70"/>
  <c r="K59" i="70"/>
  <c r="J59" i="70"/>
  <c r="I59" i="70"/>
  <c r="H59" i="70"/>
  <c r="G59" i="70"/>
  <c r="F60" i="70"/>
  <c r="F59" i="70"/>
  <c r="M60" i="71"/>
  <c r="L60" i="71"/>
  <c r="K60" i="71"/>
  <c r="J60" i="71"/>
  <c r="I60" i="71"/>
  <c r="H60" i="71"/>
  <c r="G60" i="71"/>
  <c r="F60" i="71"/>
  <c r="M59" i="71"/>
  <c r="L59" i="71"/>
  <c r="K59" i="71"/>
  <c r="J59" i="71"/>
  <c r="I59" i="71"/>
  <c r="H59" i="71"/>
  <c r="G59" i="71"/>
  <c r="F59" i="71"/>
  <c r="M55" i="71"/>
  <c r="L55" i="71"/>
  <c r="K55" i="71"/>
  <c r="J55" i="71"/>
  <c r="I55" i="71"/>
  <c r="H55" i="71"/>
  <c r="G55" i="71"/>
  <c r="F55" i="71"/>
  <c r="M54" i="71"/>
  <c r="L54" i="71"/>
  <c r="K54" i="71"/>
  <c r="J54" i="71"/>
  <c r="I54" i="71"/>
  <c r="H54" i="71"/>
  <c r="G54" i="71"/>
  <c r="F54" i="71"/>
  <c r="M52" i="71"/>
  <c r="L52" i="71"/>
  <c r="K52" i="71"/>
  <c r="J52" i="71"/>
  <c r="I52" i="71"/>
  <c r="H52" i="71"/>
  <c r="G52" i="71"/>
  <c r="F52" i="71"/>
  <c r="M51" i="71"/>
  <c r="L51" i="71"/>
  <c r="K51" i="71"/>
  <c r="J51" i="71"/>
  <c r="I51" i="71"/>
  <c r="H51" i="71"/>
  <c r="G51" i="71"/>
  <c r="F51" i="71"/>
  <c r="M49" i="71"/>
  <c r="L49" i="71"/>
  <c r="K49" i="71"/>
  <c r="J49" i="71"/>
  <c r="I49" i="71"/>
  <c r="H49" i="71"/>
  <c r="G49" i="71"/>
  <c r="F49" i="71"/>
  <c r="M48" i="71"/>
  <c r="L48" i="71"/>
  <c r="K48" i="71"/>
  <c r="J48" i="71"/>
  <c r="I48" i="71"/>
  <c r="H48" i="71"/>
  <c r="G48" i="71"/>
  <c r="F48" i="71"/>
  <c r="M46" i="71"/>
  <c r="L46" i="71"/>
  <c r="K46" i="71"/>
  <c r="J46" i="71"/>
  <c r="I46" i="71"/>
  <c r="H46" i="71"/>
  <c r="G46" i="71"/>
  <c r="F46" i="71"/>
  <c r="M45" i="71"/>
  <c r="L45" i="71"/>
  <c r="K45" i="71"/>
  <c r="J45" i="71"/>
  <c r="I45" i="71"/>
  <c r="H45" i="71"/>
  <c r="G45" i="71"/>
  <c r="F45" i="71"/>
  <c r="M43" i="71"/>
  <c r="L43" i="71"/>
  <c r="K43" i="71"/>
  <c r="J43" i="71"/>
  <c r="I43" i="71"/>
  <c r="H43" i="71"/>
  <c r="G43" i="71"/>
  <c r="F43" i="71"/>
  <c r="U31" i="71" l="1"/>
  <c r="U30" i="71"/>
  <c r="U26" i="71"/>
  <c r="AB26" i="71"/>
  <c r="AA26" i="71"/>
  <c r="Z26" i="71"/>
  <c r="Y26" i="71"/>
  <c r="X26" i="71"/>
  <c r="W26" i="71"/>
  <c r="V26" i="71"/>
  <c r="AB25" i="71"/>
  <c r="AA25" i="71"/>
  <c r="Z25" i="71"/>
  <c r="Y25" i="71"/>
  <c r="X25" i="71"/>
  <c r="W25" i="71"/>
  <c r="V25" i="71"/>
  <c r="U25" i="71"/>
  <c r="U33" i="70"/>
  <c r="U32" i="70"/>
  <c r="F33" i="70"/>
  <c r="F32" i="70"/>
  <c r="AJ33" i="70"/>
  <c r="AJ32" i="70"/>
  <c r="U31" i="70" l="1"/>
  <c r="U30" i="70"/>
  <c r="AJ33" i="71"/>
  <c r="AJ32" i="71"/>
  <c r="AP28" i="71" l="1"/>
  <c r="AO28" i="71"/>
  <c r="AN28" i="71"/>
  <c r="AM28" i="71"/>
  <c r="AL28" i="71"/>
  <c r="AP27" i="71"/>
  <c r="AO27" i="71"/>
  <c r="AN27" i="71"/>
  <c r="AM27" i="71"/>
  <c r="AL27" i="71"/>
  <c r="AK28" i="71"/>
  <c r="AJ28" i="71"/>
  <c r="AK27" i="71"/>
  <c r="AJ27" i="71"/>
  <c r="M28" i="71"/>
  <c r="L28" i="71"/>
  <c r="K28" i="71"/>
  <c r="J28" i="71"/>
  <c r="I28" i="71"/>
  <c r="H28" i="71"/>
  <c r="G28" i="71"/>
  <c r="M27" i="71"/>
  <c r="L27" i="71"/>
  <c r="K27" i="71"/>
  <c r="J27" i="71"/>
  <c r="I27" i="71"/>
  <c r="H27" i="71"/>
  <c r="G27" i="71"/>
  <c r="F28" i="71"/>
  <c r="F33" i="71" s="1"/>
  <c r="F27" i="71"/>
  <c r="AC26" i="71"/>
  <c r="T26" i="71"/>
  <c r="S26" i="71"/>
  <c r="R26" i="71"/>
  <c r="Q26" i="71"/>
  <c r="P26" i="71"/>
  <c r="O26" i="71"/>
  <c r="N26" i="71"/>
  <c r="T25" i="71"/>
  <c r="S25" i="71"/>
  <c r="R25" i="71"/>
  <c r="Q25" i="71"/>
  <c r="P25" i="71"/>
  <c r="O25" i="71"/>
  <c r="N25" i="71"/>
  <c r="Q27" i="71" l="1"/>
  <c r="F32" i="71"/>
  <c r="AD26" i="71"/>
  <c r="AE26" i="71"/>
  <c r="O27" i="71"/>
  <c r="P27" i="71"/>
  <c r="AF26" i="71"/>
  <c r="R27" i="71"/>
  <c r="AG26" i="71"/>
  <c r="S27" i="71"/>
  <c r="AH26" i="71"/>
  <c r="T27" i="71"/>
  <c r="AI26" i="71"/>
  <c r="N27" i="71"/>
  <c r="R14" i="71" l="1"/>
  <c r="AP57" i="71"/>
  <c r="AO57" i="71"/>
  <c r="AN57" i="71"/>
  <c r="AM57" i="71"/>
  <c r="AL57" i="71"/>
  <c r="AK57" i="71"/>
  <c r="AJ57" i="71"/>
  <c r="U57" i="71"/>
  <c r="AP56" i="71"/>
  <c r="AO56" i="71"/>
  <c r="AN56" i="71"/>
  <c r="AM56" i="71"/>
  <c r="AL56" i="71"/>
  <c r="AK56" i="71"/>
  <c r="AJ56" i="71"/>
  <c r="U56" i="71"/>
  <c r="S54" i="71"/>
  <c r="Q46" i="71"/>
  <c r="S45" i="71"/>
  <c r="M42" i="71"/>
  <c r="L42" i="71"/>
  <c r="K42" i="71"/>
  <c r="J42" i="71"/>
  <c r="I42" i="71"/>
  <c r="H42" i="71"/>
  <c r="G42" i="71"/>
  <c r="F42" i="71"/>
  <c r="U38" i="71"/>
  <c r="T22" i="71"/>
  <c r="S22" i="71"/>
  <c r="R22" i="71"/>
  <c r="Q22" i="71"/>
  <c r="P22" i="71"/>
  <c r="O22" i="71"/>
  <c r="N22" i="71"/>
  <c r="T20" i="71"/>
  <c r="S20" i="71"/>
  <c r="R20" i="71"/>
  <c r="Q20" i="71"/>
  <c r="P20" i="71"/>
  <c r="O20" i="71"/>
  <c r="N20" i="71"/>
  <c r="T19" i="71"/>
  <c r="S19" i="71"/>
  <c r="R19" i="71"/>
  <c r="Q19" i="71"/>
  <c r="P19" i="71"/>
  <c r="O19" i="71"/>
  <c r="N19" i="71"/>
  <c r="T17" i="71"/>
  <c r="S17" i="71"/>
  <c r="R17" i="71"/>
  <c r="Q17" i="71"/>
  <c r="P17" i="71"/>
  <c r="O17" i="71"/>
  <c r="N17" i="71"/>
  <c r="T16" i="71"/>
  <c r="S16" i="71"/>
  <c r="R16" i="71"/>
  <c r="Q16" i="71"/>
  <c r="P16" i="71"/>
  <c r="O16" i="71"/>
  <c r="N16" i="71"/>
  <c r="T14" i="71"/>
  <c r="S14" i="71"/>
  <c r="Q14" i="71"/>
  <c r="P14" i="71"/>
  <c r="O14" i="71"/>
  <c r="N14" i="71"/>
  <c r="T13" i="71"/>
  <c r="S13" i="71"/>
  <c r="R13" i="71"/>
  <c r="Q13" i="71"/>
  <c r="P13" i="71"/>
  <c r="O13" i="71"/>
  <c r="N13" i="71"/>
  <c r="F9" i="71"/>
  <c r="S42" i="71" l="1"/>
  <c r="F38" i="71"/>
  <c r="T49" i="71"/>
  <c r="G56" i="71"/>
  <c r="R46" i="71"/>
  <c r="S51" i="71"/>
  <c r="S48" i="71"/>
  <c r="K57" i="71"/>
  <c r="L56" i="71"/>
  <c r="T46" i="71"/>
  <c r="I57" i="71"/>
  <c r="J56" i="71"/>
  <c r="J57" i="71"/>
  <c r="N55" i="71"/>
  <c r="U9" i="71"/>
  <c r="N51" i="71"/>
  <c r="O55" i="71"/>
  <c r="H56" i="71"/>
  <c r="L57" i="71"/>
  <c r="N49" i="71"/>
  <c r="O49" i="71"/>
  <c r="Q55" i="71"/>
  <c r="I56" i="71"/>
  <c r="M57" i="71"/>
  <c r="Q49" i="71"/>
  <c r="R55" i="71"/>
  <c r="R49" i="71"/>
  <c r="T55" i="71"/>
  <c r="K56" i="71"/>
  <c r="G57" i="71"/>
  <c r="H57" i="71"/>
  <c r="M56" i="71"/>
  <c r="N46" i="71"/>
  <c r="O46" i="71"/>
  <c r="T42" i="71"/>
  <c r="T45" i="71"/>
  <c r="P46" i="71"/>
  <c r="T48" i="71"/>
  <c r="P49" i="71"/>
  <c r="T51" i="71"/>
  <c r="T54" i="71"/>
  <c r="P55" i="71"/>
  <c r="N45" i="71"/>
  <c r="N54" i="71"/>
  <c r="O42" i="71"/>
  <c r="O45" i="71"/>
  <c r="S46" i="71"/>
  <c r="O48" i="71"/>
  <c r="S49" i="71"/>
  <c r="O51" i="71"/>
  <c r="O54" i="71"/>
  <c r="S55" i="71"/>
  <c r="N42" i="71"/>
  <c r="N48" i="71"/>
  <c r="P42" i="71"/>
  <c r="P45" i="71"/>
  <c r="P48" i="71"/>
  <c r="P51" i="71"/>
  <c r="P54" i="71"/>
  <c r="F56" i="71"/>
  <c r="F61" i="71" s="1"/>
  <c r="Q42" i="71"/>
  <c r="Q45" i="71"/>
  <c r="Q48" i="71"/>
  <c r="Q51" i="71"/>
  <c r="Q54" i="71"/>
  <c r="R42" i="71"/>
  <c r="R45" i="71"/>
  <c r="R48" i="71"/>
  <c r="R51" i="71"/>
  <c r="R54" i="71"/>
  <c r="R28" i="71" l="1"/>
  <c r="Q28" i="71"/>
  <c r="P28" i="71"/>
  <c r="O28" i="71"/>
  <c r="N28" i="71"/>
  <c r="S28" i="71"/>
  <c r="T28" i="71"/>
  <c r="O43" i="71"/>
  <c r="S43" i="71"/>
  <c r="R43" i="71"/>
  <c r="Q43" i="71"/>
  <c r="P43" i="71"/>
  <c r="T43" i="71"/>
  <c r="N43" i="71"/>
  <c r="S56" i="71"/>
  <c r="R56" i="71"/>
  <c r="Q56" i="71"/>
  <c r="P56" i="71"/>
  <c r="O56" i="71"/>
  <c r="N56" i="71"/>
  <c r="T56" i="71"/>
  <c r="U26" i="70" l="1"/>
  <c r="U25" i="70"/>
  <c r="U23" i="70"/>
  <c r="U22" i="70"/>
  <c r="U22" i="71" s="1"/>
  <c r="U20" i="70"/>
  <c r="U19" i="70"/>
  <c r="U19" i="71" s="1"/>
  <c r="U17" i="70"/>
  <c r="U17" i="71" s="1"/>
  <c r="U16" i="70"/>
  <c r="U16" i="71" s="1"/>
  <c r="U14" i="70"/>
  <c r="U14" i="71" s="1"/>
  <c r="U13" i="70"/>
  <c r="U13" i="71" s="1"/>
  <c r="AB26" i="70"/>
  <c r="AA26" i="70"/>
  <c r="Z26" i="70"/>
  <c r="Y26" i="70"/>
  <c r="X26" i="70"/>
  <c r="W26" i="70"/>
  <c r="AB25" i="70"/>
  <c r="AA25" i="70"/>
  <c r="Z25" i="70"/>
  <c r="Y25" i="70"/>
  <c r="X25" i="70"/>
  <c r="W25" i="70"/>
  <c r="AB23" i="70"/>
  <c r="AB23" i="71" s="1"/>
  <c r="AA23" i="70"/>
  <c r="AA23" i="71" s="1"/>
  <c r="Z23" i="70"/>
  <c r="Z23" i="71" s="1"/>
  <c r="Y23" i="70"/>
  <c r="Y23" i="71" s="1"/>
  <c r="X23" i="70"/>
  <c r="X23" i="71" s="1"/>
  <c r="W23" i="70"/>
  <c r="W23" i="71" s="1"/>
  <c r="AB22" i="70"/>
  <c r="AB22" i="71" s="1"/>
  <c r="AA22" i="70"/>
  <c r="AA22" i="71" s="1"/>
  <c r="Z22" i="70"/>
  <c r="Z22" i="71" s="1"/>
  <c r="Y22" i="70"/>
  <c r="Y22" i="71" s="1"/>
  <c r="X22" i="70"/>
  <c r="X22" i="71" s="1"/>
  <c r="W22" i="70"/>
  <c r="W22" i="71" s="1"/>
  <c r="AB20" i="70"/>
  <c r="AA20" i="70"/>
  <c r="Z20" i="70"/>
  <c r="Y20" i="70"/>
  <c r="X20" i="70"/>
  <c r="W20" i="70"/>
  <c r="AB19" i="70"/>
  <c r="AB19" i="71" s="1"/>
  <c r="AA19" i="70"/>
  <c r="AA19" i="71" s="1"/>
  <c r="Z19" i="70"/>
  <c r="Z19" i="71" s="1"/>
  <c r="Y19" i="70"/>
  <c r="Y19" i="71" s="1"/>
  <c r="X19" i="70"/>
  <c r="X19" i="71" s="1"/>
  <c r="W19" i="70"/>
  <c r="W19" i="71" s="1"/>
  <c r="AB17" i="70"/>
  <c r="AB17" i="71" s="1"/>
  <c r="AA17" i="70"/>
  <c r="AA17" i="71" s="1"/>
  <c r="Z17" i="70"/>
  <c r="Z17" i="71" s="1"/>
  <c r="Y17" i="70"/>
  <c r="Y17" i="71" s="1"/>
  <c r="X17" i="70"/>
  <c r="X17" i="71" s="1"/>
  <c r="W17" i="70"/>
  <c r="W17" i="71" s="1"/>
  <c r="AB16" i="70"/>
  <c r="AB16" i="71" s="1"/>
  <c r="AA16" i="70"/>
  <c r="AA16" i="71" s="1"/>
  <c r="Z16" i="70"/>
  <c r="Z16" i="71" s="1"/>
  <c r="Y16" i="70"/>
  <c r="Y16" i="71" s="1"/>
  <c r="X16" i="70"/>
  <c r="X16" i="71" s="1"/>
  <c r="W16" i="70"/>
  <c r="W16" i="71" s="1"/>
  <c r="AB14" i="70"/>
  <c r="AB14" i="71" s="1"/>
  <c r="AA14" i="70"/>
  <c r="AA14" i="71" s="1"/>
  <c r="Z14" i="70"/>
  <c r="Z14" i="71" s="1"/>
  <c r="Y14" i="70"/>
  <c r="Y14" i="71" s="1"/>
  <c r="X14" i="70"/>
  <c r="X14" i="71" s="1"/>
  <c r="AB13" i="70"/>
  <c r="AB13" i="71" s="1"/>
  <c r="AA13" i="70"/>
  <c r="AA13" i="71" s="1"/>
  <c r="Z13" i="70"/>
  <c r="Z13" i="71" s="1"/>
  <c r="Y13" i="70"/>
  <c r="Y13" i="71" s="1"/>
  <c r="X13" i="70"/>
  <c r="X13" i="71" s="1"/>
  <c r="W14" i="70"/>
  <c r="W14" i="71" s="1"/>
  <c r="W13" i="70"/>
  <c r="W13" i="71" s="1"/>
  <c r="V26" i="70"/>
  <c r="V25" i="70"/>
  <c r="V23" i="70"/>
  <c r="V23" i="71" s="1"/>
  <c r="V22" i="70"/>
  <c r="V22" i="71" s="1"/>
  <c r="V20" i="70"/>
  <c r="V19" i="70"/>
  <c r="V19" i="71" s="1"/>
  <c r="V17" i="70"/>
  <c r="V17" i="71" s="1"/>
  <c r="V16" i="70"/>
  <c r="V16" i="71" s="1"/>
  <c r="V14" i="70"/>
  <c r="V14" i="71" s="1"/>
  <c r="V13" i="70"/>
  <c r="V13" i="71" s="1"/>
  <c r="F55" i="70"/>
  <c r="V55" i="70" s="1"/>
  <c r="V55" i="71" s="1"/>
  <c r="F54" i="70"/>
  <c r="V54" i="70" s="1"/>
  <c r="V54" i="71" s="1"/>
  <c r="F52" i="70"/>
  <c r="V52" i="70" s="1"/>
  <c r="F51" i="70"/>
  <c r="V51" i="70" s="1"/>
  <c r="V51" i="71" s="1"/>
  <c r="F49" i="70"/>
  <c r="V49" i="70" s="1"/>
  <c r="V49" i="71" s="1"/>
  <c r="F48" i="70"/>
  <c r="V48" i="70" s="1"/>
  <c r="V48" i="71" s="1"/>
  <c r="F46" i="70"/>
  <c r="V46" i="70" s="1"/>
  <c r="V46" i="71" s="1"/>
  <c r="F45" i="70"/>
  <c r="V45" i="70" s="1"/>
  <c r="V45" i="71" s="1"/>
  <c r="F43" i="70"/>
  <c r="V43" i="70" s="1"/>
  <c r="V43" i="71" s="1"/>
  <c r="F42" i="70"/>
  <c r="V42" i="70" s="1"/>
  <c r="V42" i="71" s="1"/>
  <c r="Y27" i="71" l="1"/>
  <c r="Y34" i="71" s="1"/>
  <c r="Y20" i="71"/>
  <c r="Z27" i="71"/>
  <c r="Z34" i="71" s="1"/>
  <c r="Z20" i="71"/>
  <c r="Z28" i="71" s="1"/>
  <c r="Z35" i="71" s="1"/>
  <c r="U20" i="71"/>
  <c r="AA27" i="71"/>
  <c r="AA34" i="71" s="1"/>
  <c r="AA20" i="71"/>
  <c r="AA28" i="71" s="1"/>
  <c r="AA35" i="71" s="1"/>
  <c r="AH22" i="71"/>
  <c r="AF22" i="71"/>
  <c r="AE22" i="71"/>
  <c r="AI22" i="71"/>
  <c r="AC22" i="71"/>
  <c r="AD22" i="71"/>
  <c r="AG22" i="71"/>
  <c r="V27" i="71"/>
  <c r="V34" i="71" s="1"/>
  <c r="V20" i="71"/>
  <c r="AB27" i="71"/>
  <c r="AB34" i="71" s="1"/>
  <c r="AB20" i="71"/>
  <c r="AB28" i="71" s="1"/>
  <c r="AB35" i="71" s="1"/>
  <c r="AH13" i="71"/>
  <c r="AG13" i="71"/>
  <c r="AF13" i="71"/>
  <c r="AD13" i="71"/>
  <c r="AE13" i="71"/>
  <c r="AC13" i="71"/>
  <c r="AI13" i="71"/>
  <c r="AH19" i="71"/>
  <c r="AG19" i="71"/>
  <c r="AF19" i="71"/>
  <c r="AI19" i="71"/>
  <c r="AC19" i="71"/>
  <c r="AE19" i="71"/>
  <c r="AD19" i="71"/>
  <c r="AE14" i="71"/>
  <c r="AG14" i="71"/>
  <c r="AC14" i="71"/>
  <c r="AF14" i="71"/>
  <c r="AH14" i="71"/>
  <c r="AD14" i="71"/>
  <c r="AI14" i="71"/>
  <c r="V56" i="71"/>
  <c r="W27" i="71"/>
  <c r="W34" i="71" s="1"/>
  <c r="W20" i="71"/>
  <c r="W28" i="71" s="1"/>
  <c r="W35" i="71" s="1"/>
  <c r="AG16" i="71"/>
  <c r="AD16" i="71"/>
  <c r="AC16" i="71"/>
  <c r="AI16" i="71"/>
  <c r="AH16" i="71"/>
  <c r="AF16" i="71"/>
  <c r="AE16" i="71"/>
  <c r="U27" i="70"/>
  <c r="Y28" i="71"/>
  <c r="Y35" i="71" s="1"/>
  <c r="V28" i="71"/>
  <c r="V35" i="71" s="1"/>
  <c r="X27" i="71"/>
  <c r="X34" i="71" s="1"/>
  <c r="X20" i="71"/>
  <c r="X28" i="71" s="1"/>
  <c r="X35" i="71" s="1"/>
  <c r="AH17" i="71"/>
  <c r="AC17" i="71"/>
  <c r="AF17" i="71"/>
  <c r="AD17" i="71"/>
  <c r="AE17" i="71"/>
  <c r="AG17" i="71"/>
  <c r="AI17" i="71"/>
  <c r="U28" i="70"/>
  <c r="U56" i="70"/>
  <c r="AJ57" i="70"/>
  <c r="AJ56" i="70"/>
  <c r="AI20" i="71" l="1"/>
  <c r="AG20" i="71"/>
  <c r="AF20" i="71"/>
  <c r="AE20" i="71"/>
  <c r="AC20" i="71"/>
  <c r="AD20" i="71"/>
  <c r="AH20" i="71"/>
  <c r="AI25" i="71"/>
  <c r="AH25" i="71"/>
  <c r="AD25" i="71"/>
  <c r="AE25" i="71"/>
  <c r="AF25" i="71"/>
  <c r="AG25" i="71"/>
  <c r="AC25" i="71"/>
  <c r="U28" i="71"/>
  <c r="U27" i="71"/>
  <c r="AJ28" i="70"/>
  <c r="AJ27" i="70"/>
  <c r="T26" i="70"/>
  <c r="T25" i="70"/>
  <c r="T23" i="70"/>
  <c r="T22" i="70"/>
  <c r="T20" i="70"/>
  <c r="T19" i="70"/>
  <c r="T17" i="70"/>
  <c r="T16" i="70"/>
  <c r="T14" i="70"/>
  <c r="T13" i="70"/>
  <c r="S26" i="70"/>
  <c r="S25" i="70"/>
  <c r="S23" i="70"/>
  <c r="S22" i="70"/>
  <c r="S20" i="70"/>
  <c r="S19" i="70"/>
  <c r="S17" i="70"/>
  <c r="S16" i="70"/>
  <c r="S14" i="70"/>
  <c r="S13" i="70"/>
  <c r="R26" i="70"/>
  <c r="R25" i="70"/>
  <c r="R23" i="70"/>
  <c r="R22" i="70"/>
  <c r="R20" i="70"/>
  <c r="R19" i="70"/>
  <c r="R17" i="70"/>
  <c r="R16" i="70"/>
  <c r="R14" i="70"/>
  <c r="R13" i="70"/>
  <c r="Q26" i="70"/>
  <c r="Q25" i="70"/>
  <c r="Q23" i="70"/>
  <c r="Q22" i="70"/>
  <c r="Q20" i="70"/>
  <c r="Q19" i="70"/>
  <c r="Q17" i="70"/>
  <c r="Q16" i="70"/>
  <c r="Q14" i="70"/>
  <c r="Q13" i="70"/>
  <c r="P26" i="70"/>
  <c r="P25" i="70"/>
  <c r="P23" i="70"/>
  <c r="P22" i="70"/>
  <c r="P20" i="70"/>
  <c r="P19" i="70"/>
  <c r="P17" i="70"/>
  <c r="P16" i="70"/>
  <c r="P14" i="70"/>
  <c r="P13" i="70"/>
  <c r="O26" i="70"/>
  <c r="O25" i="70"/>
  <c r="O23" i="70"/>
  <c r="O22" i="70"/>
  <c r="O20" i="70"/>
  <c r="O19" i="70"/>
  <c r="O17" i="70"/>
  <c r="O16" i="70"/>
  <c r="O14" i="70"/>
  <c r="O13" i="70"/>
  <c r="N26" i="70"/>
  <c r="N25" i="70"/>
  <c r="N23" i="70"/>
  <c r="N22" i="70"/>
  <c r="N20" i="70"/>
  <c r="N19" i="70"/>
  <c r="N17" i="70"/>
  <c r="N16" i="70"/>
  <c r="N14" i="70"/>
  <c r="N13" i="70"/>
  <c r="F57" i="70"/>
  <c r="F56" i="70"/>
  <c r="F28" i="70"/>
  <c r="F27" i="70"/>
  <c r="U33" i="71" l="1"/>
  <c r="U35" i="71" s="1"/>
  <c r="AC28" i="71"/>
  <c r="AF28" i="71"/>
  <c r="AD28" i="71"/>
  <c r="AH28" i="71"/>
  <c r="AG28" i="71"/>
  <c r="AE28" i="71"/>
  <c r="AI28" i="71"/>
  <c r="U32" i="71"/>
  <c r="U34" i="71" s="1"/>
  <c r="AG27" i="71"/>
  <c r="AF27" i="71"/>
  <c r="AD27" i="71"/>
  <c r="AE27" i="71"/>
  <c r="AC27" i="71"/>
  <c r="AI27" i="71"/>
  <c r="AH27" i="71"/>
  <c r="AP57" i="70"/>
  <c r="AO57" i="70"/>
  <c r="AN57" i="70"/>
  <c r="AM57" i="70"/>
  <c r="AL57" i="70"/>
  <c r="AK57" i="70"/>
  <c r="AP56" i="70"/>
  <c r="AO56" i="70"/>
  <c r="AN56" i="70"/>
  <c r="AM56" i="70"/>
  <c r="AL56" i="70"/>
  <c r="AK56" i="70"/>
  <c r="M55" i="70"/>
  <c r="L55" i="70"/>
  <c r="AB55" i="70" s="1"/>
  <c r="AB55" i="71" s="1"/>
  <c r="AI55" i="71" s="1"/>
  <c r="K55" i="70"/>
  <c r="AA55" i="70" s="1"/>
  <c r="AA55" i="71" s="1"/>
  <c r="AH55" i="71" s="1"/>
  <c r="J55" i="70"/>
  <c r="I55" i="70"/>
  <c r="Y55" i="70" s="1"/>
  <c r="Y55" i="71" s="1"/>
  <c r="AF55" i="71" s="1"/>
  <c r="H55" i="70"/>
  <c r="X55" i="70" s="1"/>
  <c r="X55" i="71" s="1"/>
  <c r="AE55" i="71" s="1"/>
  <c r="G55" i="70"/>
  <c r="M54" i="70"/>
  <c r="L54" i="70"/>
  <c r="K54" i="70"/>
  <c r="AA54" i="70" s="1"/>
  <c r="AA54" i="71" s="1"/>
  <c r="AH54" i="71" s="1"/>
  <c r="J54" i="70"/>
  <c r="Z54" i="70" s="1"/>
  <c r="Z54" i="71" s="1"/>
  <c r="AG54" i="71" s="1"/>
  <c r="I54" i="70"/>
  <c r="Y54" i="70" s="1"/>
  <c r="Y54" i="71" s="1"/>
  <c r="AF54" i="71" s="1"/>
  <c r="H54" i="70"/>
  <c r="X54" i="70" s="1"/>
  <c r="X54" i="71" s="1"/>
  <c r="AE54" i="71" s="1"/>
  <c r="G54" i="70"/>
  <c r="M52" i="70"/>
  <c r="L52" i="70"/>
  <c r="AB52" i="70" s="1"/>
  <c r="AB52" i="71" s="1"/>
  <c r="K52" i="70"/>
  <c r="AA52" i="70" s="1"/>
  <c r="AA52" i="71" s="1"/>
  <c r="J52" i="70"/>
  <c r="I52" i="70"/>
  <c r="Y52" i="70" s="1"/>
  <c r="Y52" i="71" s="1"/>
  <c r="H52" i="70"/>
  <c r="X52" i="70" s="1"/>
  <c r="X52" i="71" s="1"/>
  <c r="G52" i="70"/>
  <c r="M51" i="70"/>
  <c r="L51" i="70"/>
  <c r="AB51" i="70" s="1"/>
  <c r="AB51" i="71" s="1"/>
  <c r="AI51" i="71" s="1"/>
  <c r="K51" i="70"/>
  <c r="J51" i="70"/>
  <c r="Z51" i="70" s="1"/>
  <c r="Z51" i="71" s="1"/>
  <c r="AG51" i="71" s="1"/>
  <c r="I51" i="70"/>
  <c r="Y51" i="70" s="1"/>
  <c r="Y51" i="71" s="1"/>
  <c r="AF51" i="71" s="1"/>
  <c r="H51" i="70"/>
  <c r="G51" i="70"/>
  <c r="W51" i="70" s="1"/>
  <c r="W51" i="71" s="1"/>
  <c r="AD51" i="71" s="1"/>
  <c r="M49" i="70"/>
  <c r="L49" i="70"/>
  <c r="AB49" i="70" s="1"/>
  <c r="AB49" i="71" s="1"/>
  <c r="AI49" i="71" s="1"/>
  <c r="K49" i="70"/>
  <c r="AA49" i="70" s="1"/>
  <c r="AA49" i="71" s="1"/>
  <c r="AH49" i="71" s="1"/>
  <c r="J49" i="70"/>
  <c r="I49" i="70"/>
  <c r="Y49" i="70" s="1"/>
  <c r="Y49" i="71" s="1"/>
  <c r="AF49" i="71" s="1"/>
  <c r="H49" i="70"/>
  <c r="X49" i="70" s="1"/>
  <c r="X49" i="71" s="1"/>
  <c r="AE49" i="71" s="1"/>
  <c r="G49" i="70"/>
  <c r="M48" i="70"/>
  <c r="L48" i="70"/>
  <c r="K48" i="70"/>
  <c r="AA48" i="70" s="1"/>
  <c r="AA48" i="71" s="1"/>
  <c r="AH48" i="71" s="1"/>
  <c r="J48" i="70"/>
  <c r="Z48" i="70" s="1"/>
  <c r="Z48" i="71" s="1"/>
  <c r="AG48" i="71" s="1"/>
  <c r="I48" i="70"/>
  <c r="Y48" i="70" s="1"/>
  <c r="Y48" i="71" s="1"/>
  <c r="AF48" i="71" s="1"/>
  <c r="H48" i="70"/>
  <c r="X48" i="70" s="1"/>
  <c r="X48" i="71" s="1"/>
  <c r="AE48" i="71" s="1"/>
  <c r="G48" i="70"/>
  <c r="M46" i="70"/>
  <c r="L46" i="70"/>
  <c r="AB46" i="70" s="1"/>
  <c r="AB46" i="71" s="1"/>
  <c r="AI46" i="71" s="1"/>
  <c r="K46" i="70"/>
  <c r="AA46" i="70" s="1"/>
  <c r="AA46" i="71" s="1"/>
  <c r="AH46" i="71" s="1"/>
  <c r="J46" i="70"/>
  <c r="Z46" i="70" s="1"/>
  <c r="Z46" i="71" s="1"/>
  <c r="AG46" i="71" s="1"/>
  <c r="I46" i="70"/>
  <c r="H46" i="70"/>
  <c r="X46" i="70" s="1"/>
  <c r="X46" i="71" s="1"/>
  <c r="AE46" i="71" s="1"/>
  <c r="G46" i="70"/>
  <c r="M45" i="70"/>
  <c r="L45" i="70"/>
  <c r="AB45" i="70" s="1"/>
  <c r="AB45" i="71" s="1"/>
  <c r="AI45" i="71" s="1"/>
  <c r="K45" i="70"/>
  <c r="AA45" i="70" s="1"/>
  <c r="AA45" i="71" s="1"/>
  <c r="AH45" i="71" s="1"/>
  <c r="J45" i="70"/>
  <c r="Z45" i="70" s="1"/>
  <c r="Z45" i="71" s="1"/>
  <c r="AG45" i="71" s="1"/>
  <c r="I45" i="70"/>
  <c r="H45" i="70"/>
  <c r="G45" i="70"/>
  <c r="W45" i="70" s="1"/>
  <c r="W45" i="71" s="1"/>
  <c r="AD45" i="71" s="1"/>
  <c r="M43" i="70"/>
  <c r="T43" i="70" s="1"/>
  <c r="L43" i="70"/>
  <c r="K43" i="70"/>
  <c r="J43" i="70"/>
  <c r="I43" i="70"/>
  <c r="Y43" i="70" s="1"/>
  <c r="Y43" i="71" s="1"/>
  <c r="H43" i="70"/>
  <c r="X43" i="70" s="1"/>
  <c r="X43" i="71" s="1"/>
  <c r="G43" i="70"/>
  <c r="M42" i="70"/>
  <c r="T42" i="70" s="1"/>
  <c r="L42" i="70"/>
  <c r="K42" i="70"/>
  <c r="AA42" i="70" s="1"/>
  <c r="AA42" i="71" s="1"/>
  <c r="J42" i="70"/>
  <c r="Z42" i="70" s="1"/>
  <c r="Z42" i="71" s="1"/>
  <c r="I42" i="70"/>
  <c r="Y42" i="70" s="1"/>
  <c r="Y42" i="71" s="1"/>
  <c r="H42" i="70"/>
  <c r="X42" i="70" s="1"/>
  <c r="X42" i="71" s="1"/>
  <c r="G42" i="70"/>
  <c r="W42" i="70" s="1"/>
  <c r="W42" i="71" s="1"/>
  <c r="U38" i="70"/>
  <c r="AP28" i="70"/>
  <c r="AO28" i="70"/>
  <c r="AN28" i="70"/>
  <c r="AM28" i="70"/>
  <c r="AL28" i="70"/>
  <c r="AK28" i="70"/>
  <c r="M28" i="70"/>
  <c r="T28" i="70" s="1"/>
  <c r="L28" i="70"/>
  <c r="S28" i="70" s="1"/>
  <c r="K28" i="70"/>
  <c r="R28" i="70" s="1"/>
  <c r="J28" i="70"/>
  <c r="Q28" i="70" s="1"/>
  <c r="I28" i="70"/>
  <c r="P28" i="70" s="1"/>
  <c r="H28" i="70"/>
  <c r="O28" i="70" s="1"/>
  <c r="G28" i="70"/>
  <c r="N28" i="70" s="1"/>
  <c r="AP27" i="70"/>
  <c r="AO27" i="70"/>
  <c r="AN27" i="70"/>
  <c r="AM27" i="70"/>
  <c r="AL27" i="70"/>
  <c r="AK27" i="70"/>
  <c r="M27" i="70"/>
  <c r="T27" i="70" s="1"/>
  <c r="L27" i="70"/>
  <c r="S27" i="70" s="1"/>
  <c r="K27" i="70"/>
  <c r="R27" i="70" s="1"/>
  <c r="J27" i="70"/>
  <c r="Q27" i="70" s="1"/>
  <c r="I27" i="70"/>
  <c r="P27" i="70" s="1"/>
  <c r="H27" i="70"/>
  <c r="O27" i="70" s="1"/>
  <c r="G27" i="70"/>
  <c r="N27" i="70" s="1"/>
  <c r="AI26" i="70"/>
  <c r="AH26" i="70"/>
  <c r="AG26" i="70"/>
  <c r="AF26" i="70"/>
  <c r="AE26" i="70"/>
  <c r="AD26" i="70"/>
  <c r="AC26" i="70"/>
  <c r="AI25" i="70"/>
  <c r="AH25" i="70"/>
  <c r="AG25" i="70"/>
  <c r="AF25" i="70"/>
  <c r="AE25" i="70"/>
  <c r="AD25" i="70"/>
  <c r="AC25" i="70"/>
  <c r="AI23" i="70"/>
  <c r="AH23" i="70"/>
  <c r="AG23" i="70"/>
  <c r="AF23" i="70"/>
  <c r="AE23" i="70"/>
  <c r="AD23" i="70"/>
  <c r="AC23" i="70"/>
  <c r="AI22" i="70"/>
  <c r="AH22" i="70"/>
  <c r="AG22" i="70"/>
  <c r="AF22" i="70"/>
  <c r="AE22" i="70"/>
  <c r="AD22" i="70"/>
  <c r="AC22" i="70"/>
  <c r="AI20" i="70"/>
  <c r="AH20" i="70"/>
  <c r="AG20" i="70"/>
  <c r="AF20" i="70"/>
  <c r="AE20" i="70"/>
  <c r="AD20" i="70"/>
  <c r="AC20" i="70"/>
  <c r="AI19" i="70"/>
  <c r="AH19" i="70"/>
  <c r="AG19" i="70"/>
  <c r="AF19" i="70"/>
  <c r="AE19" i="70"/>
  <c r="AD19" i="70"/>
  <c r="AC19" i="70"/>
  <c r="AI17" i="70"/>
  <c r="AH17" i="70"/>
  <c r="AG17" i="70"/>
  <c r="AF17" i="70"/>
  <c r="AE17" i="70"/>
  <c r="AD17" i="70"/>
  <c r="AC17" i="70"/>
  <c r="AI16" i="70"/>
  <c r="AH16" i="70"/>
  <c r="AG16" i="70"/>
  <c r="AF16" i="70"/>
  <c r="AE16" i="70"/>
  <c r="AD16" i="70"/>
  <c r="AC16" i="70"/>
  <c r="AI14" i="70"/>
  <c r="AH14" i="70"/>
  <c r="AG14" i="70"/>
  <c r="AF14" i="70"/>
  <c r="AE14" i="70"/>
  <c r="AD14" i="70"/>
  <c r="AC14" i="70"/>
  <c r="AI13" i="70"/>
  <c r="AH13" i="70"/>
  <c r="AG13" i="70"/>
  <c r="AF13" i="70"/>
  <c r="AE13" i="70"/>
  <c r="AD13" i="70"/>
  <c r="AC13" i="70"/>
  <c r="F9" i="70"/>
  <c r="U9" i="70" s="1"/>
  <c r="S23" i="69"/>
  <c r="S20" i="69"/>
  <c r="S17" i="69"/>
  <c r="S14" i="69"/>
  <c r="S13" i="69"/>
  <c r="S41" i="69"/>
  <c r="S47" i="69"/>
  <c r="S44" i="69"/>
  <c r="Q55" i="70" l="1"/>
  <c r="Z55" i="70"/>
  <c r="Z55" i="71" s="1"/>
  <c r="AG55" i="71" s="1"/>
  <c r="Z56" i="71"/>
  <c r="AG42" i="71"/>
  <c r="R43" i="70"/>
  <c r="AA43" i="70"/>
  <c r="AA43" i="71" s="1"/>
  <c r="N49" i="70"/>
  <c r="W49" i="70"/>
  <c r="W49" i="71" s="1"/>
  <c r="AD49" i="71" s="1"/>
  <c r="O51" i="70"/>
  <c r="X51" i="70"/>
  <c r="X51" i="71" s="1"/>
  <c r="AE51" i="71" s="1"/>
  <c r="AF42" i="71"/>
  <c r="Q43" i="70"/>
  <c r="Z43" i="70"/>
  <c r="Z43" i="71" s="1"/>
  <c r="AH42" i="71"/>
  <c r="S43" i="70"/>
  <c r="AB43" i="70"/>
  <c r="AB43" i="71" s="1"/>
  <c r="N48" i="70"/>
  <c r="W48" i="70"/>
  <c r="W48" i="71" s="1"/>
  <c r="AD48" i="71" s="1"/>
  <c r="Q52" i="70"/>
  <c r="Z52" i="70"/>
  <c r="Z52" i="71" s="1"/>
  <c r="Q49" i="70"/>
  <c r="Z49" i="70"/>
  <c r="Z49" i="71" s="1"/>
  <c r="AG49" i="71" s="1"/>
  <c r="R51" i="70"/>
  <c r="AA51" i="70"/>
  <c r="AA51" i="71" s="1"/>
  <c r="AH51" i="71" s="1"/>
  <c r="S42" i="70"/>
  <c r="AB42" i="70"/>
  <c r="AB42" i="71" s="1"/>
  <c r="N46" i="70"/>
  <c r="W46" i="70"/>
  <c r="W46" i="71" s="1"/>
  <c r="AD46" i="71" s="1"/>
  <c r="N43" i="70"/>
  <c r="W43" i="70"/>
  <c r="W43" i="71" s="1"/>
  <c r="O45" i="70"/>
  <c r="X45" i="70"/>
  <c r="X45" i="71" s="1"/>
  <c r="AE45" i="71" s="1"/>
  <c r="P46" i="70"/>
  <c r="Y46" i="70"/>
  <c r="Y46" i="71" s="1"/>
  <c r="AF46" i="71" s="1"/>
  <c r="N55" i="70"/>
  <c r="W55" i="70"/>
  <c r="W55" i="71" s="1"/>
  <c r="AD55" i="71" s="1"/>
  <c r="S54" i="70"/>
  <c r="AB54" i="70"/>
  <c r="AB54" i="71" s="1"/>
  <c r="AI54" i="71" s="1"/>
  <c r="AD42" i="71"/>
  <c r="X57" i="71"/>
  <c r="AE43" i="71"/>
  <c r="P45" i="70"/>
  <c r="Y45" i="70"/>
  <c r="Y45" i="71" s="1"/>
  <c r="AF45" i="71" s="1"/>
  <c r="N54" i="70"/>
  <c r="W54" i="70"/>
  <c r="W54" i="71" s="1"/>
  <c r="AD54" i="71" s="1"/>
  <c r="AE42" i="71"/>
  <c r="AF43" i="71"/>
  <c r="S48" i="70"/>
  <c r="AB48" i="70"/>
  <c r="AB48" i="71" s="1"/>
  <c r="AI48" i="71" s="1"/>
  <c r="N52" i="70"/>
  <c r="W52" i="70"/>
  <c r="W52" i="71" s="1"/>
  <c r="Q48" i="70"/>
  <c r="R49" i="70"/>
  <c r="S51" i="70"/>
  <c r="T52" i="70"/>
  <c r="T54" i="70"/>
  <c r="N42" i="70"/>
  <c r="O43" i="70"/>
  <c r="Q46" i="70"/>
  <c r="R48" i="70"/>
  <c r="S49" i="70"/>
  <c r="T51" i="70"/>
  <c r="O42" i="70"/>
  <c r="P43" i="70"/>
  <c r="Q45" i="70"/>
  <c r="R46" i="70"/>
  <c r="T49" i="70"/>
  <c r="O55" i="70"/>
  <c r="P42" i="70"/>
  <c r="R45" i="70"/>
  <c r="S46" i="70"/>
  <c r="T48" i="70"/>
  <c r="N51" i="70"/>
  <c r="O52" i="70"/>
  <c r="O54" i="70"/>
  <c r="P55" i="70"/>
  <c r="Q42" i="70"/>
  <c r="S45" i="70"/>
  <c r="T46" i="70"/>
  <c r="P52" i="70"/>
  <c r="P54" i="70"/>
  <c r="R42" i="70"/>
  <c r="T45" i="70"/>
  <c r="O49" i="70"/>
  <c r="P51" i="70"/>
  <c r="Q54" i="70"/>
  <c r="R55" i="70"/>
  <c r="O48" i="70"/>
  <c r="P49" i="70"/>
  <c r="Q51" i="70"/>
  <c r="R52" i="70"/>
  <c r="R54" i="70"/>
  <c r="S55" i="70"/>
  <c r="AG45" i="70"/>
  <c r="N45" i="70"/>
  <c r="O46" i="70"/>
  <c r="P48" i="70"/>
  <c r="S52" i="70"/>
  <c r="T55" i="70"/>
  <c r="I56" i="70"/>
  <c r="P56" i="70" s="1"/>
  <c r="W28" i="70"/>
  <c r="M56" i="70"/>
  <c r="T56" i="70" s="1"/>
  <c r="AA28" i="70"/>
  <c r="X27" i="70"/>
  <c r="K57" i="70"/>
  <c r="R57" i="70" s="1"/>
  <c r="Y28" i="70"/>
  <c r="L57" i="70"/>
  <c r="S57" i="70" s="1"/>
  <c r="K56" i="70"/>
  <c r="R56" i="70" s="1"/>
  <c r="W27" i="70"/>
  <c r="Z28" i="70"/>
  <c r="AI46" i="70"/>
  <c r="H57" i="70"/>
  <c r="O57" i="70" s="1"/>
  <c r="Y27" i="70"/>
  <c r="I57" i="70"/>
  <c r="P57" i="70" s="1"/>
  <c r="X57" i="70"/>
  <c r="AG51" i="70"/>
  <c r="Z27" i="70"/>
  <c r="AA27" i="70"/>
  <c r="AH52" i="70"/>
  <c r="X28" i="70"/>
  <c r="AB28" i="70"/>
  <c r="AB27" i="70"/>
  <c r="L56" i="70"/>
  <c r="S56" i="70" s="1"/>
  <c r="J57" i="70"/>
  <c r="Q57" i="70" s="1"/>
  <c r="H56" i="70"/>
  <c r="O56" i="70" s="1"/>
  <c r="AI51" i="70"/>
  <c r="AF51" i="70"/>
  <c r="AE42" i="70"/>
  <c r="AE54" i="70"/>
  <c r="AD51" i="70"/>
  <c r="AH54" i="70"/>
  <c r="M57" i="70"/>
  <c r="T57" i="70" s="1"/>
  <c r="V27" i="70"/>
  <c r="V28" i="70"/>
  <c r="AD42" i="70"/>
  <c r="G56" i="70"/>
  <c r="N56" i="70" s="1"/>
  <c r="G57" i="70"/>
  <c r="N57" i="70" s="1"/>
  <c r="F38" i="70"/>
  <c r="AF42" i="70"/>
  <c r="AF48" i="70"/>
  <c r="AF54" i="70"/>
  <c r="AG42" i="70"/>
  <c r="AG54" i="70"/>
  <c r="J56" i="70"/>
  <c r="Q56" i="70" s="1"/>
  <c r="U23" i="69"/>
  <c r="U22" i="69"/>
  <c r="U17" i="69"/>
  <c r="U16" i="69"/>
  <c r="V16" i="69"/>
  <c r="W17" i="69"/>
  <c r="W16" i="69"/>
  <c r="W14" i="69"/>
  <c r="W13" i="69"/>
  <c r="X19" i="69"/>
  <c r="Y17" i="69"/>
  <c r="Y16" i="69"/>
  <c r="Y14" i="69"/>
  <c r="Y13" i="69"/>
  <c r="AB57" i="70" l="1"/>
  <c r="AH51" i="70"/>
  <c r="AE45" i="70"/>
  <c r="AE51" i="70"/>
  <c r="AA57" i="70"/>
  <c r="AI54" i="70"/>
  <c r="AA59" i="70"/>
  <c r="AB59" i="70"/>
  <c r="AI48" i="70"/>
  <c r="AF45" i="70"/>
  <c r="Y56" i="70"/>
  <c r="Y58" i="70" s="1"/>
  <c r="X56" i="70"/>
  <c r="X58" i="70" s="1"/>
  <c r="AH27" i="70"/>
  <c r="AA56" i="71"/>
  <c r="AG27" i="70"/>
  <c r="Z57" i="71"/>
  <c r="AG43" i="71"/>
  <c r="AA57" i="71"/>
  <c r="AA59" i="71" s="1"/>
  <c r="AH43" i="71"/>
  <c r="AE27" i="70"/>
  <c r="AG28" i="70"/>
  <c r="AH28" i="70"/>
  <c r="AB56" i="71"/>
  <c r="AI42" i="71"/>
  <c r="W57" i="71"/>
  <c r="AD43" i="71"/>
  <c r="AC27" i="70"/>
  <c r="Y57" i="71"/>
  <c r="X59" i="71"/>
  <c r="Y56" i="71"/>
  <c r="AG56" i="71"/>
  <c r="AC28" i="70"/>
  <c r="X59" i="70"/>
  <c r="AB57" i="71"/>
  <c r="AB59" i="71" s="1"/>
  <c r="AI43" i="71"/>
  <c r="W57" i="70"/>
  <c r="W59" i="70" s="1"/>
  <c r="AB56" i="70"/>
  <c r="AB58" i="70" s="1"/>
  <c r="AI28" i="70"/>
  <c r="AD54" i="70"/>
  <c r="AE28" i="70"/>
  <c r="X56" i="71"/>
  <c r="W56" i="71"/>
  <c r="AI45" i="70"/>
  <c r="AH45" i="70"/>
  <c r="Z57" i="70"/>
  <c r="Z59" i="70" s="1"/>
  <c r="AE46" i="70"/>
  <c r="AF28" i="70"/>
  <c r="AD46" i="70"/>
  <c r="AD27" i="70"/>
  <c r="AD28" i="70"/>
  <c r="AI27" i="70"/>
  <c r="W56" i="70"/>
  <c r="W58" i="70" s="1"/>
  <c r="AF27" i="70"/>
  <c r="AH48" i="70"/>
  <c r="AH46" i="70"/>
  <c r="AF46" i="70"/>
  <c r="AF52" i="70"/>
  <c r="AI52" i="70"/>
  <c r="Z56" i="70"/>
  <c r="Z58" i="70" s="1"/>
  <c r="AI42" i="70"/>
  <c r="AD52" i="70"/>
  <c r="AG52" i="70"/>
  <c r="AD48" i="70"/>
  <c r="AE48" i="70"/>
  <c r="AE52" i="70"/>
  <c r="Y57" i="70"/>
  <c r="Y59" i="70" s="1"/>
  <c r="V56" i="70"/>
  <c r="AD45" i="70"/>
  <c r="AG46" i="70"/>
  <c r="AG48" i="70"/>
  <c r="AA56" i="70"/>
  <c r="AA58" i="70" s="1"/>
  <c r="V57" i="70"/>
  <c r="V59" i="70" s="1"/>
  <c r="AG43" i="70"/>
  <c r="AF43" i="70"/>
  <c r="AE43" i="70"/>
  <c r="AD43" i="70"/>
  <c r="AI43" i="70"/>
  <c r="AH43" i="70"/>
  <c r="AG55" i="70"/>
  <c r="AF55" i="70"/>
  <c r="AE55" i="70"/>
  <c r="AD55" i="70"/>
  <c r="AI55" i="70"/>
  <c r="AH55" i="70"/>
  <c r="AG49" i="70"/>
  <c r="AF49" i="70"/>
  <c r="AE49" i="70"/>
  <c r="AD49" i="70"/>
  <c r="AI49" i="70"/>
  <c r="AH49" i="70"/>
  <c r="AH42" i="70"/>
  <c r="Y26" i="69"/>
  <c r="X26" i="69"/>
  <c r="W26" i="69"/>
  <c r="V26" i="69"/>
  <c r="U26" i="69"/>
  <c r="T26" i="69"/>
  <c r="S26" i="69"/>
  <c r="Y25" i="69"/>
  <c r="X25" i="69"/>
  <c r="W25" i="69"/>
  <c r="V25" i="69"/>
  <c r="U25" i="69"/>
  <c r="T25" i="69"/>
  <c r="S25" i="69"/>
  <c r="Y23" i="69"/>
  <c r="X23" i="69"/>
  <c r="W23" i="69"/>
  <c r="V23" i="69"/>
  <c r="T23" i="69"/>
  <c r="Y22" i="69"/>
  <c r="X22" i="69"/>
  <c r="W22" i="69"/>
  <c r="V22" i="69"/>
  <c r="T22" i="69"/>
  <c r="S22" i="69"/>
  <c r="Y20" i="69"/>
  <c r="X20" i="69"/>
  <c r="W20" i="69"/>
  <c r="V20" i="69"/>
  <c r="U20" i="69"/>
  <c r="T20" i="69"/>
  <c r="Y19" i="69"/>
  <c r="W19" i="69"/>
  <c r="V19" i="69"/>
  <c r="U19" i="69"/>
  <c r="T19" i="69"/>
  <c r="S19" i="69"/>
  <c r="X17" i="69"/>
  <c r="V17" i="69"/>
  <c r="T17" i="69"/>
  <c r="AC17" i="69"/>
  <c r="X16" i="69"/>
  <c r="T16" i="69"/>
  <c r="S16" i="69"/>
  <c r="X14" i="69"/>
  <c r="V14" i="69"/>
  <c r="U14" i="69"/>
  <c r="T14" i="69"/>
  <c r="X13" i="69"/>
  <c r="V13" i="69"/>
  <c r="U13" i="69"/>
  <c r="T13" i="69"/>
  <c r="AK52" i="69"/>
  <c r="AJ52" i="69"/>
  <c r="AI52" i="69"/>
  <c r="AH52" i="69"/>
  <c r="AG52" i="69"/>
  <c r="AF52" i="69"/>
  <c r="AK51" i="69"/>
  <c r="AJ51" i="69"/>
  <c r="AI51" i="69"/>
  <c r="AH51" i="69"/>
  <c r="AG51" i="69"/>
  <c r="AF51" i="69"/>
  <c r="L50" i="69"/>
  <c r="Y50" i="69" s="1"/>
  <c r="K50" i="69"/>
  <c r="X50" i="69" s="1"/>
  <c r="J50" i="69"/>
  <c r="W50" i="69" s="1"/>
  <c r="I50" i="69"/>
  <c r="V50" i="69" s="1"/>
  <c r="H50" i="69"/>
  <c r="U50" i="69" s="1"/>
  <c r="G50" i="69"/>
  <c r="T50" i="69" s="1"/>
  <c r="F50" i="69"/>
  <c r="S50" i="69" s="1"/>
  <c r="L49" i="69"/>
  <c r="Y49" i="69" s="1"/>
  <c r="K49" i="69"/>
  <c r="X49" i="69" s="1"/>
  <c r="J49" i="69"/>
  <c r="W49" i="69" s="1"/>
  <c r="I49" i="69"/>
  <c r="V49" i="69" s="1"/>
  <c r="H49" i="69"/>
  <c r="U49" i="69" s="1"/>
  <c r="G49" i="69"/>
  <c r="T49" i="69" s="1"/>
  <c r="F49" i="69"/>
  <c r="S49" i="69" s="1"/>
  <c r="L47" i="69"/>
  <c r="Y47" i="69" s="1"/>
  <c r="K47" i="69"/>
  <c r="X47" i="69" s="1"/>
  <c r="J47" i="69"/>
  <c r="W47" i="69" s="1"/>
  <c r="I47" i="69"/>
  <c r="V47" i="69" s="1"/>
  <c r="H47" i="69"/>
  <c r="U47" i="69" s="1"/>
  <c r="G47" i="69"/>
  <c r="T47" i="69" s="1"/>
  <c r="F47" i="69"/>
  <c r="L46" i="69"/>
  <c r="Y46" i="69" s="1"/>
  <c r="K46" i="69"/>
  <c r="X46" i="69" s="1"/>
  <c r="J46" i="69"/>
  <c r="W46" i="69" s="1"/>
  <c r="I46" i="69"/>
  <c r="V46" i="69" s="1"/>
  <c r="H46" i="69"/>
  <c r="U46" i="69" s="1"/>
  <c r="G46" i="69"/>
  <c r="T46" i="69" s="1"/>
  <c r="F46" i="69"/>
  <c r="S46" i="69" s="1"/>
  <c r="L44" i="69"/>
  <c r="Y44" i="69" s="1"/>
  <c r="K44" i="69"/>
  <c r="X44" i="69" s="1"/>
  <c r="J44" i="69"/>
  <c r="W44" i="69" s="1"/>
  <c r="I44" i="69"/>
  <c r="V44" i="69" s="1"/>
  <c r="H44" i="69"/>
  <c r="U44" i="69" s="1"/>
  <c r="G44" i="69"/>
  <c r="T44" i="69" s="1"/>
  <c r="F44" i="69"/>
  <c r="L43" i="69"/>
  <c r="Y43" i="69" s="1"/>
  <c r="K43" i="69"/>
  <c r="X43" i="69" s="1"/>
  <c r="J43" i="69"/>
  <c r="W43" i="69" s="1"/>
  <c r="I43" i="69"/>
  <c r="V43" i="69" s="1"/>
  <c r="H43" i="69"/>
  <c r="U43" i="69" s="1"/>
  <c r="G43" i="69"/>
  <c r="T43" i="69" s="1"/>
  <c r="F43" i="69"/>
  <c r="S43" i="69" s="1"/>
  <c r="L41" i="69"/>
  <c r="Y41" i="69" s="1"/>
  <c r="K41" i="69"/>
  <c r="X41" i="69" s="1"/>
  <c r="J41" i="69"/>
  <c r="W41" i="69" s="1"/>
  <c r="I41" i="69"/>
  <c r="V41" i="69" s="1"/>
  <c r="H41" i="69"/>
  <c r="U41" i="69" s="1"/>
  <c r="G41" i="69"/>
  <c r="T41" i="69" s="1"/>
  <c r="F41" i="69"/>
  <c r="L40" i="69"/>
  <c r="Y40" i="69" s="1"/>
  <c r="K40" i="69"/>
  <c r="X40" i="69" s="1"/>
  <c r="J40" i="69"/>
  <c r="W40" i="69" s="1"/>
  <c r="I40" i="69"/>
  <c r="V40" i="69" s="1"/>
  <c r="H40" i="69"/>
  <c r="U40" i="69" s="1"/>
  <c r="G40" i="69"/>
  <c r="T40" i="69" s="1"/>
  <c r="F40" i="69"/>
  <c r="S40" i="69" s="1"/>
  <c r="L38" i="69"/>
  <c r="Y38" i="69" s="1"/>
  <c r="K38" i="69"/>
  <c r="X38" i="69" s="1"/>
  <c r="J38" i="69"/>
  <c r="W38" i="69" s="1"/>
  <c r="I38" i="69"/>
  <c r="V38" i="69" s="1"/>
  <c r="H38" i="69"/>
  <c r="U38" i="69" s="1"/>
  <c r="G38" i="69"/>
  <c r="T38" i="69" s="1"/>
  <c r="F38" i="69"/>
  <c r="S38" i="69" s="1"/>
  <c r="L37" i="69"/>
  <c r="Y37" i="69" s="1"/>
  <c r="K37" i="69"/>
  <c r="J37" i="69"/>
  <c r="W37" i="69" s="1"/>
  <c r="I37" i="69"/>
  <c r="V37" i="69" s="1"/>
  <c r="H37" i="69"/>
  <c r="U37" i="69" s="1"/>
  <c r="G37" i="69"/>
  <c r="T37" i="69" s="1"/>
  <c r="F37" i="69"/>
  <c r="S37" i="69" s="1"/>
  <c r="S33" i="69"/>
  <c r="AK28" i="69"/>
  <c r="AJ28" i="69"/>
  <c r="AI28" i="69"/>
  <c r="AH28" i="69"/>
  <c r="AG28" i="69"/>
  <c r="AF28" i="69"/>
  <c r="L28" i="69"/>
  <c r="K28" i="69"/>
  <c r="J28" i="69"/>
  <c r="I28" i="69"/>
  <c r="H28" i="69"/>
  <c r="G28" i="69"/>
  <c r="F28" i="69"/>
  <c r="AK27" i="69"/>
  <c r="AJ27" i="69"/>
  <c r="AI27" i="69"/>
  <c r="AH27" i="69"/>
  <c r="AG27" i="69"/>
  <c r="AF27" i="69"/>
  <c r="L27" i="69"/>
  <c r="K27" i="69"/>
  <c r="J27" i="69"/>
  <c r="I27" i="69"/>
  <c r="H27" i="69"/>
  <c r="G27" i="69"/>
  <c r="F27" i="69"/>
  <c r="R26" i="69"/>
  <c r="Q26" i="69"/>
  <c r="P26" i="69"/>
  <c r="O26" i="69"/>
  <c r="N26" i="69"/>
  <c r="M26" i="69"/>
  <c r="R25" i="69"/>
  <c r="Q25" i="69"/>
  <c r="P25" i="69"/>
  <c r="O25" i="69"/>
  <c r="N25" i="69"/>
  <c r="M25" i="69"/>
  <c r="R23" i="69"/>
  <c r="Q23" i="69"/>
  <c r="P23" i="69"/>
  <c r="O23" i="69"/>
  <c r="N23" i="69"/>
  <c r="M23" i="69"/>
  <c r="R22" i="69"/>
  <c r="Q22" i="69"/>
  <c r="P22" i="69"/>
  <c r="O22" i="69"/>
  <c r="N22" i="69"/>
  <c r="M22" i="69"/>
  <c r="R20" i="69"/>
  <c r="Q20" i="69"/>
  <c r="P20" i="69"/>
  <c r="O20" i="69"/>
  <c r="N20" i="69"/>
  <c r="M20" i="69"/>
  <c r="R19" i="69"/>
  <c r="Q19" i="69"/>
  <c r="P19" i="69"/>
  <c r="O19" i="69"/>
  <c r="N19" i="69"/>
  <c r="M19" i="69"/>
  <c r="R17" i="69"/>
  <c r="Q17" i="69"/>
  <c r="P17" i="69"/>
  <c r="O17" i="69"/>
  <c r="N17" i="69"/>
  <c r="M17" i="69"/>
  <c r="R16" i="69"/>
  <c r="Q16" i="69"/>
  <c r="P16" i="69"/>
  <c r="O16" i="69"/>
  <c r="N16" i="69"/>
  <c r="M16" i="69"/>
  <c r="R14" i="69"/>
  <c r="Q14" i="69"/>
  <c r="P14" i="69"/>
  <c r="O14" i="69"/>
  <c r="N14" i="69"/>
  <c r="M14" i="69"/>
  <c r="R13" i="69"/>
  <c r="Q13" i="69"/>
  <c r="P13" i="69"/>
  <c r="O13" i="69"/>
  <c r="N13" i="69"/>
  <c r="M13" i="69"/>
  <c r="F9" i="69"/>
  <c r="F33" i="69" s="1"/>
  <c r="Y59" i="71" l="1"/>
  <c r="Z59" i="71"/>
  <c r="X58" i="71"/>
  <c r="AE56" i="71"/>
  <c r="AA58" i="71"/>
  <c r="AH56" i="71"/>
  <c r="W59" i="71"/>
  <c r="V58" i="70"/>
  <c r="V58" i="71"/>
  <c r="Z58" i="71"/>
  <c r="W58" i="71"/>
  <c r="AD56" i="71"/>
  <c r="Y58" i="71"/>
  <c r="AF56" i="71"/>
  <c r="AB58" i="71"/>
  <c r="AI56" i="71"/>
  <c r="AF56" i="70"/>
  <c r="AE56" i="70"/>
  <c r="AD56" i="70"/>
  <c r="AI56" i="70"/>
  <c r="AG56" i="70"/>
  <c r="AH56" i="70"/>
  <c r="AE57" i="70"/>
  <c r="AI57" i="70"/>
  <c r="AD57" i="70"/>
  <c r="AH57" i="70"/>
  <c r="AG57" i="70"/>
  <c r="AF57" i="70"/>
  <c r="Q37" i="69"/>
  <c r="AE25" i="69"/>
  <c r="AB13" i="69"/>
  <c r="X37" i="69"/>
  <c r="X51" i="69" s="1"/>
  <c r="M28" i="69"/>
  <c r="AA17" i="69"/>
  <c r="R28" i="69"/>
  <c r="F52" i="69"/>
  <c r="Z13" i="69"/>
  <c r="AB22" i="69"/>
  <c r="Z25" i="69"/>
  <c r="I52" i="69"/>
  <c r="AC23" i="69"/>
  <c r="O50" i="69"/>
  <c r="AC20" i="69"/>
  <c r="AB16" i="69"/>
  <c r="J52" i="69"/>
  <c r="O44" i="69"/>
  <c r="Y28" i="69"/>
  <c r="O37" i="69"/>
  <c r="O43" i="69"/>
  <c r="AE14" i="69"/>
  <c r="AD19" i="69"/>
  <c r="H51" i="69"/>
  <c r="Q49" i="69"/>
  <c r="O27" i="69"/>
  <c r="Y27" i="69"/>
  <c r="Y29" i="69" s="1"/>
  <c r="W28" i="69"/>
  <c r="L51" i="69"/>
  <c r="M27" i="69"/>
  <c r="K51" i="69"/>
  <c r="M38" i="69"/>
  <c r="P38" i="69"/>
  <c r="Q41" i="69"/>
  <c r="Q43" i="69"/>
  <c r="W27" i="69"/>
  <c r="Z23" i="69"/>
  <c r="AB25" i="69"/>
  <c r="AD25" i="69"/>
  <c r="AB26" i="69"/>
  <c r="R27" i="69"/>
  <c r="O28" i="69"/>
  <c r="Q28" i="69"/>
  <c r="M37" i="69"/>
  <c r="V52" i="69"/>
  <c r="AA47" i="69"/>
  <c r="V28" i="69"/>
  <c r="V30" i="69" s="1"/>
  <c r="Q27" i="69"/>
  <c r="Q47" i="69"/>
  <c r="AD16" i="69"/>
  <c r="W52" i="69"/>
  <c r="Z22" i="69"/>
  <c r="AC22" i="69"/>
  <c r="R37" i="69"/>
  <c r="M40" i="69"/>
  <c r="M44" i="69"/>
  <c r="P44" i="69"/>
  <c r="O49" i="69"/>
  <c r="R49" i="69"/>
  <c r="R43" i="69"/>
  <c r="X28" i="69"/>
  <c r="X30" i="69" s="1"/>
  <c r="U28" i="69"/>
  <c r="AE23" i="69"/>
  <c r="AE20" i="69"/>
  <c r="U51" i="69"/>
  <c r="U53" i="69" s="1"/>
  <c r="K52" i="69"/>
  <c r="AD17" i="69"/>
  <c r="U27" i="69"/>
  <c r="X27" i="69"/>
  <c r="AA13" i="69"/>
  <c r="AD13" i="69"/>
  <c r="T27" i="69"/>
  <c r="T29" i="69" s="1"/>
  <c r="AE13" i="69"/>
  <c r="T28" i="69"/>
  <c r="T30" i="69" s="1"/>
  <c r="Z19" i="69"/>
  <c r="Y51" i="69"/>
  <c r="Y53" i="69" s="1"/>
  <c r="O38" i="69"/>
  <c r="M46" i="69"/>
  <c r="M50" i="69"/>
  <c r="P50" i="69"/>
  <c r="T52" i="69"/>
  <c r="U52" i="69"/>
  <c r="V51" i="69"/>
  <c r="Y52" i="69"/>
  <c r="AE38" i="69"/>
  <c r="AA46" i="69"/>
  <c r="Z46" i="69"/>
  <c r="AE46" i="69"/>
  <c r="AD46" i="69"/>
  <c r="AC46" i="69"/>
  <c r="AB46" i="69"/>
  <c r="T51" i="69"/>
  <c r="X52" i="69"/>
  <c r="AA40" i="69"/>
  <c r="AC40" i="69"/>
  <c r="Z40" i="69"/>
  <c r="AD40" i="69"/>
  <c r="AE40" i="69"/>
  <c r="AB40" i="69"/>
  <c r="W51" i="69"/>
  <c r="AA41" i="69"/>
  <c r="S9" i="69"/>
  <c r="AC13" i="69"/>
  <c r="Z14" i="69"/>
  <c r="AE16" i="69"/>
  <c r="AB17" i="69"/>
  <c r="AD20" i="69"/>
  <c r="AA22" i="69"/>
  <c r="AC25" i="69"/>
  <c r="Z26" i="69"/>
  <c r="P27" i="69"/>
  <c r="P28" i="69"/>
  <c r="P37" i="69"/>
  <c r="N38" i="69"/>
  <c r="AD38" i="69"/>
  <c r="R41" i="69"/>
  <c r="Z41" i="69"/>
  <c r="P43" i="69"/>
  <c r="N44" i="69"/>
  <c r="R47" i="69"/>
  <c r="Z47" i="69"/>
  <c r="P49" i="69"/>
  <c r="N50" i="69"/>
  <c r="L52" i="69"/>
  <c r="N46" i="69"/>
  <c r="AB47" i="69"/>
  <c r="F51" i="69"/>
  <c r="AC14" i="69"/>
  <c r="Z16" i="69"/>
  <c r="AE17" i="69"/>
  <c r="AB19" i="69"/>
  <c r="AD22" i="69"/>
  <c r="AA23" i="69"/>
  <c r="AC26" i="69"/>
  <c r="S27" i="69"/>
  <c r="S29" i="69" s="1"/>
  <c r="S28" i="69"/>
  <c r="S30" i="69" s="1"/>
  <c r="Q38" i="69"/>
  <c r="O40" i="69"/>
  <c r="M41" i="69"/>
  <c r="AC41" i="69"/>
  <c r="Q44" i="69"/>
  <c r="O46" i="69"/>
  <c r="M47" i="69"/>
  <c r="AC47" i="69"/>
  <c r="Q50" i="69"/>
  <c r="G51" i="69"/>
  <c r="G52" i="69"/>
  <c r="AA14" i="69"/>
  <c r="N40" i="69"/>
  <c r="AB41" i="69"/>
  <c r="AD14" i="69"/>
  <c r="AA16" i="69"/>
  <c r="AC19" i="69"/>
  <c r="Z20" i="69"/>
  <c r="AE22" i="69"/>
  <c r="AB23" i="69"/>
  <c r="AD26" i="69"/>
  <c r="R38" i="69"/>
  <c r="Z38" i="69"/>
  <c r="P40" i="69"/>
  <c r="N41" i="69"/>
  <c r="AD41" i="69"/>
  <c r="R44" i="69"/>
  <c r="P46" i="69"/>
  <c r="N47" i="69"/>
  <c r="AD47" i="69"/>
  <c r="R50" i="69"/>
  <c r="H52" i="69"/>
  <c r="AE26" i="69"/>
  <c r="Q40" i="69"/>
  <c r="O41" i="69"/>
  <c r="AE41" i="69"/>
  <c r="M43" i="69"/>
  <c r="Q46" i="69"/>
  <c r="O47" i="69"/>
  <c r="AE47" i="69"/>
  <c r="M49" i="69"/>
  <c r="I51" i="69"/>
  <c r="AA26" i="69"/>
  <c r="AB14" i="69"/>
  <c r="AA19" i="69"/>
  <c r="AA20" i="69"/>
  <c r="AC16" i="69"/>
  <c r="Z17" i="69"/>
  <c r="AE19" i="69"/>
  <c r="AB20" i="69"/>
  <c r="AD23" i="69"/>
  <c r="AA25" i="69"/>
  <c r="N27" i="69"/>
  <c r="V27" i="69"/>
  <c r="V29" i="69" s="1"/>
  <c r="N28" i="69"/>
  <c r="N37" i="69"/>
  <c r="R40" i="69"/>
  <c r="P41" i="69"/>
  <c r="N43" i="69"/>
  <c r="R46" i="69"/>
  <c r="P47" i="69"/>
  <c r="N49" i="69"/>
  <c r="J51" i="69"/>
  <c r="AA38" i="69"/>
  <c r="AC38" i="69"/>
  <c r="R52" i="69" l="1"/>
  <c r="N52" i="69"/>
  <c r="X54" i="69"/>
  <c r="X53" i="69"/>
  <c r="O52" i="69"/>
  <c r="T53" i="69"/>
  <c r="Y54" i="69"/>
  <c r="V54" i="69"/>
  <c r="U54" i="69"/>
  <c r="W54" i="69"/>
  <c r="T54" i="69"/>
  <c r="Q52" i="69"/>
  <c r="W53" i="69"/>
  <c r="M52" i="69"/>
  <c r="V53" i="69"/>
  <c r="AB38" i="69"/>
  <c r="P52" i="69"/>
  <c r="AC50" i="69"/>
  <c r="AB50" i="69"/>
  <c r="AA50" i="69"/>
  <c r="Z50" i="69"/>
  <c r="AE50" i="69"/>
  <c r="AD50" i="69"/>
  <c r="AE28" i="69"/>
  <c r="AC28" i="69"/>
  <c r="Z28" i="69"/>
  <c r="AD28" i="69"/>
  <c r="AB28" i="69"/>
  <c r="AA28" i="69"/>
  <c r="S52" i="69"/>
  <c r="S54" i="69" s="1"/>
  <c r="AE27" i="69"/>
  <c r="Z27" i="69"/>
  <c r="AD27" i="69"/>
  <c r="AC27" i="69"/>
  <c r="AB27" i="69"/>
  <c r="AA27" i="69"/>
  <c r="AE43" i="69"/>
  <c r="AD43" i="69"/>
  <c r="AC43" i="69"/>
  <c r="AB43" i="69"/>
  <c r="Z43" i="69"/>
  <c r="AA43" i="69"/>
  <c r="S51" i="69"/>
  <c r="S53" i="69" s="1"/>
  <c r="AE37" i="69"/>
  <c r="AD37" i="69"/>
  <c r="AC37" i="69"/>
  <c r="AB37" i="69"/>
  <c r="AA37" i="69"/>
  <c r="Z37" i="69"/>
  <c r="R51" i="69"/>
  <c r="Q51" i="69"/>
  <c r="M51" i="69"/>
  <c r="P51" i="69"/>
  <c r="N51" i="69"/>
  <c r="O51" i="69"/>
  <c r="AC44" i="69"/>
  <c r="AB44" i="69"/>
  <c r="AA44" i="69"/>
  <c r="Z44" i="69"/>
  <c r="AE44" i="69"/>
  <c r="AD44" i="69"/>
  <c r="AE49" i="69"/>
  <c r="AD49" i="69"/>
  <c r="AC49" i="69"/>
  <c r="AB49" i="69"/>
  <c r="Z49" i="69"/>
  <c r="AA49" i="69"/>
  <c r="AA51" i="69" l="1"/>
  <c r="AC51" i="69"/>
  <c r="Z51" i="69"/>
  <c r="AE51" i="69"/>
  <c r="AD51" i="69"/>
  <c r="AB51" i="69"/>
  <c r="AA52" i="69"/>
  <c r="Z52" i="69"/>
  <c r="AC52" i="69"/>
  <c r="AD52" i="69"/>
  <c r="AE52" i="69"/>
  <c r="AB52" i="69"/>
  <c r="S53" i="68" l="1"/>
  <c r="S37" i="68"/>
  <c r="S30" i="68"/>
  <c r="S14" i="68"/>
  <c r="S29" i="68" l="1"/>
  <c r="S13" i="68"/>
  <c r="S23" i="68" l="1"/>
  <c r="S20" i="68"/>
  <c r="S17" i="68"/>
  <c r="S54" i="68"/>
  <c r="S47" i="68"/>
  <c r="S44" i="68"/>
  <c r="S41" i="68"/>
  <c r="S38" i="68"/>
  <c r="S26" i="68"/>
  <c r="S16" i="68"/>
  <c r="S50" i="68"/>
  <c r="S40" i="68"/>
  <c r="Y50" i="68"/>
  <c r="X50" i="68"/>
  <c r="W50" i="68"/>
  <c r="V50" i="68"/>
  <c r="U50" i="68"/>
  <c r="T50" i="68"/>
  <c r="Y49" i="68"/>
  <c r="X49" i="68"/>
  <c r="W49" i="68"/>
  <c r="V49" i="68"/>
  <c r="U49" i="68"/>
  <c r="T49" i="68"/>
  <c r="S49" i="68"/>
  <c r="Y47" i="68"/>
  <c r="X47" i="68"/>
  <c r="W47" i="68"/>
  <c r="V47" i="68"/>
  <c r="U47" i="68"/>
  <c r="T47" i="68"/>
  <c r="Y46" i="68"/>
  <c r="X46" i="68"/>
  <c r="W46" i="68"/>
  <c r="V46" i="68"/>
  <c r="U46" i="68"/>
  <c r="T46" i="68"/>
  <c r="S46" i="68"/>
  <c r="Y44" i="68"/>
  <c r="X44" i="68"/>
  <c r="W44" i="68"/>
  <c r="V44" i="68"/>
  <c r="U44" i="68"/>
  <c r="T44" i="68"/>
  <c r="Y43" i="68"/>
  <c r="X43" i="68"/>
  <c r="W43" i="68"/>
  <c r="V43" i="68"/>
  <c r="U43" i="68"/>
  <c r="T43" i="68"/>
  <c r="S43" i="68"/>
  <c r="Y41" i="68"/>
  <c r="X41" i="68"/>
  <c r="W41" i="68"/>
  <c r="V41" i="68"/>
  <c r="U41" i="68"/>
  <c r="T41" i="68"/>
  <c r="Y40" i="68"/>
  <c r="X40" i="68"/>
  <c r="W40" i="68"/>
  <c r="V40" i="68"/>
  <c r="U40" i="68"/>
  <c r="T40" i="68"/>
  <c r="Y38" i="68"/>
  <c r="X38" i="68"/>
  <c r="W38" i="68"/>
  <c r="V38" i="68"/>
  <c r="U38" i="68"/>
  <c r="T38" i="68"/>
  <c r="Y37" i="68"/>
  <c r="X37" i="68"/>
  <c r="W37" i="68"/>
  <c r="V37" i="68"/>
  <c r="U37" i="68"/>
  <c r="T37" i="68"/>
  <c r="Y26" i="68"/>
  <c r="X26" i="68"/>
  <c r="W26" i="68"/>
  <c r="V26" i="68"/>
  <c r="U26" i="68"/>
  <c r="T26" i="68"/>
  <c r="Y25" i="68"/>
  <c r="X25" i="68"/>
  <c r="W25" i="68"/>
  <c r="V25" i="68"/>
  <c r="U25" i="68"/>
  <c r="T25" i="68"/>
  <c r="S25" i="68"/>
  <c r="Y23" i="68"/>
  <c r="X23" i="68"/>
  <c r="W23" i="68"/>
  <c r="V23" i="68"/>
  <c r="U23" i="68"/>
  <c r="T23" i="68"/>
  <c r="Y22" i="68"/>
  <c r="X22" i="68"/>
  <c r="W22" i="68"/>
  <c r="V22" i="68"/>
  <c r="U22" i="68"/>
  <c r="T22" i="68"/>
  <c r="S22" i="68"/>
  <c r="Y20" i="68"/>
  <c r="X20" i="68"/>
  <c r="W20" i="68"/>
  <c r="V20" i="68"/>
  <c r="U20" i="68"/>
  <c r="T20" i="68"/>
  <c r="Y19" i="68"/>
  <c r="X19" i="68"/>
  <c r="W19" i="68"/>
  <c r="V19" i="68"/>
  <c r="U19" i="68"/>
  <c r="T19" i="68"/>
  <c r="S19" i="68"/>
  <c r="Y17" i="68"/>
  <c r="X17" i="68"/>
  <c r="W17" i="68"/>
  <c r="V17" i="68"/>
  <c r="U17" i="68"/>
  <c r="T17" i="68"/>
  <c r="Y16" i="68"/>
  <c r="X16" i="68"/>
  <c r="W16" i="68"/>
  <c r="V16" i="68"/>
  <c r="U16" i="68"/>
  <c r="T16" i="68"/>
  <c r="Y14" i="68"/>
  <c r="X14" i="68"/>
  <c r="W14" i="68"/>
  <c r="V14" i="68"/>
  <c r="U14" i="68"/>
  <c r="T14" i="68"/>
  <c r="Y13" i="68"/>
  <c r="X13" i="68"/>
  <c r="W13" i="68"/>
  <c r="V13" i="68"/>
  <c r="U13" i="68"/>
  <c r="T13" i="68"/>
  <c r="AK52" i="68" l="1"/>
  <c r="AJ52" i="68"/>
  <c r="AI52" i="68"/>
  <c r="AH52" i="68"/>
  <c r="AG52" i="68"/>
  <c r="AF52" i="68"/>
  <c r="AK51" i="68"/>
  <c r="AJ51" i="68"/>
  <c r="AI51" i="68"/>
  <c r="AH51" i="68"/>
  <c r="AG51" i="68"/>
  <c r="AF51" i="68"/>
  <c r="L50" i="68"/>
  <c r="K50" i="68"/>
  <c r="J50" i="68"/>
  <c r="I50" i="68"/>
  <c r="H50" i="68"/>
  <c r="G50" i="68"/>
  <c r="F50" i="68"/>
  <c r="L49" i="68"/>
  <c r="K49" i="68"/>
  <c r="J49" i="68"/>
  <c r="I49" i="68"/>
  <c r="H49" i="68"/>
  <c r="G49" i="68"/>
  <c r="F49" i="68"/>
  <c r="L47" i="68"/>
  <c r="K47" i="68"/>
  <c r="J47" i="68"/>
  <c r="I47" i="68"/>
  <c r="H47" i="68"/>
  <c r="G47" i="68"/>
  <c r="F47" i="68"/>
  <c r="L46" i="68"/>
  <c r="K46" i="68"/>
  <c r="J46" i="68"/>
  <c r="I46" i="68"/>
  <c r="H46" i="68"/>
  <c r="G46" i="68"/>
  <c r="F46" i="68"/>
  <c r="L44" i="68"/>
  <c r="K44" i="68"/>
  <c r="J44" i="68"/>
  <c r="I44" i="68"/>
  <c r="H44" i="68"/>
  <c r="G44" i="68"/>
  <c r="F44" i="68"/>
  <c r="L43" i="68"/>
  <c r="K43" i="68"/>
  <c r="J43" i="68"/>
  <c r="I43" i="68"/>
  <c r="H43" i="68"/>
  <c r="G43" i="68"/>
  <c r="F43" i="68"/>
  <c r="L41" i="68"/>
  <c r="K41" i="68"/>
  <c r="J41" i="68"/>
  <c r="I41" i="68"/>
  <c r="H41" i="68"/>
  <c r="G41" i="68"/>
  <c r="F41" i="68"/>
  <c r="O41" i="68" s="1"/>
  <c r="R40" i="68"/>
  <c r="L40" i="68"/>
  <c r="K40" i="68"/>
  <c r="J40" i="68"/>
  <c r="I40" i="68"/>
  <c r="H40" i="68"/>
  <c r="G40" i="68"/>
  <c r="F40" i="68"/>
  <c r="L38" i="68"/>
  <c r="K38" i="68"/>
  <c r="K52" i="68" s="1"/>
  <c r="J38" i="68"/>
  <c r="I38" i="68"/>
  <c r="H38" i="68"/>
  <c r="G38" i="68"/>
  <c r="F38" i="68"/>
  <c r="Y51" i="68"/>
  <c r="Y53" i="68" s="1"/>
  <c r="L37" i="68"/>
  <c r="L51" i="68" s="1"/>
  <c r="K37" i="68"/>
  <c r="J37" i="68"/>
  <c r="I37" i="68"/>
  <c r="H37" i="68"/>
  <c r="G37" i="68"/>
  <c r="F37" i="68"/>
  <c r="O37" i="68" s="1"/>
  <c r="S33" i="68"/>
  <c r="AK28" i="68"/>
  <c r="AJ28" i="68"/>
  <c r="AI28" i="68"/>
  <c r="AH28" i="68"/>
  <c r="AG28" i="68"/>
  <c r="AF28" i="68"/>
  <c r="L28" i="68"/>
  <c r="K28" i="68"/>
  <c r="J28" i="68"/>
  <c r="I28" i="68"/>
  <c r="H28" i="68"/>
  <c r="G28" i="68"/>
  <c r="F28" i="68"/>
  <c r="O28" i="68" s="1"/>
  <c r="AK27" i="68"/>
  <c r="AJ27" i="68"/>
  <c r="AI27" i="68"/>
  <c r="AH27" i="68"/>
  <c r="AG27" i="68"/>
  <c r="AF27" i="68"/>
  <c r="L27" i="68"/>
  <c r="K27" i="68"/>
  <c r="J27" i="68"/>
  <c r="I27" i="68"/>
  <c r="H27" i="68"/>
  <c r="G27" i="68"/>
  <c r="F27" i="68"/>
  <c r="R26" i="68"/>
  <c r="Q26" i="68"/>
  <c r="P26" i="68"/>
  <c r="O26" i="68"/>
  <c r="N26" i="68"/>
  <c r="M26" i="68"/>
  <c r="R25" i="68"/>
  <c r="Q25" i="68"/>
  <c r="P25" i="68"/>
  <c r="O25" i="68"/>
  <c r="N25" i="68"/>
  <c r="M25" i="68"/>
  <c r="AE23" i="68"/>
  <c r="AC23" i="68"/>
  <c r="R23" i="68"/>
  <c r="Q23" i="68"/>
  <c r="P23" i="68"/>
  <c r="O23" i="68"/>
  <c r="N23" i="68"/>
  <c r="M23" i="68"/>
  <c r="AE22" i="68"/>
  <c r="Z22" i="68"/>
  <c r="R22" i="68"/>
  <c r="Q22" i="68"/>
  <c r="P22" i="68"/>
  <c r="O22" i="68"/>
  <c r="N22" i="68"/>
  <c r="M22" i="68"/>
  <c r="R20" i="68"/>
  <c r="Q20" i="68"/>
  <c r="P20" i="68"/>
  <c r="O20" i="68"/>
  <c r="N20" i="68"/>
  <c r="M20" i="68"/>
  <c r="Z19" i="68"/>
  <c r="AD19" i="68"/>
  <c r="R19" i="68"/>
  <c r="Q19" i="68"/>
  <c r="P19" i="68"/>
  <c r="O19" i="68"/>
  <c r="N19" i="68"/>
  <c r="M19" i="68"/>
  <c r="AA17" i="68"/>
  <c r="R17" i="68"/>
  <c r="Q17" i="68"/>
  <c r="P17" i="68"/>
  <c r="O17" i="68"/>
  <c r="N17" i="68"/>
  <c r="M17" i="68"/>
  <c r="R16" i="68"/>
  <c r="Q16" i="68"/>
  <c r="P16" i="68"/>
  <c r="O16" i="68"/>
  <c r="N16" i="68"/>
  <c r="M16" i="68"/>
  <c r="X28" i="68"/>
  <c r="X30" i="68" s="1"/>
  <c r="W28" i="68"/>
  <c r="W30" i="68" s="1"/>
  <c r="U28" i="68"/>
  <c r="U30" i="68" s="1"/>
  <c r="T28" i="68"/>
  <c r="T30" i="68" s="1"/>
  <c r="AE14" i="68"/>
  <c r="R14" i="68"/>
  <c r="Q14" i="68"/>
  <c r="P14" i="68"/>
  <c r="O14" i="68"/>
  <c r="N14" i="68"/>
  <c r="M14" i="68"/>
  <c r="X27" i="68"/>
  <c r="X29" i="68" s="1"/>
  <c r="W27" i="68"/>
  <c r="W29" i="68" s="1"/>
  <c r="U27" i="68"/>
  <c r="U29" i="68" s="1"/>
  <c r="R13" i="68"/>
  <c r="Q13" i="68"/>
  <c r="P13" i="68"/>
  <c r="O13" i="68"/>
  <c r="N13" i="68"/>
  <c r="M13" i="68"/>
  <c r="F9" i="68"/>
  <c r="S9" i="68" s="1"/>
  <c r="AD22" i="68" l="1"/>
  <c r="AC20" i="68"/>
  <c r="O44" i="68"/>
  <c r="AD16" i="68"/>
  <c r="T52" i="68"/>
  <c r="T54" i="68" s="1"/>
  <c r="O27" i="68"/>
  <c r="K51" i="68"/>
  <c r="I52" i="68"/>
  <c r="J52" i="68"/>
  <c r="AA22" i="68"/>
  <c r="AE26" i="68"/>
  <c r="X52" i="68"/>
  <c r="X54" i="68" s="1"/>
  <c r="AB13" i="68"/>
  <c r="Y27" i="68"/>
  <c r="Y29" i="68" s="1"/>
  <c r="V51" i="68"/>
  <c r="V53" i="68" s="1"/>
  <c r="X51" i="68"/>
  <c r="X53" i="68" s="1"/>
  <c r="T27" i="68"/>
  <c r="T29" i="68" s="1"/>
  <c r="AB16" i="68"/>
  <c r="V28" i="68"/>
  <c r="V30" i="68" s="1"/>
  <c r="AA20" i="68"/>
  <c r="AB25" i="68"/>
  <c r="O43" i="68"/>
  <c r="O47" i="68"/>
  <c r="V27" i="68"/>
  <c r="V29" i="68" s="1"/>
  <c r="O49" i="68"/>
  <c r="I51" i="68"/>
  <c r="F52" i="68"/>
  <c r="R52" i="68" s="1"/>
  <c r="Q41" i="68"/>
  <c r="P44" i="68"/>
  <c r="AB22" i="68"/>
  <c r="Z23" i="68"/>
  <c r="R38" i="68"/>
  <c r="M44" i="68"/>
  <c r="AB20" i="68"/>
  <c r="AC22" i="68"/>
  <c r="AD23" i="68"/>
  <c r="O38" i="68"/>
  <c r="P41" i="68"/>
  <c r="R50" i="68"/>
  <c r="AE47" i="68"/>
  <c r="Z17" i="68"/>
  <c r="AE20" i="68"/>
  <c r="P38" i="68"/>
  <c r="O50" i="68"/>
  <c r="AC17" i="68"/>
  <c r="AE19" i="68"/>
  <c r="Z20" i="68"/>
  <c r="M38" i="68"/>
  <c r="Q47" i="68"/>
  <c r="P50" i="68"/>
  <c r="AC16" i="68"/>
  <c r="AD17" i="68"/>
  <c r="AB23" i="68"/>
  <c r="AB26" i="68"/>
  <c r="M50" i="68"/>
  <c r="R44" i="68"/>
  <c r="P47" i="68"/>
  <c r="AC44" i="68"/>
  <c r="AB44" i="68"/>
  <c r="AA44" i="68"/>
  <c r="Z44" i="68"/>
  <c r="AD44" i="68"/>
  <c r="T51" i="68"/>
  <c r="T53" i="68" s="1"/>
  <c r="U51" i="68"/>
  <c r="U53" i="68" s="1"/>
  <c r="AC38" i="68"/>
  <c r="AA38" i="68"/>
  <c r="Z38" i="68"/>
  <c r="AD38" i="68"/>
  <c r="AB38" i="68"/>
  <c r="AE41" i="68"/>
  <c r="AA40" i="68"/>
  <c r="Z40" i="68"/>
  <c r="AD40" i="68"/>
  <c r="AE40" i="68"/>
  <c r="AC40" i="68"/>
  <c r="AB40" i="68"/>
  <c r="AC50" i="68"/>
  <c r="AB50" i="68"/>
  <c r="AA50" i="68"/>
  <c r="Z50" i="68"/>
  <c r="AD50" i="68"/>
  <c r="W51" i="68"/>
  <c r="W53" i="68" s="1"/>
  <c r="U52" i="68"/>
  <c r="U54" i="68" s="1"/>
  <c r="AA46" i="68"/>
  <c r="AD46" i="68"/>
  <c r="AE46" i="68"/>
  <c r="AC46" i="68"/>
  <c r="AB46" i="68"/>
  <c r="Z46" i="68"/>
  <c r="W52" i="68"/>
  <c r="W54" i="68" s="1"/>
  <c r="V52" i="68"/>
  <c r="V54" i="68" s="1"/>
  <c r="AB41" i="68"/>
  <c r="AA13" i="68"/>
  <c r="N27" i="68"/>
  <c r="N28" i="68"/>
  <c r="N37" i="68"/>
  <c r="J51" i="68"/>
  <c r="AC13" i="68"/>
  <c r="Z14" i="68"/>
  <c r="AE16" i="68"/>
  <c r="AB17" i="68"/>
  <c r="AD20" i="68"/>
  <c r="AC25" i="68"/>
  <c r="Z26" i="68"/>
  <c r="P27" i="68"/>
  <c r="P28" i="68"/>
  <c r="P37" i="68"/>
  <c r="N38" i="68"/>
  <c r="R41" i="68"/>
  <c r="Z41" i="68"/>
  <c r="P43" i="68"/>
  <c r="N44" i="68"/>
  <c r="R47" i="68"/>
  <c r="Z47" i="68"/>
  <c r="P49" i="68"/>
  <c r="N50" i="68"/>
  <c r="L52" i="68"/>
  <c r="AD25" i="68"/>
  <c r="AA26" i="68"/>
  <c r="Q27" i="68"/>
  <c r="Q28" i="68"/>
  <c r="Y28" i="68"/>
  <c r="Y30" i="68" s="1"/>
  <c r="Q37" i="68"/>
  <c r="M40" i="68"/>
  <c r="AA41" i="68"/>
  <c r="Q43" i="68"/>
  <c r="M46" i="68"/>
  <c r="AA47" i="68"/>
  <c r="Q49" i="68"/>
  <c r="AA19" i="68"/>
  <c r="R27" i="68"/>
  <c r="N40" i="68"/>
  <c r="R43" i="68"/>
  <c r="F51" i="68"/>
  <c r="AC14" i="68"/>
  <c r="Z16" i="68"/>
  <c r="AE17" i="68"/>
  <c r="AB19" i="68"/>
  <c r="AA23" i="68"/>
  <c r="AC26" i="68"/>
  <c r="S27" i="68"/>
  <c r="S28" i="68"/>
  <c r="Q38" i="68"/>
  <c r="O40" i="68"/>
  <c r="M41" i="68"/>
  <c r="AC41" i="68"/>
  <c r="Q44" i="68"/>
  <c r="AE44" i="68"/>
  <c r="O46" i="68"/>
  <c r="M47" i="68"/>
  <c r="AC47" i="68"/>
  <c r="Q50" i="68"/>
  <c r="AE50" i="68"/>
  <c r="G51" i="68"/>
  <c r="G52" i="68"/>
  <c r="O52" i="68"/>
  <c r="AD13" i="68"/>
  <c r="AB14" i="68"/>
  <c r="N46" i="68"/>
  <c r="R49" i="68"/>
  <c r="AD14" i="68"/>
  <c r="AA16" i="68"/>
  <c r="AC19" i="68"/>
  <c r="AD26" i="68"/>
  <c r="F33" i="68"/>
  <c r="P40" i="68"/>
  <c r="N41" i="68"/>
  <c r="AD41" i="68"/>
  <c r="P46" i="68"/>
  <c r="N47" i="68"/>
  <c r="AD47" i="68"/>
  <c r="H51" i="68"/>
  <c r="H52" i="68"/>
  <c r="N52" i="68" s="1"/>
  <c r="AA14" i="68"/>
  <c r="AE13" i="68"/>
  <c r="AE25" i="68"/>
  <c r="R28" i="68"/>
  <c r="R37" i="68"/>
  <c r="Z13" i="68"/>
  <c r="Z25" i="68"/>
  <c r="M27" i="68"/>
  <c r="M28" i="68"/>
  <c r="M37" i="68"/>
  <c r="Q40" i="68"/>
  <c r="M43" i="68"/>
  <c r="Q46" i="68"/>
  <c r="M49" i="68"/>
  <c r="Q52" i="68"/>
  <c r="AA25" i="68"/>
  <c r="N43" i="68"/>
  <c r="R46" i="68"/>
  <c r="N49" i="68"/>
  <c r="M52" i="68" l="1"/>
  <c r="P52" i="68"/>
  <c r="Y52" i="68"/>
  <c r="Y54" i="68" s="1"/>
  <c r="AB47" i="68"/>
  <c r="S52" i="68"/>
  <c r="S51" i="68"/>
  <c r="AE37" i="68"/>
  <c r="AD37" i="68"/>
  <c r="AC37" i="68"/>
  <c r="AB37" i="68"/>
  <c r="Z37" i="68"/>
  <c r="AA37" i="68"/>
  <c r="AE38" i="68"/>
  <c r="AE28" i="68"/>
  <c r="AC28" i="68"/>
  <c r="Z28" i="68"/>
  <c r="AB28" i="68"/>
  <c r="AA28" i="68"/>
  <c r="AD28" i="68"/>
  <c r="R51" i="68"/>
  <c r="Q51" i="68"/>
  <c r="P51" i="68"/>
  <c r="N51" i="68"/>
  <c r="O51" i="68"/>
  <c r="M51" i="68"/>
  <c r="AE43" i="68"/>
  <c r="AD43" i="68"/>
  <c r="AC43" i="68"/>
  <c r="AB43" i="68"/>
  <c r="Z43" i="68"/>
  <c r="AA43" i="68"/>
  <c r="AE27" i="68"/>
  <c r="AC27" i="68"/>
  <c r="Z27" i="68"/>
  <c r="AB27" i="68"/>
  <c r="AA27" i="68"/>
  <c r="AD27" i="68"/>
  <c r="AE49" i="68"/>
  <c r="AC49" i="68"/>
  <c r="AB49" i="68"/>
  <c r="Z49" i="68"/>
  <c r="AA49" i="68"/>
  <c r="AD49" i="68"/>
  <c r="AA52" i="68" l="1"/>
  <c r="AB52" i="68"/>
  <c r="AD52" i="68"/>
  <c r="Z52" i="68"/>
  <c r="AC52" i="68"/>
  <c r="AE52" i="68"/>
  <c r="AA51" i="68"/>
  <c r="Z51" i="68"/>
  <c r="AD51" i="68"/>
  <c r="AE51" i="68"/>
  <c r="AC51" i="68"/>
  <c r="AB51" i="68"/>
  <c r="S54" i="67" l="1"/>
  <c r="S53" i="67"/>
  <c r="S50" i="67"/>
  <c r="S47" i="67"/>
  <c r="S41" i="67"/>
  <c r="S40" i="67"/>
  <c r="S38" i="67"/>
  <c r="S30" i="67"/>
  <c r="S29" i="67"/>
  <c r="S26" i="67" l="1"/>
  <c r="S23" i="67"/>
  <c r="S17" i="67"/>
  <c r="S16" i="67"/>
  <c r="S14" i="67"/>
  <c r="S20" i="67"/>
  <c r="Y50" i="67"/>
  <c r="X50" i="67"/>
  <c r="W50" i="67"/>
  <c r="V50" i="67"/>
  <c r="U50" i="67"/>
  <c r="T50" i="67"/>
  <c r="Y49" i="67"/>
  <c r="X49" i="67"/>
  <c r="W49" i="67"/>
  <c r="V49" i="67"/>
  <c r="U49" i="67"/>
  <c r="T49" i="67"/>
  <c r="Y47" i="67"/>
  <c r="X47" i="67"/>
  <c r="W47" i="67"/>
  <c r="V47" i="67"/>
  <c r="U47" i="67"/>
  <c r="T47" i="67"/>
  <c r="Y46" i="67"/>
  <c r="X46" i="67"/>
  <c r="W46" i="67"/>
  <c r="V46" i="67"/>
  <c r="U46" i="67"/>
  <c r="T46" i="67"/>
  <c r="Y44" i="67"/>
  <c r="X44" i="67"/>
  <c r="W44" i="67"/>
  <c r="V44" i="67"/>
  <c r="U44" i="67"/>
  <c r="T44" i="67"/>
  <c r="Y43" i="67"/>
  <c r="X43" i="67"/>
  <c r="W43" i="67"/>
  <c r="V43" i="67"/>
  <c r="U43" i="67"/>
  <c r="T43" i="67"/>
  <c r="Y41" i="67"/>
  <c r="X41" i="67"/>
  <c r="W41" i="67"/>
  <c r="V41" i="67"/>
  <c r="U41" i="67"/>
  <c r="T41" i="67"/>
  <c r="Y40" i="67"/>
  <c r="X40" i="67"/>
  <c r="W40" i="67"/>
  <c r="V40" i="67"/>
  <c r="U40" i="67"/>
  <c r="T40" i="67"/>
  <c r="Y38" i="67"/>
  <c r="X38" i="67"/>
  <c r="W38" i="67"/>
  <c r="V38" i="67"/>
  <c r="U38" i="67"/>
  <c r="T38" i="67"/>
  <c r="Y37" i="67"/>
  <c r="X37" i="67"/>
  <c r="W37" i="67"/>
  <c r="V37" i="67"/>
  <c r="U37" i="67"/>
  <c r="T37" i="67"/>
  <c r="Y26" i="67"/>
  <c r="X26" i="67"/>
  <c r="W26" i="67"/>
  <c r="V26" i="67"/>
  <c r="U26" i="67"/>
  <c r="T26" i="67"/>
  <c r="Y25" i="67"/>
  <c r="X25" i="67"/>
  <c r="W25" i="67"/>
  <c r="V25" i="67"/>
  <c r="U25" i="67"/>
  <c r="T25" i="67"/>
  <c r="S25" i="67"/>
  <c r="Y23" i="67"/>
  <c r="X23" i="67"/>
  <c r="W23" i="67"/>
  <c r="V23" i="67"/>
  <c r="U23" i="67"/>
  <c r="T23" i="67"/>
  <c r="Y22" i="67"/>
  <c r="X22" i="67"/>
  <c r="W22" i="67"/>
  <c r="V22" i="67"/>
  <c r="U22" i="67"/>
  <c r="T22" i="67"/>
  <c r="S22" i="67"/>
  <c r="Y20" i="67"/>
  <c r="X20" i="67"/>
  <c r="W20" i="67"/>
  <c r="V20" i="67"/>
  <c r="U20" i="67"/>
  <c r="T20" i="67"/>
  <c r="Y19" i="67"/>
  <c r="X19" i="67"/>
  <c r="W19" i="67"/>
  <c r="V19" i="67"/>
  <c r="U19" i="67"/>
  <c r="T19" i="67"/>
  <c r="S19" i="67"/>
  <c r="Y17" i="67"/>
  <c r="X17" i="67"/>
  <c r="W17" i="67"/>
  <c r="V17" i="67"/>
  <c r="U17" i="67"/>
  <c r="T17" i="67"/>
  <c r="Y16" i="67"/>
  <c r="X16" i="67"/>
  <c r="W16" i="67"/>
  <c r="V16" i="67"/>
  <c r="U16" i="67"/>
  <c r="T16" i="67"/>
  <c r="Y14" i="67"/>
  <c r="X14" i="67"/>
  <c r="W14" i="67"/>
  <c r="V14" i="67"/>
  <c r="U14" i="67"/>
  <c r="T14" i="67"/>
  <c r="Y13" i="67"/>
  <c r="X13" i="67"/>
  <c r="W13" i="67"/>
  <c r="V13" i="67"/>
  <c r="U13" i="67"/>
  <c r="T13" i="67"/>
  <c r="S13" i="67"/>
  <c r="BM3" i="24" l="1"/>
  <c r="AK52" i="67" l="1"/>
  <c r="AJ52" i="67"/>
  <c r="AI52" i="67"/>
  <c r="AH52" i="67"/>
  <c r="AG52" i="67"/>
  <c r="AF52" i="67"/>
  <c r="AK51" i="67"/>
  <c r="AJ51" i="67"/>
  <c r="AI51" i="67"/>
  <c r="AH51" i="67"/>
  <c r="AG51" i="67"/>
  <c r="AF51" i="67"/>
  <c r="L50" i="67"/>
  <c r="K50" i="67"/>
  <c r="J50" i="67"/>
  <c r="I50" i="67"/>
  <c r="H50" i="67"/>
  <c r="G50" i="67"/>
  <c r="F50" i="67"/>
  <c r="L49" i="67"/>
  <c r="K49" i="67"/>
  <c r="J49" i="67"/>
  <c r="I49" i="67"/>
  <c r="H49" i="67"/>
  <c r="G49" i="67"/>
  <c r="F49" i="67"/>
  <c r="S49" i="67" s="1"/>
  <c r="L47" i="67"/>
  <c r="K47" i="67"/>
  <c r="J47" i="67"/>
  <c r="I47" i="67"/>
  <c r="H47" i="67"/>
  <c r="G47" i="67"/>
  <c r="F47" i="67"/>
  <c r="L46" i="67"/>
  <c r="K46" i="67"/>
  <c r="J46" i="67"/>
  <c r="I46" i="67"/>
  <c r="H46" i="67"/>
  <c r="G46" i="67"/>
  <c r="F46" i="67"/>
  <c r="L44" i="67"/>
  <c r="K44" i="67"/>
  <c r="J44" i="67"/>
  <c r="I44" i="67"/>
  <c r="H44" i="67"/>
  <c r="G44" i="67"/>
  <c r="F44" i="67"/>
  <c r="L43" i="67"/>
  <c r="K43" i="67"/>
  <c r="J43" i="67"/>
  <c r="I43" i="67"/>
  <c r="H43" i="67"/>
  <c r="G43" i="67"/>
  <c r="F43" i="67"/>
  <c r="S43" i="67" s="1"/>
  <c r="L41" i="67"/>
  <c r="K41" i="67"/>
  <c r="J41" i="67"/>
  <c r="I41" i="67"/>
  <c r="H41" i="67"/>
  <c r="G41" i="67"/>
  <c r="F41" i="67"/>
  <c r="L40" i="67"/>
  <c r="K40" i="67"/>
  <c r="J40" i="67"/>
  <c r="I40" i="67"/>
  <c r="H40" i="67"/>
  <c r="G40" i="67"/>
  <c r="F40" i="67"/>
  <c r="L38" i="67"/>
  <c r="K38" i="67"/>
  <c r="J38" i="67"/>
  <c r="I38" i="67"/>
  <c r="H38" i="67"/>
  <c r="H52" i="67" s="1"/>
  <c r="G38" i="67"/>
  <c r="F38" i="67"/>
  <c r="L37" i="67"/>
  <c r="K37" i="67"/>
  <c r="J37" i="67"/>
  <c r="I37" i="67"/>
  <c r="H37" i="67"/>
  <c r="G37" i="67"/>
  <c r="F37" i="67"/>
  <c r="S37" i="67" s="1"/>
  <c r="S33" i="67"/>
  <c r="AK28" i="67"/>
  <c r="AJ28" i="67"/>
  <c r="AI28" i="67"/>
  <c r="AH28" i="67"/>
  <c r="AG28" i="67"/>
  <c r="AF28" i="67"/>
  <c r="L28" i="67"/>
  <c r="K28" i="67"/>
  <c r="J28" i="67"/>
  <c r="I28" i="67"/>
  <c r="H28" i="67"/>
  <c r="G28" i="67"/>
  <c r="F28" i="67"/>
  <c r="AK27" i="67"/>
  <c r="AJ27" i="67"/>
  <c r="AI27" i="67"/>
  <c r="AH27" i="67"/>
  <c r="AG27" i="67"/>
  <c r="AF27" i="67"/>
  <c r="L27" i="67"/>
  <c r="K27" i="67"/>
  <c r="J27" i="67"/>
  <c r="I27" i="67"/>
  <c r="H27" i="67"/>
  <c r="G27" i="67"/>
  <c r="F27" i="67"/>
  <c r="AE26" i="67"/>
  <c r="AD26" i="67"/>
  <c r="R26" i="67"/>
  <c r="Q26" i="67"/>
  <c r="P26" i="67"/>
  <c r="O26" i="67"/>
  <c r="N26" i="67"/>
  <c r="M26" i="67"/>
  <c r="R25" i="67"/>
  <c r="Q25" i="67"/>
  <c r="P25" i="67"/>
  <c r="O25" i="67"/>
  <c r="N25" i="67"/>
  <c r="M25" i="67"/>
  <c r="AD23" i="67"/>
  <c r="R23" i="67"/>
  <c r="Q23" i="67"/>
  <c r="P23" i="67"/>
  <c r="O23" i="67"/>
  <c r="N23" i="67"/>
  <c r="M23" i="67"/>
  <c r="AD22" i="67"/>
  <c r="Z22" i="67"/>
  <c r="R22" i="67"/>
  <c r="Q22" i="67"/>
  <c r="P22" i="67"/>
  <c r="O22" i="67"/>
  <c r="N22" i="67"/>
  <c r="M22" i="67"/>
  <c r="R20" i="67"/>
  <c r="Q20" i="67"/>
  <c r="P20" i="67"/>
  <c r="O20" i="67"/>
  <c r="N20" i="67"/>
  <c r="M20" i="67"/>
  <c r="AC19" i="67"/>
  <c r="Z19" i="67"/>
  <c r="R19" i="67"/>
  <c r="Q19" i="67"/>
  <c r="P19" i="67"/>
  <c r="O19" i="67"/>
  <c r="N19" i="67"/>
  <c r="M19" i="67"/>
  <c r="R17" i="67"/>
  <c r="Q17" i="67"/>
  <c r="P17" i="67"/>
  <c r="O17" i="67"/>
  <c r="N17" i="67"/>
  <c r="M17" i="67"/>
  <c r="AB16" i="67"/>
  <c r="AC16" i="67"/>
  <c r="R16" i="67"/>
  <c r="Q16" i="67"/>
  <c r="P16" i="67"/>
  <c r="O16" i="67"/>
  <c r="N16" i="67"/>
  <c r="M16" i="67"/>
  <c r="X28" i="67"/>
  <c r="X30" i="67" s="1"/>
  <c r="R14" i="67"/>
  <c r="Q14" i="67"/>
  <c r="P14" i="67"/>
  <c r="O14" i="67"/>
  <c r="N14" i="67"/>
  <c r="M14" i="67"/>
  <c r="R13" i="67"/>
  <c r="Q13" i="67"/>
  <c r="P13" i="67"/>
  <c r="O13" i="67"/>
  <c r="N13" i="67"/>
  <c r="M13" i="67"/>
  <c r="F9" i="67"/>
  <c r="S9" i="67" s="1"/>
  <c r="O47" i="67" l="1"/>
  <c r="R46" i="67"/>
  <c r="S46" i="67"/>
  <c r="Q44" i="67"/>
  <c r="S44" i="67"/>
  <c r="AD44" i="67" s="1"/>
  <c r="P40" i="67"/>
  <c r="R38" i="67"/>
  <c r="M38" i="67"/>
  <c r="AA19" i="67"/>
  <c r="M37" i="67"/>
  <c r="Z13" i="67"/>
  <c r="AE17" i="67"/>
  <c r="H51" i="67"/>
  <c r="T27" i="67"/>
  <c r="T29" i="67" s="1"/>
  <c r="AA20" i="67"/>
  <c r="Z25" i="67"/>
  <c r="G52" i="67"/>
  <c r="V27" i="67"/>
  <c r="V29" i="67" s="1"/>
  <c r="I51" i="67"/>
  <c r="I52" i="67"/>
  <c r="P47" i="67"/>
  <c r="X27" i="67"/>
  <c r="X29" i="67" s="1"/>
  <c r="AD14" i="67"/>
  <c r="M27" i="67"/>
  <c r="N43" i="67"/>
  <c r="Y27" i="67"/>
  <c r="Y29" i="67" s="1"/>
  <c r="T28" i="67"/>
  <c r="T30" i="67" s="1"/>
  <c r="AA22" i="67"/>
  <c r="N41" i="67"/>
  <c r="M49" i="67"/>
  <c r="Q50" i="67"/>
  <c r="O40" i="67"/>
  <c r="Z17" i="67"/>
  <c r="AC22" i="67"/>
  <c r="U51" i="67"/>
  <c r="U53" i="67" s="1"/>
  <c r="R40" i="67"/>
  <c r="O41" i="67"/>
  <c r="J52" i="67"/>
  <c r="V51" i="67"/>
  <c r="V53" i="67" s="1"/>
  <c r="X52" i="67"/>
  <c r="X54" i="67" s="1"/>
  <c r="AA40" i="67"/>
  <c r="M43" i="67"/>
  <c r="K52" i="67"/>
  <c r="AA16" i="67"/>
  <c r="AD16" i="67"/>
  <c r="AB19" i="67"/>
  <c r="AE22" i="67"/>
  <c r="AB23" i="67"/>
  <c r="AE23" i="67"/>
  <c r="T51" i="67"/>
  <c r="T53" i="67" s="1"/>
  <c r="O46" i="67"/>
  <c r="AE14" i="67"/>
  <c r="M28" i="67"/>
  <c r="R44" i="67"/>
  <c r="R50" i="67"/>
  <c r="U27" i="67"/>
  <c r="U29" i="67" s="1"/>
  <c r="AD19" i="67"/>
  <c r="AB20" i="67"/>
  <c r="Q38" i="67"/>
  <c r="P41" i="67"/>
  <c r="M44" i="67"/>
  <c r="M50" i="67"/>
  <c r="AC20" i="67"/>
  <c r="V28" i="67"/>
  <c r="V30" i="67" s="1"/>
  <c r="T52" i="67"/>
  <c r="T54" i="67" s="1"/>
  <c r="Q41" i="67"/>
  <c r="AE19" i="67"/>
  <c r="AC23" i="67"/>
  <c r="AC26" i="67"/>
  <c r="U52" i="67"/>
  <c r="U54" i="67" s="1"/>
  <c r="Q40" i="67"/>
  <c r="P46" i="67"/>
  <c r="N47" i="67"/>
  <c r="Q47" i="67"/>
  <c r="U28" i="67"/>
  <c r="U30" i="67" s="1"/>
  <c r="AB22" i="67"/>
  <c r="Y51" i="67"/>
  <c r="Y53" i="67" s="1"/>
  <c r="Q46" i="67"/>
  <c r="W52" i="67"/>
  <c r="W54" i="67" s="1"/>
  <c r="AC38" i="67"/>
  <c r="AA25" i="67"/>
  <c r="O28" i="67"/>
  <c r="O43" i="67"/>
  <c r="AC13" i="67"/>
  <c r="Z14" i="67"/>
  <c r="AE16" i="67"/>
  <c r="AB17" i="67"/>
  <c r="AD20" i="67"/>
  <c r="AC25" i="67"/>
  <c r="Z26" i="67"/>
  <c r="P27" i="67"/>
  <c r="P28" i="67"/>
  <c r="P37" i="67"/>
  <c r="N38" i="67"/>
  <c r="AD38" i="67"/>
  <c r="AB40" i="67"/>
  <c r="R41" i="67"/>
  <c r="P43" i="67"/>
  <c r="N44" i="67"/>
  <c r="AB46" i="67"/>
  <c r="R47" i="67"/>
  <c r="P49" i="67"/>
  <c r="N50" i="67"/>
  <c r="AD50" i="67"/>
  <c r="L51" i="67"/>
  <c r="L52" i="67"/>
  <c r="AA17" i="67"/>
  <c r="O49" i="67"/>
  <c r="AD13" i="67"/>
  <c r="AA14" i="67"/>
  <c r="AC17" i="67"/>
  <c r="AE20" i="67"/>
  <c r="AD25" i="67"/>
  <c r="AA26" i="67"/>
  <c r="Q27" i="67"/>
  <c r="Q28" i="67"/>
  <c r="Y28" i="67"/>
  <c r="Y30" i="67" s="1"/>
  <c r="Q37" i="67"/>
  <c r="O38" i="67"/>
  <c r="M40" i="67"/>
  <c r="Q43" i="67"/>
  <c r="O44" i="67"/>
  <c r="M46" i="67"/>
  <c r="Q49" i="67"/>
  <c r="O50" i="67"/>
  <c r="J51" i="67"/>
  <c r="O37" i="67"/>
  <c r="K51" i="67"/>
  <c r="AE13" i="67"/>
  <c r="AB14" i="67"/>
  <c r="AD17" i="67"/>
  <c r="Z23" i="67"/>
  <c r="AE25" i="67"/>
  <c r="AB26" i="67"/>
  <c r="R27" i="67"/>
  <c r="R28" i="67"/>
  <c r="R37" i="67"/>
  <c r="P38" i="67"/>
  <c r="N40" i="67"/>
  <c r="R43" i="67"/>
  <c r="P44" i="67"/>
  <c r="N46" i="67"/>
  <c r="R49" i="67"/>
  <c r="P50" i="67"/>
  <c r="F51" i="67"/>
  <c r="F52" i="67"/>
  <c r="AA13" i="67"/>
  <c r="N28" i="67"/>
  <c r="N37" i="67"/>
  <c r="N49" i="67"/>
  <c r="AB25" i="67"/>
  <c r="W27" i="67"/>
  <c r="W29" i="67" s="1"/>
  <c r="W28" i="67"/>
  <c r="W30" i="67" s="1"/>
  <c r="AC14" i="67"/>
  <c r="Z16" i="67"/>
  <c r="AA23" i="67"/>
  <c r="S27" i="67"/>
  <c r="S28" i="67"/>
  <c r="M41" i="67"/>
  <c r="AC46" i="67"/>
  <c r="AE46" i="67"/>
  <c r="M47" i="67"/>
  <c r="AE50" i="67"/>
  <c r="G51" i="67"/>
  <c r="N27" i="67"/>
  <c r="AB13" i="67"/>
  <c r="O27" i="67"/>
  <c r="Z20" i="67"/>
  <c r="F33" i="67"/>
  <c r="Z44" i="67"/>
  <c r="AD46" i="67"/>
  <c r="Z50" i="67"/>
  <c r="AE44" i="67" l="1"/>
  <c r="AC44" i="67"/>
  <c r="V52" i="67"/>
  <c r="V54" i="67" s="1"/>
  <c r="W51" i="67"/>
  <c r="W53" i="67" s="1"/>
  <c r="X51" i="67"/>
  <c r="X53" i="67" s="1"/>
  <c r="AA50" i="67"/>
  <c r="AB50" i="67"/>
  <c r="Z38" i="67"/>
  <c r="AA44" i="67"/>
  <c r="AB44" i="67"/>
  <c r="AA38" i="67"/>
  <c r="AB38" i="67"/>
  <c r="AA46" i="67"/>
  <c r="Z46" i="67"/>
  <c r="AC50" i="67"/>
  <c r="AE40" i="67"/>
  <c r="Z40" i="67"/>
  <c r="AC43" i="67"/>
  <c r="AB43" i="67"/>
  <c r="AA43" i="67"/>
  <c r="AD43" i="67"/>
  <c r="Z43" i="67"/>
  <c r="AE43" i="67"/>
  <c r="Q52" i="67"/>
  <c r="P52" i="67"/>
  <c r="R52" i="67"/>
  <c r="O52" i="67"/>
  <c r="N52" i="67"/>
  <c r="M52" i="67"/>
  <c r="AD40" i="67"/>
  <c r="AE41" i="67"/>
  <c r="AD41" i="67"/>
  <c r="AC41" i="67"/>
  <c r="AB41" i="67"/>
  <c r="S52" i="67"/>
  <c r="AA41" i="67"/>
  <c r="Z41" i="67"/>
  <c r="Q51" i="67"/>
  <c r="P51" i="67"/>
  <c r="O51" i="67"/>
  <c r="R51" i="67"/>
  <c r="N51" i="67"/>
  <c r="M51" i="67"/>
  <c r="AC40" i="67"/>
  <c r="AC49" i="67"/>
  <c r="AB49" i="67"/>
  <c r="AD49" i="67"/>
  <c r="AA49" i="67"/>
  <c r="Z49" i="67"/>
  <c r="AE49" i="67"/>
  <c r="Y52" i="67"/>
  <c r="Y54" i="67" s="1"/>
  <c r="AE47" i="67"/>
  <c r="AD47" i="67"/>
  <c r="AC47" i="67"/>
  <c r="AB47" i="67"/>
  <c r="AA47" i="67"/>
  <c r="Z47" i="67"/>
  <c r="AC37" i="67"/>
  <c r="AD37" i="67"/>
  <c r="AB37" i="67"/>
  <c r="AA37" i="67"/>
  <c r="S51" i="67"/>
  <c r="Z37" i="67"/>
  <c r="AE37" i="67"/>
  <c r="AE38" i="67"/>
  <c r="AC28" i="67"/>
  <c r="AE28" i="67"/>
  <c r="AB28" i="67"/>
  <c r="AA28" i="67"/>
  <c r="Z28" i="67"/>
  <c r="AD28" i="67"/>
  <c r="AC27" i="67"/>
  <c r="AB27" i="67"/>
  <c r="AA27" i="67"/>
  <c r="Z27" i="67"/>
  <c r="AE27" i="67"/>
  <c r="AD27" i="67"/>
  <c r="AE52" i="67" l="1"/>
  <c r="AA52" i="67"/>
  <c r="AD52" i="67"/>
  <c r="Z52" i="67"/>
  <c r="AC52" i="67"/>
  <c r="AB52" i="67"/>
  <c r="AA51" i="67"/>
  <c r="AE51" i="67"/>
  <c r="Z51" i="67"/>
  <c r="AD51" i="67"/>
  <c r="AC51" i="67"/>
  <c r="AB51" i="67"/>
  <c r="S30" i="66" l="1"/>
  <c r="S23" i="66"/>
  <c r="S20" i="66"/>
  <c r="S17" i="66"/>
  <c r="S14" i="66"/>
  <c r="S22" i="66"/>
  <c r="S16" i="66"/>
  <c r="S13" i="66"/>
  <c r="S54" i="66"/>
  <c r="S47" i="66"/>
  <c r="S46" i="66"/>
  <c r="S44" i="66"/>
  <c r="S41" i="66"/>
  <c r="S38" i="66" l="1"/>
  <c r="S37" i="66" l="1"/>
  <c r="Y54" i="66" l="1"/>
  <c r="X54" i="66"/>
  <c r="W54" i="66"/>
  <c r="V54" i="66"/>
  <c r="U54" i="66"/>
  <c r="T54" i="66"/>
  <c r="Y53" i="66"/>
  <c r="X53" i="66"/>
  <c r="W53" i="66"/>
  <c r="V53" i="66"/>
  <c r="U53" i="66"/>
  <c r="T53" i="66"/>
  <c r="Y50" i="66"/>
  <c r="X50" i="66"/>
  <c r="W50" i="66"/>
  <c r="V50" i="66"/>
  <c r="U50" i="66"/>
  <c r="T50" i="66"/>
  <c r="Y49" i="66"/>
  <c r="X49" i="66"/>
  <c r="W49" i="66"/>
  <c r="V49" i="66"/>
  <c r="U49" i="66"/>
  <c r="T49" i="66"/>
  <c r="Y47" i="66"/>
  <c r="X47" i="66"/>
  <c r="W47" i="66"/>
  <c r="V47" i="66"/>
  <c r="U47" i="66"/>
  <c r="T47" i="66"/>
  <c r="Y46" i="66"/>
  <c r="X46" i="66"/>
  <c r="W46" i="66"/>
  <c r="V46" i="66"/>
  <c r="U46" i="66"/>
  <c r="T46" i="66"/>
  <c r="Y44" i="66"/>
  <c r="X44" i="66"/>
  <c r="W44" i="66"/>
  <c r="V44" i="66"/>
  <c r="U44" i="66"/>
  <c r="T44" i="66"/>
  <c r="Y43" i="66"/>
  <c r="X43" i="66"/>
  <c r="W43" i="66"/>
  <c r="V43" i="66"/>
  <c r="U43" i="66"/>
  <c r="T43" i="66"/>
  <c r="Y41" i="66"/>
  <c r="X41" i="66"/>
  <c r="W41" i="66"/>
  <c r="V41" i="66"/>
  <c r="U41" i="66"/>
  <c r="T41" i="66"/>
  <c r="Y40" i="66"/>
  <c r="X40" i="66"/>
  <c r="W40" i="66"/>
  <c r="V40" i="66"/>
  <c r="U40" i="66"/>
  <c r="T40" i="66"/>
  <c r="Y38" i="66"/>
  <c r="X38" i="66"/>
  <c r="W38" i="66"/>
  <c r="V38" i="66"/>
  <c r="U38" i="66"/>
  <c r="T38" i="66"/>
  <c r="Y37" i="66"/>
  <c r="X37" i="66"/>
  <c r="W37" i="66"/>
  <c r="V37" i="66"/>
  <c r="U37" i="66"/>
  <c r="T37" i="66"/>
  <c r="Y26" i="66"/>
  <c r="X26" i="66"/>
  <c r="W26" i="66"/>
  <c r="V26" i="66"/>
  <c r="U26" i="66"/>
  <c r="T26" i="66"/>
  <c r="S26" i="66"/>
  <c r="Y25" i="66"/>
  <c r="X25" i="66"/>
  <c r="W25" i="66"/>
  <c r="V25" i="66"/>
  <c r="U25" i="66"/>
  <c r="T25" i="66"/>
  <c r="S25" i="66"/>
  <c r="Y23" i="66"/>
  <c r="X23" i="66"/>
  <c r="W23" i="66"/>
  <c r="V23" i="66"/>
  <c r="U23" i="66"/>
  <c r="T23" i="66"/>
  <c r="Y22" i="66"/>
  <c r="X22" i="66"/>
  <c r="W22" i="66"/>
  <c r="V22" i="66"/>
  <c r="U22" i="66"/>
  <c r="T22" i="66"/>
  <c r="Y20" i="66"/>
  <c r="X20" i="66"/>
  <c r="W20" i="66"/>
  <c r="V20" i="66"/>
  <c r="U20" i="66"/>
  <c r="T20" i="66"/>
  <c r="Y19" i="66"/>
  <c r="X19" i="66"/>
  <c r="W19" i="66"/>
  <c r="V19" i="66"/>
  <c r="U19" i="66"/>
  <c r="T19" i="66"/>
  <c r="S19" i="66"/>
  <c r="Y17" i="66"/>
  <c r="X17" i="66"/>
  <c r="W17" i="66"/>
  <c r="V17" i="66"/>
  <c r="U17" i="66"/>
  <c r="T17" i="66"/>
  <c r="Y16" i="66"/>
  <c r="X16" i="66"/>
  <c r="W16" i="66"/>
  <c r="V16" i="66"/>
  <c r="U16" i="66"/>
  <c r="T16" i="66"/>
  <c r="Y14" i="66"/>
  <c r="X14" i="66"/>
  <c r="W14" i="66"/>
  <c r="V14" i="66"/>
  <c r="U14" i="66"/>
  <c r="T14" i="66"/>
  <c r="Y13" i="66"/>
  <c r="X13" i="66"/>
  <c r="W13" i="66"/>
  <c r="V13" i="66"/>
  <c r="U13" i="66"/>
  <c r="T13" i="66"/>
  <c r="AK52" i="66" l="1"/>
  <c r="AJ52" i="66"/>
  <c r="AI52" i="66"/>
  <c r="AH52" i="66"/>
  <c r="AG52" i="66"/>
  <c r="AF52" i="66"/>
  <c r="AK51" i="66"/>
  <c r="AJ51" i="66"/>
  <c r="AI51" i="66"/>
  <c r="AH51" i="66"/>
  <c r="AG51" i="66"/>
  <c r="AF51" i="66"/>
  <c r="L50" i="66"/>
  <c r="K50" i="66"/>
  <c r="J50" i="66"/>
  <c r="I50" i="66"/>
  <c r="H50" i="66"/>
  <c r="G50" i="66"/>
  <c r="F50" i="66"/>
  <c r="S50" i="66" s="1"/>
  <c r="L49" i="66"/>
  <c r="R49" i="66" s="1"/>
  <c r="K49" i="66"/>
  <c r="J49" i="66"/>
  <c r="I49" i="66"/>
  <c r="H49" i="66"/>
  <c r="G49" i="66"/>
  <c r="F49" i="66"/>
  <c r="S49" i="66" s="1"/>
  <c r="L47" i="66"/>
  <c r="K47" i="66"/>
  <c r="J47" i="66"/>
  <c r="I47" i="66"/>
  <c r="H47" i="66"/>
  <c r="G47" i="66"/>
  <c r="L46" i="66"/>
  <c r="K46" i="66"/>
  <c r="J46" i="66"/>
  <c r="I46" i="66"/>
  <c r="H46" i="66"/>
  <c r="G46" i="66"/>
  <c r="F46" i="66"/>
  <c r="L44" i="66"/>
  <c r="K44" i="66"/>
  <c r="J44" i="66"/>
  <c r="I44" i="66"/>
  <c r="H44" i="66"/>
  <c r="G44" i="66"/>
  <c r="F44" i="66"/>
  <c r="L43" i="66"/>
  <c r="K43" i="66"/>
  <c r="J43" i="66"/>
  <c r="I43" i="66"/>
  <c r="H43" i="66"/>
  <c r="G43" i="66"/>
  <c r="F43" i="66"/>
  <c r="S43" i="66" s="1"/>
  <c r="L41" i="66"/>
  <c r="K41" i="66"/>
  <c r="J41" i="66"/>
  <c r="I41" i="66"/>
  <c r="H41" i="66"/>
  <c r="G41" i="66"/>
  <c r="F41" i="66"/>
  <c r="L40" i="66"/>
  <c r="K40" i="66"/>
  <c r="J40" i="66"/>
  <c r="I40" i="66"/>
  <c r="H40" i="66"/>
  <c r="G40" i="66"/>
  <c r="F40" i="66"/>
  <c r="S40" i="66" s="1"/>
  <c r="L38" i="66"/>
  <c r="K38" i="66"/>
  <c r="J38" i="66"/>
  <c r="I38" i="66"/>
  <c r="H38" i="66"/>
  <c r="G38" i="66"/>
  <c r="F38" i="66"/>
  <c r="L37" i="66"/>
  <c r="K37" i="66"/>
  <c r="J37" i="66"/>
  <c r="I37" i="66"/>
  <c r="H37" i="66"/>
  <c r="G37" i="66"/>
  <c r="F37" i="66"/>
  <c r="S33" i="66"/>
  <c r="AK28" i="66"/>
  <c r="AJ28" i="66"/>
  <c r="AI28" i="66"/>
  <c r="AH28" i="66"/>
  <c r="AG28" i="66"/>
  <c r="AF28" i="66"/>
  <c r="L28" i="66"/>
  <c r="K28" i="66"/>
  <c r="J28" i="66"/>
  <c r="I28" i="66"/>
  <c r="H28" i="66"/>
  <c r="G28" i="66"/>
  <c r="AK27" i="66"/>
  <c r="AJ27" i="66"/>
  <c r="AI27" i="66"/>
  <c r="AH27" i="66"/>
  <c r="AG27" i="66"/>
  <c r="AF27" i="66"/>
  <c r="L27" i="66"/>
  <c r="K27" i="66"/>
  <c r="J27" i="66"/>
  <c r="I27" i="66"/>
  <c r="H27" i="66"/>
  <c r="G27" i="66"/>
  <c r="F27" i="66"/>
  <c r="AC26" i="66"/>
  <c r="R26" i="66"/>
  <c r="Q26" i="66"/>
  <c r="P26" i="66"/>
  <c r="O26" i="66"/>
  <c r="N26" i="66"/>
  <c r="M26" i="66"/>
  <c r="Z25" i="66"/>
  <c r="R25" i="66"/>
  <c r="Q25" i="66"/>
  <c r="P25" i="66"/>
  <c r="O25" i="66"/>
  <c r="N25" i="66"/>
  <c r="M25" i="66"/>
  <c r="AE22" i="66"/>
  <c r="AB22" i="66"/>
  <c r="Z22" i="66"/>
  <c r="R22" i="66"/>
  <c r="Q22" i="66"/>
  <c r="P22" i="66"/>
  <c r="O22" i="66"/>
  <c r="N22" i="66"/>
  <c r="M22" i="66"/>
  <c r="R20" i="66"/>
  <c r="Q20" i="66"/>
  <c r="P20" i="66"/>
  <c r="O20" i="66"/>
  <c r="N20" i="66"/>
  <c r="M20" i="66"/>
  <c r="AC19" i="66"/>
  <c r="AB19" i="66"/>
  <c r="R19" i="66"/>
  <c r="Q19" i="66"/>
  <c r="P19" i="66"/>
  <c r="O19" i="66"/>
  <c r="N19" i="66"/>
  <c r="M19" i="66"/>
  <c r="AE17" i="66"/>
  <c r="R17" i="66"/>
  <c r="Q17" i="66"/>
  <c r="P17" i="66"/>
  <c r="O17" i="66"/>
  <c r="N17" i="66"/>
  <c r="M17" i="66"/>
  <c r="Z16" i="66"/>
  <c r="R16" i="66"/>
  <c r="Q16" i="66"/>
  <c r="P16" i="66"/>
  <c r="O16" i="66"/>
  <c r="N16" i="66"/>
  <c r="M16" i="66"/>
  <c r="AC14" i="66"/>
  <c r="R14" i="66"/>
  <c r="Q14" i="66"/>
  <c r="P14" i="66"/>
  <c r="O14" i="66"/>
  <c r="N14" i="66"/>
  <c r="M14" i="66"/>
  <c r="AD13" i="66"/>
  <c r="R13" i="66"/>
  <c r="Q13" i="66"/>
  <c r="P13" i="66"/>
  <c r="O13" i="66"/>
  <c r="N13" i="66"/>
  <c r="M13" i="66"/>
  <c r="S9" i="66"/>
  <c r="F9" i="66"/>
  <c r="F33" i="66" s="1"/>
  <c r="S14" i="65"/>
  <c r="S13" i="65"/>
  <c r="S20" i="65"/>
  <c r="S17" i="65"/>
  <c r="S16" i="65"/>
  <c r="S23" i="65"/>
  <c r="S22" i="65"/>
  <c r="M49" i="66" l="1"/>
  <c r="M27" i="66"/>
  <c r="O49" i="66"/>
  <c r="N44" i="66"/>
  <c r="N43" i="66"/>
  <c r="R41" i="66"/>
  <c r="O40" i="66"/>
  <c r="AC20" i="66"/>
  <c r="K52" i="66"/>
  <c r="U27" i="66"/>
  <c r="U29" i="66" s="1"/>
  <c r="X28" i="66"/>
  <c r="X30" i="66" s="1"/>
  <c r="W27" i="66"/>
  <c r="W29" i="66" s="1"/>
  <c r="Q50" i="66"/>
  <c r="AB14" i="66"/>
  <c r="Q37" i="66"/>
  <c r="AD16" i="66"/>
  <c r="AA19" i="66"/>
  <c r="N38" i="66"/>
  <c r="P44" i="66"/>
  <c r="Y28" i="66"/>
  <c r="Y30" i="66" s="1"/>
  <c r="M38" i="66"/>
  <c r="AD19" i="66"/>
  <c r="Q44" i="66"/>
  <c r="AD14" i="66"/>
  <c r="AB16" i="66"/>
  <c r="AD17" i="66"/>
  <c r="AE19" i="66"/>
  <c r="AB26" i="66"/>
  <c r="O43" i="66"/>
  <c r="AE13" i="66"/>
  <c r="AB13" i="66"/>
  <c r="T28" i="66"/>
  <c r="T30" i="66" s="1"/>
  <c r="AE14" i="66"/>
  <c r="AE25" i="66"/>
  <c r="AB25" i="66"/>
  <c r="R27" i="66"/>
  <c r="O27" i="66"/>
  <c r="L51" i="66"/>
  <c r="J52" i="66"/>
  <c r="M41" i="66"/>
  <c r="P43" i="66"/>
  <c r="P49" i="66"/>
  <c r="T27" i="66"/>
  <c r="T29" i="66" s="1"/>
  <c r="U28" i="66"/>
  <c r="U30" i="66" s="1"/>
  <c r="N50" i="66"/>
  <c r="S27" i="66"/>
  <c r="S29" i="66" s="1"/>
  <c r="Z41" i="66"/>
  <c r="O46" i="66"/>
  <c r="V28" i="66"/>
  <c r="V30" i="66" s="1"/>
  <c r="P37" i="66"/>
  <c r="L52" i="66"/>
  <c r="V27" i="66"/>
  <c r="V29" i="66" s="1"/>
  <c r="W28" i="66"/>
  <c r="W30" i="66" s="1"/>
  <c r="AC22" i="66"/>
  <c r="AD22" i="66"/>
  <c r="Q38" i="66"/>
  <c r="R43" i="66"/>
  <c r="M50" i="66"/>
  <c r="AE43" i="66"/>
  <c r="Y52" i="66"/>
  <c r="AC41" i="66"/>
  <c r="Y27" i="66"/>
  <c r="Y29" i="66" s="1"/>
  <c r="Z19" i="66"/>
  <c r="Z13" i="66"/>
  <c r="AE16" i="66"/>
  <c r="AE26" i="66"/>
  <c r="AB46" i="66"/>
  <c r="AA46" i="66"/>
  <c r="Z46" i="66"/>
  <c r="AE46" i="66"/>
  <c r="AD46" i="66"/>
  <c r="AC46" i="66"/>
  <c r="U51" i="66"/>
  <c r="W52" i="66"/>
  <c r="Z27" i="66"/>
  <c r="U52" i="66"/>
  <c r="AB40" i="66"/>
  <c r="AA40" i="66"/>
  <c r="Z40" i="66"/>
  <c r="AE40" i="66"/>
  <c r="AD40" i="66"/>
  <c r="AC40" i="66"/>
  <c r="X51" i="66"/>
  <c r="V52" i="66"/>
  <c r="O38" i="66"/>
  <c r="M40" i="66"/>
  <c r="Q43" i="66"/>
  <c r="O44" i="66"/>
  <c r="M46" i="66"/>
  <c r="Q49" i="66"/>
  <c r="O50" i="66"/>
  <c r="AA16" i="66"/>
  <c r="Z20" i="66"/>
  <c r="AD26" i="66"/>
  <c r="R37" i="66"/>
  <c r="Z37" i="66"/>
  <c r="P38" i="66"/>
  <c r="N40" i="66"/>
  <c r="AB41" i="66"/>
  <c r="Z43" i="66"/>
  <c r="N46" i="66"/>
  <c r="P50" i="66"/>
  <c r="F51" i="66"/>
  <c r="AA20" i="66"/>
  <c r="AA49" i="66"/>
  <c r="G51" i="66"/>
  <c r="G52" i="66"/>
  <c r="AA13" i="66"/>
  <c r="AC16" i="66"/>
  <c r="Z17" i="66"/>
  <c r="AB20" i="66"/>
  <c r="AA25" i="66"/>
  <c r="N27" i="66"/>
  <c r="AB37" i="66"/>
  <c r="R38" i="66"/>
  <c r="P40" i="66"/>
  <c r="N41" i="66"/>
  <c r="R44" i="66"/>
  <c r="P46" i="66"/>
  <c r="T51" i="66"/>
  <c r="R50" i="66"/>
  <c r="H51" i="66"/>
  <c r="H52" i="66"/>
  <c r="M37" i="66"/>
  <c r="AC37" i="66"/>
  <c r="Q40" i="66"/>
  <c r="O41" i="66"/>
  <c r="AE41" i="66"/>
  <c r="M43" i="66"/>
  <c r="Q46" i="66"/>
  <c r="AC49" i="66"/>
  <c r="I51" i="66"/>
  <c r="I52" i="66"/>
  <c r="AA37" i="66"/>
  <c r="AA43" i="66"/>
  <c r="AC13" i="66"/>
  <c r="Z14" i="66"/>
  <c r="AB17" i="66"/>
  <c r="AD20" i="66"/>
  <c r="AA22" i="66"/>
  <c r="AC25" i="66"/>
  <c r="Z26" i="66"/>
  <c r="P27" i="66"/>
  <c r="X27" i="66"/>
  <c r="N37" i="66"/>
  <c r="AD37" i="66"/>
  <c r="T52" i="66"/>
  <c r="R40" i="66"/>
  <c r="P41" i="66"/>
  <c r="AD43" i="66"/>
  <c r="R46" i="66"/>
  <c r="N49" i="66"/>
  <c r="AB49" i="66"/>
  <c r="J51" i="66"/>
  <c r="AA14" i="66"/>
  <c r="AC17" i="66"/>
  <c r="AE20" i="66"/>
  <c r="AD25" i="66"/>
  <c r="AA26" i="66"/>
  <c r="Q27" i="66"/>
  <c r="O37" i="66"/>
  <c r="Q41" i="66"/>
  <c r="W51" i="66"/>
  <c r="M44" i="66"/>
  <c r="K51" i="66"/>
  <c r="AA17" i="66"/>
  <c r="S47" i="65"/>
  <c r="S44" i="65"/>
  <c r="S38" i="65"/>
  <c r="S37" i="65"/>
  <c r="S46" i="65"/>
  <c r="AD27" i="66" l="1"/>
  <c r="X29" i="66"/>
  <c r="AB27" i="66"/>
  <c r="AA27" i="66"/>
  <c r="Y51" i="66"/>
  <c r="AE49" i="66"/>
  <c r="AE37" i="66"/>
  <c r="AA41" i="66"/>
  <c r="S51" i="66"/>
  <c r="AE27" i="66"/>
  <c r="V51" i="66"/>
  <c r="AB43" i="66"/>
  <c r="Z49" i="66"/>
  <c r="AD49" i="66"/>
  <c r="AD41" i="66"/>
  <c r="AC27" i="66"/>
  <c r="AC43" i="66"/>
  <c r="R51" i="66"/>
  <c r="Q51" i="66"/>
  <c r="P51" i="66"/>
  <c r="O51" i="66"/>
  <c r="N51" i="66"/>
  <c r="M51" i="66"/>
  <c r="X52" i="66"/>
  <c r="AD50" i="66"/>
  <c r="AC50" i="66"/>
  <c r="AB50" i="66"/>
  <c r="AA50" i="66"/>
  <c r="Z50" i="66"/>
  <c r="AE50" i="66"/>
  <c r="AD38" i="66"/>
  <c r="AC38" i="66"/>
  <c r="AB38" i="66"/>
  <c r="AA38" i="66"/>
  <c r="Z38" i="66"/>
  <c r="AE38" i="66"/>
  <c r="AD44" i="66"/>
  <c r="AC44" i="66"/>
  <c r="AB44" i="66"/>
  <c r="AA44" i="66"/>
  <c r="Z44" i="66"/>
  <c r="AE44" i="66"/>
  <c r="Y50" i="65"/>
  <c r="X50" i="65"/>
  <c r="W50" i="65"/>
  <c r="V50" i="65"/>
  <c r="U50" i="65"/>
  <c r="T50" i="65"/>
  <c r="Y49" i="65"/>
  <c r="X49" i="65"/>
  <c r="W49" i="65"/>
  <c r="V49" i="65"/>
  <c r="U49" i="65"/>
  <c r="T49" i="65"/>
  <c r="Y47" i="65"/>
  <c r="X47" i="65"/>
  <c r="W47" i="65"/>
  <c r="V47" i="65"/>
  <c r="U47" i="65"/>
  <c r="T47" i="65"/>
  <c r="Y46" i="65"/>
  <c r="X46" i="65"/>
  <c r="W46" i="65"/>
  <c r="V46" i="65"/>
  <c r="U46" i="65"/>
  <c r="T46" i="65"/>
  <c r="Y44" i="65"/>
  <c r="X44" i="65"/>
  <c r="W44" i="65"/>
  <c r="V44" i="65"/>
  <c r="U44" i="65"/>
  <c r="T44" i="65"/>
  <c r="Y43" i="65"/>
  <c r="X43" i="65"/>
  <c r="W43" i="65"/>
  <c r="V43" i="65"/>
  <c r="U43" i="65"/>
  <c r="T43" i="65"/>
  <c r="Y41" i="65"/>
  <c r="X41" i="65"/>
  <c r="W41" i="65"/>
  <c r="V41" i="65"/>
  <c r="U41" i="65"/>
  <c r="T41" i="65"/>
  <c r="Y40" i="65"/>
  <c r="X40" i="65"/>
  <c r="W40" i="65"/>
  <c r="V40" i="65"/>
  <c r="U40" i="65"/>
  <c r="T40" i="65"/>
  <c r="Y38" i="65"/>
  <c r="X38" i="65"/>
  <c r="W38" i="65"/>
  <c r="V38" i="65"/>
  <c r="U38" i="65"/>
  <c r="T38" i="65"/>
  <c r="Y37" i="65"/>
  <c r="X37" i="65"/>
  <c r="W37" i="65"/>
  <c r="V37" i="65"/>
  <c r="U37" i="65"/>
  <c r="T37" i="65"/>
  <c r="Y26" i="65"/>
  <c r="X26" i="65"/>
  <c r="W26" i="65"/>
  <c r="V26" i="65"/>
  <c r="U26" i="65"/>
  <c r="T26" i="65"/>
  <c r="S26" i="65"/>
  <c r="Y25" i="65"/>
  <c r="X25" i="65"/>
  <c r="W25" i="65"/>
  <c r="V25" i="65"/>
  <c r="U25" i="65"/>
  <c r="T25" i="65"/>
  <c r="S25" i="65"/>
  <c r="Y23" i="65"/>
  <c r="X23" i="65"/>
  <c r="W23" i="65"/>
  <c r="V23" i="65"/>
  <c r="U23" i="65"/>
  <c r="T23" i="65"/>
  <c r="Y22" i="65"/>
  <c r="X22" i="65"/>
  <c r="W22" i="65"/>
  <c r="V22" i="65"/>
  <c r="U22" i="65"/>
  <c r="T22" i="65"/>
  <c r="Y20" i="65"/>
  <c r="X20" i="65"/>
  <c r="W20" i="65"/>
  <c r="V20" i="65"/>
  <c r="U20" i="65"/>
  <c r="T20" i="65"/>
  <c r="Y19" i="65"/>
  <c r="X19" i="65"/>
  <c r="W19" i="65"/>
  <c r="V19" i="65"/>
  <c r="U19" i="65"/>
  <c r="T19" i="65"/>
  <c r="S19" i="65"/>
  <c r="Y17" i="65"/>
  <c r="X17" i="65"/>
  <c r="W17" i="65"/>
  <c r="V17" i="65"/>
  <c r="U17" i="65"/>
  <c r="T17" i="65"/>
  <c r="Y16" i="65"/>
  <c r="X16" i="65"/>
  <c r="W16" i="65"/>
  <c r="V16" i="65"/>
  <c r="U16" i="65"/>
  <c r="T16" i="65"/>
  <c r="Y14" i="65"/>
  <c r="X14" i="65"/>
  <c r="W14" i="65"/>
  <c r="V14" i="65"/>
  <c r="U14" i="65"/>
  <c r="T14" i="65"/>
  <c r="Y13" i="65"/>
  <c r="X13" i="65"/>
  <c r="W13" i="65"/>
  <c r="V13" i="65"/>
  <c r="U13" i="65"/>
  <c r="T13" i="65"/>
  <c r="AD51" i="66" l="1"/>
  <c r="S53" i="66"/>
  <c r="AB51" i="66"/>
  <c r="Z51" i="66"/>
  <c r="AC51" i="66"/>
  <c r="AE51" i="66"/>
  <c r="AA51" i="66"/>
  <c r="AK52" i="65"/>
  <c r="AJ52" i="65"/>
  <c r="AI52" i="65"/>
  <c r="AH52" i="65"/>
  <c r="AG52" i="65"/>
  <c r="AF52" i="65"/>
  <c r="AK51" i="65"/>
  <c r="AJ51" i="65"/>
  <c r="AI51" i="65"/>
  <c r="AH51" i="65"/>
  <c r="AG51" i="65"/>
  <c r="AF51" i="65"/>
  <c r="L50" i="65"/>
  <c r="K50" i="65"/>
  <c r="J50" i="65"/>
  <c r="I50" i="65"/>
  <c r="H50" i="65"/>
  <c r="G50" i="65"/>
  <c r="F50" i="65"/>
  <c r="S50" i="65" s="1"/>
  <c r="L49" i="65"/>
  <c r="K49" i="65"/>
  <c r="J49" i="65"/>
  <c r="I49" i="65"/>
  <c r="H49" i="65"/>
  <c r="G49" i="65"/>
  <c r="F49" i="65"/>
  <c r="S49" i="65" s="1"/>
  <c r="L47" i="65"/>
  <c r="K47" i="65"/>
  <c r="J47" i="65"/>
  <c r="I47" i="65"/>
  <c r="H47" i="65"/>
  <c r="G47" i="65"/>
  <c r="F47" i="65"/>
  <c r="L46" i="65"/>
  <c r="K46" i="65"/>
  <c r="J46" i="65"/>
  <c r="I46" i="65"/>
  <c r="H46" i="65"/>
  <c r="G46" i="65"/>
  <c r="F46" i="65"/>
  <c r="L44" i="65"/>
  <c r="K44" i="65"/>
  <c r="J44" i="65"/>
  <c r="I44" i="65"/>
  <c r="H44" i="65"/>
  <c r="G44" i="65"/>
  <c r="F44" i="65"/>
  <c r="L43" i="65"/>
  <c r="K43" i="65"/>
  <c r="J43" i="65"/>
  <c r="I43" i="65"/>
  <c r="H43" i="65"/>
  <c r="G43" i="65"/>
  <c r="F43" i="65"/>
  <c r="S43" i="65" s="1"/>
  <c r="L41" i="65"/>
  <c r="K41" i="65"/>
  <c r="J41" i="65"/>
  <c r="I41" i="65"/>
  <c r="H41" i="65"/>
  <c r="G41" i="65"/>
  <c r="F41" i="65"/>
  <c r="S41" i="65" s="1"/>
  <c r="L40" i="65"/>
  <c r="K40" i="65"/>
  <c r="Q40" i="65" s="1"/>
  <c r="J40" i="65"/>
  <c r="I40" i="65"/>
  <c r="H40" i="65"/>
  <c r="G40" i="65"/>
  <c r="F40" i="65"/>
  <c r="S40" i="65" s="1"/>
  <c r="L38" i="65"/>
  <c r="K38" i="65"/>
  <c r="J38" i="65"/>
  <c r="I38" i="65"/>
  <c r="H38" i="65"/>
  <c r="G38" i="65"/>
  <c r="F38" i="65"/>
  <c r="L37" i="65"/>
  <c r="K37" i="65"/>
  <c r="J37" i="65"/>
  <c r="I37" i="65"/>
  <c r="H37" i="65"/>
  <c r="G37" i="65"/>
  <c r="F37" i="65"/>
  <c r="S33" i="65"/>
  <c r="AK28" i="65"/>
  <c r="AJ28" i="65"/>
  <c r="AI28" i="65"/>
  <c r="AH28" i="65"/>
  <c r="AG28" i="65"/>
  <c r="AF28" i="65"/>
  <c r="L28" i="65"/>
  <c r="K28" i="65"/>
  <c r="J28" i="65"/>
  <c r="I28" i="65"/>
  <c r="H28" i="65"/>
  <c r="G28" i="65"/>
  <c r="F28" i="65"/>
  <c r="Q28" i="65" s="1"/>
  <c r="AK27" i="65"/>
  <c r="AJ27" i="65"/>
  <c r="AI27" i="65"/>
  <c r="AH27" i="65"/>
  <c r="AG27" i="65"/>
  <c r="AF27" i="65"/>
  <c r="L27" i="65"/>
  <c r="K27" i="65"/>
  <c r="J27" i="65"/>
  <c r="I27" i="65"/>
  <c r="H27" i="65"/>
  <c r="G27" i="65"/>
  <c r="F27" i="65"/>
  <c r="R26" i="65"/>
  <c r="Q26" i="65"/>
  <c r="P26" i="65"/>
  <c r="O26" i="65"/>
  <c r="N26" i="65"/>
  <c r="M26" i="65"/>
  <c r="AE25" i="65"/>
  <c r="AD25" i="65"/>
  <c r="R25" i="65"/>
  <c r="Q25" i="65"/>
  <c r="P25" i="65"/>
  <c r="O25" i="65"/>
  <c r="N25" i="65"/>
  <c r="M25" i="65"/>
  <c r="AE23" i="65"/>
  <c r="AB23" i="65"/>
  <c r="Z23" i="65"/>
  <c r="AC23" i="65"/>
  <c r="R23" i="65"/>
  <c r="Q23" i="65"/>
  <c r="P23" i="65"/>
  <c r="O23" i="65"/>
  <c r="N23" i="65"/>
  <c r="M23" i="65"/>
  <c r="AB22" i="65"/>
  <c r="AE22" i="65"/>
  <c r="AA22" i="65"/>
  <c r="R22" i="65"/>
  <c r="Q22" i="65"/>
  <c r="P22" i="65"/>
  <c r="O22" i="65"/>
  <c r="N22" i="65"/>
  <c r="M22" i="65"/>
  <c r="AB20" i="65"/>
  <c r="AC20" i="65"/>
  <c r="Z20" i="65"/>
  <c r="R20" i="65"/>
  <c r="Q20" i="65"/>
  <c r="P20" i="65"/>
  <c r="O20" i="65"/>
  <c r="N20" i="65"/>
  <c r="M20" i="65"/>
  <c r="R19" i="65"/>
  <c r="Q19" i="65"/>
  <c r="P19" i="65"/>
  <c r="O19" i="65"/>
  <c r="N19" i="65"/>
  <c r="M19" i="65"/>
  <c r="AC17" i="65"/>
  <c r="R17" i="65"/>
  <c r="Q17" i="65"/>
  <c r="P17" i="65"/>
  <c r="O17" i="65"/>
  <c r="N17" i="65"/>
  <c r="M17" i="65"/>
  <c r="AC16" i="65"/>
  <c r="R16" i="65"/>
  <c r="Q16" i="65"/>
  <c r="P16" i="65"/>
  <c r="O16" i="65"/>
  <c r="N16" i="65"/>
  <c r="M16" i="65"/>
  <c r="U28" i="65"/>
  <c r="R14" i="65"/>
  <c r="Q14" i="65"/>
  <c r="P14" i="65"/>
  <c r="O14" i="65"/>
  <c r="N14" i="65"/>
  <c r="M14" i="65"/>
  <c r="R13" i="65"/>
  <c r="Q13" i="65"/>
  <c r="P13" i="65"/>
  <c r="O13" i="65"/>
  <c r="N13" i="65"/>
  <c r="M13" i="65"/>
  <c r="F9" i="65"/>
  <c r="S9" i="65" s="1"/>
  <c r="Q20" i="64"/>
  <c r="R17" i="64"/>
  <c r="Q14" i="64"/>
  <c r="Y54" i="64"/>
  <c r="X54" i="64"/>
  <c r="W54" i="64"/>
  <c r="V54" i="64"/>
  <c r="U54" i="64"/>
  <c r="T54" i="64"/>
  <c r="Y50" i="64"/>
  <c r="X50" i="64"/>
  <c r="W50" i="64"/>
  <c r="V50" i="64"/>
  <c r="U50" i="64"/>
  <c r="T50" i="64"/>
  <c r="Y49" i="64"/>
  <c r="X49" i="64"/>
  <c r="W49" i="64"/>
  <c r="V49" i="64"/>
  <c r="U49" i="64"/>
  <c r="T49" i="64"/>
  <c r="Y47" i="64"/>
  <c r="X47" i="64"/>
  <c r="W47" i="64"/>
  <c r="V47" i="64"/>
  <c r="U47" i="64"/>
  <c r="T47" i="64"/>
  <c r="Y46" i="64"/>
  <c r="X46" i="64"/>
  <c r="W46" i="64"/>
  <c r="V46" i="64"/>
  <c r="U46" i="64"/>
  <c r="T46" i="64"/>
  <c r="Y44" i="64"/>
  <c r="X44" i="64"/>
  <c r="W44" i="64"/>
  <c r="V44" i="64"/>
  <c r="U44" i="64"/>
  <c r="T44" i="64"/>
  <c r="Y43" i="64"/>
  <c r="X43" i="64"/>
  <c r="W43" i="64"/>
  <c r="V43" i="64"/>
  <c r="U43" i="64"/>
  <c r="T43" i="64"/>
  <c r="Y41" i="64"/>
  <c r="X41" i="64"/>
  <c r="W41" i="64"/>
  <c r="V41" i="64"/>
  <c r="U41" i="64"/>
  <c r="T41" i="64"/>
  <c r="Y40" i="64"/>
  <c r="X40" i="64"/>
  <c r="W40" i="64"/>
  <c r="V40" i="64"/>
  <c r="U40" i="64"/>
  <c r="T40" i="64"/>
  <c r="Y38" i="64"/>
  <c r="X38" i="64"/>
  <c r="W38" i="64"/>
  <c r="V38" i="64"/>
  <c r="U38" i="64"/>
  <c r="T38" i="64"/>
  <c r="Y37" i="64"/>
  <c r="X37" i="64"/>
  <c r="W37" i="64"/>
  <c r="V37" i="64"/>
  <c r="U37" i="64"/>
  <c r="T37" i="64"/>
  <c r="S37" i="64"/>
  <c r="Y30" i="64"/>
  <c r="X30" i="64"/>
  <c r="W30" i="64"/>
  <c r="V30" i="64"/>
  <c r="U30" i="64"/>
  <c r="T30" i="64"/>
  <c r="Y26" i="64"/>
  <c r="X26" i="64"/>
  <c r="W26" i="64"/>
  <c r="V26" i="64"/>
  <c r="U26" i="64"/>
  <c r="T26" i="64"/>
  <c r="S26" i="64"/>
  <c r="Y25" i="64"/>
  <c r="X25" i="64"/>
  <c r="W25" i="64"/>
  <c r="V25" i="64"/>
  <c r="U25" i="64"/>
  <c r="T25" i="64"/>
  <c r="S25" i="64"/>
  <c r="Y23" i="64"/>
  <c r="X23" i="64"/>
  <c r="W23" i="64"/>
  <c r="V23" i="64"/>
  <c r="U23" i="64"/>
  <c r="T23" i="64"/>
  <c r="Y22" i="64"/>
  <c r="X22" i="64"/>
  <c r="W22" i="64"/>
  <c r="V22" i="64"/>
  <c r="U22" i="64"/>
  <c r="T22" i="64"/>
  <c r="S22" i="64"/>
  <c r="Z22" i="64" s="1"/>
  <c r="Y20" i="64"/>
  <c r="X20" i="64"/>
  <c r="W20" i="64"/>
  <c r="V20" i="64"/>
  <c r="U20" i="64"/>
  <c r="T20" i="64"/>
  <c r="S20" i="64"/>
  <c r="Y19" i="64"/>
  <c r="X19" i="64"/>
  <c r="W19" i="64"/>
  <c r="V19" i="64"/>
  <c r="U19" i="64"/>
  <c r="T19" i="64"/>
  <c r="S19" i="64"/>
  <c r="Y17" i="64"/>
  <c r="X17" i="64"/>
  <c r="W17" i="64"/>
  <c r="V17" i="64"/>
  <c r="U17" i="64"/>
  <c r="T17" i="64"/>
  <c r="Y16" i="64"/>
  <c r="X16" i="64"/>
  <c r="W16" i="64"/>
  <c r="V16" i="64"/>
  <c r="U16" i="64"/>
  <c r="T16" i="64"/>
  <c r="S16" i="64"/>
  <c r="AC16" i="64" s="1"/>
  <c r="Y14" i="64"/>
  <c r="X14" i="64"/>
  <c r="W14" i="64"/>
  <c r="V14" i="64"/>
  <c r="U14" i="64"/>
  <c r="T14" i="64"/>
  <c r="S14" i="64"/>
  <c r="Y13" i="64"/>
  <c r="X13" i="64"/>
  <c r="W13" i="64"/>
  <c r="V13" i="64"/>
  <c r="U13" i="64"/>
  <c r="T13" i="64"/>
  <c r="S13" i="64"/>
  <c r="AK52" i="64"/>
  <c r="AJ52" i="64"/>
  <c r="AI52" i="64"/>
  <c r="AH52" i="64"/>
  <c r="AG52" i="64"/>
  <c r="AF52" i="64"/>
  <c r="AK51" i="64"/>
  <c r="AJ51" i="64"/>
  <c r="AI51" i="64"/>
  <c r="AH51" i="64"/>
  <c r="AG51" i="64"/>
  <c r="AF51" i="64"/>
  <c r="L50" i="64"/>
  <c r="K50" i="64"/>
  <c r="J50" i="64"/>
  <c r="I50" i="64"/>
  <c r="H50" i="64"/>
  <c r="G50" i="64"/>
  <c r="F50" i="64"/>
  <c r="S50" i="64" s="1"/>
  <c r="L49" i="64"/>
  <c r="K49" i="64"/>
  <c r="J49" i="64"/>
  <c r="I49" i="64"/>
  <c r="H49" i="64"/>
  <c r="G49" i="64"/>
  <c r="F49" i="64"/>
  <c r="S49" i="64" s="1"/>
  <c r="L47" i="64"/>
  <c r="K47" i="64"/>
  <c r="J47" i="64"/>
  <c r="I47" i="64"/>
  <c r="H47" i="64"/>
  <c r="G47" i="64"/>
  <c r="L46" i="64"/>
  <c r="K46" i="64"/>
  <c r="J46" i="64"/>
  <c r="I46" i="64"/>
  <c r="H46" i="64"/>
  <c r="G46" i="64"/>
  <c r="F46" i="64"/>
  <c r="S46" i="64" s="1"/>
  <c r="K44" i="64"/>
  <c r="J44" i="64"/>
  <c r="I44" i="64"/>
  <c r="G44" i="64"/>
  <c r="F44" i="64"/>
  <c r="S44" i="64" s="1"/>
  <c r="L43" i="64"/>
  <c r="K43" i="64"/>
  <c r="J43" i="64"/>
  <c r="I43" i="64"/>
  <c r="H43" i="64"/>
  <c r="G43" i="64"/>
  <c r="F43" i="64"/>
  <c r="O43" i="64" s="1"/>
  <c r="L41" i="64"/>
  <c r="K41" i="64"/>
  <c r="J41" i="64"/>
  <c r="I41" i="64"/>
  <c r="H41" i="64"/>
  <c r="G41" i="64"/>
  <c r="F41" i="64"/>
  <c r="S41" i="64" s="1"/>
  <c r="L40" i="64"/>
  <c r="K40" i="64"/>
  <c r="J40" i="64"/>
  <c r="I40" i="64"/>
  <c r="H40" i="64"/>
  <c r="G40" i="64"/>
  <c r="F40" i="64"/>
  <c r="S40" i="64" s="1"/>
  <c r="L38" i="64"/>
  <c r="K38" i="64"/>
  <c r="J38" i="64"/>
  <c r="I38" i="64"/>
  <c r="H38" i="64"/>
  <c r="G38" i="64"/>
  <c r="L37" i="64"/>
  <c r="K37" i="64"/>
  <c r="J37" i="64"/>
  <c r="I37" i="64"/>
  <c r="H37" i="64"/>
  <c r="G37" i="64"/>
  <c r="F37" i="64"/>
  <c r="S33" i="64"/>
  <c r="AK28" i="64"/>
  <c r="AJ28" i="64"/>
  <c r="AI28" i="64"/>
  <c r="AH28" i="64"/>
  <c r="AG28" i="64"/>
  <c r="AF28" i="64"/>
  <c r="K28" i="64"/>
  <c r="J28" i="64"/>
  <c r="I28" i="64"/>
  <c r="G28" i="64"/>
  <c r="AK27" i="64"/>
  <c r="AJ27" i="64"/>
  <c r="AI27" i="64"/>
  <c r="AH27" i="64"/>
  <c r="AG27" i="64"/>
  <c r="AF27" i="64"/>
  <c r="L27" i="64"/>
  <c r="K27" i="64"/>
  <c r="J27" i="64"/>
  <c r="I27" i="64"/>
  <c r="H27" i="64"/>
  <c r="G27" i="64"/>
  <c r="F27" i="64"/>
  <c r="R26" i="64"/>
  <c r="Q26" i="64"/>
  <c r="P26" i="64"/>
  <c r="O26" i="64"/>
  <c r="N26" i="64"/>
  <c r="M26" i="64"/>
  <c r="AD25" i="64"/>
  <c r="R25" i="64"/>
  <c r="Q25" i="64"/>
  <c r="P25" i="64"/>
  <c r="O25" i="64"/>
  <c r="N25" i="64"/>
  <c r="M25" i="64"/>
  <c r="R22" i="64"/>
  <c r="Q22" i="64"/>
  <c r="P22" i="64"/>
  <c r="O22" i="64"/>
  <c r="N22" i="64"/>
  <c r="M22" i="64"/>
  <c r="P20" i="64"/>
  <c r="O20" i="64"/>
  <c r="L44" i="64"/>
  <c r="H28" i="64"/>
  <c r="R19" i="64"/>
  <c r="Q19" i="64"/>
  <c r="P19" i="64"/>
  <c r="O19" i="64"/>
  <c r="N19" i="64"/>
  <c r="M19" i="64"/>
  <c r="N17" i="64"/>
  <c r="AD16" i="64"/>
  <c r="R16" i="64"/>
  <c r="Q16" i="64"/>
  <c r="P16" i="64"/>
  <c r="O16" i="64"/>
  <c r="N16" i="64"/>
  <c r="M16" i="64"/>
  <c r="R14" i="64"/>
  <c r="O14" i="64"/>
  <c r="N14" i="64"/>
  <c r="M14" i="64"/>
  <c r="R13" i="64"/>
  <c r="Q13" i="64"/>
  <c r="P13" i="64"/>
  <c r="O13" i="64"/>
  <c r="N13" i="64"/>
  <c r="M13" i="64"/>
  <c r="S9" i="64"/>
  <c r="F9" i="64"/>
  <c r="F33" i="64" s="1"/>
  <c r="P47" i="65" l="1"/>
  <c r="Z47" i="65"/>
  <c r="Q46" i="65"/>
  <c r="R28" i="65"/>
  <c r="W52" i="65"/>
  <c r="AD13" i="65"/>
  <c r="R46" i="65"/>
  <c r="V28" i="65"/>
  <c r="N38" i="65"/>
  <c r="M40" i="65"/>
  <c r="N43" i="65"/>
  <c r="N49" i="65"/>
  <c r="U51" i="65"/>
  <c r="U27" i="65"/>
  <c r="W28" i="65"/>
  <c r="V27" i="65"/>
  <c r="X28" i="65"/>
  <c r="Q27" i="65"/>
  <c r="J51" i="65"/>
  <c r="R40" i="65"/>
  <c r="W27" i="65"/>
  <c r="Y28" i="65"/>
  <c r="AE16" i="65"/>
  <c r="AD20" i="65"/>
  <c r="AA26" i="65"/>
  <c r="K51" i="65"/>
  <c r="I52" i="65"/>
  <c r="N50" i="65"/>
  <c r="X27" i="65"/>
  <c r="AB14" i="65"/>
  <c r="L51" i="65"/>
  <c r="J52" i="65"/>
  <c r="P41" i="65"/>
  <c r="Y27" i="65"/>
  <c r="AA14" i="65"/>
  <c r="K52" i="65"/>
  <c r="AE13" i="65"/>
  <c r="T28" i="65"/>
  <c r="Z19" i="65"/>
  <c r="N37" i="65"/>
  <c r="L52" i="65"/>
  <c r="U52" i="65"/>
  <c r="N44" i="65"/>
  <c r="Y51" i="65"/>
  <c r="T27" i="65"/>
  <c r="H52" i="65"/>
  <c r="AD17" i="65"/>
  <c r="O37" i="65"/>
  <c r="O38" i="65"/>
  <c r="AC40" i="65"/>
  <c r="P43" i="65"/>
  <c r="AA46" i="65"/>
  <c r="Q47" i="65"/>
  <c r="O49" i="65"/>
  <c r="O50" i="65"/>
  <c r="O41" i="65"/>
  <c r="M43" i="65"/>
  <c r="R47" i="65"/>
  <c r="AC22" i="65"/>
  <c r="AD23" i="65"/>
  <c r="AB46" i="65"/>
  <c r="AE20" i="65"/>
  <c r="Z22" i="65"/>
  <c r="AD22" i="65"/>
  <c r="P37" i="65"/>
  <c r="AA40" i="65"/>
  <c r="Q41" i="65"/>
  <c r="O43" i="65"/>
  <c r="O44" i="65"/>
  <c r="AC46" i="65"/>
  <c r="P49" i="65"/>
  <c r="Q37" i="65"/>
  <c r="Q49" i="65"/>
  <c r="M37" i="65"/>
  <c r="R41" i="65"/>
  <c r="Q43" i="65"/>
  <c r="Z17" i="65"/>
  <c r="AB26" i="65"/>
  <c r="R27" i="65"/>
  <c r="AA41" i="65"/>
  <c r="M46" i="65"/>
  <c r="T52" i="65"/>
  <c r="W51" i="65"/>
  <c r="AA19" i="65"/>
  <c r="AC14" i="65"/>
  <c r="Z16" i="65"/>
  <c r="AE17" i="65"/>
  <c r="AB19" i="65"/>
  <c r="AA23" i="65"/>
  <c r="AC26" i="65"/>
  <c r="S27" i="65"/>
  <c r="S28" i="65"/>
  <c r="R37" i="65"/>
  <c r="P38" i="65"/>
  <c r="N40" i="65"/>
  <c r="R43" i="65"/>
  <c r="P44" i="65"/>
  <c r="N46" i="65"/>
  <c r="R49" i="65"/>
  <c r="P50" i="65"/>
  <c r="F51" i="65"/>
  <c r="F52" i="65"/>
  <c r="AD14" i="65"/>
  <c r="AA16" i="65"/>
  <c r="AC19" i="65"/>
  <c r="AD26" i="65"/>
  <c r="Q38" i="65"/>
  <c r="Y52" i="65"/>
  <c r="O40" i="65"/>
  <c r="AE40" i="65"/>
  <c r="M41" i="65"/>
  <c r="Q44" i="65"/>
  <c r="O46" i="65"/>
  <c r="AE46" i="65"/>
  <c r="M47" i="65"/>
  <c r="Q50" i="65"/>
  <c r="G51" i="65"/>
  <c r="G52" i="65"/>
  <c r="Z13" i="65"/>
  <c r="AE14" i="65"/>
  <c r="AB16" i="65"/>
  <c r="AD19" i="65"/>
  <c r="AA20" i="65"/>
  <c r="Z25" i="65"/>
  <c r="AE26" i="65"/>
  <c r="M27" i="65"/>
  <c r="M28" i="65"/>
  <c r="F33" i="65"/>
  <c r="T51" i="65"/>
  <c r="R38" i="65"/>
  <c r="P40" i="65"/>
  <c r="N41" i="65"/>
  <c r="V52" i="65"/>
  <c r="R44" i="65"/>
  <c r="P46" i="65"/>
  <c r="AD46" i="65"/>
  <c r="N47" i="65"/>
  <c r="R50" i="65"/>
  <c r="H51" i="65"/>
  <c r="AE19" i="65"/>
  <c r="AA25" i="65"/>
  <c r="N27" i="65"/>
  <c r="N28" i="65"/>
  <c r="AE41" i="65"/>
  <c r="O47" i="65"/>
  <c r="M49" i="65"/>
  <c r="I51" i="65"/>
  <c r="AB13" i="65"/>
  <c r="AD16" i="65"/>
  <c r="AA17" i="65"/>
  <c r="AB25" i="65"/>
  <c r="O27" i="65"/>
  <c r="O28" i="65"/>
  <c r="Z40" i="65"/>
  <c r="Z46" i="65"/>
  <c r="AA13" i="65"/>
  <c r="AC13" i="65"/>
  <c r="Z14" i="65"/>
  <c r="AB17" i="65"/>
  <c r="AC25" i="65"/>
  <c r="Z26" i="65"/>
  <c r="P27" i="65"/>
  <c r="P28" i="65"/>
  <c r="M38" i="65"/>
  <c r="M44" i="65"/>
  <c r="M50" i="65"/>
  <c r="R46" i="64"/>
  <c r="P43" i="64"/>
  <c r="S43" i="64"/>
  <c r="M20" i="64"/>
  <c r="AB20" i="64"/>
  <c r="M17" i="64"/>
  <c r="S17" i="64"/>
  <c r="P17" i="64"/>
  <c r="Q17" i="64"/>
  <c r="O17" i="64"/>
  <c r="AB17" i="64"/>
  <c r="F38" i="64"/>
  <c r="M38" i="64" s="1"/>
  <c r="P14" i="64"/>
  <c r="AA16" i="64"/>
  <c r="Z16" i="64"/>
  <c r="AB16" i="64"/>
  <c r="T27" i="64"/>
  <c r="V27" i="64"/>
  <c r="N50" i="64"/>
  <c r="X27" i="64"/>
  <c r="T28" i="64"/>
  <c r="AD20" i="64"/>
  <c r="N46" i="64"/>
  <c r="U27" i="64"/>
  <c r="X28" i="64"/>
  <c r="I52" i="64"/>
  <c r="J51" i="64"/>
  <c r="AB14" i="64"/>
  <c r="O37" i="64"/>
  <c r="G51" i="64"/>
  <c r="K51" i="64"/>
  <c r="W27" i="64"/>
  <c r="W28" i="64"/>
  <c r="Y27" i="64"/>
  <c r="L51" i="64"/>
  <c r="AA19" i="64"/>
  <c r="N40" i="64"/>
  <c r="X51" i="64"/>
  <c r="O41" i="64"/>
  <c r="U28" i="64"/>
  <c r="Q27" i="64"/>
  <c r="Q41" i="64"/>
  <c r="V52" i="64"/>
  <c r="AA13" i="64"/>
  <c r="AD17" i="64"/>
  <c r="AA22" i="64"/>
  <c r="V28" i="64"/>
  <c r="AA26" i="64"/>
  <c r="T51" i="64"/>
  <c r="J52" i="64"/>
  <c r="G52" i="64"/>
  <c r="K52" i="64"/>
  <c r="I51" i="64"/>
  <c r="N49" i="64"/>
  <c r="AE17" i="64"/>
  <c r="Z19" i="64"/>
  <c r="O46" i="64"/>
  <c r="Z14" i="64"/>
  <c r="AE16" i="64"/>
  <c r="AC20" i="64"/>
  <c r="AB22" i="64"/>
  <c r="P46" i="64"/>
  <c r="AC13" i="64"/>
  <c r="AC14" i="64"/>
  <c r="Q40" i="64"/>
  <c r="P41" i="64"/>
  <c r="M49" i="64"/>
  <c r="AE13" i="64"/>
  <c r="O49" i="64"/>
  <c r="P37" i="64"/>
  <c r="Q46" i="64"/>
  <c r="P49" i="64"/>
  <c r="AA25" i="64"/>
  <c r="AA46" i="64"/>
  <c r="AB13" i="64"/>
  <c r="AB19" i="64"/>
  <c r="R41" i="64"/>
  <c r="L52" i="64"/>
  <c r="Y52" i="64"/>
  <c r="U51" i="64"/>
  <c r="AA40" i="64"/>
  <c r="AD14" i="64"/>
  <c r="AC19" i="64"/>
  <c r="AC22" i="64"/>
  <c r="AE25" i="64"/>
  <c r="AB26" i="64"/>
  <c r="R27" i="64"/>
  <c r="Q37" i="64"/>
  <c r="M40" i="64"/>
  <c r="Q43" i="64"/>
  <c r="O44" i="64"/>
  <c r="M46" i="64"/>
  <c r="Q49" i="64"/>
  <c r="O50" i="64"/>
  <c r="Z13" i="64"/>
  <c r="AE14" i="64"/>
  <c r="AD19" i="64"/>
  <c r="AD22" i="64"/>
  <c r="AC26" i="64"/>
  <c r="S27" i="64"/>
  <c r="R37" i="64"/>
  <c r="X52" i="64"/>
  <c r="AB40" i="64"/>
  <c r="T52" i="64"/>
  <c r="R43" i="64"/>
  <c r="H44" i="64"/>
  <c r="P44" i="64"/>
  <c r="AB46" i="64"/>
  <c r="AD46" i="64"/>
  <c r="R49" i="64"/>
  <c r="P50" i="64"/>
  <c r="F51" i="64"/>
  <c r="Z17" i="64"/>
  <c r="AE19" i="64"/>
  <c r="R20" i="64"/>
  <c r="Z20" i="64"/>
  <c r="AE22" i="64"/>
  <c r="AD26" i="64"/>
  <c r="L28" i="64"/>
  <c r="O40" i="64"/>
  <c r="W51" i="64"/>
  <c r="M41" i="64"/>
  <c r="U52" i="64"/>
  <c r="Q44" i="64"/>
  <c r="AC46" i="64"/>
  <c r="Q50" i="64"/>
  <c r="AA17" i="64"/>
  <c r="AA20" i="64"/>
  <c r="Z25" i="64"/>
  <c r="AE26" i="64"/>
  <c r="M27" i="64"/>
  <c r="P40" i="64"/>
  <c r="N41" i="64"/>
  <c r="R44" i="64"/>
  <c r="R50" i="64"/>
  <c r="H51" i="64"/>
  <c r="M37" i="64"/>
  <c r="M43" i="64"/>
  <c r="AE46" i="64"/>
  <c r="N27" i="64"/>
  <c r="AD13" i="64"/>
  <c r="AA14" i="64"/>
  <c r="AC17" i="64"/>
  <c r="AB25" i="64"/>
  <c r="O27" i="64"/>
  <c r="N37" i="64"/>
  <c r="R40" i="64"/>
  <c r="Z40" i="64"/>
  <c r="N43" i="64"/>
  <c r="Z46" i="64"/>
  <c r="N20" i="64"/>
  <c r="AC25" i="64"/>
  <c r="Z26" i="64"/>
  <c r="P27" i="64"/>
  <c r="M44" i="64"/>
  <c r="M50" i="64"/>
  <c r="AD47" i="65" l="1"/>
  <c r="AA47" i="65"/>
  <c r="AB47" i="65"/>
  <c r="X51" i="65"/>
  <c r="AD41" i="65"/>
  <c r="AC47" i="65"/>
  <c r="Z41" i="65"/>
  <c r="AE47" i="65"/>
  <c r="AB40" i="65"/>
  <c r="AC41" i="65"/>
  <c r="R51" i="65"/>
  <c r="Q51" i="65"/>
  <c r="P51" i="65"/>
  <c r="O51" i="65"/>
  <c r="M51" i="65"/>
  <c r="N51" i="65"/>
  <c r="AB41" i="65"/>
  <c r="R52" i="65"/>
  <c r="Q52" i="65"/>
  <c r="P52" i="65"/>
  <c r="O52" i="65"/>
  <c r="M52" i="65"/>
  <c r="N52" i="65"/>
  <c r="AD44" i="65"/>
  <c r="AC44" i="65"/>
  <c r="AB44" i="65"/>
  <c r="AA44" i="65"/>
  <c r="Z44" i="65"/>
  <c r="AE44" i="65"/>
  <c r="AD40" i="65"/>
  <c r="S51" i="65"/>
  <c r="AE37" i="65"/>
  <c r="AD37" i="65"/>
  <c r="AC37" i="65"/>
  <c r="AB37" i="65"/>
  <c r="AA37" i="65"/>
  <c r="Z37" i="65"/>
  <c r="AD38" i="65"/>
  <c r="S52" i="65"/>
  <c r="AC38" i="65"/>
  <c r="AB38" i="65"/>
  <c r="AA38" i="65"/>
  <c r="Z38" i="65"/>
  <c r="AE38" i="65"/>
  <c r="AE43" i="65"/>
  <c r="AD43" i="65"/>
  <c r="AC43" i="65"/>
  <c r="AB43" i="65"/>
  <c r="AA43" i="65"/>
  <c r="Z43" i="65"/>
  <c r="X52" i="65"/>
  <c r="AE27" i="65"/>
  <c r="AD27" i="65"/>
  <c r="AC27" i="65"/>
  <c r="AB27" i="65"/>
  <c r="AA27" i="65"/>
  <c r="Z27" i="65"/>
  <c r="V51" i="65"/>
  <c r="AE49" i="65"/>
  <c r="AD49" i="65"/>
  <c r="AC49" i="65"/>
  <c r="AB49" i="65"/>
  <c r="AA49" i="65"/>
  <c r="Z49" i="65"/>
  <c r="AD50" i="65"/>
  <c r="AC50" i="65"/>
  <c r="AB50" i="65"/>
  <c r="AA50" i="65"/>
  <c r="Z50" i="65"/>
  <c r="AE50" i="65"/>
  <c r="AE28" i="65"/>
  <c r="AD28" i="65"/>
  <c r="AC28" i="65"/>
  <c r="Z28" i="65"/>
  <c r="AB28" i="65"/>
  <c r="AA28" i="65"/>
  <c r="P38" i="64"/>
  <c r="R38" i="64"/>
  <c r="N38" i="64"/>
  <c r="S38" i="64"/>
  <c r="AE38" i="64" s="1"/>
  <c r="O38" i="64"/>
  <c r="Q38" i="64"/>
  <c r="AD40" i="64"/>
  <c r="AC40" i="64"/>
  <c r="Y51" i="64"/>
  <c r="W52" i="64"/>
  <c r="AE40" i="64"/>
  <c r="AD50" i="64"/>
  <c r="AC50" i="64"/>
  <c r="AB50" i="64"/>
  <c r="AA50" i="64"/>
  <c r="Z50" i="64"/>
  <c r="AE50" i="64"/>
  <c r="Y28" i="64"/>
  <c r="AE20" i="64"/>
  <c r="N44" i="64"/>
  <c r="AD44" i="64"/>
  <c r="AC44" i="64"/>
  <c r="AB44" i="64"/>
  <c r="AA44" i="64"/>
  <c r="Z44" i="64"/>
  <c r="AE44" i="64"/>
  <c r="S51" i="64"/>
  <c r="AE37" i="64"/>
  <c r="AD37" i="64"/>
  <c r="AC37" i="64"/>
  <c r="AB37" i="64"/>
  <c r="AA37" i="64"/>
  <c r="Z37" i="64"/>
  <c r="H52" i="64"/>
  <c r="AE43" i="64"/>
  <c r="AD43" i="64"/>
  <c r="AC43" i="64"/>
  <c r="AB43" i="64"/>
  <c r="AA43" i="64"/>
  <c r="Z43" i="64"/>
  <c r="AE27" i="64"/>
  <c r="AC27" i="64"/>
  <c r="AB27" i="64"/>
  <c r="AA27" i="64"/>
  <c r="Z27" i="64"/>
  <c r="AD27" i="64"/>
  <c r="Z41" i="64"/>
  <c r="AE41" i="64"/>
  <c r="AD41" i="64"/>
  <c r="AC41" i="64"/>
  <c r="AB41" i="64"/>
  <c r="AA41" i="64"/>
  <c r="V51" i="64"/>
  <c r="AE49" i="64"/>
  <c r="AD49" i="64"/>
  <c r="AC49" i="64"/>
  <c r="AB49" i="64"/>
  <c r="AA49" i="64"/>
  <c r="Z49" i="64"/>
  <c r="R51" i="64"/>
  <c r="Q51" i="64"/>
  <c r="P51" i="64"/>
  <c r="O51" i="64"/>
  <c r="N51" i="64"/>
  <c r="M51" i="64"/>
  <c r="AB52" i="65" l="1"/>
  <c r="AA52" i="65"/>
  <c r="Z52" i="65"/>
  <c r="AE52" i="65"/>
  <c r="AD52" i="65"/>
  <c r="AC52" i="65"/>
  <c r="AB51" i="65"/>
  <c r="AA51" i="65"/>
  <c r="Z51" i="65"/>
  <c r="AE51" i="65"/>
  <c r="AC51" i="65"/>
  <c r="AD51" i="65"/>
  <c r="AB38" i="64"/>
  <c r="Z38" i="64"/>
  <c r="AA38" i="64"/>
  <c r="AC38" i="64"/>
  <c r="AD38" i="64"/>
  <c r="AB51" i="64"/>
  <c r="AA51" i="64"/>
  <c r="Z51" i="64"/>
  <c r="AE51" i="64"/>
  <c r="AD51" i="64"/>
  <c r="AC51" i="64"/>
  <c r="AE52" i="63" l="1"/>
  <c r="AE51" i="63"/>
  <c r="AE50" i="63"/>
  <c r="AE49" i="63"/>
  <c r="AE47" i="63"/>
  <c r="AE46" i="63"/>
  <c r="AE44" i="63"/>
  <c r="AE43" i="63"/>
  <c r="AE41" i="63"/>
  <c r="AE40" i="63"/>
  <c r="AE38" i="63"/>
  <c r="AE37" i="63"/>
  <c r="AD52" i="63"/>
  <c r="AD51" i="63"/>
  <c r="AD50" i="63"/>
  <c r="AD49" i="63"/>
  <c r="AD47" i="63"/>
  <c r="AD46" i="63"/>
  <c r="AD44" i="63"/>
  <c r="AD43" i="63"/>
  <c r="AD41" i="63"/>
  <c r="AD40" i="63"/>
  <c r="AD38" i="63"/>
  <c r="AD37" i="63"/>
  <c r="AC52" i="63"/>
  <c r="AC51" i="63"/>
  <c r="AC50" i="63"/>
  <c r="AC49" i="63"/>
  <c r="AC47" i="63"/>
  <c r="AC46" i="63"/>
  <c r="AC44" i="63"/>
  <c r="AC43" i="63"/>
  <c r="AC41" i="63"/>
  <c r="AC40" i="63"/>
  <c r="AC38" i="63"/>
  <c r="AC37" i="63"/>
  <c r="AB52" i="63"/>
  <c r="AB51" i="63"/>
  <c r="AB50" i="63"/>
  <c r="AB49" i="63"/>
  <c r="AB47" i="63"/>
  <c r="AB46" i="63"/>
  <c r="AB44" i="63"/>
  <c r="AB43" i="63"/>
  <c r="AB41" i="63"/>
  <c r="AB40" i="63"/>
  <c r="AB38" i="63"/>
  <c r="AB37" i="63"/>
  <c r="AA52" i="63"/>
  <c r="AA51" i="63"/>
  <c r="AA50" i="63"/>
  <c r="AA49" i="63"/>
  <c r="AA47" i="63"/>
  <c r="AA46" i="63"/>
  <c r="AA44" i="63"/>
  <c r="AA43" i="63"/>
  <c r="AA41" i="63"/>
  <c r="AA40" i="63"/>
  <c r="AA38" i="63"/>
  <c r="AA37" i="63"/>
  <c r="Z52" i="63"/>
  <c r="Z51" i="63"/>
  <c r="Z50" i="63"/>
  <c r="Z49" i="63"/>
  <c r="Z47" i="63"/>
  <c r="Z46" i="63"/>
  <c r="Z44" i="63"/>
  <c r="Z43" i="63"/>
  <c r="Z41" i="63"/>
  <c r="Z40" i="63"/>
  <c r="Z38" i="63"/>
  <c r="Z37" i="63"/>
  <c r="Y54" i="63"/>
  <c r="X54" i="63"/>
  <c r="W54" i="63"/>
  <c r="V54" i="63"/>
  <c r="U54" i="63"/>
  <c r="T54" i="63"/>
  <c r="Y30" i="63"/>
  <c r="X30" i="63"/>
  <c r="W30" i="63"/>
  <c r="V30" i="63"/>
  <c r="U30" i="63"/>
  <c r="T30" i="63"/>
  <c r="Y50" i="63"/>
  <c r="X50" i="63"/>
  <c r="W50" i="63"/>
  <c r="V50" i="63"/>
  <c r="U50" i="63"/>
  <c r="T50" i="63"/>
  <c r="Y49" i="63"/>
  <c r="X49" i="63"/>
  <c r="W49" i="63"/>
  <c r="V49" i="63"/>
  <c r="U49" i="63"/>
  <c r="T49" i="63"/>
  <c r="Y47" i="63"/>
  <c r="X47" i="63"/>
  <c r="W47" i="63"/>
  <c r="V47" i="63"/>
  <c r="U47" i="63"/>
  <c r="T47" i="63"/>
  <c r="Y46" i="63"/>
  <c r="X46" i="63"/>
  <c r="W46" i="63"/>
  <c r="V46" i="63"/>
  <c r="U46" i="63"/>
  <c r="T46" i="63"/>
  <c r="Y44" i="63"/>
  <c r="X44" i="63"/>
  <c r="W44" i="63"/>
  <c r="V44" i="63"/>
  <c r="U44" i="63"/>
  <c r="T44" i="63"/>
  <c r="Y43" i="63"/>
  <c r="X43" i="63"/>
  <c r="W43" i="63"/>
  <c r="V43" i="63"/>
  <c r="U43" i="63"/>
  <c r="T43" i="63"/>
  <c r="Y41" i="63"/>
  <c r="X41" i="63"/>
  <c r="W41" i="63"/>
  <c r="V41" i="63"/>
  <c r="U41" i="63"/>
  <c r="T41" i="63"/>
  <c r="Y40" i="63"/>
  <c r="X40" i="63"/>
  <c r="W40" i="63"/>
  <c r="V40" i="63"/>
  <c r="U40" i="63"/>
  <c r="T40" i="63"/>
  <c r="Y38" i="63"/>
  <c r="X38" i="63"/>
  <c r="W38" i="63"/>
  <c r="V38" i="63"/>
  <c r="U38" i="63"/>
  <c r="T38" i="63"/>
  <c r="Y37" i="63"/>
  <c r="X37" i="63"/>
  <c r="W37" i="63"/>
  <c r="V37" i="63"/>
  <c r="U37" i="63"/>
  <c r="T37" i="63"/>
  <c r="Y26" i="63"/>
  <c r="X26" i="63"/>
  <c r="W26" i="63"/>
  <c r="V26" i="63"/>
  <c r="U26" i="63"/>
  <c r="T26" i="63"/>
  <c r="S26" i="63"/>
  <c r="Y25" i="63"/>
  <c r="X25" i="63"/>
  <c r="W25" i="63"/>
  <c r="V25" i="63"/>
  <c r="U25" i="63"/>
  <c r="T25" i="63"/>
  <c r="S25" i="63"/>
  <c r="Y23" i="63"/>
  <c r="X23" i="63"/>
  <c r="W23" i="63"/>
  <c r="V23" i="63"/>
  <c r="U23" i="63"/>
  <c r="T23" i="63"/>
  <c r="Y22" i="63"/>
  <c r="X22" i="63"/>
  <c r="W22" i="63"/>
  <c r="V22" i="63"/>
  <c r="U22" i="63"/>
  <c r="T22" i="63"/>
  <c r="S22" i="63"/>
  <c r="Y20" i="63"/>
  <c r="X20" i="63"/>
  <c r="W20" i="63"/>
  <c r="V20" i="63"/>
  <c r="U20" i="63"/>
  <c r="T20" i="63"/>
  <c r="S20" i="63"/>
  <c r="Y19" i="63"/>
  <c r="X19" i="63"/>
  <c r="W19" i="63"/>
  <c r="V19" i="63"/>
  <c r="U19" i="63"/>
  <c r="T19" i="63"/>
  <c r="S19" i="63"/>
  <c r="Y17" i="63"/>
  <c r="X17" i="63"/>
  <c r="W17" i="63"/>
  <c r="V17" i="63"/>
  <c r="U17" i="63"/>
  <c r="T17" i="63"/>
  <c r="S17" i="63"/>
  <c r="Y16" i="63"/>
  <c r="X16" i="63"/>
  <c r="W16" i="63"/>
  <c r="V16" i="63"/>
  <c r="U16" i="63"/>
  <c r="T16" i="63"/>
  <c r="S16" i="63"/>
  <c r="Y14" i="63"/>
  <c r="X14" i="63"/>
  <c r="W14" i="63"/>
  <c r="V14" i="63"/>
  <c r="U14" i="63"/>
  <c r="T14" i="63"/>
  <c r="S14" i="63"/>
  <c r="Y13" i="63"/>
  <c r="X13" i="63"/>
  <c r="W13" i="63"/>
  <c r="V13" i="63"/>
  <c r="U13" i="63"/>
  <c r="T13" i="63"/>
  <c r="S13" i="63"/>
  <c r="L20" i="63" l="1"/>
  <c r="H20" i="63"/>
  <c r="AK52" i="63" l="1"/>
  <c r="AJ52" i="63"/>
  <c r="AI52" i="63"/>
  <c r="AH52" i="63"/>
  <c r="AG52" i="63"/>
  <c r="AF52" i="63"/>
  <c r="AK51" i="63"/>
  <c r="AJ51" i="63"/>
  <c r="AI51" i="63"/>
  <c r="AH51" i="63"/>
  <c r="AG51" i="63"/>
  <c r="AF51" i="63"/>
  <c r="L50" i="63"/>
  <c r="K50" i="63"/>
  <c r="J50" i="63"/>
  <c r="I50" i="63"/>
  <c r="H50" i="63"/>
  <c r="G50" i="63"/>
  <c r="F50" i="63"/>
  <c r="S50" i="63" s="1"/>
  <c r="L49" i="63"/>
  <c r="K49" i="63"/>
  <c r="J49" i="63"/>
  <c r="I49" i="63"/>
  <c r="H49" i="63"/>
  <c r="G49" i="63"/>
  <c r="F49" i="63"/>
  <c r="S49" i="63" s="1"/>
  <c r="L47" i="63"/>
  <c r="K47" i="63"/>
  <c r="J47" i="63"/>
  <c r="I47" i="63"/>
  <c r="H47" i="63"/>
  <c r="G47" i="63"/>
  <c r="L46" i="63"/>
  <c r="K46" i="63"/>
  <c r="J46" i="63"/>
  <c r="I46" i="63"/>
  <c r="H46" i="63"/>
  <c r="G46" i="63"/>
  <c r="F46" i="63"/>
  <c r="S46" i="63" s="1"/>
  <c r="L44" i="63"/>
  <c r="K44" i="63"/>
  <c r="J44" i="63"/>
  <c r="I44" i="63"/>
  <c r="H44" i="63"/>
  <c r="G44" i="63"/>
  <c r="F44" i="63"/>
  <c r="S44" i="63" s="1"/>
  <c r="O43" i="63"/>
  <c r="L43" i="63"/>
  <c r="K43" i="63"/>
  <c r="J43" i="63"/>
  <c r="I43" i="63"/>
  <c r="H43" i="63"/>
  <c r="G43" i="63"/>
  <c r="F43" i="63"/>
  <c r="L41" i="63"/>
  <c r="K41" i="63"/>
  <c r="J41" i="63"/>
  <c r="I41" i="63"/>
  <c r="H41" i="63"/>
  <c r="G41" i="63"/>
  <c r="F41" i="63"/>
  <c r="S41" i="63" s="1"/>
  <c r="M40" i="63"/>
  <c r="L40" i="63"/>
  <c r="K40" i="63"/>
  <c r="J40" i="63"/>
  <c r="I40" i="63"/>
  <c r="O40" i="63" s="1"/>
  <c r="H40" i="63"/>
  <c r="G40" i="63"/>
  <c r="F40" i="63"/>
  <c r="L38" i="63"/>
  <c r="L52" i="63" s="1"/>
  <c r="K38" i="63"/>
  <c r="J38" i="63"/>
  <c r="J52" i="63" s="1"/>
  <c r="I38" i="63"/>
  <c r="I52" i="63" s="1"/>
  <c r="H38" i="63"/>
  <c r="G38" i="63"/>
  <c r="F38" i="63"/>
  <c r="S38" i="63" s="1"/>
  <c r="L37" i="63"/>
  <c r="K37" i="63"/>
  <c r="J37" i="63"/>
  <c r="I37" i="63"/>
  <c r="H37" i="63"/>
  <c r="G37" i="63"/>
  <c r="F37" i="63"/>
  <c r="S33" i="63"/>
  <c r="AK28" i="63"/>
  <c r="AJ28" i="63"/>
  <c r="AI28" i="63"/>
  <c r="AH28" i="63"/>
  <c r="AG28" i="63"/>
  <c r="AF28" i="63"/>
  <c r="L28" i="63"/>
  <c r="K28" i="63"/>
  <c r="J28" i="63"/>
  <c r="I28" i="63"/>
  <c r="H28" i="63"/>
  <c r="G28" i="63"/>
  <c r="AK27" i="63"/>
  <c r="AJ27" i="63"/>
  <c r="AI27" i="63"/>
  <c r="AH27" i="63"/>
  <c r="AG27" i="63"/>
  <c r="AF27" i="63"/>
  <c r="L27" i="63"/>
  <c r="K27" i="63"/>
  <c r="J27" i="63"/>
  <c r="I27" i="63"/>
  <c r="H27" i="63"/>
  <c r="G27" i="63"/>
  <c r="F27" i="63"/>
  <c r="Z26" i="63"/>
  <c r="AD26" i="63"/>
  <c r="R26" i="63"/>
  <c r="Q26" i="63"/>
  <c r="P26" i="63"/>
  <c r="O26" i="63"/>
  <c r="N26" i="63"/>
  <c r="M26" i="63"/>
  <c r="R25" i="63"/>
  <c r="Q25" i="63"/>
  <c r="P25" i="63"/>
  <c r="O25" i="63"/>
  <c r="N25" i="63"/>
  <c r="M25" i="63"/>
  <c r="Z22" i="63"/>
  <c r="AA22" i="63"/>
  <c r="R22" i="63"/>
  <c r="Q22" i="63"/>
  <c r="P22" i="63"/>
  <c r="O22" i="63"/>
  <c r="N22" i="63"/>
  <c r="M22" i="63"/>
  <c r="Z20" i="63"/>
  <c r="R20" i="63"/>
  <c r="Q20" i="63"/>
  <c r="P20" i="63"/>
  <c r="O20" i="63"/>
  <c r="N20" i="63"/>
  <c r="M20" i="63"/>
  <c r="AE19" i="63"/>
  <c r="AB19" i="63"/>
  <c r="R19" i="63"/>
  <c r="Q19" i="63"/>
  <c r="P19" i="63"/>
  <c r="O19" i="63"/>
  <c r="N19" i="63"/>
  <c r="M19" i="63"/>
  <c r="AB17" i="63"/>
  <c r="R17" i="63"/>
  <c r="Q17" i="63"/>
  <c r="P17" i="63"/>
  <c r="O17" i="63"/>
  <c r="N17" i="63"/>
  <c r="M17" i="63"/>
  <c r="R16" i="63"/>
  <c r="Q16" i="63"/>
  <c r="P16" i="63"/>
  <c r="O16" i="63"/>
  <c r="N16" i="63"/>
  <c r="M16" i="63"/>
  <c r="U28" i="63"/>
  <c r="T28" i="63"/>
  <c r="AE14" i="63"/>
  <c r="R14" i="63"/>
  <c r="Q14" i="63"/>
  <c r="P14" i="63"/>
  <c r="O14" i="63"/>
  <c r="N14" i="63"/>
  <c r="M14" i="63"/>
  <c r="AB13" i="63"/>
  <c r="Y27" i="63"/>
  <c r="W27" i="63"/>
  <c r="U27" i="63"/>
  <c r="R13" i="63"/>
  <c r="Q13" i="63"/>
  <c r="P13" i="63"/>
  <c r="O13" i="63"/>
  <c r="N13" i="63"/>
  <c r="M13" i="63"/>
  <c r="F9" i="63"/>
  <c r="F33" i="63" s="1"/>
  <c r="N49" i="63" l="1"/>
  <c r="R46" i="63"/>
  <c r="P43" i="63"/>
  <c r="S43" i="63"/>
  <c r="O41" i="63"/>
  <c r="R40" i="63"/>
  <c r="S40" i="63"/>
  <c r="Q40" i="63"/>
  <c r="M38" i="63"/>
  <c r="M27" i="63"/>
  <c r="O37" i="63"/>
  <c r="S37" i="63"/>
  <c r="O27" i="63"/>
  <c r="AD19" i="63"/>
  <c r="Z25" i="63"/>
  <c r="J51" i="63"/>
  <c r="H52" i="63"/>
  <c r="L51" i="63"/>
  <c r="N46" i="63"/>
  <c r="Z13" i="63"/>
  <c r="K52" i="63"/>
  <c r="T27" i="63"/>
  <c r="V28" i="63"/>
  <c r="W51" i="63"/>
  <c r="X27" i="63"/>
  <c r="AE26" i="63"/>
  <c r="Q44" i="63"/>
  <c r="V27" i="63"/>
  <c r="AB16" i="63"/>
  <c r="AA20" i="63"/>
  <c r="W28" i="63"/>
  <c r="H51" i="63"/>
  <c r="U52" i="63"/>
  <c r="O44" i="63"/>
  <c r="Y28" i="63"/>
  <c r="X28" i="63"/>
  <c r="I51" i="63"/>
  <c r="G52" i="63"/>
  <c r="Q41" i="63"/>
  <c r="M50" i="63"/>
  <c r="AD20" i="63"/>
  <c r="AC13" i="63"/>
  <c r="AD14" i="63"/>
  <c r="P27" i="63"/>
  <c r="R43" i="63"/>
  <c r="M46" i="63"/>
  <c r="P46" i="63"/>
  <c r="P41" i="63"/>
  <c r="Q46" i="63"/>
  <c r="AB20" i="63"/>
  <c r="Z14" i="63"/>
  <c r="AD16" i="63"/>
  <c r="AB25" i="63"/>
  <c r="AC26" i="63"/>
  <c r="P40" i="63"/>
  <c r="R44" i="63"/>
  <c r="AC20" i="63"/>
  <c r="AC19" i="63"/>
  <c r="AC14" i="63"/>
  <c r="AE16" i="63"/>
  <c r="AC25" i="63"/>
  <c r="S9" i="63"/>
  <c r="X52" i="63"/>
  <c r="X51" i="63"/>
  <c r="V52" i="63"/>
  <c r="T51" i="63"/>
  <c r="AA17" i="63"/>
  <c r="N38" i="63"/>
  <c r="AA16" i="63"/>
  <c r="AA13" i="63"/>
  <c r="AC16" i="63"/>
  <c r="Z17" i="63"/>
  <c r="AA25" i="63"/>
  <c r="N27" i="63"/>
  <c r="M37" i="63"/>
  <c r="U51" i="63"/>
  <c r="R41" i="63"/>
  <c r="Q43" i="63"/>
  <c r="P44" i="63"/>
  <c r="O46" i="63"/>
  <c r="M49" i="63"/>
  <c r="K51" i="63"/>
  <c r="O49" i="63"/>
  <c r="AD13" i="63"/>
  <c r="AA14" i="63"/>
  <c r="AC17" i="63"/>
  <c r="Z19" i="63"/>
  <c r="AE20" i="63"/>
  <c r="AB22" i="63"/>
  <c r="AD25" i="63"/>
  <c r="AA26" i="63"/>
  <c r="Q27" i="63"/>
  <c r="P37" i="63"/>
  <c r="O38" i="63"/>
  <c r="W52" i="63"/>
  <c r="N40" i="63"/>
  <c r="V51" i="63"/>
  <c r="M41" i="63"/>
  <c r="Y52" i="63"/>
  <c r="P49" i="63"/>
  <c r="O50" i="63"/>
  <c r="F51" i="63"/>
  <c r="N50" i="63"/>
  <c r="AE13" i="63"/>
  <c r="AB14" i="63"/>
  <c r="AD17" i="63"/>
  <c r="AA19" i="63"/>
  <c r="AC22" i="63"/>
  <c r="AE25" i="63"/>
  <c r="AB26" i="63"/>
  <c r="R27" i="63"/>
  <c r="Q37" i="63"/>
  <c r="P38" i="63"/>
  <c r="N41" i="63"/>
  <c r="M43" i="63"/>
  <c r="Q49" i="63"/>
  <c r="P50" i="63"/>
  <c r="G51" i="63"/>
  <c r="Z16" i="63"/>
  <c r="AE17" i="63"/>
  <c r="AD22" i="63"/>
  <c r="S27" i="63"/>
  <c r="R37" i="63"/>
  <c r="Q38" i="63"/>
  <c r="N43" i="63"/>
  <c r="M44" i="63"/>
  <c r="R49" i="63"/>
  <c r="Q50" i="63"/>
  <c r="AE22" i="63"/>
  <c r="R38" i="63"/>
  <c r="N44" i="63"/>
  <c r="R50" i="63"/>
  <c r="N37" i="63"/>
  <c r="S51" i="63" l="1"/>
  <c r="Y51" i="63"/>
  <c r="T52" i="63"/>
  <c r="AC27" i="63"/>
  <c r="AB27" i="63"/>
  <c r="AE27" i="63"/>
  <c r="AA27" i="63"/>
  <c r="Z27" i="63"/>
  <c r="AD27" i="63"/>
  <c r="R51" i="63"/>
  <c r="Q51" i="63"/>
  <c r="P51" i="63"/>
  <c r="O51" i="63"/>
  <c r="N51" i="63"/>
  <c r="M51" i="63"/>
  <c r="Y30" i="62" l="1"/>
  <c r="X30" i="62"/>
  <c r="W30" i="62"/>
  <c r="V30" i="62"/>
  <c r="U30" i="62"/>
  <c r="T30" i="62"/>
  <c r="Y54" i="62"/>
  <c r="X54" i="62"/>
  <c r="W54" i="62"/>
  <c r="V54" i="62"/>
  <c r="U54" i="62"/>
  <c r="T54" i="62"/>
  <c r="Y50" i="62"/>
  <c r="X50" i="62"/>
  <c r="W50" i="62"/>
  <c r="V50" i="62"/>
  <c r="U50" i="62"/>
  <c r="T50" i="62"/>
  <c r="Y49" i="62"/>
  <c r="X49" i="62"/>
  <c r="W49" i="62"/>
  <c r="V49" i="62"/>
  <c r="U49" i="62"/>
  <c r="T49" i="62"/>
  <c r="Y47" i="62"/>
  <c r="X47" i="62"/>
  <c r="W47" i="62"/>
  <c r="V47" i="62"/>
  <c r="U47" i="62"/>
  <c r="T47" i="62"/>
  <c r="Y46" i="62"/>
  <c r="X46" i="62"/>
  <c r="W46" i="62"/>
  <c r="V46" i="62"/>
  <c r="U46" i="62"/>
  <c r="T46" i="62"/>
  <c r="Y44" i="62"/>
  <c r="X44" i="62"/>
  <c r="W44" i="62"/>
  <c r="V44" i="62"/>
  <c r="U44" i="62"/>
  <c r="T44" i="62"/>
  <c r="Y43" i="62"/>
  <c r="X43" i="62"/>
  <c r="W43" i="62"/>
  <c r="V43" i="62"/>
  <c r="U43" i="62"/>
  <c r="T43" i="62"/>
  <c r="Y41" i="62"/>
  <c r="X41" i="62"/>
  <c r="W41" i="62"/>
  <c r="V41" i="62"/>
  <c r="U41" i="62"/>
  <c r="T41" i="62"/>
  <c r="Y40" i="62"/>
  <c r="X40" i="62"/>
  <c r="W40" i="62"/>
  <c r="V40" i="62"/>
  <c r="U40" i="62"/>
  <c r="T40" i="62"/>
  <c r="Y38" i="62"/>
  <c r="X38" i="62"/>
  <c r="W38" i="62"/>
  <c r="V38" i="62"/>
  <c r="U38" i="62"/>
  <c r="T38" i="62"/>
  <c r="Y37" i="62"/>
  <c r="X37" i="62"/>
  <c r="W37" i="62"/>
  <c r="V37" i="62"/>
  <c r="U37" i="62"/>
  <c r="T37" i="62"/>
  <c r="Y26" i="62"/>
  <c r="X26" i="62"/>
  <c r="W26" i="62"/>
  <c r="V26" i="62"/>
  <c r="U26" i="62"/>
  <c r="T26" i="62"/>
  <c r="S26" i="62"/>
  <c r="Y25" i="62"/>
  <c r="X25" i="62"/>
  <c r="W25" i="62"/>
  <c r="V25" i="62"/>
  <c r="U25" i="62"/>
  <c r="T25" i="62"/>
  <c r="S25" i="62"/>
  <c r="Y23" i="62"/>
  <c r="X23" i="62"/>
  <c r="W23" i="62"/>
  <c r="V23" i="62"/>
  <c r="U23" i="62"/>
  <c r="T23" i="62"/>
  <c r="Y22" i="62"/>
  <c r="X22" i="62"/>
  <c r="W22" i="62"/>
  <c r="V22" i="62"/>
  <c r="U22" i="62"/>
  <c r="T22" i="62"/>
  <c r="S22" i="62"/>
  <c r="Y20" i="62"/>
  <c r="X20" i="62"/>
  <c r="W20" i="62"/>
  <c r="V20" i="62"/>
  <c r="U20" i="62"/>
  <c r="T20" i="62"/>
  <c r="S20" i="62"/>
  <c r="Y19" i="62"/>
  <c r="X19" i="62"/>
  <c r="W19" i="62"/>
  <c r="V19" i="62"/>
  <c r="U19" i="62"/>
  <c r="T19" i="62"/>
  <c r="S19" i="62"/>
  <c r="Y17" i="62"/>
  <c r="X17" i="62"/>
  <c r="W17" i="62"/>
  <c r="V17" i="62"/>
  <c r="U17" i="62"/>
  <c r="T17" i="62"/>
  <c r="S17" i="62"/>
  <c r="Y16" i="62"/>
  <c r="X16" i="62"/>
  <c r="W16" i="62"/>
  <c r="V16" i="62"/>
  <c r="U16" i="62"/>
  <c r="T16" i="62"/>
  <c r="S16" i="62"/>
  <c r="Y14" i="62"/>
  <c r="X14" i="62"/>
  <c r="W14" i="62"/>
  <c r="V14" i="62"/>
  <c r="U14" i="62"/>
  <c r="T14" i="62"/>
  <c r="S14" i="62"/>
  <c r="Y13" i="62"/>
  <c r="X13" i="62"/>
  <c r="W13" i="62"/>
  <c r="V13" i="62"/>
  <c r="U13" i="62"/>
  <c r="T13" i="62"/>
  <c r="S13" i="62"/>
  <c r="AK52" i="62" l="1"/>
  <c r="AJ52" i="62"/>
  <c r="AI52" i="62"/>
  <c r="AH52" i="62"/>
  <c r="AG52" i="62"/>
  <c r="AF52" i="62"/>
  <c r="AK51" i="62"/>
  <c r="AJ51" i="62"/>
  <c r="AI51" i="62"/>
  <c r="AH51" i="62"/>
  <c r="AG51" i="62"/>
  <c r="AF51" i="62"/>
  <c r="L50" i="62"/>
  <c r="K50" i="62"/>
  <c r="J50" i="62"/>
  <c r="I50" i="62"/>
  <c r="H50" i="62"/>
  <c r="G50" i="62"/>
  <c r="F50" i="62"/>
  <c r="S50" i="62" s="1"/>
  <c r="L49" i="62"/>
  <c r="K49" i="62"/>
  <c r="J49" i="62"/>
  <c r="I49" i="62"/>
  <c r="H49" i="62"/>
  <c r="G49" i="62"/>
  <c r="F49" i="62"/>
  <c r="S49" i="62" s="1"/>
  <c r="L47" i="62"/>
  <c r="K47" i="62"/>
  <c r="J47" i="62"/>
  <c r="I47" i="62"/>
  <c r="H47" i="62"/>
  <c r="G47" i="62"/>
  <c r="L46" i="62"/>
  <c r="K46" i="62"/>
  <c r="J46" i="62"/>
  <c r="I46" i="62"/>
  <c r="H46" i="62"/>
  <c r="G46" i="62"/>
  <c r="F46" i="62"/>
  <c r="S46" i="62" s="1"/>
  <c r="L44" i="62"/>
  <c r="K44" i="62"/>
  <c r="J44" i="62"/>
  <c r="I44" i="62"/>
  <c r="H44" i="62"/>
  <c r="G44" i="62"/>
  <c r="F44" i="62"/>
  <c r="L43" i="62"/>
  <c r="K43" i="62"/>
  <c r="J43" i="62"/>
  <c r="I43" i="62"/>
  <c r="H43" i="62"/>
  <c r="G43" i="62"/>
  <c r="F43" i="62"/>
  <c r="L41" i="62"/>
  <c r="K41" i="62"/>
  <c r="J41" i="62"/>
  <c r="I41" i="62"/>
  <c r="H41" i="62"/>
  <c r="G41" i="62"/>
  <c r="F41" i="62"/>
  <c r="L40" i="62"/>
  <c r="K40" i="62"/>
  <c r="J40" i="62"/>
  <c r="I40" i="62"/>
  <c r="H40" i="62"/>
  <c r="G40" i="62"/>
  <c r="F40" i="62"/>
  <c r="S40" i="62" s="1"/>
  <c r="L38" i="62"/>
  <c r="K38" i="62"/>
  <c r="J38" i="62"/>
  <c r="I38" i="62"/>
  <c r="H38" i="62"/>
  <c r="G38" i="62"/>
  <c r="F38" i="62"/>
  <c r="S38" i="62" s="1"/>
  <c r="L37" i="62"/>
  <c r="K37" i="62"/>
  <c r="J37" i="62"/>
  <c r="I37" i="62"/>
  <c r="H37" i="62"/>
  <c r="G37" i="62"/>
  <c r="F37" i="62"/>
  <c r="S37" i="62" s="1"/>
  <c r="S33" i="62"/>
  <c r="AK28" i="62"/>
  <c r="AJ28" i="62"/>
  <c r="AI28" i="62"/>
  <c r="AH28" i="62"/>
  <c r="AG28" i="62"/>
  <c r="AF28" i="62"/>
  <c r="L28" i="62"/>
  <c r="K28" i="62"/>
  <c r="J28" i="62"/>
  <c r="I28" i="62"/>
  <c r="H28" i="62"/>
  <c r="G28" i="62"/>
  <c r="AK27" i="62"/>
  <c r="AJ27" i="62"/>
  <c r="AI27" i="62"/>
  <c r="AH27" i="62"/>
  <c r="AG27" i="62"/>
  <c r="AF27" i="62"/>
  <c r="L27" i="62"/>
  <c r="K27" i="62"/>
  <c r="J27" i="62"/>
  <c r="I27" i="62"/>
  <c r="H27" i="62"/>
  <c r="G27" i="62"/>
  <c r="F27" i="62"/>
  <c r="R26" i="62"/>
  <c r="Q26" i="62"/>
  <c r="P26" i="62"/>
  <c r="O26" i="62"/>
  <c r="N26" i="62"/>
  <c r="M26" i="62"/>
  <c r="R25" i="62"/>
  <c r="Q25" i="62"/>
  <c r="P25" i="62"/>
  <c r="O25" i="62"/>
  <c r="N25" i="62"/>
  <c r="M25" i="62"/>
  <c r="AE22" i="62"/>
  <c r="R22" i="62"/>
  <c r="Q22" i="62"/>
  <c r="P22" i="62"/>
  <c r="O22" i="62"/>
  <c r="N22" i="62"/>
  <c r="M22" i="62"/>
  <c r="AD20" i="62"/>
  <c r="R20" i="62"/>
  <c r="Q20" i="62"/>
  <c r="P20" i="62"/>
  <c r="O20" i="62"/>
  <c r="N20" i="62"/>
  <c r="M20" i="62"/>
  <c r="AE19" i="62"/>
  <c r="AD19" i="62"/>
  <c r="AC19" i="62"/>
  <c r="Z19" i="62"/>
  <c r="R19" i="62"/>
  <c r="Q19" i="62"/>
  <c r="P19" i="62"/>
  <c r="O19" i="62"/>
  <c r="N19" i="62"/>
  <c r="M19" i="62"/>
  <c r="AE17" i="62"/>
  <c r="AB17" i="62"/>
  <c r="Z17" i="62"/>
  <c r="R17" i="62"/>
  <c r="Q17" i="62"/>
  <c r="P17" i="62"/>
  <c r="O17" i="62"/>
  <c r="N17" i="62"/>
  <c r="M17" i="62"/>
  <c r="AC16" i="62"/>
  <c r="Z16" i="62"/>
  <c r="R16" i="62"/>
  <c r="Q16" i="62"/>
  <c r="P16" i="62"/>
  <c r="O16" i="62"/>
  <c r="N16" i="62"/>
  <c r="M16" i="62"/>
  <c r="Z14" i="62"/>
  <c r="R14" i="62"/>
  <c r="Q14" i="62"/>
  <c r="P14" i="62"/>
  <c r="O14" i="62"/>
  <c r="N14" i="62"/>
  <c r="M14" i="62"/>
  <c r="R13" i="62"/>
  <c r="Q13" i="62"/>
  <c r="P13" i="62"/>
  <c r="O13" i="62"/>
  <c r="N13" i="62"/>
  <c r="M13" i="62"/>
  <c r="F9" i="62"/>
  <c r="F33" i="62" s="1"/>
  <c r="S9" i="60"/>
  <c r="S9" i="59"/>
  <c r="S9" i="58"/>
  <c r="S9" i="61"/>
  <c r="S49" i="61"/>
  <c r="S46" i="61"/>
  <c r="S43" i="61"/>
  <c r="S37" i="61"/>
  <c r="AF52" i="61"/>
  <c r="AF51" i="61"/>
  <c r="Y26" i="61"/>
  <c r="X26" i="61"/>
  <c r="W26" i="61"/>
  <c r="V26" i="61"/>
  <c r="U26" i="61"/>
  <c r="T26" i="61"/>
  <c r="Z26" i="61" s="1"/>
  <c r="S26" i="61"/>
  <c r="Y25" i="61"/>
  <c r="X25" i="61"/>
  <c r="W25" i="61"/>
  <c r="V25" i="61"/>
  <c r="U25" i="61"/>
  <c r="T25" i="61"/>
  <c r="S25" i="61"/>
  <c r="AD25" i="61" s="1"/>
  <c r="Y23" i="61"/>
  <c r="X23" i="61"/>
  <c r="W23" i="61"/>
  <c r="V23" i="61"/>
  <c r="U23" i="61"/>
  <c r="T23" i="61"/>
  <c r="S23" i="61"/>
  <c r="AE23" i="61" s="1"/>
  <c r="Y22" i="61"/>
  <c r="X22" i="61"/>
  <c r="W22" i="61"/>
  <c r="V22" i="61"/>
  <c r="U22" i="61"/>
  <c r="T22" i="61"/>
  <c r="S22" i="61"/>
  <c r="Y20" i="61"/>
  <c r="X20" i="61"/>
  <c r="AD20" i="61" s="1"/>
  <c r="W20" i="61"/>
  <c r="V20" i="61"/>
  <c r="U20" i="61"/>
  <c r="T20" i="61"/>
  <c r="S20" i="61"/>
  <c r="Y19" i="61"/>
  <c r="X19" i="61"/>
  <c r="W19" i="61"/>
  <c r="V19" i="61"/>
  <c r="U19" i="61"/>
  <c r="T19" i="61"/>
  <c r="S19" i="61"/>
  <c r="Y17" i="61"/>
  <c r="X17" i="61"/>
  <c r="W17" i="61"/>
  <c r="V17" i="61"/>
  <c r="U17" i="61"/>
  <c r="T17" i="61"/>
  <c r="S17" i="61"/>
  <c r="Y16" i="61"/>
  <c r="X16" i="61"/>
  <c r="W16" i="61"/>
  <c r="V16" i="61"/>
  <c r="U16" i="61"/>
  <c r="T16" i="61"/>
  <c r="S16" i="61"/>
  <c r="Y14" i="61"/>
  <c r="X14" i="61"/>
  <c r="W14" i="61"/>
  <c r="V14" i="61"/>
  <c r="U14" i="61"/>
  <c r="T14" i="61"/>
  <c r="S14" i="61"/>
  <c r="Y13" i="61"/>
  <c r="X13" i="61"/>
  <c r="W13" i="61"/>
  <c r="V13" i="61"/>
  <c r="U13" i="61"/>
  <c r="T13" i="61"/>
  <c r="S13" i="61"/>
  <c r="AB13" i="61" s="1"/>
  <c r="AK52" i="61"/>
  <c r="AJ52" i="61"/>
  <c r="AI52" i="61"/>
  <c r="AH52" i="61"/>
  <c r="AG52" i="61"/>
  <c r="AK51" i="61"/>
  <c r="AJ51" i="61"/>
  <c r="AI51" i="61"/>
  <c r="AH51" i="61"/>
  <c r="AG51" i="61"/>
  <c r="L50" i="61"/>
  <c r="Y50" i="61" s="1"/>
  <c r="K50" i="61"/>
  <c r="X50" i="61" s="1"/>
  <c r="J50" i="61"/>
  <c r="W50" i="61" s="1"/>
  <c r="I50" i="61"/>
  <c r="V50" i="61" s="1"/>
  <c r="H50" i="61"/>
  <c r="U50" i="61" s="1"/>
  <c r="G50" i="61"/>
  <c r="T50" i="61" s="1"/>
  <c r="F50" i="61"/>
  <c r="L49" i="61"/>
  <c r="Y49" i="61" s="1"/>
  <c r="K49" i="61"/>
  <c r="X49" i="61" s="1"/>
  <c r="J49" i="61"/>
  <c r="W49" i="61" s="1"/>
  <c r="I49" i="61"/>
  <c r="V49" i="61" s="1"/>
  <c r="H49" i="61"/>
  <c r="U49" i="61" s="1"/>
  <c r="G49" i="61"/>
  <c r="T49" i="61" s="1"/>
  <c r="F49" i="61"/>
  <c r="M49" i="61" s="1"/>
  <c r="L47" i="61"/>
  <c r="Y47" i="61" s="1"/>
  <c r="K47" i="61"/>
  <c r="X47" i="61" s="1"/>
  <c r="J47" i="61"/>
  <c r="W47" i="61" s="1"/>
  <c r="I47" i="61"/>
  <c r="V47" i="61" s="1"/>
  <c r="H47" i="61"/>
  <c r="U47" i="61" s="1"/>
  <c r="G47" i="61"/>
  <c r="T47" i="61" s="1"/>
  <c r="F47" i="61"/>
  <c r="L46" i="61"/>
  <c r="Y46" i="61" s="1"/>
  <c r="K46" i="61"/>
  <c r="X46" i="61" s="1"/>
  <c r="J46" i="61"/>
  <c r="W46" i="61" s="1"/>
  <c r="I46" i="61"/>
  <c r="V46" i="61" s="1"/>
  <c r="H46" i="61"/>
  <c r="U46" i="61" s="1"/>
  <c r="G46" i="61"/>
  <c r="T46" i="61" s="1"/>
  <c r="F46" i="61"/>
  <c r="L44" i="61"/>
  <c r="Y44" i="61" s="1"/>
  <c r="K44" i="61"/>
  <c r="X44" i="61" s="1"/>
  <c r="J44" i="61"/>
  <c r="W44" i="61" s="1"/>
  <c r="I44" i="61"/>
  <c r="V44" i="61" s="1"/>
  <c r="H44" i="61"/>
  <c r="U44" i="61" s="1"/>
  <c r="G44" i="61"/>
  <c r="T44" i="61" s="1"/>
  <c r="F44" i="61"/>
  <c r="L43" i="61"/>
  <c r="Y43" i="61" s="1"/>
  <c r="K43" i="61"/>
  <c r="X43" i="61" s="1"/>
  <c r="J43" i="61"/>
  <c r="W43" i="61" s="1"/>
  <c r="I43" i="61"/>
  <c r="V43" i="61" s="1"/>
  <c r="H43" i="61"/>
  <c r="U43" i="61" s="1"/>
  <c r="G43" i="61"/>
  <c r="T43" i="61" s="1"/>
  <c r="F43" i="61"/>
  <c r="L41" i="61"/>
  <c r="Y41" i="61" s="1"/>
  <c r="K41" i="61"/>
  <c r="X41" i="61" s="1"/>
  <c r="J41" i="61"/>
  <c r="W41" i="61" s="1"/>
  <c r="I41" i="61"/>
  <c r="V41" i="61" s="1"/>
  <c r="H41" i="61"/>
  <c r="U41" i="61" s="1"/>
  <c r="G41" i="61"/>
  <c r="T41" i="61" s="1"/>
  <c r="F41" i="61"/>
  <c r="M41" i="61" s="1"/>
  <c r="L40" i="61"/>
  <c r="Y40" i="61" s="1"/>
  <c r="K40" i="61"/>
  <c r="X40" i="61" s="1"/>
  <c r="J40" i="61"/>
  <c r="W40" i="61" s="1"/>
  <c r="I40" i="61"/>
  <c r="V40" i="61" s="1"/>
  <c r="H40" i="61"/>
  <c r="U40" i="61" s="1"/>
  <c r="G40" i="61"/>
  <c r="T40" i="61" s="1"/>
  <c r="F40" i="61"/>
  <c r="M40" i="61" s="1"/>
  <c r="L38" i="61"/>
  <c r="K38" i="61"/>
  <c r="J38" i="61"/>
  <c r="W38" i="61" s="1"/>
  <c r="I38" i="61"/>
  <c r="V38" i="61" s="1"/>
  <c r="H38" i="61"/>
  <c r="H52" i="61" s="1"/>
  <c r="G38" i="61"/>
  <c r="T38" i="61" s="1"/>
  <c r="F38" i="61"/>
  <c r="M38" i="61" s="1"/>
  <c r="L37" i="61"/>
  <c r="K37" i="61"/>
  <c r="X37" i="61" s="1"/>
  <c r="J37" i="61"/>
  <c r="I37" i="61"/>
  <c r="H37" i="61"/>
  <c r="G37" i="61"/>
  <c r="T37" i="61" s="1"/>
  <c r="F37" i="61"/>
  <c r="S33" i="61"/>
  <c r="AK28" i="61"/>
  <c r="AJ28" i="61"/>
  <c r="AI28" i="61"/>
  <c r="AH28" i="61"/>
  <c r="AG28" i="61"/>
  <c r="AF28" i="61"/>
  <c r="L28" i="61"/>
  <c r="K28" i="61"/>
  <c r="J28" i="61"/>
  <c r="I28" i="61"/>
  <c r="H28" i="61"/>
  <c r="G28" i="61"/>
  <c r="F28" i="61"/>
  <c r="AK27" i="61"/>
  <c r="AJ27" i="61"/>
  <c r="AI27" i="61"/>
  <c r="AH27" i="61"/>
  <c r="AG27" i="61"/>
  <c r="AF27" i="61"/>
  <c r="L27" i="61"/>
  <c r="K27" i="61"/>
  <c r="J27" i="61"/>
  <c r="I27" i="61"/>
  <c r="H27" i="61"/>
  <c r="G27" i="61"/>
  <c r="F27" i="61"/>
  <c r="N27" i="61" s="1"/>
  <c r="AE26" i="61"/>
  <c r="R26" i="61"/>
  <c r="Q26" i="61"/>
  <c r="P26" i="61"/>
  <c r="O26" i="61"/>
  <c r="N26" i="61"/>
  <c r="M26" i="61"/>
  <c r="Z25" i="61"/>
  <c r="R25" i="61"/>
  <c r="Q25" i="61"/>
  <c r="P25" i="61"/>
  <c r="O25" i="61"/>
  <c r="N25" i="61"/>
  <c r="M25" i="61"/>
  <c r="Y28" i="61"/>
  <c r="R23" i="61"/>
  <c r="Q23" i="61"/>
  <c r="P23" i="61"/>
  <c r="O23" i="61"/>
  <c r="N23" i="61"/>
  <c r="M23" i="61"/>
  <c r="Z22" i="61"/>
  <c r="R22" i="61"/>
  <c r="Q22" i="61"/>
  <c r="P22" i="61"/>
  <c r="O22" i="61"/>
  <c r="N22" i="61"/>
  <c r="M22" i="61"/>
  <c r="AC20" i="61"/>
  <c r="R20" i="61"/>
  <c r="Q20" i="61"/>
  <c r="P20" i="61"/>
  <c r="O20" i="61"/>
  <c r="N20" i="61"/>
  <c r="M20" i="61"/>
  <c r="AE19" i="61"/>
  <c r="R19" i="61"/>
  <c r="Q19" i="61"/>
  <c r="P19" i="61"/>
  <c r="O19" i="61"/>
  <c r="N19" i="61"/>
  <c r="M19" i="61"/>
  <c r="R17" i="61"/>
  <c r="Q17" i="61"/>
  <c r="P17" i="61"/>
  <c r="O17" i="61"/>
  <c r="N17" i="61"/>
  <c r="M17" i="61"/>
  <c r="R16" i="61"/>
  <c r="Q16" i="61"/>
  <c r="P16" i="61"/>
  <c r="O16" i="61"/>
  <c r="N16" i="61"/>
  <c r="M16" i="61"/>
  <c r="W28" i="61"/>
  <c r="U28" i="61"/>
  <c r="AE14" i="61"/>
  <c r="R14" i="61"/>
  <c r="Q14" i="61"/>
  <c r="P14" i="61"/>
  <c r="O14" i="61"/>
  <c r="N14" i="61"/>
  <c r="M14" i="61"/>
  <c r="V27" i="61"/>
  <c r="T27" i="61"/>
  <c r="R13" i="61"/>
  <c r="Q13" i="61"/>
  <c r="P13" i="61"/>
  <c r="O13" i="61"/>
  <c r="N13" i="61"/>
  <c r="M13" i="61"/>
  <c r="F9" i="61"/>
  <c r="S20" i="60"/>
  <c r="S17" i="60"/>
  <c r="S16" i="60"/>
  <c r="S13" i="60"/>
  <c r="Y53" i="60"/>
  <c r="X53" i="60"/>
  <c r="W53" i="60"/>
  <c r="V53" i="60"/>
  <c r="U53" i="60"/>
  <c r="Y50" i="60"/>
  <c r="X50" i="60"/>
  <c r="W50" i="60"/>
  <c r="V50" i="60"/>
  <c r="U50" i="60"/>
  <c r="T50" i="60"/>
  <c r="Y49" i="60"/>
  <c r="X49" i="60"/>
  <c r="W49" i="60"/>
  <c r="V49" i="60"/>
  <c r="U49" i="60"/>
  <c r="T49" i="60"/>
  <c r="Y47" i="60"/>
  <c r="X47" i="60"/>
  <c r="W47" i="60"/>
  <c r="V47" i="60"/>
  <c r="U47" i="60"/>
  <c r="Y46" i="60"/>
  <c r="X46" i="60"/>
  <c r="W46" i="60"/>
  <c r="V46" i="60"/>
  <c r="U46" i="60"/>
  <c r="Y44" i="60"/>
  <c r="X44" i="60"/>
  <c r="W44" i="60"/>
  <c r="V44" i="60"/>
  <c r="U44" i="60"/>
  <c r="Y43" i="60"/>
  <c r="X43" i="60"/>
  <c r="W43" i="60"/>
  <c r="V43" i="60"/>
  <c r="U43" i="60"/>
  <c r="Y41" i="60"/>
  <c r="X41" i="60"/>
  <c r="W41" i="60"/>
  <c r="V41" i="60"/>
  <c r="U41" i="60"/>
  <c r="Y40" i="60"/>
  <c r="X40" i="60"/>
  <c r="W40" i="60"/>
  <c r="V40" i="60"/>
  <c r="U40" i="60"/>
  <c r="Y38" i="60"/>
  <c r="X38" i="60"/>
  <c r="W38" i="60"/>
  <c r="V38" i="60"/>
  <c r="U38" i="60"/>
  <c r="Y37" i="60"/>
  <c r="X37" i="60"/>
  <c r="W37" i="60"/>
  <c r="V37" i="60"/>
  <c r="U37" i="60"/>
  <c r="Y26" i="60"/>
  <c r="X26" i="60"/>
  <c r="W26" i="60"/>
  <c r="V26" i="60"/>
  <c r="U26" i="60"/>
  <c r="T26" i="60"/>
  <c r="Y25" i="60"/>
  <c r="X25" i="60"/>
  <c r="W25" i="60"/>
  <c r="V25" i="60"/>
  <c r="U25" i="60"/>
  <c r="T25" i="60"/>
  <c r="Y23" i="60"/>
  <c r="X23" i="60"/>
  <c r="W23" i="60"/>
  <c r="V23" i="60"/>
  <c r="U23" i="60"/>
  <c r="T23" i="60"/>
  <c r="Y22" i="60"/>
  <c r="X22" i="60"/>
  <c r="W22" i="60"/>
  <c r="V22" i="60"/>
  <c r="U22" i="60"/>
  <c r="T22" i="60"/>
  <c r="Y20" i="60"/>
  <c r="X20" i="60"/>
  <c r="W20" i="60"/>
  <c r="V20" i="60"/>
  <c r="U20" i="60"/>
  <c r="T20" i="60"/>
  <c r="Y19" i="60"/>
  <c r="X19" i="60"/>
  <c r="W19" i="60"/>
  <c r="V19" i="60"/>
  <c r="U19" i="60"/>
  <c r="T19" i="60"/>
  <c r="Y17" i="60"/>
  <c r="X17" i="60"/>
  <c r="W17" i="60"/>
  <c r="V17" i="60"/>
  <c r="U17" i="60"/>
  <c r="T17" i="60"/>
  <c r="Y16" i="60"/>
  <c r="X16" i="60"/>
  <c r="W16" i="60"/>
  <c r="V16" i="60"/>
  <c r="U16" i="60"/>
  <c r="T16" i="60"/>
  <c r="Y14" i="60"/>
  <c r="X14" i="60"/>
  <c r="W14" i="60"/>
  <c r="V14" i="60"/>
  <c r="U14" i="60"/>
  <c r="T14" i="60"/>
  <c r="Y13" i="60"/>
  <c r="X13" i="60"/>
  <c r="W13" i="60"/>
  <c r="V13" i="60"/>
  <c r="U13" i="60"/>
  <c r="T13" i="60"/>
  <c r="S26" i="60"/>
  <c r="S25" i="60"/>
  <c r="S19" i="60"/>
  <c r="S14" i="60"/>
  <c r="O44" i="62" l="1"/>
  <c r="S44" i="62"/>
  <c r="P43" i="62"/>
  <c r="S43" i="62"/>
  <c r="M41" i="62"/>
  <c r="P41" i="62"/>
  <c r="Q41" i="62"/>
  <c r="S41" i="62"/>
  <c r="P27" i="62"/>
  <c r="AA20" i="62"/>
  <c r="Z25" i="62"/>
  <c r="J51" i="62"/>
  <c r="AD41" i="62"/>
  <c r="AE14" i="62"/>
  <c r="H52" i="62"/>
  <c r="I52" i="62"/>
  <c r="W27" i="62"/>
  <c r="X27" i="62"/>
  <c r="T28" i="62"/>
  <c r="J52" i="62"/>
  <c r="AA13" i="62"/>
  <c r="AD17" i="62"/>
  <c r="W51" i="62"/>
  <c r="L52" i="62"/>
  <c r="K51" i="62"/>
  <c r="T27" i="62"/>
  <c r="W28" i="62"/>
  <c r="U27" i="62"/>
  <c r="H51" i="62"/>
  <c r="AC38" i="62"/>
  <c r="M40" i="62"/>
  <c r="AB43" i="62"/>
  <c r="V28" i="62"/>
  <c r="V52" i="62"/>
  <c r="V27" i="62"/>
  <c r="AA16" i="62"/>
  <c r="AE26" i="62"/>
  <c r="I51" i="62"/>
  <c r="R40" i="62"/>
  <c r="X28" i="62"/>
  <c r="U28" i="62"/>
  <c r="AA19" i="62"/>
  <c r="Y28" i="62"/>
  <c r="K52" i="62"/>
  <c r="N46" i="62"/>
  <c r="AE16" i="62"/>
  <c r="Q46" i="62"/>
  <c r="R46" i="62"/>
  <c r="R41" i="62"/>
  <c r="AC13" i="62"/>
  <c r="O37" i="62"/>
  <c r="P37" i="62"/>
  <c r="P44" i="62"/>
  <c r="Z26" i="62"/>
  <c r="M37" i="62"/>
  <c r="O49" i="62"/>
  <c r="P49" i="62"/>
  <c r="AB16" i="62"/>
  <c r="AC17" i="62"/>
  <c r="AB19" i="62"/>
  <c r="AE20" i="62"/>
  <c r="AC25" i="62"/>
  <c r="N38" i="62"/>
  <c r="R44" i="62"/>
  <c r="M49" i="62"/>
  <c r="AE43" i="62"/>
  <c r="T52" i="62"/>
  <c r="AB44" i="62"/>
  <c r="AE44" i="62"/>
  <c r="AD44" i="62"/>
  <c r="AA44" i="62"/>
  <c r="Y51" i="62"/>
  <c r="U51" i="62"/>
  <c r="AE46" i="62"/>
  <c r="AA46" i="62"/>
  <c r="AD46" i="62"/>
  <c r="AC46" i="62"/>
  <c r="AB46" i="62"/>
  <c r="AC50" i="62"/>
  <c r="AB50" i="62"/>
  <c r="AA50" i="62"/>
  <c r="AE50" i="62"/>
  <c r="AD50" i="62"/>
  <c r="AB40" i="62"/>
  <c r="AA40" i="62"/>
  <c r="AE40" i="62"/>
  <c r="AC40" i="62"/>
  <c r="AD47" i="62"/>
  <c r="AC47" i="62"/>
  <c r="AB47" i="62"/>
  <c r="AA47" i="62"/>
  <c r="AE47" i="62"/>
  <c r="AB20" i="62"/>
  <c r="AA25" i="62"/>
  <c r="AA41" i="62"/>
  <c r="Q43" i="62"/>
  <c r="O46" i="62"/>
  <c r="S9" i="62"/>
  <c r="AB13" i="62"/>
  <c r="AD16" i="62"/>
  <c r="AA17" i="62"/>
  <c r="AC20" i="62"/>
  <c r="Z22" i="62"/>
  <c r="AB25" i="62"/>
  <c r="O27" i="62"/>
  <c r="N37" i="62"/>
  <c r="V51" i="62"/>
  <c r="M38" i="62"/>
  <c r="U52" i="62"/>
  <c r="AB41" i="62"/>
  <c r="R43" i="62"/>
  <c r="AA43" i="62"/>
  <c r="Q44" i="62"/>
  <c r="P46" i="62"/>
  <c r="N49" i="62"/>
  <c r="M50" i="62"/>
  <c r="L51" i="62"/>
  <c r="N50" i="62"/>
  <c r="AA14" i="62"/>
  <c r="AD25" i="62"/>
  <c r="AA26" i="62"/>
  <c r="Q27" i="62"/>
  <c r="Y27" i="62"/>
  <c r="AE13" i="62"/>
  <c r="AB14" i="62"/>
  <c r="AC22" i="62"/>
  <c r="AE25" i="62"/>
  <c r="AB26" i="62"/>
  <c r="R27" i="62"/>
  <c r="Q37" i="62"/>
  <c r="P38" i="62"/>
  <c r="X52" i="62"/>
  <c r="O40" i="62"/>
  <c r="N41" i="62"/>
  <c r="M43" i="62"/>
  <c r="AD43" i="62"/>
  <c r="Q49" i="62"/>
  <c r="P50" i="62"/>
  <c r="G51" i="62"/>
  <c r="AA22" i="62"/>
  <c r="AD13" i="62"/>
  <c r="AB22" i="62"/>
  <c r="O38" i="62"/>
  <c r="N40" i="62"/>
  <c r="AC43" i="62"/>
  <c r="F51" i="62"/>
  <c r="AC14" i="62"/>
  <c r="AD22" i="62"/>
  <c r="AC26" i="62"/>
  <c r="S27" i="62"/>
  <c r="R37" i="62"/>
  <c r="Q38" i="62"/>
  <c r="AE38" i="62"/>
  <c r="P40" i="62"/>
  <c r="X51" i="62"/>
  <c r="O41" i="62"/>
  <c r="AC41" i="62"/>
  <c r="N43" i="62"/>
  <c r="M44" i="62"/>
  <c r="R49" i="62"/>
  <c r="Q50" i="62"/>
  <c r="O50" i="62"/>
  <c r="G52" i="62"/>
  <c r="AD14" i="62"/>
  <c r="Z20" i="62"/>
  <c r="AD26" i="62"/>
  <c r="R38" i="62"/>
  <c r="Q40" i="62"/>
  <c r="O43" i="62"/>
  <c r="N44" i="62"/>
  <c r="M46" i="62"/>
  <c r="R50" i="62"/>
  <c r="Z13" i="62"/>
  <c r="M27" i="62"/>
  <c r="AE41" i="62"/>
  <c r="AC44" i="62"/>
  <c r="N27" i="62"/>
  <c r="N43" i="61"/>
  <c r="X27" i="61"/>
  <c r="L51" i="61"/>
  <c r="AA17" i="61"/>
  <c r="V30" i="61"/>
  <c r="W30" i="61"/>
  <c r="M50" i="61"/>
  <c r="T28" i="61"/>
  <c r="T30" i="61" s="1"/>
  <c r="U27" i="61"/>
  <c r="U30" i="61" s="1"/>
  <c r="V28" i="61"/>
  <c r="W27" i="61"/>
  <c r="M46" i="61"/>
  <c r="J51" i="61"/>
  <c r="K52" i="61"/>
  <c r="M43" i="61"/>
  <c r="M44" i="61"/>
  <c r="X51" i="61"/>
  <c r="N28" i="61"/>
  <c r="Y27" i="61"/>
  <c r="Y30" i="61" s="1"/>
  <c r="AB16" i="61"/>
  <c r="I51" i="61"/>
  <c r="M47" i="61"/>
  <c r="Y37" i="61"/>
  <c r="Y51" i="61" s="1"/>
  <c r="K51" i="61"/>
  <c r="L52" i="61"/>
  <c r="I52" i="61"/>
  <c r="U38" i="61"/>
  <c r="U52" i="61" s="1"/>
  <c r="J52" i="61"/>
  <c r="U37" i="61"/>
  <c r="M37" i="61"/>
  <c r="G52" i="61"/>
  <c r="V37" i="61"/>
  <c r="V51" i="61" s="1"/>
  <c r="X38" i="61"/>
  <c r="X52" i="61" s="1"/>
  <c r="W37" i="61"/>
  <c r="W51" i="61" s="1"/>
  <c r="Y38" i="61"/>
  <c r="Y52" i="61" s="1"/>
  <c r="S41" i="61"/>
  <c r="S52" i="61" s="1"/>
  <c r="S50" i="61"/>
  <c r="S47" i="61"/>
  <c r="M28" i="61"/>
  <c r="S44" i="61"/>
  <c r="S40" i="61"/>
  <c r="S51" i="61" s="1"/>
  <c r="S38" i="61"/>
  <c r="O28" i="61"/>
  <c r="N37" i="61"/>
  <c r="W52" i="61"/>
  <c r="AB25" i="61"/>
  <c r="AC25" i="61"/>
  <c r="AD16" i="61"/>
  <c r="Z19" i="61"/>
  <c r="AE20" i="61"/>
  <c r="N41" i="61"/>
  <c r="AB17" i="61"/>
  <c r="AD19" i="61"/>
  <c r="AD23" i="61"/>
  <c r="M27" i="61"/>
  <c r="AE16" i="61"/>
  <c r="AC23" i="61"/>
  <c r="Q27" i="61"/>
  <c r="P28" i="61"/>
  <c r="Z14" i="61"/>
  <c r="Q28" i="61"/>
  <c r="P27" i="61"/>
  <c r="AC13" i="61"/>
  <c r="O27" i="61"/>
  <c r="AC17" i="61"/>
  <c r="AD13" i="61"/>
  <c r="N40" i="61"/>
  <c r="U51" i="61"/>
  <c r="AB22" i="61"/>
  <c r="O41" i="61"/>
  <c r="O43" i="61"/>
  <c r="AE13" i="61"/>
  <c r="AB14" i="61"/>
  <c r="AD17" i="61"/>
  <c r="AA19" i="61"/>
  <c r="AC22" i="61"/>
  <c r="Z23" i="61"/>
  <c r="AE25" i="61"/>
  <c r="AB26" i="61"/>
  <c r="R27" i="61"/>
  <c r="R28" i="61"/>
  <c r="P37" i="61"/>
  <c r="P38" i="61"/>
  <c r="P40" i="61"/>
  <c r="P41" i="61"/>
  <c r="P43" i="61"/>
  <c r="P44" i="61"/>
  <c r="P46" i="61"/>
  <c r="P47" i="61"/>
  <c r="P49" i="61"/>
  <c r="P50" i="61"/>
  <c r="H51" i="61"/>
  <c r="N46" i="61"/>
  <c r="AA14" i="61"/>
  <c r="O44" i="61"/>
  <c r="O46" i="61"/>
  <c r="O49" i="61"/>
  <c r="AC14" i="61"/>
  <c r="Z16" i="61"/>
  <c r="AE17" i="61"/>
  <c r="AB19" i="61"/>
  <c r="AD22" i="61"/>
  <c r="AA23" i="61"/>
  <c r="AC26" i="61"/>
  <c r="S27" i="61"/>
  <c r="S28" i="61"/>
  <c r="Q37" i="61"/>
  <c r="Q38" i="61"/>
  <c r="Q40" i="61"/>
  <c r="Q41" i="61"/>
  <c r="Q43" i="61"/>
  <c r="Q44" i="61"/>
  <c r="Q46" i="61"/>
  <c r="Q47" i="61"/>
  <c r="Q49" i="61"/>
  <c r="Q50" i="61"/>
  <c r="AA22" i="61"/>
  <c r="N38" i="61"/>
  <c r="N44" i="61"/>
  <c r="F51" i="61"/>
  <c r="O47" i="61"/>
  <c r="O50" i="61"/>
  <c r="AD14" i="61"/>
  <c r="AA16" i="61"/>
  <c r="AC19" i="61"/>
  <c r="Z20" i="61"/>
  <c r="AE22" i="61"/>
  <c r="AB23" i="61"/>
  <c r="AD26" i="61"/>
  <c r="R37" i="61"/>
  <c r="R38" i="61"/>
  <c r="R40" i="61"/>
  <c r="R41" i="61"/>
  <c r="R43" i="61"/>
  <c r="R44" i="61"/>
  <c r="R46" i="61"/>
  <c r="R47" i="61"/>
  <c r="R49" i="61"/>
  <c r="R50" i="61"/>
  <c r="N47" i="61"/>
  <c r="AA26" i="61"/>
  <c r="O37" i="61"/>
  <c r="O40" i="61"/>
  <c r="G51" i="61"/>
  <c r="Z13" i="61"/>
  <c r="AA20" i="61"/>
  <c r="F52" i="61"/>
  <c r="X28" i="61"/>
  <c r="X30" i="61" s="1"/>
  <c r="O38" i="61"/>
  <c r="AA13" i="61"/>
  <c r="AC16" i="61"/>
  <c r="Z17" i="61"/>
  <c r="AB20" i="61"/>
  <c r="AA25" i="61"/>
  <c r="F33" i="61"/>
  <c r="N49" i="61"/>
  <c r="N50" i="61"/>
  <c r="V52" i="61"/>
  <c r="AK52" i="60"/>
  <c r="AJ52" i="60"/>
  <c r="AI52" i="60"/>
  <c r="AH52" i="60"/>
  <c r="AG52" i="60"/>
  <c r="AK51" i="60"/>
  <c r="AJ51" i="60"/>
  <c r="AI51" i="60"/>
  <c r="AH51" i="60"/>
  <c r="AG51" i="60"/>
  <c r="L50" i="60"/>
  <c r="K50" i="60"/>
  <c r="J50" i="60"/>
  <c r="I50" i="60"/>
  <c r="H50" i="60"/>
  <c r="G50" i="60"/>
  <c r="F50" i="60"/>
  <c r="L49" i="60"/>
  <c r="K49" i="60"/>
  <c r="J49" i="60"/>
  <c r="I49" i="60"/>
  <c r="H49" i="60"/>
  <c r="G49" i="60"/>
  <c r="F49" i="60"/>
  <c r="L47" i="60"/>
  <c r="K47" i="60"/>
  <c r="J47" i="60"/>
  <c r="I47" i="60"/>
  <c r="H47" i="60"/>
  <c r="G47" i="60"/>
  <c r="L46" i="60"/>
  <c r="K46" i="60"/>
  <c r="J46" i="60"/>
  <c r="I46" i="60"/>
  <c r="H46" i="60"/>
  <c r="G46" i="60"/>
  <c r="L44" i="60"/>
  <c r="K44" i="60"/>
  <c r="J44" i="60"/>
  <c r="I44" i="60"/>
  <c r="H44" i="60"/>
  <c r="G44" i="60"/>
  <c r="F44" i="60"/>
  <c r="T44" i="60" s="1"/>
  <c r="L43" i="60"/>
  <c r="K43" i="60"/>
  <c r="J43" i="60"/>
  <c r="I43" i="60"/>
  <c r="H43" i="60"/>
  <c r="G43" i="60"/>
  <c r="F43" i="60"/>
  <c r="T43" i="60" s="1"/>
  <c r="L41" i="60"/>
  <c r="K41" i="60"/>
  <c r="J41" i="60"/>
  <c r="I41" i="60"/>
  <c r="H41" i="60"/>
  <c r="G41" i="60"/>
  <c r="F41" i="60"/>
  <c r="T41" i="60" s="1"/>
  <c r="L40" i="60"/>
  <c r="K40" i="60"/>
  <c r="J40" i="60"/>
  <c r="I40" i="60"/>
  <c r="H40" i="60"/>
  <c r="G40" i="60"/>
  <c r="F40" i="60"/>
  <c r="T40" i="60" s="1"/>
  <c r="L38" i="60"/>
  <c r="K38" i="60"/>
  <c r="J38" i="60"/>
  <c r="I38" i="60"/>
  <c r="H38" i="60"/>
  <c r="G38" i="60"/>
  <c r="F38" i="60"/>
  <c r="T38" i="60" s="1"/>
  <c r="L37" i="60"/>
  <c r="K37" i="60"/>
  <c r="J37" i="60"/>
  <c r="I37" i="60"/>
  <c r="I51" i="60" s="1"/>
  <c r="H37" i="60"/>
  <c r="G37" i="60"/>
  <c r="F37" i="60"/>
  <c r="T37" i="60" s="1"/>
  <c r="S33" i="60"/>
  <c r="AK28" i="60"/>
  <c r="AJ28" i="60"/>
  <c r="AI28" i="60"/>
  <c r="AH28" i="60"/>
  <c r="AG28" i="60"/>
  <c r="AF28" i="60"/>
  <c r="L28" i="60"/>
  <c r="K28" i="60"/>
  <c r="J28" i="60"/>
  <c r="I28" i="60"/>
  <c r="H28" i="60"/>
  <c r="G28" i="60"/>
  <c r="AK27" i="60"/>
  <c r="AJ27" i="60"/>
  <c r="AI27" i="60"/>
  <c r="AH27" i="60"/>
  <c r="AG27" i="60"/>
  <c r="AF27" i="60"/>
  <c r="L27" i="60"/>
  <c r="K27" i="60"/>
  <c r="J27" i="60"/>
  <c r="I27" i="60"/>
  <c r="H27" i="60"/>
  <c r="G27" i="60"/>
  <c r="AB26" i="60"/>
  <c r="R26" i="60"/>
  <c r="Q26" i="60"/>
  <c r="P26" i="60"/>
  <c r="O26" i="60"/>
  <c r="N26" i="60"/>
  <c r="M26" i="60"/>
  <c r="AE25" i="60"/>
  <c r="AB25" i="60"/>
  <c r="AA25" i="60"/>
  <c r="R25" i="60"/>
  <c r="Q25" i="60"/>
  <c r="P25" i="60"/>
  <c r="O25" i="60"/>
  <c r="N25" i="60"/>
  <c r="M25" i="60"/>
  <c r="AC20" i="60"/>
  <c r="R20" i="60"/>
  <c r="Q20" i="60"/>
  <c r="P20" i="60"/>
  <c r="O20" i="60"/>
  <c r="N20" i="60"/>
  <c r="M20" i="60"/>
  <c r="AE19" i="60"/>
  <c r="R19" i="60"/>
  <c r="Q19" i="60"/>
  <c r="P19" i="60"/>
  <c r="O19" i="60"/>
  <c r="N19" i="60"/>
  <c r="M19" i="60"/>
  <c r="R17" i="60"/>
  <c r="Q17" i="60"/>
  <c r="P17" i="60"/>
  <c r="O17" i="60"/>
  <c r="N17" i="60"/>
  <c r="M17" i="60"/>
  <c r="R16" i="60"/>
  <c r="Q16" i="60"/>
  <c r="P16" i="60"/>
  <c r="O16" i="60"/>
  <c r="N16" i="60"/>
  <c r="M16" i="60"/>
  <c r="R14" i="60"/>
  <c r="Q14" i="60"/>
  <c r="P14" i="60"/>
  <c r="O14" i="60"/>
  <c r="N14" i="60"/>
  <c r="M14" i="60"/>
  <c r="R13" i="60"/>
  <c r="Q13" i="60"/>
  <c r="P13" i="60"/>
  <c r="O13" i="60"/>
  <c r="N13" i="60"/>
  <c r="M13" i="60"/>
  <c r="F9" i="60"/>
  <c r="F33" i="60" s="1"/>
  <c r="S20" i="59"/>
  <c r="S19" i="59"/>
  <c r="S17" i="59"/>
  <c r="S16" i="59"/>
  <c r="S14" i="59"/>
  <c r="S13" i="59"/>
  <c r="Y53" i="59"/>
  <c r="X53" i="59"/>
  <c r="W53" i="59"/>
  <c r="V53" i="59"/>
  <c r="U53" i="59"/>
  <c r="Y50" i="59"/>
  <c r="X50" i="59"/>
  <c r="W50" i="59"/>
  <c r="V50" i="59"/>
  <c r="U50" i="59"/>
  <c r="Y49" i="59"/>
  <c r="X49" i="59"/>
  <c r="W49" i="59"/>
  <c r="V49" i="59"/>
  <c r="U49" i="59"/>
  <c r="Y47" i="59"/>
  <c r="X47" i="59"/>
  <c r="W47" i="59"/>
  <c r="V47" i="59"/>
  <c r="U47" i="59"/>
  <c r="Y46" i="59"/>
  <c r="X46" i="59"/>
  <c r="W46" i="59"/>
  <c r="V46" i="59"/>
  <c r="U46" i="59"/>
  <c r="Y44" i="59"/>
  <c r="X44" i="59"/>
  <c r="W44" i="59"/>
  <c r="V44" i="59"/>
  <c r="U44" i="59"/>
  <c r="Y43" i="59"/>
  <c r="X43" i="59"/>
  <c r="W43" i="59"/>
  <c r="V43" i="59"/>
  <c r="U43" i="59"/>
  <c r="Y41" i="59"/>
  <c r="X41" i="59"/>
  <c r="W41" i="59"/>
  <c r="V41" i="59"/>
  <c r="U41" i="59"/>
  <c r="Y40" i="59"/>
  <c r="X40" i="59"/>
  <c r="W40" i="59"/>
  <c r="V40" i="59"/>
  <c r="U40" i="59"/>
  <c r="Y38" i="59"/>
  <c r="X38" i="59"/>
  <c r="W38" i="59"/>
  <c r="V38" i="59"/>
  <c r="U38" i="59"/>
  <c r="Y37" i="59"/>
  <c r="X37" i="59"/>
  <c r="W37" i="59"/>
  <c r="V37" i="59"/>
  <c r="U37" i="59"/>
  <c r="Y26" i="59"/>
  <c r="X26" i="59"/>
  <c r="W26" i="59"/>
  <c r="V26" i="59"/>
  <c r="U26" i="59"/>
  <c r="T26" i="59"/>
  <c r="S26" i="59"/>
  <c r="Y25" i="59"/>
  <c r="X25" i="59"/>
  <c r="W25" i="59"/>
  <c r="V25" i="59"/>
  <c r="U25" i="59"/>
  <c r="T25" i="59"/>
  <c r="S25" i="59"/>
  <c r="Y23" i="59"/>
  <c r="X23" i="59"/>
  <c r="W23" i="59"/>
  <c r="V23" i="59"/>
  <c r="U23" i="59"/>
  <c r="T23" i="59"/>
  <c r="Y22" i="59"/>
  <c r="X22" i="59"/>
  <c r="W22" i="59"/>
  <c r="V22" i="59"/>
  <c r="U22" i="59"/>
  <c r="T22" i="59"/>
  <c r="Y20" i="59"/>
  <c r="X20" i="59"/>
  <c r="W20" i="59"/>
  <c r="V20" i="59"/>
  <c r="U20" i="59"/>
  <c r="T20" i="59"/>
  <c r="Y19" i="59"/>
  <c r="X19" i="59"/>
  <c r="W19" i="59"/>
  <c r="V19" i="59"/>
  <c r="U19" i="59"/>
  <c r="T19" i="59"/>
  <c r="Y17" i="59"/>
  <c r="X17" i="59"/>
  <c r="W17" i="59"/>
  <c r="V17" i="59"/>
  <c r="U17" i="59"/>
  <c r="T17" i="59"/>
  <c r="Y16" i="59"/>
  <c r="X16" i="59"/>
  <c r="W16" i="59"/>
  <c r="V16" i="59"/>
  <c r="U16" i="59"/>
  <c r="T16" i="59"/>
  <c r="Y14" i="59"/>
  <c r="X14" i="59"/>
  <c r="W14" i="59"/>
  <c r="V14" i="59"/>
  <c r="U14" i="59"/>
  <c r="T14" i="59"/>
  <c r="Y13" i="59"/>
  <c r="X13" i="59"/>
  <c r="W13" i="59"/>
  <c r="V13" i="59"/>
  <c r="U13" i="59"/>
  <c r="T13" i="59"/>
  <c r="AB38" i="62" l="1"/>
  <c r="S51" i="62"/>
  <c r="AB52" i="62"/>
  <c r="AA52" i="62"/>
  <c r="AD52" i="62"/>
  <c r="AD49" i="62"/>
  <c r="AC49" i="62"/>
  <c r="AB49" i="62"/>
  <c r="AA49" i="62"/>
  <c r="AE49" i="62"/>
  <c r="R51" i="62"/>
  <c r="Q51" i="62"/>
  <c r="P51" i="62"/>
  <c r="M51" i="62"/>
  <c r="O51" i="62"/>
  <c r="N51" i="62"/>
  <c r="AD27" i="62"/>
  <c r="AC27" i="62"/>
  <c r="AB27" i="62"/>
  <c r="AA27" i="62"/>
  <c r="Z27" i="62"/>
  <c r="AE27" i="62"/>
  <c r="W52" i="62"/>
  <c r="AC52" i="62" s="1"/>
  <c r="AD40" i="62"/>
  <c r="AC37" i="62"/>
  <c r="AB37" i="62"/>
  <c r="AA37" i="62"/>
  <c r="T51" i="62"/>
  <c r="AE37" i="62"/>
  <c r="AD37" i="62"/>
  <c r="AD38" i="62"/>
  <c r="Y52" i="62"/>
  <c r="AE52" i="62" s="1"/>
  <c r="AA38" i="62"/>
  <c r="S30" i="61"/>
  <c r="P52" i="61"/>
  <c r="Q52" i="61"/>
  <c r="O52" i="61"/>
  <c r="N52" i="61"/>
  <c r="R52" i="61"/>
  <c r="M52" i="61"/>
  <c r="AE40" i="61"/>
  <c r="AD40" i="61"/>
  <c r="AC40" i="61"/>
  <c r="AB40" i="61"/>
  <c r="AA40" i="61"/>
  <c r="AE50" i="61"/>
  <c r="AD50" i="61"/>
  <c r="AC50" i="61"/>
  <c r="AB50" i="61"/>
  <c r="AA50" i="61"/>
  <c r="AE49" i="61"/>
  <c r="AD49" i="61"/>
  <c r="AC49" i="61"/>
  <c r="AB49" i="61"/>
  <c r="AA49" i="61"/>
  <c r="AE37" i="61"/>
  <c r="AD37" i="61"/>
  <c r="T51" i="61"/>
  <c r="AC37" i="61"/>
  <c r="AB37" i="61"/>
  <c r="AA37" i="61"/>
  <c r="AE47" i="61"/>
  <c r="AD47" i="61"/>
  <c r="AC47" i="61"/>
  <c r="AB47" i="61"/>
  <c r="AA47" i="61"/>
  <c r="AE28" i="61"/>
  <c r="AD28" i="61"/>
  <c r="AC28" i="61"/>
  <c r="AB28" i="61"/>
  <c r="AA28" i="61"/>
  <c r="Z28" i="61"/>
  <c r="AE46" i="61"/>
  <c r="AD46" i="61"/>
  <c r="AC46" i="61"/>
  <c r="AB46" i="61"/>
  <c r="AA46" i="61"/>
  <c r="AE27" i="61"/>
  <c r="AD27" i="61"/>
  <c r="AC27" i="61"/>
  <c r="AB27" i="61"/>
  <c r="AA27" i="61"/>
  <c r="Z27" i="61"/>
  <c r="AE41" i="61"/>
  <c r="AD41" i="61"/>
  <c r="AC41" i="61"/>
  <c r="AB41" i="61"/>
  <c r="AA41" i="61"/>
  <c r="AE44" i="61"/>
  <c r="AD44" i="61"/>
  <c r="AC44" i="61"/>
  <c r="AB44" i="61"/>
  <c r="AA44" i="61"/>
  <c r="M51" i="61"/>
  <c r="O51" i="61"/>
  <c r="R51" i="61"/>
  <c r="Q51" i="61"/>
  <c r="N51" i="61"/>
  <c r="P51" i="61"/>
  <c r="AE38" i="61"/>
  <c r="AD38" i="61"/>
  <c r="AC38" i="61"/>
  <c r="AB38" i="61"/>
  <c r="AA38" i="61"/>
  <c r="T52" i="61"/>
  <c r="AE43" i="61"/>
  <c r="AD43" i="61"/>
  <c r="AC43" i="61"/>
  <c r="AB43" i="61"/>
  <c r="AA43" i="61"/>
  <c r="P38" i="60"/>
  <c r="M38" i="60"/>
  <c r="P37" i="60"/>
  <c r="AA13" i="60"/>
  <c r="V28" i="60"/>
  <c r="Y27" i="60"/>
  <c r="M37" i="60"/>
  <c r="H52" i="60"/>
  <c r="K51" i="60"/>
  <c r="V27" i="60"/>
  <c r="Y28" i="60"/>
  <c r="L52" i="60"/>
  <c r="W27" i="60"/>
  <c r="X27" i="60"/>
  <c r="U28" i="60"/>
  <c r="AE26" i="60"/>
  <c r="J52" i="60"/>
  <c r="Y52" i="60"/>
  <c r="V51" i="60"/>
  <c r="X52" i="60"/>
  <c r="T27" i="60"/>
  <c r="AB20" i="60"/>
  <c r="I52" i="60"/>
  <c r="K52" i="60"/>
  <c r="U27" i="60"/>
  <c r="X28" i="60"/>
  <c r="AC16" i="60"/>
  <c r="U51" i="60"/>
  <c r="H51" i="60"/>
  <c r="W51" i="60"/>
  <c r="X51" i="60"/>
  <c r="AE14" i="60"/>
  <c r="J51" i="60"/>
  <c r="Y51" i="60"/>
  <c r="T28" i="60"/>
  <c r="Z17" i="60"/>
  <c r="L51" i="60"/>
  <c r="G52" i="60"/>
  <c r="V52" i="60"/>
  <c r="AA17" i="60"/>
  <c r="M40" i="60"/>
  <c r="P41" i="60"/>
  <c r="O40" i="60"/>
  <c r="O41" i="60"/>
  <c r="AD16" i="60"/>
  <c r="P40" i="60"/>
  <c r="M44" i="60"/>
  <c r="M50" i="60"/>
  <c r="O44" i="60"/>
  <c r="O50" i="60"/>
  <c r="AB13" i="60"/>
  <c r="AB14" i="60"/>
  <c r="AE20" i="60"/>
  <c r="AD25" i="60"/>
  <c r="O38" i="60"/>
  <c r="M43" i="60"/>
  <c r="P44" i="60"/>
  <c r="M49" i="60"/>
  <c r="P50" i="60"/>
  <c r="AD13" i="60"/>
  <c r="O43" i="60"/>
  <c r="O49" i="60"/>
  <c r="AE13" i="60"/>
  <c r="O37" i="60"/>
  <c r="M41" i="60"/>
  <c r="P43" i="60"/>
  <c r="P49" i="60"/>
  <c r="AD43" i="60"/>
  <c r="AC43" i="60"/>
  <c r="AB43" i="60"/>
  <c r="AA43" i="60"/>
  <c r="AE43" i="60"/>
  <c r="AD49" i="60"/>
  <c r="AC49" i="60"/>
  <c r="AB49" i="60"/>
  <c r="AA49" i="60"/>
  <c r="AE49" i="60"/>
  <c r="AD37" i="60"/>
  <c r="AB37" i="60"/>
  <c r="AA37" i="60"/>
  <c r="AE37" i="60"/>
  <c r="AD40" i="60"/>
  <c r="AC40" i="60"/>
  <c r="AB40" i="60"/>
  <c r="AA40" i="60"/>
  <c r="AE40" i="60"/>
  <c r="AD41" i="60"/>
  <c r="AC41" i="60"/>
  <c r="AB41" i="60"/>
  <c r="AA41" i="60"/>
  <c r="AE41" i="60"/>
  <c r="AD44" i="60"/>
  <c r="AC44" i="60"/>
  <c r="AB44" i="60"/>
  <c r="AA44" i="60"/>
  <c r="AE44" i="60"/>
  <c r="AD50" i="60"/>
  <c r="AC50" i="60"/>
  <c r="AB50" i="60"/>
  <c r="AA50" i="60"/>
  <c r="AE50" i="60"/>
  <c r="AC13" i="60"/>
  <c r="Z14" i="60"/>
  <c r="AE16" i="60"/>
  <c r="AB17" i="60"/>
  <c r="AD20" i="60"/>
  <c r="AC25" i="60"/>
  <c r="Z26" i="60"/>
  <c r="N37" i="60"/>
  <c r="N38" i="60"/>
  <c r="W52" i="60"/>
  <c r="N40" i="60"/>
  <c r="N41" i="60"/>
  <c r="N43" i="60"/>
  <c r="N44" i="60"/>
  <c r="N49" i="60"/>
  <c r="N50" i="60"/>
  <c r="W28" i="60"/>
  <c r="AA14" i="60"/>
  <c r="AC17" i="60"/>
  <c r="Z19" i="60"/>
  <c r="AA26" i="60"/>
  <c r="G51" i="60"/>
  <c r="AC14" i="60"/>
  <c r="Z16" i="60"/>
  <c r="AE17" i="60"/>
  <c r="AB19" i="60"/>
  <c r="AC26" i="60"/>
  <c r="Q37" i="60"/>
  <c r="Q38" i="60"/>
  <c r="Q40" i="60"/>
  <c r="Q41" i="60"/>
  <c r="Q43" i="60"/>
  <c r="Q44" i="60"/>
  <c r="Q49" i="60"/>
  <c r="Q50" i="60"/>
  <c r="AA19" i="60"/>
  <c r="AD14" i="60"/>
  <c r="AA16" i="60"/>
  <c r="AC19" i="60"/>
  <c r="Z20" i="60"/>
  <c r="AD26" i="60"/>
  <c r="R37" i="60"/>
  <c r="R38" i="60"/>
  <c r="R40" i="60"/>
  <c r="R41" i="60"/>
  <c r="R43" i="60"/>
  <c r="R44" i="60"/>
  <c r="R49" i="60"/>
  <c r="R50" i="60"/>
  <c r="Z13" i="60"/>
  <c r="AB16" i="60"/>
  <c r="AD19" i="60"/>
  <c r="AA20" i="60"/>
  <c r="Z25" i="60"/>
  <c r="AD17" i="60"/>
  <c r="U52" i="60"/>
  <c r="AK52" i="59"/>
  <c r="AJ52" i="59"/>
  <c r="AI52" i="59"/>
  <c r="AH52" i="59"/>
  <c r="AG52" i="59"/>
  <c r="AK51" i="59"/>
  <c r="AJ51" i="59"/>
  <c r="AI51" i="59"/>
  <c r="AH51" i="59"/>
  <c r="AG51" i="59"/>
  <c r="L50" i="59"/>
  <c r="K50" i="59"/>
  <c r="J50" i="59"/>
  <c r="I50" i="59"/>
  <c r="H50" i="59"/>
  <c r="G50" i="59"/>
  <c r="F50" i="59"/>
  <c r="T50" i="59" s="1"/>
  <c r="L49" i="59"/>
  <c r="K49" i="59"/>
  <c r="J49" i="59"/>
  <c r="I49" i="59"/>
  <c r="H49" i="59"/>
  <c r="G49" i="59"/>
  <c r="F49" i="59"/>
  <c r="T49" i="59" s="1"/>
  <c r="L47" i="59"/>
  <c r="K47" i="59"/>
  <c r="J47" i="59"/>
  <c r="I47" i="59"/>
  <c r="H47" i="59"/>
  <c r="G47" i="59"/>
  <c r="L46" i="59"/>
  <c r="K46" i="59"/>
  <c r="J46" i="59"/>
  <c r="I46" i="59"/>
  <c r="H46" i="59"/>
  <c r="G46" i="59"/>
  <c r="L44" i="59"/>
  <c r="K44" i="59"/>
  <c r="J44" i="59"/>
  <c r="I44" i="59"/>
  <c r="H44" i="59"/>
  <c r="G44" i="59"/>
  <c r="F44" i="59"/>
  <c r="T44" i="59" s="1"/>
  <c r="L43" i="59"/>
  <c r="K43" i="59"/>
  <c r="J43" i="59"/>
  <c r="I43" i="59"/>
  <c r="H43" i="59"/>
  <c r="G43" i="59"/>
  <c r="F43" i="59"/>
  <c r="T43" i="59" s="1"/>
  <c r="L41" i="59"/>
  <c r="K41" i="59"/>
  <c r="J41" i="59"/>
  <c r="I41" i="59"/>
  <c r="H41" i="59"/>
  <c r="G41" i="59"/>
  <c r="F41" i="59"/>
  <c r="T41" i="59" s="1"/>
  <c r="L40" i="59"/>
  <c r="K40" i="59"/>
  <c r="J40" i="59"/>
  <c r="I40" i="59"/>
  <c r="H40" i="59"/>
  <c r="G40" i="59"/>
  <c r="F40" i="59"/>
  <c r="T40" i="59" s="1"/>
  <c r="L38" i="59"/>
  <c r="K38" i="59"/>
  <c r="J38" i="59"/>
  <c r="I38" i="59"/>
  <c r="H38" i="59"/>
  <c r="G38" i="59"/>
  <c r="F38" i="59"/>
  <c r="T38" i="59" s="1"/>
  <c r="L37" i="59"/>
  <c r="K37" i="59"/>
  <c r="J37" i="59"/>
  <c r="I37" i="59"/>
  <c r="H37" i="59"/>
  <c r="G37" i="59"/>
  <c r="F37" i="59"/>
  <c r="T37" i="59" s="1"/>
  <c r="S33" i="59"/>
  <c r="AK28" i="59"/>
  <c r="AJ28" i="59"/>
  <c r="AI28" i="59"/>
  <c r="AH28" i="59"/>
  <c r="AG28" i="59"/>
  <c r="AF28" i="59"/>
  <c r="L28" i="59"/>
  <c r="K28" i="59"/>
  <c r="J28" i="59"/>
  <c r="I28" i="59"/>
  <c r="H28" i="59"/>
  <c r="G28" i="59"/>
  <c r="AK27" i="59"/>
  <c r="AJ27" i="59"/>
  <c r="AI27" i="59"/>
  <c r="AH27" i="59"/>
  <c r="AG27" i="59"/>
  <c r="AF27" i="59"/>
  <c r="L27" i="59"/>
  <c r="K27" i="59"/>
  <c r="J27" i="59"/>
  <c r="I27" i="59"/>
  <c r="H27" i="59"/>
  <c r="G27" i="59"/>
  <c r="R26" i="59"/>
  <c r="Q26" i="59"/>
  <c r="P26" i="59"/>
  <c r="O26" i="59"/>
  <c r="N26" i="59"/>
  <c r="M26" i="59"/>
  <c r="AD25" i="59"/>
  <c r="AC25" i="59"/>
  <c r="AB25" i="59"/>
  <c r="Z25" i="59"/>
  <c r="AA25" i="59"/>
  <c r="R25" i="59"/>
  <c r="Q25" i="59"/>
  <c r="P25" i="59"/>
  <c r="O25" i="59"/>
  <c r="N25" i="59"/>
  <c r="M25" i="59"/>
  <c r="R20" i="59"/>
  <c r="Q20" i="59"/>
  <c r="P20" i="59"/>
  <c r="O20" i="59"/>
  <c r="N20" i="59"/>
  <c r="M20" i="59"/>
  <c r="Z19" i="59"/>
  <c r="R19" i="59"/>
  <c r="Q19" i="59"/>
  <c r="P19" i="59"/>
  <c r="O19" i="59"/>
  <c r="N19" i="59"/>
  <c r="M19" i="59"/>
  <c r="AC17" i="59"/>
  <c r="R17" i="59"/>
  <c r="Q17" i="59"/>
  <c r="P17" i="59"/>
  <c r="O17" i="59"/>
  <c r="N17" i="59"/>
  <c r="M17" i="59"/>
  <c r="R16" i="59"/>
  <c r="Q16" i="59"/>
  <c r="P16" i="59"/>
  <c r="O16" i="59"/>
  <c r="N16" i="59"/>
  <c r="M16" i="59"/>
  <c r="R14" i="59"/>
  <c r="Q14" i="59"/>
  <c r="P14" i="59"/>
  <c r="O14" i="59"/>
  <c r="N14" i="59"/>
  <c r="M14" i="59"/>
  <c r="AD13" i="59"/>
  <c r="R13" i="59"/>
  <c r="Q13" i="59"/>
  <c r="P13" i="59"/>
  <c r="O13" i="59"/>
  <c r="N13" i="59"/>
  <c r="M13" i="59"/>
  <c r="F9" i="59"/>
  <c r="F33" i="59" s="1"/>
  <c r="Y50" i="58"/>
  <c r="AE50" i="58" s="1"/>
  <c r="X50" i="58"/>
  <c r="W50" i="58"/>
  <c r="AC50" i="58" s="1"/>
  <c r="V50" i="58"/>
  <c r="U50" i="58"/>
  <c r="Y49" i="58"/>
  <c r="X49" i="58"/>
  <c r="W49" i="58"/>
  <c r="AC49" i="58" s="1"/>
  <c r="V49" i="58"/>
  <c r="AB49" i="58" s="1"/>
  <c r="U49" i="58"/>
  <c r="Y47" i="58"/>
  <c r="X47" i="58"/>
  <c r="W47" i="58"/>
  <c r="V47" i="58"/>
  <c r="U47" i="58"/>
  <c r="Y46" i="58"/>
  <c r="X46" i="58"/>
  <c r="W46" i="58"/>
  <c r="V46" i="58"/>
  <c r="U46" i="58"/>
  <c r="Y44" i="58"/>
  <c r="X44" i="58"/>
  <c r="W44" i="58"/>
  <c r="V44" i="58"/>
  <c r="U44" i="58"/>
  <c r="AA44" i="58" s="1"/>
  <c r="Y43" i="58"/>
  <c r="X43" i="58"/>
  <c r="AD43" i="58" s="1"/>
  <c r="W43" i="58"/>
  <c r="V43" i="58"/>
  <c r="U43" i="58"/>
  <c r="Y41" i="58"/>
  <c r="X41" i="58"/>
  <c r="W41" i="58"/>
  <c r="AC41" i="58" s="1"/>
  <c r="V41" i="58"/>
  <c r="U41" i="58"/>
  <c r="AA41" i="58" s="1"/>
  <c r="Y40" i="58"/>
  <c r="X40" i="58"/>
  <c r="W40" i="58"/>
  <c r="V40" i="58"/>
  <c r="U40" i="58"/>
  <c r="AA40" i="58" s="1"/>
  <c r="Y38" i="58"/>
  <c r="X38" i="58"/>
  <c r="W38" i="58"/>
  <c r="AC38" i="58" s="1"/>
  <c r="V38" i="58"/>
  <c r="U38" i="58"/>
  <c r="Y37" i="58"/>
  <c r="X37" i="58"/>
  <c r="W37" i="58"/>
  <c r="V37" i="58"/>
  <c r="AB37" i="58" s="1"/>
  <c r="U37" i="58"/>
  <c r="AD50" i="58"/>
  <c r="AA50" i="58"/>
  <c r="AE49" i="58"/>
  <c r="AA49" i="58"/>
  <c r="AE44" i="58"/>
  <c r="AD44" i="58"/>
  <c r="AB44" i="58"/>
  <c r="AE43" i="58"/>
  <c r="AB43" i="58"/>
  <c r="AB41" i="58"/>
  <c r="AC40" i="58"/>
  <c r="AE38" i="58"/>
  <c r="AD38" i="58"/>
  <c r="AE37" i="58"/>
  <c r="AA37" i="58"/>
  <c r="AA43" i="58"/>
  <c r="R51" i="58"/>
  <c r="AA27" i="58"/>
  <c r="R27" i="58"/>
  <c r="AB50" i="58"/>
  <c r="AD49" i="58"/>
  <c r="AC44" i="58"/>
  <c r="AC43" i="58"/>
  <c r="AE41" i="58"/>
  <c r="AD41" i="58"/>
  <c r="AE40" i="58"/>
  <c r="AD40" i="58"/>
  <c r="AB40" i="58"/>
  <c r="AB38" i="58"/>
  <c r="AA38" i="58"/>
  <c r="AD37" i="58"/>
  <c r="AC37" i="58"/>
  <c r="AG51" i="58"/>
  <c r="T50" i="58"/>
  <c r="T49" i="58"/>
  <c r="T47" i="58"/>
  <c r="AA47" i="58" s="1"/>
  <c r="T44" i="58"/>
  <c r="T43" i="58"/>
  <c r="T41" i="58"/>
  <c r="T40" i="58"/>
  <c r="T38" i="58"/>
  <c r="T37" i="58"/>
  <c r="AG52" i="58"/>
  <c r="AE26" i="58"/>
  <c r="AD26" i="58"/>
  <c r="AC26" i="58"/>
  <c r="AB26" i="58"/>
  <c r="AA26" i="58"/>
  <c r="Z26" i="58"/>
  <c r="AE25" i="58"/>
  <c r="AD25" i="58"/>
  <c r="AC25" i="58"/>
  <c r="AB25" i="58"/>
  <c r="AA25" i="58"/>
  <c r="Z25" i="58"/>
  <c r="AC23" i="58"/>
  <c r="AA23" i="58"/>
  <c r="AD22" i="58"/>
  <c r="AC22" i="58"/>
  <c r="AB22" i="58"/>
  <c r="AE20" i="58"/>
  <c r="AD20" i="58"/>
  <c r="AC20" i="58"/>
  <c r="AB20" i="58"/>
  <c r="AA20" i="58"/>
  <c r="Z20" i="58"/>
  <c r="AE19" i="58"/>
  <c r="AD19" i="58"/>
  <c r="AC19" i="58"/>
  <c r="AB19" i="58"/>
  <c r="AA19" i="58"/>
  <c r="Z19" i="58"/>
  <c r="AE17" i="58"/>
  <c r="AD17" i="58"/>
  <c r="AC17" i="58"/>
  <c r="AB17" i="58"/>
  <c r="AA17" i="58"/>
  <c r="Z17" i="58"/>
  <c r="AE16" i="58"/>
  <c r="AD16" i="58"/>
  <c r="AC16" i="58"/>
  <c r="AB16" i="58"/>
  <c r="AA16" i="58"/>
  <c r="Z16" i="58"/>
  <c r="AE14" i="58"/>
  <c r="AD14" i="58"/>
  <c r="AC14" i="58"/>
  <c r="AB14" i="58"/>
  <c r="AA14" i="58"/>
  <c r="Z14" i="58"/>
  <c r="AE13" i="58"/>
  <c r="AD13" i="58"/>
  <c r="AC13" i="58"/>
  <c r="AB13" i="58"/>
  <c r="AA13" i="58"/>
  <c r="Z13" i="58"/>
  <c r="R50" i="58"/>
  <c r="Q50" i="58"/>
  <c r="P50" i="58"/>
  <c r="O50" i="58"/>
  <c r="N50" i="58"/>
  <c r="M50" i="58"/>
  <c r="R49" i="58"/>
  <c r="Q49" i="58"/>
  <c r="P49" i="58"/>
  <c r="O49" i="58"/>
  <c r="N49" i="58"/>
  <c r="M49" i="58"/>
  <c r="Q47" i="58"/>
  <c r="O47" i="58"/>
  <c r="M46" i="58"/>
  <c r="R44" i="58"/>
  <c r="Q44" i="58"/>
  <c r="P44" i="58"/>
  <c r="O44" i="58"/>
  <c r="N44" i="58"/>
  <c r="M44" i="58"/>
  <c r="R43" i="58"/>
  <c r="Q43" i="58"/>
  <c r="P43" i="58"/>
  <c r="O43" i="58"/>
  <c r="N43" i="58"/>
  <c r="M43" i="58"/>
  <c r="R41" i="58"/>
  <c r="Q41" i="58"/>
  <c r="P41" i="58"/>
  <c r="O41" i="58"/>
  <c r="N41" i="58"/>
  <c r="M41" i="58"/>
  <c r="R40" i="58"/>
  <c r="Q40" i="58"/>
  <c r="P40" i="58"/>
  <c r="O40" i="58"/>
  <c r="N40" i="58"/>
  <c r="M40" i="58"/>
  <c r="R38" i="58"/>
  <c r="Q38" i="58"/>
  <c r="P38" i="58"/>
  <c r="O38" i="58"/>
  <c r="N38" i="58"/>
  <c r="M38" i="58"/>
  <c r="R37" i="58"/>
  <c r="Q37" i="58"/>
  <c r="P37" i="58"/>
  <c r="O37" i="58"/>
  <c r="N37" i="58"/>
  <c r="M37" i="58"/>
  <c r="R26" i="58"/>
  <c r="Q26" i="58"/>
  <c r="P26" i="58"/>
  <c r="O26" i="58"/>
  <c r="N26" i="58"/>
  <c r="M26" i="58"/>
  <c r="R25" i="58"/>
  <c r="Q25" i="58"/>
  <c r="P25" i="58"/>
  <c r="O25" i="58"/>
  <c r="N25" i="58"/>
  <c r="M25" i="58"/>
  <c r="R23" i="58"/>
  <c r="Q23" i="58"/>
  <c r="P23" i="58"/>
  <c r="O23" i="58"/>
  <c r="N23" i="58"/>
  <c r="M23" i="58"/>
  <c r="R22" i="58"/>
  <c r="Q22" i="58"/>
  <c r="P22" i="58"/>
  <c r="O22" i="58"/>
  <c r="N22" i="58"/>
  <c r="M22" i="58"/>
  <c r="R20" i="58"/>
  <c r="Q20" i="58"/>
  <c r="P20" i="58"/>
  <c r="O20" i="58"/>
  <c r="N20" i="58"/>
  <c r="M20" i="58"/>
  <c r="R19" i="58"/>
  <c r="Q19" i="58"/>
  <c r="P19" i="58"/>
  <c r="O19" i="58"/>
  <c r="N19" i="58"/>
  <c r="M19" i="58"/>
  <c r="R17" i="58"/>
  <c r="Q17" i="58"/>
  <c r="P17" i="58"/>
  <c r="O17" i="58"/>
  <c r="N17" i="58"/>
  <c r="M17" i="58"/>
  <c r="R16" i="58"/>
  <c r="Q16" i="58"/>
  <c r="P16" i="58"/>
  <c r="O16" i="58"/>
  <c r="N16" i="58"/>
  <c r="M16" i="58"/>
  <c r="R14" i="58"/>
  <c r="Q14" i="58"/>
  <c r="P14" i="58"/>
  <c r="O14" i="58"/>
  <c r="N14" i="58"/>
  <c r="M14" i="58"/>
  <c r="R13" i="58"/>
  <c r="Q13" i="58"/>
  <c r="P13" i="58"/>
  <c r="O13" i="58"/>
  <c r="N13" i="58"/>
  <c r="F51" i="58"/>
  <c r="Q51" i="58" s="1"/>
  <c r="L50" i="58"/>
  <c r="K50" i="58"/>
  <c r="J50" i="58"/>
  <c r="I50" i="58"/>
  <c r="H50" i="58"/>
  <c r="G50" i="58"/>
  <c r="F50" i="58"/>
  <c r="L49" i="58"/>
  <c r="K49" i="58"/>
  <c r="J49" i="58"/>
  <c r="I49" i="58"/>
  <c r="H49" i="58"/>
  <c r="G49" i="58"/>
  <c r="F49" i="58"/>
  <c r="L47" i="58"/>
  <c r="K47" i="58"/>
  <c r="J47" i="58"/>
  <c r="I47" i="58"/>
  <c r="H47" i="58"/>
  <c r="G47" i="58"/>
  <c r="F47" i="58"/>
  <c r="N47" i="58" s="1"/>
  <c r="L46" i="58"/>
  <c r="K46" i="58"/>
  <c r="J46" i="58"/>
  <c r="I46" i="58"/>
  <c r="H46" i="58"/>
  <c r="G46" i="58"/>
  <c r="F46" i="58"/>
  <c r="R46" i="58" s="1"/>
  <c r="L44" i="58"/>
  <c r="K44" i="58"/>
  <c r="J44" i="58"/>
  <c r="I44" i="58"/>
  <c r="H44" i="58"/>
  <c r="G44" i="58"/>
  <c r="F44" i="58"/>
  <c r="L43" i="58"/>
  <c r="K43" i="58"/>
  <c r="J43" i="58"/>
  <c r="I43" i="58"/>
  <c r="H43" i="58"/>
  <c r="G43" i="58"/>
  <c r="F43" i="58"/>
  <c r="L41" i="58"/>
  <c r="K41" i="58"/>
  <c r="J41" i="58"/>
  <c r="I41" i="58"/>
  <c r="H41" i="58"/>
  <c r="G41" i="58"/>
  <c r="F41" i="58"/>
  <c r="L40" i="58"/>
  <c r="K40" i="58"/>
  <c r="J40" i="58"/>
  <c r="I40" i="58"/>
  <c r="H40" i="58"/>
  <c r="G40" i="58"/>
  <c r="F40" i="58"/>
  <c r="L38" i="58"/>
  <c r="K38" i="58"/>
  <c r="J38" i="58"/>
  <c r="I38" i="58"/>
  <c r="H38" i="58"/>
  <c r="G38" i="58"/>
  <c r="F38" i="58"/>
  <c r="L37" i="58"/>
  <c r="K37" i="58"/>
  <c r="J37" i="58"/>
  <c r="I37" i="58"/>
  <c r="H37" i="58"/>
  <c r="G37" i="58"/>
  <c r="G51" i="58" s="1"/>
  <c r="F37" i="58"/>
  <c r="AF27" i="58"/>
  <c r="AF28" i="58"/>
  <c r="S26" i="58"/>
  <c r="S25" i="58"/>
  <c r="S23" i="58"/>
  <c r="Z23" i="58" s="1"/>
  <c r="S22" i="58"/>
  <c r="AA22" i="58" s="1"/>
  <c r="S20" i="58"/>
  <c r="S19" i="58"/>
  <c r="S17" i="58"/>
  <c r="S16" i="58"/>
  <c r="S27" i="58" s="1"/>
  <c r="Z27" i="58" s="1"/>
  <c r="S14" i="58"/>
  <c r="S13" i="58"/>
  <c r="M13" i="58"/>
  <c r="F28" i="58"/>
  <c r="P28" i="58" s="1"/>
  <c r="F27" i="58"/>
  <c r="Q27" i="58" s="1"/>
  <c r="AK52" i="58"/>
  <c r="AJ52" i="58"/>
  <c r="AI52" i="58"/>
  <c r="AH52" i="58"/>
  <c r="AK51" i="58"/>
  <c r="AJ51" i="58"/>
  <c r="AI51" i="58"/>
  <c r="AH51" i="58"/>
  <c r="S33" i="58"/>
  <c r="AK28" i="58"/>
  <c r="AJ28" i="58"/>
  <c r="AI28" i="58"/>
  <c r="AH28" i="58"/>
  <c r="AG28" i="58"/>
  <c r="L28" i="58"/>
  <c r="K28" i="58"/>
  <c r="J28" i="58"/>
  <c r="I28" i="58"/>
  <c r="H28" i="58"/>
  <c r="G28" i="58"/>
  <c r="AK27" i="58"/>
  <c r="AJ27" i="58"/>
  <c r="AI27" i="58"/>
  <c r="AH27" i="58"/>
  <c r="AG27" i="58"/>
  <c r="L27" i="58"/>
  <c r="K27" i="58"/>
  <c r="J27" i="58"/>
  <c r="I27" i="58"/>
  <c r="H27" i="58"/>
  <c r="G27" i="58"/>
  <c r="Y26" i="58"/>
  <c r="X26" i="58"/>
  <c r="W26" i="58"/>
  <c r="V26" i="58"/>
  <c r="U26" i="58"/>
  <c r="T26" i="58"/>
  <c r="Y25" i="58"/>
  <c r="X25" i="58"/>
  <c r="W25" i="58"/>
  <c r="V25" i="58"/>
  <c r="U25" i="58"/>
  <c r="T25" i="58"/>
  <c r="Y23" i="58"/>
  <c r="X23" i="58"/>
  <c r="W23" i="58"/>
  <c r="V23" i="58"/>
  <c r="U23" i="58"/>
  <c r="T23" i="58"/>
  <c r="Y22" i="58"/>
  <c r="X22" i="58"/>
  <c r="W22" i="58"/>
  <c r="V22" i="58"/>
  <c r="U22" i="58"/>
  <c r="T22" i="58"/>
  <c r="Y20" i="58"/>
  <c r="X20" i="58"/>
  <c r="W20" i="58"/>
  <c r="V20" i="58"/>
  <c r="U20" i="58"/>
  <c r="T20" i="58"/>
  <c r="Y19" i="58"/>
  <c r="X19" i="58"/>
  <c r="W19" i="58"/>
  <c r="V19" i="58"/>
  <c r="U19" i="58"/>
  <c r="T19" i="58"/>
  <c r="Y17" i="58"/>
  <c r="X17" i="58"/>
  <c r="W17" i="58"/>
  <c r="V17" i="58"/>
  <c r="U17" i="58"/>
  <c r="T17" i="58"/>
  <c r="Y16" i="58"/>
  <c r="X16" i="58"/>
  <c r="W16" i="58"/>
  <c r="V16" i="58"/>
  <c r="U16" i="58"/>
  <c r="T16" i="58"/>
  <c r="Y14" i="58"/>
  <c r="X14" i="58"/>
  <c r="W14" i="58"/>
  <c r="V14" i="58"/>
  <c r="U14" i="58"/>
  <c r="T14" i="58"/>
  <c r="Y13" i="58"/>
  <c r="X13" i="58"/>
  <c r="W13" i="58"/>
  <c r="V13" i="58"/>
  <c r="U13" i="58"/>
  <c r="T13" i="58"/>
  <c r="F9" i="58"/>
  <c r="F33" i="58" s="1"/>
  <c r="AB51" i="62" l="1"/>
  <c r="AA51" i="62"/>
  <c r="AE51" i="62"/>
  <c r="AD51" i="62"/>
  <c r="AC51" i="62"/>
  <c r="AE51" i="61"/>
  <c r="AD51" i="61"/>
  <c r="AC51" i="61"/>
  <c r="AB51" i="61"/>
  <c r="AA51" i="61"/>
  <c r="AB52" i="61"/>
  <c r="AE52" i="61"/>
  <c r="AD52" i="61"/>
  <c r="AA52" i="61"/>
  <c r="AC52" i="61"/>
  <c r="AC37" i="60"/>
  <c r="AD38" i="60"/>
  <c r="AC38" i="60"/>
  <c r="AB38" i="60"/>
  <c r="AA38" i="60"/>
  <c r="AE38" i="60"/>
  <c r="M50" i="59"/>
  <c r="O44" i="59"/>
  <c r="R41" i="59"/>
  <c r="M41" i="59"/>
  <c r="AB41" i="59"/>
  <c r="M40" i="59"/>
  <c r="R40" i="59"/>
  <c r="AE16" i="59"/>
  <c r="J52" i="59"/>
  <c r="K52" i="59"/>
  <c r="AA13" i="59"/>
  <c r="L51" i="59"/>
  <c r="Y52" i="59"/>
  <c r="AD20" i="59"/>
  <c r="N40" i="59"/>
  <c r="X28" i="59"/>
  <c r="Y27" i="59"/>
  <c r="Y28" i="59"/>
  <c r="N43" i="59"/>
  <c r="T27" i="59"/>
  <c r="J51" i="59"/>
  <c r="H52" i="59"/>
  <c r="X52" i="59"/>
  <c r="AD50" i="59"/>
  <c r="V28" i="59"/>
  <c r="U27" i="59"/>
  <c r="AA26" i="59"/>
  <c r="K51" i="59"/>
  <c r="I52" i="59"/>
  <c r="N50" i="59"/>
  <c r="W51" i="59"/>
  <c r="X27" i="59"/>
  <c r="O37" i="59"/>
  <c r="X51" i="59"/>
  <c r="L52" i="59"/>
  <c r="N44" i="59"/>
  <c r="P44" i="59"/>
  <c r="AD40" i="59"/>
  <c r="AA14" i="59"/>
  <c r="AE19" i="59"/>
  <c r="G51" i="59"/>
  <c r="Y51" i="59"/>
  <c r="O38" i="59"/>
  <c r="T28" i="59"/>
  <c r="N38" i="59"/>
  <c r="P38" i="59"/>
  <c r="N41" i="59"/>
  <c r="AD41" i="59"/>
  <c r="N49" i="59"/>
  <c r="U28" i="59"/>
  <c r="AB17" i="59"/>
  <c r="W28" i="59"/>
  <c r="I51" i="59"/>
  <c r="W52" i="59"/>
  <c r="AD16" i="59"/>
  <c r="AD17" i="59"/>
  <c r="M38" i="59"/>
  <c r="R38" i="59"/>
  <c r="AE41" i="59"/>
  <c r="O43" i="59"/>
  <c r="M44" i="59"/>
  <c r="R44" i="59"/>
  <c r="M49" i="59"/>
  <c r="P37" i="59"/>
  <c r="P43" i="59"/>
  <c r="P50" i="59"/>
  <c r="AE43" i="59"/>
  <c r="AB50" i="59"/>
  <c r="AB13" i="59"/>
  <c r="R37" i="59"/>
  <c r="AE40" i="59"/>
  <c r="O41" i="59"/>
  <c r="M43" i="59"/>
  <c r="R43" i="59"/>
  <c r="P49" i="59"/>
  <c r="R49" i="59"/>
  <c r="AB49" i="59"/>
  <c r="AC13" i="59"/>
  <c r="AE25" i="59"/>
  <c r="P41" i="59"/>
  <c r="AD43" i="59"/>
  <c r="AE50" i="59"/>
  <c r="AE13" i="59"/>
  <c r="AB40" i="59"/>
  <c r="Z20" i="59"/>
  <c r="O40" i="59"/>
  <c r="O50" i="59"/>
  <c r="AE20" i="59"/>
  <c r="P40" i="59"/>
  <c r="O49" i="59"/>
  <c r="R50" i="59"/>
  <c r="V51" i="59"/>
  <c r="AB14" i="59"/>
  <c r="AA19" i="59"/>
  <c r="AB26" i="59"/>
  <c r="H51" i="59"/>
  <c r="AC14" i="59"/>
  <c r="Z16" i="59"/>
  <c r="AE17" i="59"/>
  <c r="AB19" i="59"/>
  <c r="AC26" i="59"/>
  <c r="Q37" i="59"/>
  <c r="Q38" i="59"/>
  <c r="Q40" i="59"/>
  <c r="Q41" i="59"/>
  <c r="Q43" i="59"/>
  <c r="Q44" i="59"/>
  <c r="Q49" i="59"/>
  <c r="Q50" i="59"/>
  <c r="AD14" i="59"/>
  <c r="Z13" i="59"/>
  <c r="AE14" i="59"/>
  <c r="AB16" i="59"/>
  <c r="AD19" i="59"/>
  <c r="AA20" i="59"/>
  <c r="AE26" i="59"/>
  <c r="AC40" i="59"/>
  <c r="AC41" i="59"/>
  <c r="AC43" i="59"/>
  <c r="AC44" i="59"/>
  <c r="AC50" i="59"/>
  <c r="AA16" i="59"/>
  <c r="AC19" i="59"/>
  <c r="AD26" i="59"/>
  <c r="AC16" i="59"/>
  <c r="Z17" i="59"/>
  <c r="AB20" i="59"/>
  <c r="V27" i="59"/>
  <c r="AA40" i="59"/>
  <c r="AA41" i="59"/>
  <c r="AA43" i="59"/>
  <c r="AA44" i="59"/>
  <c r="AA50" i="59"/>
  <c r="G52" i="59"/>
  <c r="AE38" i="59"/>
  <c r="AA17" i="59"/>
  <c r="AC20" i="59"/>
  <c r="W27" i="59"/>
  <c r="M37" i="59"/>
  <c r="Z14" i="59"/>
  <c r="Z26" i="59"/>
  <c r="N37" i="59"/>
  <c r="AD47" i="58"/>
  <c r="Q28" i="58"/>
  <c r="P47" i="58"/>
  <c r="AB23" i="58"/>
  <c r="R28" i="58"/>
  <c r="AE47" i="58"/>
  <c r="R47" i="58"/>
  <c r="AD23" i="58"/>
  <c r="AE23" i="58"/>
  <c r="M28" i="58"/>
  <c r="AB47" i="58"/>
  <c r="F52" i="58"/>
  <c r="N28" i="58"/>
  <c r="AC47" i="58"/>
  <c r="S28" i="58"/>
  <c r="M47" i="58"/>
  <c r="O28" i="58"/>
  <c r="AB27" i="58"/>
  <c r="N46" i="58"/>
  <c r="AE22" i="58"/>
  <c r="M27" i="58"/>
  <c r="AD27" i="58"/>
  <c r="M51" i="58"/>
  <c r="O46" i="58"/>
  <c r="N27" i="58"/>
  <c r="AE27" i="58"/>
  <c r="N51" i="58"/>
  <c r="P46" i="58"/>
  <c r="T46" i="58"/>
  <c r="AB46" i="58" s="1"/>
  <c r="O27" i="58"/>
  <c r="O51" i="58"/>
  <c r="Q46" i="58"/>
  <c r="Z22" i="58"/>
  <c r="P27" i="58"/>
  <c r="P51" i="58"/>
  <c r="AC27" i="58"/>
  <c r="T52" i="58"/>
  <c r="G52" i="58"/>
  <c r="W27" i="58"/>
  <c r="X27" i="58"/>
  <c r="Y51" i="58"/>
  <c r="Y27" i="58"/>
  <c r="H51" i="58"/>
  <c r="T28" i="58"/>
  <c r="V28" i="58"/>
  <c r="W28" i="58"/>
  <c r="L51" i="58"/>
  <c r="U27" i="58"/>
  <c r="X28" i="58"/>
  <c r="V27" i="58"/>
  <c r="Y28" i="58"/>
  <c r="U52" i="58"/>
  <c r="I51" i="58"/>
  <c r="I52" i="58"/>
  <c r="U28" i="58"/>
  <c r="J52" i="58"/>
  <c r="K52" i="58"/>
  <c r="T27" i="58"/>
  <c r="L52" i="58"/>
  <c r="H52" i="58"/>
  <c r="U51" i="58"/>
  <c r="K51" i="58"/>
  <c r="J51" i="58"/>
  <c r="AD37" i="59" l="1"/>
  <c r="AD38" i="59"/>
  <c r="AA49" i="59"/>
  <c r="AA38" i="59"/>
  <c r="AE37" i="59"/>
  <c r="AC38" i="59"/>
  <c r="AB37" i="59"/>
  <c r="AB43" i="59"/>
  <c r="AD44" i="59"/>
  <c r="AE44" i="59"/>
  <c r="AD49" i="59"/>
  <c r="AE49" i="59"/>
  <c r="AC49" i="59"/>
  <c r="AC37" i="59"/>
  <c r="AB44" i="59"/>
  <c r="V52" i="59"/>
  <c r="AB38" i="59"/>
  <c r="U51" i="59"/>
  <c r="AA37" i="59"/>
  <c r="U52" i="59"/>
  <c r="AD28" i="58"/>
  <c r="AC28" i="58"/>
  <c r="AB28" i="58"/>
  <c r="AA28" i="58"/>
  <c r="Z28" i="58"/>
  <c r="AE28" i="58"/>
  <c r="R52" i="58"/>
  <c r="Q52" i="58"/>
  <c r="P52" i="58"/>
  <c r="O52" i="58"/>
  <c r="N52" i="58"/>
  <c r="M52" i="58"/>
  <c r="T51" i="58"/>
  <c r="Q53" i="56" s="1"/>
  <c r="AA46" i="58"/>
  <c r="AC46" i="58"/>
  <c r="AD46" i="58"/>
  <c r="AE46" i="58"/>
  <c r="AA52" i="58"/>
  <c r="AE51" i="58"/>
  <c r="AA51" i="58"/>
  <c r="R53" i="56"/>
  <c r="Y52" i="58"/>
  <c r="V53" i="56" s="1"/>
  <c r="X52" i="58"/>
  <c r="V52" i="58"/>
  <c r="X51" i="58"/>
  <c r="V51" i="58"/>
  <c r="W52" i="58"/>
  <c r="W51" i="58"/>
  <c r="AF17" i="56"/>
  <c r="AF16" i="56"/>
  <c r="AF14" i="56"/>
  <c r="AF13" i="56"/>
  <c r="AE19" i="56"/>
  <c r="AD17" i="56"/>
  <c r="AD16" i="56"/>
  <c r="AD14" i="56"/>
  <c r="AD13" i="56"/>
  <c r="AB23" i="56"/>
  <c r="AB22" i="56"/>
  <c r="AB17" i="56"/>
  <c r="AB16" i="56"/>
  <c r="AC51" i="58" l="1"/>
  <c r="T53" i="56"/>
  <c r="AB52" i="58"/>
  <c r="AC52" i="58"/>
  <c r="S53" i="56"/>
  <c r="AB51" i="58"/>
  <c r="AD52" i="58"/>
  <c r="AD51" i="58"/>
  <c r="U53" i="56"/>
  <c r="AE52" i="58"/>
  <c r="V49" i="56"/>
  <c r="U49" i="56"/>
  <c r="U47" i="56"/>
  <c r="T47" i="56"/>
  <c r="S47" i="56"/>
  <c r="S46" i="56"/>
  <c r="R46" i="56"/>
  <c r="V43" i="56"/>
  <c r="U43" i="56"/>
  <c r="U37" i="56"/>
  <c r="Q26" i="56"/>
  <c r="Q25" i="56"/>
  <c r="Q20" i="56"/>
  <c r="Q19" i="56"/>
  <c r="Q17" i="56"/>
  <c r="Q16" i="56"/>
  <c r="Q14" i="56"/>
  <c r="Q13" i="56"/>
  <c r="AF52" i="56"/>
  <c r="AE52" i="56"/>
  <c r="AD52" i="56"/>
  <c r="AC52" i="56"/>
  <c r="AF51" i="56"/>
  <c r="AE51" i="56"/>
  <c r="AD51" i="56"/>
  <c r="AC51" i="56"/>
  <c r="K50" i="56"/>
  <c r="V50" i="56" s="1"/>
  <c r="J50" i="56"/>
  <c r="U50" i="56" s="1"/>
  <c r="I50" i="56"/>
  <c r="H50" i="56"/>
  <c r="S50" i="56" s="1"/>
  <c r="G50" i="56"/>
  <c r="R50" i="56" s="1"/>
  <c r="F50" i="56"/>
  <c r="Q50" i="56" s="1"/>
  <c r="K49" i="56"/>
  <c r="J49" i="56"/>
  <c r="I49" i="56"/>
  <c r="T49" i="56" s="1"/>
  <c r="H49" i="56"/>
  <c r="S49" i="56" s="1"/>
  <c r="G49" i="56"/>
  <c r="F49" i="56"/>
  <c r="N49" i="56" s="1"/>
  <c r="K47" i="56"/>
  <c r="V47" i="56" s="1"/>
  <c r="J47" i="56"/>
  <c r="I47" i="56"/>
  <c r="H47" i="56"/>
  <c r="G47" i="56"/>
  <c r="R47" i="56" s="1"/>
  <c r="K46" i="56"/>
  <c r="V46" i="56" s="1"/>
  <c r="J46" i="56"/>
  <c r="U46" i="56" s="1"/>
  <c r="I46" i="56"/>
  <c r="T46" i="56" s="1"/>
  <c r="H46" i="56"/>
  <c r="G46" i="56"/>
  <c r="K44" i="56"/>
  <c r="V44" i="56" s="1"/>
  <c r="J44" i="56"/>
  <c r="U44" i="56" s="1"/>
  <c r="I44" i="56"/>
  <c r="T44" i="56" s="1"/>
  <c r="H44" i="56"/>
  <c r="S44" i="56" s="1"/>
  <c r="G44" i="56"/>
  <c r="R44" i="56" s="1"/>
  <c r="F44" i="56"/>
  <c r="Q44" i="56" s="1"/>
  <c r="K43" i="56"/>
  <c r="J43" i="56"/>
  <c r="I43" i="56"/>
  <c r="T43" i="56" s="1"/>
  <c r="H43" i="56"/>
  <c r="S43" i="56" s="1"/>
  <c r="G43" i="56"/>
  <c r="R43" i="56" s="1"/>
  <c r="F43" i="56"/>
  <c r="Q43" i="56" s="1"/>
  <c r="K41" i="56"/>
  <c r="V41" i="56" s="1"/>
  <c r="J41" i="56"/>
  <c r="U41" i="56" s="1"/>
  <c r="I41" i="56"/>
  <c r="T41" i="56" s="1"/>
  <c r="H41" i="56"/>
  <c r="S41" i="56" s="1"/>
  <c r="G41" i="56"/>
  <c r="R41" i="56" s="1"/>
  <c r="F41" i="56"/>
  <c r="L41" i="56" s="1"/>
  <c r="K40" i="56"/>
  <c r="J40" i="56"/>
  <c r="O40" i="56" s="1"/>
  <c r="I40" i="56"/>
  <c r="T40" i="56" s="1"/>
  <c r="H40" i="56"/>
  <c r="S40" i="56" s="1"/>
  <c r="G40" i="56"/>
  <c r="R40" i="56" s="1"/>
  <c r="F40" i="56"/>
  <c r="Q40" i="56" s="1"/>
  <c r="K38" i="56"/>
  <c r="J38" i="56"/>
  <c r="I38" i="56"/>
  <c r="H38" i="56"/>
  <c r="G38" i="56"/>
  <c r="F38" i="56"/>
  <c r="P38" i="56" s="1"/>
  <c r="K37" i="56"/>
  <c r="V37" i="56" s="1"/>
  <c r="J37" i="56"/>
  <c r="I37" i="56"/>
  <c r="H37" i="56"/>
  <c r="G37" i="56"/>
  <c r="F37" i="56"/>
  <c r="Q37" i="56" s="1"/>
  <c r="AF28" i="56"/>
  <c r="AE28" i="56"/>
  <c r="AD28" i="56"/>
  <c r="AC28" i="56"/>
  <c r="AB28" i="56"/>
  <c r="K28" i="56"/>
  <c r="J28" i="56"/>
  <c r="I28" i="56"/>
  <c r="H28" i="56"/>
  <c r="G28" i="56"/>
  <c r="AF27" i="56"/>
  <c r="AE27" i="56"/>
  <c r="AD27" i="56"/>
  <c r="AC27" i="56"/>
  <c r="AB27" i="56"/>
  <c r="K27" i="56"/>
  <c r="J27" i="56"/>
  <c r="I27" i="56"/>
  <c r="H27" i="56"/>
  <c r="G27" i="56"/>
  <c r="P26" i="56"/>
  <c r="O26" i="56"/>
  <c r="N26" i="56"/>
  <c r="M26" i="56"/>
  <c r="L26" i="56"/>
  <c r="P25" i="56"/>
  <c r="O25" i="56"/>
  <c r="N25" i="56"/>
  <c r="M25" i="56"/>
  <c r="L25" i="56"/>
  <c r="P20" i="56"/>
  <c r="O20" i="56"/>
  <c r="N20" i="56"/>
  <c r="M20" i="56"/>
  <c r="L20" i="56"/>
  <c r="P19" i="56"/>
  <c r="O19" i="56"/>
  <c r="N19" i="56"/>
  <c r="M19" i="56"/>
  <c r="L19" i="56"/>
  <c r="P17" i="56"/>
  <c r="O17" i="56"/>
  <c r="N17" i="56"/>
  <c r="M17" i="56"/>
  <c r="L17" i="56"/>
  <c r="P16" i="56"/>
  <c r="O16" i="56"/>
  <c r="N16" i="56"/>
  <c r="M16" i="56"/>
  <c r="L16" i="56"/>
  <c r="P14" i="56"/>
  <c r="O14" i="56"/>
  <c r="N14" i="56"/>
  <c r="M14" i="56"/>
  <c r="L14" i="56"/>
  <c r="P13" i="56"/>
  <c r="O13" i="56"/>
  <c r="N13" i="56"/>
  <c r="M13" i="56"/>
  <c r="L13" i="56"/>
  <c r="Q9" i="56"/>
  <c r="F9" i="56"/>
  <c r="F33" i="56" s="1"/>
  <c r="V50" i="55"/>
  <c r="U50" i="55"/>
  <c r="T50" i="55"/>
  <c r="S50" i="55"/>
  <c r="R50" i="55"/>
  <c r="V49" i="55"/>
  <c r="U49" i="55"/>
  <c r="T49" i="55"/>
  <c r="S49" i="55"/>
  <c r="R49" i="55"/>
  <c r="V47" i="55"/>
  <c r="U47" i="55"/>
  <c r="T47" i="55"/>
  <c r="S47" i="55"/>
  <c r="R47" i="55"/>
  <c r="V46" i="55"/>
  <c r="U46" i="55"/>
  <c r="T46" i="55"/>
  <c r="S46" i="55"/>
  <c r="R46" i="55"/>
  <c r="Q46" i="55"/>
  <c r="V44" i="55"/>
  <c r="U44" i="55"/>
  <c r="T44" i="55"/>
  <c r="S44" i="55"/>
  <c r="R44" i="55"/>
  <c r="V43" i="55"/>
  <c r="U43" i="55"/>
  <c r="T43" i="55"/>
  <c r="S43" i="55"/>
  <c r="R43" i="55"/>
  <c r="V41" i="55"/>
  <c r="U41" i="55"/>
  <c r="T41" i="55"/>
  <c r="S41" i="55"/>
  <c r="R41" i="55"/>
  <c r="Q41" i="55"/>
  <c r="V40" i="55"/>
  <c r="U40" i="55"/>
  <c r="T40" i="55"/>
  <c r="S40" i="55"/>
  <c r="R40" i="55"/>
  <c r="Q40" i="55"/>
  <c r="V38" i="55"/>
  <c r="U38" i="55"/>
  <c r="T38" i="55"/>
  <c r="S38" i="55"/>
  <c r="R38" i="55"/>
  <c r="Q38" i="55"/>
  <c r="V37" i="55"/>
  <c r="U37" i="55"/>
  <c r="T37" i="55"/>
  <c r="S37" i="55"/>
  <c r="R37" i="55"/>
  <c r="Q26" i="55"/>
  <c r="Q25" i="55"/>
  <c r="Q22" i="55"/>
  <c r="Q20" i="55"/>
  <c r="Q19" i="55"/>
  <c r="Q17" i="55"/>
  <c r="Q16" i="55"/>
  <c r="Q14" i="55"/>
  <c r="Q13" i="55"/>
  <c r="AF52" i="55"/>
  <c r="AE52" i="55"/>
  <c r="AD52" i="55"/>
  <c r="AC52" i="55"/>
  <c r="AF51" i="55"/>
  <c r="AE51" i="55"/>
  <c r="AD51" i="55"/>
  <c r="AC51" i="55"/>
  <c r="K50" i="55"/>
  <c r="J50" i="55"/>
  <c r="I50" i="55"/>
  <c r="H50" i="55"/>
  <c r="G50" i="55"/>
  <c r="F50" i="55"/>
  <c r="O50" i="55" s="1"/>
  <c r="K49" i="55"/>
  <c r="J49" i="55"/>
  <c r="I49" i="55"/>
  <c r="H49" i="55"/>
  <c r="G49" i="55"/>
  <c r="F49" i="55"/>
  <c r="Q49" i="55" s="1"/>
  <c r="K47" i="55"/>
  <c r="J47" i="55"/>
  <c r="I47" i="55"/>
  <c r="H47" i="55"/>
  <c r="G47" i="55"/>
  <c r="K46" i="55"/>
  <c r="J46" i="55"/>
  <c r="I46" i="55"/>
  <c r="H46" i="55"/>
  <c r="G46" i="55"/>
  <c r="F46" i="55"/>
  <c r="K44" i="55"/>
  <c r="J44" i="55"/>
  <c r="I44" i="55"/>
  <c r="H44" i="55"/>
  <c r="G44" i="55"/>
  <c r="F44" i="55"/>
  <c r="Q44" i="55" s="1"/>
  <c r="K43" i="55"/>
  <c r="J43" i="55"/>
  <c r="I43" i="55"/>
  <c r="H43" i="55"/>
  <c r="G43" i="55"/>
  <c r="F43" i="55"/>
  <c r="Q43" i="55" s="1"/>
  <c r="K41" i="55"/>
  <c r="J41" i="55"/>
  <c r="I41" i="55"/>
  <c r="H41" i="55"/>
  <c r="G41" i="55"/>
  <c r="F41" i="55"/>
  <c r="K40" i="55"/>
  <c r="J40" i="55"/>
  <c r="I40" i="55"/>
  <c r="H40" i="55"/>
  <c r="G40" i="55"/>
  <c r="F40" i="55"/>
  <c r="K38" i="55"/>
  <c r="J38" i="55"/>
  <c r="I38" i="55"/>
  <c r="H38" i="55"/>
  <c r="G38" i="55"/>
  <c r="F38" i="55"/>
  <c r="O38" i="55" s="1"/>
  <c r="K37" i="55"/>
  <c r="J37" i="55"/>
  <c r="I37" i="55"/>
  <c r="H37" i="55"/>
  <c r="G37" i="55"/>
  <c r="F37" i="55"/>
  <c r="M37" i="55" s="1"/>
  <c r="AF28" i="55"/>
  <c r="AE28" i="55"/>
  <c r="AD28" i="55"/>
  <c r="AC28" i="55"/>
  <c r="AB28" i="55"/>
  <c r="K28" i="55"/>
  <c r="J28" i="55"/>
  <c r="I28" i="55"/>
  <c r="H28" i="55"/>
  <c r="G28" i="55"/>
  <c r="AF27" i="55"/>
  <c r="AE27" i="55"/>
  <c r="AD27" i="55"/>
  <c r="AC27" i="55"/>
  <c r="AB27" i="55"/>
  <c r="K27" i="55"/>
  <c r="J27" i="55"/>
  <c r="I27" i="55"/>
  <c r="H27" i="55"/>
  <c r="G27" i="55"/>
  <c r="F27" i="55"/>
  <c r="N27" i="55" s="1"/>
  <c r="P26" i="55"/>
  <c r="O26" i="55"/>
  <c r="N26" i="55"/>
  <c r="M26" i="55"/>
  <c r="L26" i="55"/>
  <c r="P25" i="55"/>
  <c r="O25" i="55"/>
  <c r="N25" i="55"/>
  <c r="M25" i="55"/>
  <c r="L25" i="55"/>
  <c r="P22" i="55"/>
  <c r="O22" i="55"/>
  <c r="N22" i="55"/>
  <c r="M22" i="55"/>
  <c r="L22" i="55"/>
  <c r="P20" i="55"/>
  <c r="O20" i="55"/>
  <c r="N20" i="55"/>
  <c r="M20" i="55"/>
  <c r="L20" i="55"/>
  <c r="P19" i="55"/>
  <c r="O19" i="55"/>
  <c r="N19" i="55"/>
  <c r="M19" i="55"/>
  <c r="L19" i="55"/>
  <c r="P17" i="55"/>
  <c r="O17" i="55"/>
  <c r="N17" i="55"/>
  <c r="M17" i="55"/>
  <c r="L17" i="55"/>
  <c r="P16" i="55"/>
  <c r="O16" i="55"/>
  <c r="N16" i="55"/>
  <c r="M16" i="55"/>
  <c r="L16" i="55"/>
  <c r="P14" i="55"/>
  <c r="O14" i="55"/>
  <c r="N14" i="55"/>
  <c r="M14" i="55"/>
  <c r="L14" i="55"/>
  <c r="P13" i="55"/>
  <c r="O13" i="55"/>
  <c r="N13" i="55"/>
  <c r="M13" i="55"/>
  <c r="L13" i="55"/>
  <c r="Q9" i="55"/>
  <c r="F9" i="55"/>
  <c r="F33" i="55" s="1"/>
  <c r="O49" i="56" l="1"/>
  <c r="Q41" i="56"/>
  <c r="W41" i="56" s="1"/>
  <c r="O37" i="56"/>
  <c r="W44" i="56"/>
  <c r="L49" i="56"/>
  <c r="Q49" i="56"/>
  <c r="O43" i="56"/>
  <c r="Q38" i="56"/>
  <c r="X50" i="56"/>
  <c r="W50" i="56"/>
  <c r="N37" i="56"/>
  <c r="G52" i="56"/>
  <c r="R38" i="56"/>
  <c r="G51" i="56"/>
  <c r="H52" i="56"/>
  <c r="M41" i="56"/>
  <c r="P44" i="56"/>
  <c r="S38" i="56"/>
  <c r="U40" i="56"/>
  <c r="H51" i="56"/>
  <c r="T52" i="56"/>
  <c r="K51" i="56"/>
  <c r="N43" i="56"/>
  <c r="R37" i="56"/>
  <c r="T38" i="56"/>
  <c r="V40" i="56"/>
  <c r="AA40" i="56" s="1"/>
  <c r="R49" i="56"/>
  <c r="T50" i="56"/>
  <c r="Y50" i="56" s="1"/>
  <c r="I51" i="56"/>
  <c r="U52" i="56"/>
  <c r="S37" i="56"/>
  <c r="U38" i="56"/>
  <c r="J51" i="56"/>
  <c r="P50" i="56"/>
  <c r="T37" i="56"/>
  <c r="T51" i="56" s="1"/>
  <c r="V38" i="56"/>
  <c r="V52" i="56" s="1"/>
  <c r="W40" i="56"/>
  <c r="V51" i="56"/>
  <c r="X44" i="56"/>
  <c r="Y44" i="56"/>
  <c r="AA44" i="56"/>
  <c r="Z44" i="56"/>
  <c r="AA41" i="56"/>
  <c r="Z41" i="56"/>
  <c r="Y41" i="56"/>
  <c r="X41" i="56"/>
  <c r="AA43" i="56"/>
  <c r="Z43" i="56"/>
  <c r="Y43" i="56"/>
  <c r="X43" i="56"/>
  <c r="Y40" i="56"/>
  <c r="X40" i="56"/>
  <c r="Z46" i="56"/>
  <c r="AA46" i="56"/>
  <c r="Y46" i="56"/>
  <c r="X46" i="56"/>
  <c r="AA47" i="56"/>
  <c r="Z47" i="56"/>
  <c r="Y47" i="56"/>
  <c r="X47" i="56"/>
  <c r="P37" i="56"/>
  <c r="L40" i="56"/>
  <c r="N41" i="56"/>
  <c r="P43" i="56"/>
  <c r="P49" i="56"/>
  <c r="Z50" i="56"/>
  <c r="J52" i="56"/>
  <c r="I52" i="56"/>
  <c r="S52" i="56"/>
  <c r="M40" i="56"/>
  <c r="Z40" i="56"/>
  <c r="O41" i="56"/>
  <c r="W43" i="56"/>
  <c r="AA50" i="56"/>
  <c r="K52" i="56"/>
  <c r="L38" i="56"/>
  <c r="N40" i="56"/>
  <c r="P41" i="56"/>
  <c r="L44" i="56"/>
  <c r="L50" i="56"/>
  <c r="S51" i="56"/>
  <c r="M38" i="56"/>
  <c r="M44" i="56"/>
  <c r="M50" i="56"/>
  <c r="L37" i="56"/>
  <c r="N38" i="56"/>
  <c r="P40" i="56"/>
  <c r="L43" i="56"/>
  <c r="N44" i="56"/>
  <c r="N50" i="56"/>
  <c r="M37" i="56"/>
  <c r="O38" i="56"/>
  <c r="M43" i="56"/>
  <c r="O44" i="56"/>
  <c r="M49" i="56"/>
  <c r="O50" i="56"/>
  <c r="Q50" i="55"/>
  <c r="M27" i="55"/>
  <c r="Q37" i="55"/>
  <c r="P27" i="55"/>
  <c r="O27" i="55"/>
  <c r="AA44" i="55"/>
  <c r="X50" i="55"/>
  <c r="H51" i="55"/>
  <c r="G52" i="55"/>
  <c r="M49" i="55"/>
  <c r="O44" i="55"/>
  <c r="K52" i="55"/>
  <c r="M43" i="55"/>
  <c r="Z38" i="55"/>
  <c r="X44" i="55"/>
  <c r="AA50" i="55"/>
  <c r="Y46" i="55"/>
  <c r="V52" i="55"/>
  <c r="Y40" i="55"/>
  <c r="G51" i="55"/>
  <c r="N40" i="55"/>
  <c r="W41" i="55"/>
  <c r="I51" i="55"/>
  <c r="T52" i="55"/>
  <c r="N46" i="55"/>
  <c r="K51" i="55"/>
  <c r="AA47" i="55"/>
  <c r="AA41" i="55"/>
  <c r="T51" i="55"/>
  <c r="W40" i="55"/>
  <c r="W46" i="55"/>
  <c r="L41" i="55"/>
  <c r="L27" i="55"/>
  <c r="M40" i="55"/>
  <c r="M46" i="55"/>
  <c r="O40" i="55"/>
  <c r="O46" i="55"/>
  <c r="P38" i="55"/>
  <c r="P44" i="55"/>
  <c r="P50" i="55"/>
  <c r="L40" i="55"/>
  <c r="L46" i="55"/>
  <c r="P40" i="55"/>
  <c r="P46" i="55"/>
  <c r="X38" i="55"/>
  <c r="S52" i="55"/>
  <c r="Z47" i="55"/>
  <c r="U52" i="55"/>
  <c r="V51" i="55"/>
  <c r="AA43" i="55"/>
  <c r="Z43" i="55"/>
  <c r="Y43" i="55"/>
  <c r="X43" i="55"/>
  <c r="AA49" i="55"/>
  <c r="Z49" i="55"/>
  <c r="Y49" i="55"/>
  <c r="X49" i="55"/>
  <c r="N43" i="55"/>
  <c r="N49" i="55"/>
  <c r="J51" i="55"/>
  <c r="H52" i="55"/>
  <c r="O37" i="55"/>
  <c r="X40" i="55"/>
  <c r="AA40" i="55"/>
  <c r="M41" i="55"/>
  <c r="O43" i="55"/>
  <c r="W44" i="55"/>
  <c r="Y44" i="55"/>
  <c r="X46" i="55"/>
  <c r="AA46" i="55"/>
  <c r="O49" i="55"/>
  <c r="W50" i="55"/>
  <c r="Y50" i="55"/>
  <c r="I52" i="55"/>
  <c r="P37" i="55"/>
  <c r="N41" i="55"/>
  <c r="P43" i="55"/>
  <c r="Z44" i="55"/>
  <c r="P49" i="55"/>
  <c r="Z50" i="55"/>
  <c r="J52" i="55"/>
  <c r="O41" i="55"/>
  <c r="W43" i="55"/>
  <c r="W49" i="55"/>
  <c r="Q27" i="55"/>
  <c r="L38" i="55"/>
  <c r="P41" i="55"/>
  <c r="X41" i="55"/>
  <c r="L44" i="55"/>
  <c r="X47" i="55"/>
  <c r="L50" i="55"/>
  <c r="F51" i="55"/>
  <c r="M38" i="55"/>
  <c r="Y41" i="55"/>
  <c r="M44" i="55"/>
  <c r="Y47" i="55"/>
  <c r="M50" i="55"/>
  <c r="N37" i="55"/>
  <c r="Z46" i="55"/>
  <c r="L37" i="55"/>
  <c r="N38" i="55"/>
  <c r="Z41" i="55"/>
  <c r="L43" i="55"/>
  <c r="N44" i="55"/>
  <c r="L49" i="55"/>
  <c r="N50" i="55"/>
  <c r="X38" i="56" l="1"/>
  <c r="Y38" i="56"/>
  <c r="AA38" i="56"/>
  <c r="R52" i="56"/>
  <c r="Z38" i="56"/>
  <c r="W37" i="56"/>
  <c r="U51" i="56"/>
  <c r="W49" i="56"/>
  <c r="AA49" i="56"/>
  <c r="Z49" i="56"/>
  <c r="Y49" i="56"/>
  <c r="X49" i="56"/>
  <c r="R51" i="56"/>
  <c r="AA37" i="56"/>
  <c r="Z37" i="56"/>
  <c r="Y37" i="56"/>
  <c r="X37" i="56"/>
  <c r="W38" i="56"/>
  <c r="Y38" i="55"/>
  <c r="R52" i="55"/>
  <c r="AA52" i="55" s="1"/>
  <c r="U51" i="55"/>
  <c r="AA38" i="55"/>
  <c r="Z40" i="55"/>
  <c r="W38" i="55"/>
  <c r="S51" i="55"/>
  <c r="Q51" i="55"/>
  <c r="W37" i="55"/>
  <c r="P51" i="55"/>
  <c r="O51" i="55"/>
  <c r="N51" i="55"/>
  <c r="M51" i="55"/>
  <c r="L51" i="55"/>
  <c r="AA37" i="55"/>
  <c r="Z37" i="55"/>
  <c r="Y37" i="55"/>
  <c r="X37" i="55"/>
  <c r="R51" i="55"/>
  <c r="X52" i="56" l="1"/>
  <c r="AA52" i="56"/>
  <c r="Z52" i="56"/>
  <c r="Y52" i="56"/>
  <c r="Z51" i="56"/>
  <c r="Y51" i="56"/>
  <c r="X51" i="56"/>
  <c r="AA51" i="56"/>
  <c r="X52" i="55"/>
  <c r="Z52" i="55"/>
  <c r="Y52" i="55"/>
  <c r="W51" i="55"/>
  <c r="Y51" i="55"/>
  <c r="X51" i="55"/>
  <c r="AA51" i="55"/>
  <c r="Z51" i="55"/>
  <c r="Q13" i="54" l="1"/>
  <c r="V50" i="54"/>
  <c r="U50" i="54"/>
  <c r="T50" i="54"/>
  <c r="S50" i="54"/>
  <c r="R50" i="54"/>
  <c r="V49" i="54"/>
  <c r="U49" i="54"/>
  <c r="T49" i="54"/>
  <c r="S49" i="54"/>
  <c r="R49" i="54"/>
  <c r="V47" i="54"/>
  <c r="U47" i="54"/>
  <c r="T47" i="54"/>
  <c r="S47" i="54"/>
  <c r="R47" i="54"/>
  <c r="V46" i="54"/>
  <c r="U46" i="54"/>
  <c r="T46" i="54"/>
  <c r="S46" i="54"/>
  <c r="R46" i="54"/>
  <c r="V44" i="54"/>
  <c r="U44" i="54"/>
  <c r="T44" i="54"/>
  <c r="S44" i="54"/>
  <c r="R44" i="54"/>
  <c r="V43" i="54"/>
  <c r="U43" i="54"/>
  <c r="T43" i="54"/>
  <c r="S43" i="54"/>
  <c r="R43" i="54"/>
  <c r="V41" i="54"/>
  <c r="U41" i="54"/>
  <c r="T41" i="54"/>
  <c r="S41" i="54"/>
  <c r="R41" i="54"/>
  <c r="V40" i="54"/>
  <c r="U40" i="54"/>
  <c r="T40" i="54"/>
  <c r="S40" i="54"/>
  <c r="R40" i="54"/>
  <c r="V38" i="54"/>
  <c r="U38" i="54"/>
  <c r="T38" i="54"/>
  <c r="S38" i="54"/>
  <c r="R38" i="54"/>
  <c r="V37" i="54"/>
  <c r="U37" i="54"/>
  <c r="T37" i="54"/>
  <c r="S37" i="54"/>
  <c r="R37" i="54"/>
  <c r="Q26" i="54"/>
  <c r="Q25" i="54"/>
  <c r="Q20" i="54"/>
  <c r="Q19" i="54"/>
  <c r="Q17" i="54"/>
  <c r="Q16" i="54"/>
  <c r="Q14" i="54"/>
  <c r="AF52" i="54" l="1"/>
  <c r="AE52" i="54"/>
  <c r="AD52" i="54"/>
  <c r="AC52" i="54"/>
  <c r="AF51" i="54"/>
  <c r="AE51" i="54"/>
  <c r="AD51" i="54"/>
  <c r="AC51" i="54"/>
  <c r="K50" i="54"/>
  <c r="J50" i="54"/>
  <c r="I50" i="54"/>
  <c r="H50" i="54"/>
  <c r="G50" i="54"/>
  <c r="F50" i="54"/>
  <c r="Q50" i="54" s="1"/>
  <c r="K49" i="54"/>
  <c r="J49" i="54"/>
  <c r="I49" i="54"/>
  <c r="H49" i="54"/>
  <c r="G49" i="54"/>
  <c r="F49" i="54"/>
  <c r="Q49" i="54" s="1"/>
  <c r="K47" i="54"/>
  <c r="J47" i="54"/>
  <c r="I47" i="54"/>
  <c r="H47" i="54"/>
  <c r="G47" i="54"/>
  <c r="K46" i="54"/>
  <c r="J46" i="54"/>
  <c r="I46" i="54"/>
  <c r="H46" i="54"/>
  <c r="G46" i="54"/>
  <c r="K44" i="54"/>
  <c r="J44" i="54"/>
  <c r="I44" i="54"/>
  <c r="H44" i="54"/>
  <c r="G44" i="54"/>
  <c r="F44" i="54"/>
  <c r="Q44" i="54" s="1"/>
  <c r="K43" i="54"/>
  <c r="J43" i="54"/>
  <c r="I43" i="54"/>
  <c r="H43" i="54"/>
  <c r="G43" i="54"/>
  <c r="F43" i="54"/>
  <c r="Q43" i="54" s="1"/>
  <c r="K41" i="54"/>
  <c r="P41" i="54" s="1"/>
  <c r="J41" i="54"/>
  <c r="I41" i="54"/>
  <c r="H41" i="54"/>
  <c r="G41" i="54"/>
  <c r="F41" i="54"/>
  <c r="Q41" i="54" s="1"/>
  <c r="K40" i="54"/>
  <c r="J40" i="54"/>
  <c r="I40" i="54"/>
  <c r="H40" i="54"/>
  <c r="G40" i="54"/>
  <c r="F40" i="54"/>
  <c r="Q40" i="54" s="1"/>
  <c r="K38" i="54"/>
  <c r="J38" i="54"/>
  <c r="I38" i="54"/>
  <c r="H38" i="54"/>
  <c r="G38" i="54"/>
  <c r="F38" i="54"/>
  <c r="Q38" i="54" s="1"/>
  <c r="K37" i="54"/>
  <c r="J37" i="54"/>
  <c r="I37" i="54"/>
  <c r="H37" i="54"/>
  <c r="G37" i="54"/>
  <c r="F37" i="54"/>
  <c r="AF28" i="54"/>
  <c r="AE28" i="54"/>
  <c r="AD28" i="54"/>
  <c r="AC28" i="54"/>
  <c r="AB28" i="54"/>
  <c r="K28" i="54"/>
  <c r="J28" i="54"/>
  <c r="I28" i="54"/>
  <c r="H28" i="54"/>
  <c r="G28" i="54"/>
  <c r="AF27" i="54"/>
  <c r="AE27" i="54"/>
  <c r="AD27" i="54"/>
  <c r="AC27" i="54"/>
  <c r="AB27" i="54"/>
  <c r="K27" i="54"/>
  <c r="J27" i="54"/>
  <c r="I27" i="54"/>
  <c r="H27" i="54"/>
  <c r="G27" i="54"/>
  <c r="P26" i="54"/>
  <c r="O26" i="54"/>
  <c r="N26" i="54"/>
  <c r="M26" i="54"/>
  <c r="L26" i="54"/>
  <c r="P25" i="54"/>
  <c r="O25" i="54"/>
  <c r="N25" i="54"/>
  <c r="M25" i="54"/>
  <c r="L25" i="54"/>
  <c r="P20" i="54"/>
  <c r="O20" i="54"/>
  <c r="N20" i="54"/>
  <c r="M20" i="54"/>
  <c r="L20" i="54"/>
  <c r="P19" i="54"/>
  <c r="O19" i="54"/>
  <c r="N19" i="54"/>
  <c r="M19" i="54"/>
  <c r="L19" i="54"/>
  <c r="P17" i="54"/>
  <c r="O17" i="54"/>
  <c r="N17" i="54"/>
  <c r="M17" i="54"/>
  <c r="L17" i="54"/>
  <c r="P16" i="54"/>
  <c r="O16" i="54"/>
  <c r="N16" i="54"/>
  <c r="M16" i="54"/>
  <c r="L16" i="54"/>
  <c r="P14" i="54"/>
  <c r="O14" i="54"/>
  <c r="N14" i="54"/>
  <c r="M14" i="54"/>
  <c r="L14" i="54"/>
  <c r="P13" i="54"/>
  <c r="O13" i="54"/>
  <c r="N13" i="54"/>
  <c r="M13" i="54"/>
  <c r="L13" i="54"/>
  <c r="Q9" i="54"/>
  <c r="F9" i="54"/>
  <c r="F33" i="54" s="1"/>
  <c r="K50" i="53"/>
  <c r="J50" i="53"/>
  <c r="K49" i="53"/>
  <c r="H49" i="53"/>
  <c r="J47" i="53"/>
  <c r="I46" i="53"/>
  <c r="K44" i="53"/>
  <c r="J44" i="53"/>
  <c r="H44" i="53"/>
  <c r="G44" i="53"/>
  <c r="J43" i="53"/>
  <c r="G43" i="53"/>
  <c r="K41" i="53"/>
  <c r="J41" i="53"/>
  <c r="G41" i="53"/>
  <c r="K40" i="53"/>
  <c r="J40" i="53"/>
  <c r="G40" i="53"/>
  <c r="G38" i="53"/>
  <c r="K37" i="53"/>
  <c r="J37" i="53"/>
  <c r="G37" i="53"/>
  <c r="K47" i="53"/>
  <c r="K46" i="53"/>
  <c r="K43" i="53"/>
  <c r="K38" i="53"/>
  <c r="J49" i="53"/>
  <c r="J46" i="53"/>
  <c r="J38" i="53"/>
  <c r="I50" i="53"/>
  <c r="I49" i="53"/>
  <c r="I47" i="53"/>
  <c r="I44" i="53"/>
  <c r="I43" i="53"/>
  <c r="I41" i="53"/>
  <c r="I40" i="53"/>
  <c r="I38" i="53"/>
  <c r="I37" i="53"/>
  <c r="H50" i="53"/>
  <c r="H47" i="53"/>
  <c r="H46" i="53"/>
  <c r="H43" i="53"/>
  <c r="H41" i="53"/>
  <c r="H40" i="53"/>
  <c r="H38" i="53"/>
  <c r="H37" i="53"/>
  <c r="G50" i="53"/>
  <c r="G49" i="53"/>
  <c r="G47" i="53"/>
  <c r="G46" i="53"/>
  <c r="AY3" i="24"/>
  <c r="AP3" i="71" l="1"/>
  <c r="AP3" i="72"/>
  <c r="AP3" i="70"/>
  <c r="AK3" i="69"/>
  <c r="AK3" i="67"/>
  <c r="AK3" i="68"/>
  <c r="AK3" i="65"/>
  <c r="AK3" i="66"/>
  <c r="AK3" i="62"/>
  <c r="AK3" i="64"/>
  <c r="AK3" i="63"/>
  <c r="P49" i="54"/>
  <c r="L43" i="54"/>
  <c r="Q37" i="54"/>
  <c r="Z49" i="54"/>
  <c r="M50" i="54"/>
  <c r="X49" i="54"/>
  <c r="W49" i="54"/>
  <c r="Y47" i="54"/>
  <c r="I52" i="54"/>
  <c r="G51" i="54"/>
  <c r="W43" i="54"/>
  <c r="K52" i="54"/>
  <c r="M44" i="54"/>
  <c r="U52" i="54"/>
  <c r="P40" i="54"/>
  <c r="W40" i="54"/>
  <c r="J51" i="54"/>
  <c r="O40" i="54"/>
  <c r="K51" i="54"/>
  <c r="W41" i="54"/>
  <c r="H51" i="54"/>
  <c r="U51" i="54"/>
  <c r="Y38" i="54"/>
  <c r="AA38" i="54"/>
  <c r="M38" i="54"/>
  <c r="L49" i="54"/>
  <c r="M49" i="54"/>
  <c r="M43" i="54"/>
  <c r="P43" i="54"/>
  <c r="P37" i="54"/>
  <c r="L37" i="54"/>
  <c r="M37" i="54"/>
  <c r="T51" i="54"/>
  <c r="AA44" i="54"/>
  <c r="Z44" i="54"/>
  <c r="Y44" i="54"/>
  <c r="X44" i="54"/>
  <c r="X46" i="54"/>
  <c r="AA46" i="54"/>
  <c r="Y46" i="54"/>
  <c r="Z46" i="54"/>
  <c r="Y41" i="54"/>
  <c r="R52" i="54"/>
  <c r="Z38" i="54"/>
  <c r="X38" i="54"/>
  <c r="Y40" i="54"/>
  <c r="AA40" i="54"/>
  <c r="Z40" i="54"/>
  <c r="AA50" i="54"/>
  <c r="Z50" i="54"/>
  <c r="Y50" i="54"/>
  <c r="X50" i="54"/>
  <c r="S52" i="54"/>
  <c r="AA43" i="54"/>
  <c r="N38" i="54"/>
  <c r="O38" i="54"/>
  <c r="N37" i="54"/>
  <c r="V51" i="54"/>
  <c r="P38" i="54"/>
  <c r="L41" i="54"/>
  <c r="N43" i="54"/>
  <c r="P44" i="54"/>
  <c r="N49" i="54"/>
  <c r="AA49" i="54"/>
  <c r="P50" i="54"/>
  <c r="R51" i="54"/>
  <c r="H52" i="54"/>
  <c r="O44" i="54"/>
  <c r="O37" i="54"/>
  <c r="S51" i="54"/>
  <c r="M41" i="54"/>
  <c r="O43" i="54"/>
  <c r="W44" i="54"/>
  <c r="O49" i="54"/>
  <c r="W50" i="54"/>
  <c r="O50" i="54"/>
  <c r="I51" i="54"/>
  <c r="G52" i="54"/>
  <c r="X37" i="54"/>
  <c r="L40" i="54"/>
  <c r="N41" i="54"/>
  <c r="X43" i="54"/>
  <c r="AA47" i="54"/>
  <c r="J52" i="54"/>
  <c r="Y37" i="54"/>
  <c r="M40" i="54"/>
  <c r="O41" i="54"/>
  <c r="Y43" i="54"/>
  <c r="Y49" i="54"/>
  <c r="Z37" i="54"/>
  <c r="L38" i="54"/>
  <c r="N40" i="54"/>
  <c r="X41" i="54"/>
  <c r="Z43" i="54"/>
  <c r="L44" i="54"/>
  <c r="X47" i="54"/>
  <c r="L50" i="54"/>
  <c r="Z41" i="54"/>
  <c r="N44" i="54"/>
  <c r="Z47" i="54"/>
  <c r="N50" i="54"/>
  <c r="V50" i="53"/>
  <c r="U50" i="53"/>
  <c r="T50" i="53"/>
  <c r="S50" i="53"/>
  <c r="R50" i="53"/>
  <c r="V49" i="53"/>
  <c r="U49" i="53"/>
  <c r="T49" i="53"/>
  <c r="S49" i="53"/>
  <c r="R49" i="53"/>
  <c r="V47" i="53"/>
  <c r="U47" i="53"/>
  <c r="T47" i="53"/>
  <c r="S47" i="53"/>
  <c r="R47" i="53"/>
  <c r="V46" i="53"/>
  <c r="U46" i="53"/>
  <c r="T46" i="53"/>
  <c r="S46" i="53"/>
  <c r="R46" i="53"/>
  <c r="AA46" i="53" s="1"/>
  <c r="V44" i="53"/>
  <c r="U44" i="53"/>
  <c r="T44" i="53"/>
  <c r="S44" i="53"/>
  <c r="R44" i="53"/>
  <c r="V43" i="53"/>
  <c r="U43" i="53"/>
  <c r="T43" i="53"/>
  <c r="S43" i="53"/>
  <c r="R43" i="53"/>
  <c r="Y43" i="53" s="1"/>
  <c r="V41" i="53"/>
  <c r="U41" i="53"/>
  <c r="T41" i="53"/>
  <c r="S41" i="53"/>
  <c r="R41" i="53"/>
  <c r="X41" i="53" s="1"/>
  <c r="V40" i="53"/>
  <c r="U40" i="53"/>
  <c r="T40" i="53"/>
  <c r="S40" i="53"/>
  <c r="R40" i="53"/>
  <c r="Z40" i="53" s="1"/>
  <c r="V38" i="53"/>
  <c r="U38" i="53"/>
  <c r="T38" i="53"/>
  <c r="S38" i="53"/>
  <c r="R38" i="53"/>
  <c r="V37" i="53"/>
  <c r="U37" i="53"/>
  <c r="T37" i="53"/>
  <c r="S37" i="53"/>
  <c r="R37" i="53"/>
  <c r="Q26" i="53"/>
  <c r="Q25" i="53"/>
  <c r="Q23" i="53"/>
  <c r="Q22" i="53"/>
  <c r="Q20" i="53"/>
  <c r="Q19" i="53"/>
  <c r="Q17" i="53"/>
  <c r="Q16" i="53"/>
  <c r="Q14" i="53"/>
  <c r="Q13" i="53"/>
  <c r="AF52" i="53"/>
  <c r="AE52" i="53"/>
  <c r="AD52" i="53"/>
  <c r="AC52" i="53"/>
  <c r="K52" i="53"/>
  <c r="J52" i="53"/>
  <c r="I52" i="53"/>
  <c r="H52" i="53"/>
  <c r="G52" i="53"/>
  <c r="AF51" i="53"/>
  <c r="AE51" i="53"/>
  <c r="AD51" i="53"/>
  <c r="AC51" i="53"/>
  <c r="K51" i="53"/>
  <c r="J51" i="53"/>
  <c r="I51" i="53"/>
  <c r="H51" i="53"/>
  <c r="G51" i="53"/>
  <c r="F50" i="53"/>
  <c r="Q50" i="53" s="1"/>
  <c r="F49" i="53"/>
  <c r="L49" i="53" s="1"/>
  <c r="F47" i="53"/>
  <c r="O47" i="53" s="1"/>
  <c r="F46" i="53"/>
  <c r="Q46" i="53" s="1"/>
  <c r="F44" i="53"/>
  <c r="L44" i="53" s="1"/>
  <c r="F43" i="53"/>
  <c r="N43" i="53" s="1"/>
  <c r="F41" i="53"/>
  <c r="Q41" i="53" s="1"/>
  <c r="F40" i="53"/>
  <c r="Q40" i="53" s="1"/>
  <c r="F38" i="53"/>
  <c r="L38" i="53" s="1"/>
  <c r="F37" i="53"/>
  <c r="M37" i="53" s="1"/>
  <c r="AF28" i="53"/>
  <c r="AE28" i="53"/>
  <c r="AD28" i="53"/>
  <c r="AC28" i="53"/>
  <c r="AB28" i="53"/>
  <c r="K28" i="53"/>
  <c r="J28" i="53"/>
  <c r="I28" i="53"/>
  <c r="H28" i="53"/>
  <c r="G28" i="53"/>
  <c r="F28" i="53"/>
  <c r="AF27" i="53"/>
  <c r="AE27" i="53"/>
  <c r="AD27" i="53"/>
  <c r="AC27" i="53"/>
  <c r="AB27" i="53"/>
  <c r="K27" i="53"/>
  <c r="J27" i="53"/>
  <c r="I27" i="53"/>
  <c r="H27" i="53"/>
  <c r="G27" i="53"/>
  <c r="F27" i="53"/>
  <c r="P26" i="53"/>
  <c r="O26" i="53"/>
  <c r="N26" i="53"/>
  <c r="M26" i="53"/>
  <c r="L26" i="53"/>
  <c r="P25" i="53"/>
  <c r="O25" i="53"/>
  <c r="N25" i="53"/>
  <c r="M25" i="53"/>
  <c r="L25" i="53"/>
  <c r="P23" i="53"/>
  <c r="O23" i="53"/>
  <c r="N23" i="53"/>
  <c r="M23" i="53"/>
  <c r="L23" i="53"/>
  <c r="P22" i="53"/>
  <c r="O22" i="53"/>
  <c r="N22" i="53"/>
  <c r="M22" i="53"/>
  <c r="L22" i="53"/>
  <c r="P20" i="53"/>
  <c r="O20" i="53"/>
  <c r="N20" i="53"/>
  <c r="M20" i="53"/>
  <c r="L20" i="53"/>
  <c r="P19" i="53"/>
  <c r="O19" i="53"/>
  <c r="N19" i="53"/>
  <c r="M19" i="53"/>
  <c r="L19" i="53"/>
  <c r="P17" i="53"/>
  <c r="O17" i="53"/>
  <c r="N17" i="53"/>
  <c r="M17" i="53"/>
  <c r="L17" i="53"/>
  <c r="P16" i="53"/>
  <c r="O16" i="53"/>
  <c r="N16" i="53"/>
  <c r="M16" i="53"/>
  <c r="L16" i="53"/>
  <c r="P14" i="53"/>
  <c r="O14" i="53"/>
  <c r="N14" i="53"/>
  <c r="M14" i="53"/>
  <c r="L14" i="53"/>
  <c r="P13" i="53"/>
  <c r="O13" i="53"/>
  <c r="N13" i="53"/>
  <c r="M13" i="53"/>
  <c r="L13" i="53"/>
  <c r="Q9" i="53"/>
  <c r="F9" i="53"/>
  <c r="F33" i="53" s="1"/>
  <c r="Q26" i="47"/>
  <c r="Q25" i="47"/>
  <c r="Q23" i="47"/>
  <c r="Q22" i="47"/>
  <c r="Q20" i="47"/>
  <c r="Q19" i="47"/>
  <c r="Q17" i="47"/>
  <c r="Q16" i="47"/>
  <c r="Q14" i="47"/>
  <c r="Q13" i="47"/>
  <c r="V52" i="54" l="1"/>
  <c r="X40" i="54"/>
  <c r="AA37" i="54"/>
  <c r="T52" i="54"/>
  <c r="Y52" i="54" s="1"/>
  <c r="AA51" i="54"/>
  <c r="Y51" i="54"/>
  <c r="X51" i="54"/>
  <c r="Z51" i="54"/>
  <c r="W37" i="54"/>
  <c r="AA52" i="54"/>
  <c r="Z52" i="54"/>
  <c r="X52" i="54"/>
  <c r="W38" i="54"/>
  <c r="AA41" i="54"/>
  <c r="X47" i="53"/>
  <c r="AA43" i="53"/>
  <c r="X43" i="53"/>
  <c r="AA38" i="53"/>
  <c r="Z50" i="53"/>
  <c r="W46" i="53"/>
  <c r="T52" i="53"/>
  <c r="V51" i="53"/>
  <c r="AA37" i="53"/>
  <c r="AA49" i="53"/>
  <c r="U51" i="53"/>
  <c r="T51" i="53"/>
  <c r="Y46" i="53"/>
  <c r="Y44" i="53"/>
  <c r="AA50" i="53"/>
  <c r="X46" i="53"/>
  <c r="X40" i="53"/>
  <c r="Y40" i="53"/>
  <c r="Z37" i="53"/>
  <c r="S51" i="53"/>
  <c r="Z49" i="53"/>
  <c r="AA40" i="53"/>
  <c r="X44" i="53"/>
  <c r="AA44" i="53"/>
  <c r="AA41" i="53"/>
  <c r="S52" i="53"/>
  <c r="M27" i="53"/>
  <c r="P28" i="53"/>
  <c r="M38" i="53"/>
  <c r="Q38" i="53"/>
  <c r="L47" i="53"/>
  <c r="Q43" i="53"/>
  <c r="W43" i="53" s="1"/>
  <c r="P47" i="53"/>
  <c r="Q28" i="53"/>
  <c r="L28" i="53"/>
  <c r="Q49" i="53"/>
  <c r="W49" i="53" s="1"/>
  <c r="M49" i="53"/>
  <c r="N49" i="53"/>
  <c r="Q47" i="53"/>
  <c r="W47" i="53" s="1"/>
  <c r="M47" i="53"/>
  <c r="N47" i="53"/>
  <c r="L46" i="53"/>
  <c r="M46" i="53"/>
  <c r="N46" i="53"/>
  <c r="O46" i="53"/>
  <c r="P46" i="53"/>
  <c r="Q44" i="53"/>
  <c r="W44" i="53" s="1"/>
  <c r="M44" i="53"/>
  <c r="N44" i="53"/>
  <c r="O44" i="53"/>
  <c r="P44" i="53"/>
  <c r="O43" i="53"/>
  <c r="P43" i="53"/>
  <c r="Q27" i="53"/>
  <c r="M28" i="53"/>
  <c r="L37" i="53"/>
  <c r="N37" i="53"/>
  <c r="N27" i="53"/>
  <c r="P27" i="53"/>
  <c r="Q37" i="53"/>
  <c r="Z47" i="53"/>
  <c r="Y47" i="53"/>
  <c r="AA47" i="53"/>
  <c r="P40" i="53"/>
  <c r="O40" i="53"/>
  <c r="N40" i="53"/>
  <c r="M40" i="53"/>
  <c r="W50" i="53"/>
  <c r="P50" i="53"/>
  <c r="O50" i="53"/>
  <c r="N50" i="53"/>
  <c r="L40" i="53"/>
  <c r="W40" i="53"/>
  <c r="M50" i="53"/>
  <c r="O41" i="53"/>
  <c r="N41" i="53"/>
  <c r="M41" i="53"/>
  <c r="L41" i="53"/>
  <c r="Z43" i="53"/>
  <c r="Y50" i="53"/>
  <c r="X50" i="53"/>
  <c r="L27" i="53"/>
  <c r="O27" i="53"/>
  <c r="P37" i="53"/>
  <c r="O37" i="53"/>
  <c r="U52" i="53"/>
  <c r="P41" i="53"/>
  <c r="Y41" i="53"/>
  <c r="Y38" i="53"/>
  <c r="X38" i="53"/>
  <c r="L50" i="53"/>
  <c r="F51" i="53"/>
  <c r="R52" i="53"/>
  <c r="V52" i="53"/>
  <c r="W41" i="53"/>
  <c r="Z41" i="53"/>
  <c r="P38" i="53"/>
  <c r="O38" i="53"/>
  <c r="F52" i="53"/>
  <c r="N38" i="53"/>
  <c r="Z38" i="53"/>
  <c r="P49" i="53"/>
  <c r="O49" i="53"/>
  <c r="N28" i="53"/>
  <c r="Z44" i="53"/>
  <c r="O28" i="53"/>
  <c r="X37" i="53"/>
  <c r="L43" i="53"/>
  <c r="Z46" i="53"/>
  <c r="X49" i="53"/>
  <c r="Y37" i="53"/>
  <c r="M43" i="53"/>
  <c r="Y49" i="53"/>
  <c r="R51" i="53"/>
  <c r="V50" i="52"/>
  <c r="U50" i="52"/>
  <c r="T50" i="52"/>
  <c r="S50" i="52"/>
  <c r="R50" i="52"/>
  <c r="V49" i="52"/>
  <c r="U49" i="52"/>
  <c r="T49" i="52"/>
  <c r="S49" i="52"/>
  <c r="R49" i="52"/>
  <c r="V47" i="52"/>
  <c r="U47" i="52"/>
  <c r="T47" i="52"/>
  <c r="S47" i="52"/>
  <c r="R47" i="52"/>
  <c r="V46" i="52"/>
  <c r="U46" i="52"/>
  <c r="T46" i="52"/>
  <c r="S46" i="52"/>
  <c r="R46" i="52"/>
  <c r="V44" i="52"/>
  <c r="U44" i="52"/>
  <c r="T44" i="52"/>
  <c r="S44" i="52"/>
  <c r="R44" i="52"/>
  <c r="V43" i="52"/>
  <c r="U43" i="52"/>
  <c r="T43" i="52"/>
  <c r="Y43" i="52" s="1"/>
  <c r="S43" i="52"/>
  <c r="R43" i="52"/>
  <c r="V41" i="52"/>
  <c r="U41" i="52"/>
  <c r="T41" i="52"/>
  <c r="S41" i="52"/>
  <c r="R41" i="52"/>
  <c r="V40" i="52"/>
  <c r="U40" i="52"/>
  <c r="T40" i="52"/>
  <c r="S40" i="52"/>
  <c r="R40" i="52"/>
  <c r="V38" i="52"/>
  <c r="U38" i="52"/>
  <c r="T38" i="52"/>
  <c r="S38" i="52"/>
  <c r="R38" i="52"/>
  <c r="V37" i="52"/>
  <c r="U37" i="52"/>
  <c r="T37" i="52"/>
  <c r="S37" i="52"/>
  <c r="R37" i="52"/>
  <c r="AF52" i="52"/>
  <c r="AE52" i="52"/>
  <c r="AD52" i="52"/>
  <c r="AC52" i="52"/>
  <c r="AF51" i="52"/>
  <c r="AE51" i="52"/>
  <c r="AD51" i="52"/>
  <c r="AC51" i="52"/>
  <c r="AA50" i="52"/>
  <c r="F50" i="52"/>
  <c r="L50" i="52" s="1"/>
  <c r="F49" i="52"/>
  <c r="N49" i="52" s="1"/>
  <c r="X47" i="52"/>
  <c r="F47" i="52"/>
  <c r="P47" i="52" s="1"/>
  <c r="F46" i="52"/>
  <c r="F44" i="52"/>
  <c r="M44" i="52" s="1"/>
  <c r="F43" i="52"/>
  <c r="L43" i="52" s="1"/>
  <c r="F41" i="52"/>
  <c r="N41" i="52" s="1"/>
  <c r="F40" i="52"/>
  <c r="N40" i="52" s="1"/>
  <c r="AA38" i="52"/>
  <c r="J52" i="52"/>
  <c r="G52" i="52"/>
  <c r="F38" i="52"/>
  <c r="F37" i="52"/>
  <c r="L37" i="52" s="1"/>
  <c r="AF28" i="52"/>
  <c r="AE28" i="52"/>
  <c r="AD28" i="52"/>
  <c r="AC28" i="52"/>
  <c r="AB28" i="52"/>
  <c r="K28" i="52"/>
  <c r="J28" i="52"/>
  <c r="I28" i="52"/>
  <c r="H28" i="52"/>
  <c r="G28" i="52"/>
  <c r="F28" i="52"/>
  <c r="AF27" i="52"/>
  <c r="AE27" i="52"/>
  <c r="AD27" i="52"/>
  <c r="AC27" i="52"/>
  <c r="AB27" i="52"/>
  <c r="K27" i="52"/>
  <c r="J27" i="52"/>
  <c r="I27" i="52"/>
  <c r="H27" i="52"/>
  <c r="G27" i="52"/>
  <c r="F27" i="52"/>
  <c r="P27" i="52" s="1"/>
  <c r="P26" i="52"/>
  <c r="O26" i="52"/>
  <c r="N26" i="52"/>
  <c r="M26" i="52"/>
  <c r="L26" i="52"/>
  <c r="P25" i="52"/>
  <c r="O25" i="52"/>
  <c r="N25" i="52"/>
  <c r="M25" i="52"/>
  <c r="L25" i="52"/>
  <c r="P23" i="52"/>
  <c r="O23" i="52"/>
  <c r="N23" i="52"/>
  <c r="M23" i="52"/>
  <c r="L23" i="52"/>
  <c r="P22" i="52"/>
  <c r="O22" i="52"/>
  <c r="N22" i="52"/>
  <c r="M22" i="52"/>
  <c r="L22" i="52"/>
  <c r="P20" i="52"/>
  <c r="O20" i="52"/>
  <c r="N20" i="52"/>
  <c r="M20" i="52"/>
  <c r="L20" i="52"/>
  <c r="P19" i="52"/>
  <c r="O19" i="52"/>
  <c r="N19" i="52"/>
  <c r="M19" i="52"/>
  <c r="L19" i="52"/>
  <c r="P17" i="52"/>
  <c r="O17" i="52"/>
  <c r="N17" i="52"/>
  <c r="M17" i="52"/>
  <c r="L17" i="52"/>
  <c r="P16" i="52"/>
  <c r="O16" i="52"/>
  <c r="N16" i="52"/>
  <c r="M16" i="52"/>
  <c r="L16" i="52"/>
  <c r="P14" i="52"/>
  <c r="O14" i="52"/>
  <c r="N14" i="52"/>
  <c r="M14" i="52"/>
  <c r="L14" i="52"/>
  <c r="P13" i="52"/>
  <c r="O13" i="52"/>
  <c r="N13" i="52"/>
  <c r="M13" i="52"/>
  <c r="L13" i="52"/>
  <c r="Q9" i="52"/>
  <c r="F9" i="52"/>
  <c r="F33" i="52" s="1"/>
  <c r="V50" i="51"/>
  <c r="U50" i="51"/>
  <c r="T50" i="51"/>
  <c r="S50" i="51"/>
  <c r="R50" i="51"/>
  <c r="V49" i="51"/>
  <c r="U49" i="51"/>
  <c r="T49" i="51"/>
  <c r="S49" i="51"/>
  <c r="R49" i="51"/>
  <c r="V47" i="51"/>
  <c r="U47" i="51"/>
  <c r="T47" i="51"/>
  <c r="S47" i="51"/>
  <c r="R47" i="51"/>
  <c r="V46" i="51"/>
  <c r="U46" i="51"/>
  <c r="T46" i="51"/>
  <c r="S46" i="51"/>
  <c r="R46" i="51"/>
  <c r="V44" i="51"/>
  <c r="U44" i="51"/>
  <c r="T44" i="51"/>
  <c r="S44" i="51"/>
  <c r="R44" i="51"/>
  <c r="V43" i="51"/>
  <c r="U43" i="51"/>
  <c r="T43" i="51"/>
  <c r="S43" i="51"/>
  <c r="R43" i="51"/>
  <c r="V41" i="51"/>
  <c r="U41" i="51"/>
  <c r="T41" i="51"/>
  <c r="S41" i="51"/>
  <c r="R41" i="51"/>
  <c r="V40" i="51"/>
  <c r="U40" i="51"/>
  <c r="T40" i="51"/>
  <c r="S40" i="51"/>
  <c r="R40" i="51"/>
  <c r="V38" i="51"/>
  <c r="U38" i="51"/>
  <c r="Z38" i="51" s="1"/>
  <c r="T38" i="51"/>
  <c r="S38" i="51"/>
  <c r="R38" i="51"/>
  <c r="V37" i="51"/>
  <c r="U37" i="51"/>
  <c r="T37" i="51"/>
  <c r="S37" i="51"/>
  <c r="R37" i="51"/>
  <c r="AF52" i="51"/>
  <c r="AE52" i="51"/>
  <c r="AD52" i="51"/>
  <c r="AC52" i="51"/>
  <c r="AF51" i="51"/>
  <c r="AE51" i="51"/>
  <c r="AD51" i="51"/>
  <c r="AC51" i="51"/>
  <c r="K50" i="51"/>
  <c r="J50" i="51"/>
  <c r="I50" i="51"/>
  <c r="H50" i="51"/>
  <c r="G50" i="51"/>
  <c r="F50" i="51"/>
  <c r="K49" i="51"/>
  <c r="J49" i="51"/>
  <c r="I49" i="51"/>
  <c r="H49" i="51"/>
  <c r="G49" i="51"/>
  <c r="F49" i="51"/>
  <c r="K47" i="51"/>
  <c r="J47" i="51"/>
  <c r="I47" i="51"/>
  <c r="H47" i="51"/>
  <c r="G47" i="51"/>
  <c r="AA47" i="51" s="1"/>
  <c r="F47" i="51"/>
  <c r="K46" i="51"/>
  <c r="J46" i="51"/>
  <c r="I46" i="51"/>
  <c r="H46" i="51"/>
  <c r="G46" i="51"/>
  <c r="F46" i="51"/>
  <c r="J44" i="51"/>
  <c r="I44" i="51"/>
  <c r="H44" i="51"/>
  <c r="F44" i="51"/>
  <c r="K43" i="51"/>
  <c r="J43" i="51"/>
  <c r="I43" i="51"/>
  <c r="H43" i="51"/>
  <c r="G43" i="51"/>
  <c r="F43" i="51"/>
  <c r="N43" i="51" s="1"/>
  <c r="K41" i="51"/>
  <c r="J41" i="51"/>
  <c r="I41" i="51"/>
  <c r="H41" i="51"/>
  <c r="G41" i="51"/>
  <c r="F41" i="51"/>
  <c r="K40" i="51"/>
  <c r="J40" i="51"/>
  <c r="I40" i="51"/>
  <c r="H40" i="51"/>
  <c r="M40" i="51" s="1"/>
  <c r="G40" i="51"/>
  <c r="F40" i="51"/>
  <c r="K38" i="51"/>
  <c r="J38" i="51"/>
  <c r="I38" i="51"/>
  <c r="H38" i="51"/>
  <c r="G38" i="51"/>
  <c r="F38" i="51"/>
  <c r="K37" i="51"/>
  <c r="J37" i="51"/>
  <c r="I37" i="51"/>
  <c r="H37" i="51"/>
  <c r="G37" i="51"/>
  <c r="F37" i="51"/>
  <c r="AF28" i="51"/>
  <c r="AE28" i="51"/>
  <c r="AD28" i="51"/>
  <c r="AC28" i="51"/>
  <c r="AB28" i="51"/>
  <c r="K28" i="51"/>
  <c r="J28" i="51"/>
  <c r="I28" i="51"/>
  <c r="H28" i="51"/>
  <c r="F28" i="51"/>
  <c r="AF27" i="51"/>
  <c r="AE27" i="51"/>
  <c r="AD27" i="51"/>
  <c r="AC27" i="51"/>
  <c r="AB27" i="51"/>
  <c r="K27" i="51"/>
  <c r="J27" i="51"/>
  <c r="I27" i="51"/>
  <c r="H27" i="51"/>
  <c r="G27" i="51"/>
  <c r="F27" i="51"/>
  <c r="P26" i="51"/>
  <c r="O26" i="51"/>
  <c r="N26" i="51"/>
  <c r="M26" i="51"/>
  <c r="L26" i="51"/>
  <c r="P25" i="51"/>
  <c r="O25" i="51"/>
  <c r="N25" i="51"/>
  <c r="M25" i="51"/>
  <c r="L25" i="51"/>
  <c r="P23" i="51"/>
  <c r="O23" i="51"/>
  <c r="N23" i="51"/>
  <c r="M23" i="51"/>
  <c r="L23" i="51"/>
  <c r="P22" i="51"/>
  <c r="O22" i="51"/>
  <c r="N22" i="51"/>
  <c r="M22" i="51"/>
  <c r="L22" i="51"/>
  <c r="P20" i="51"/>
  <c r="O20" i="51"/>
  <c r="N20" i="51"/>
  <c r="M20" i="51"/>
  <c r="L20" i="51"/>
  <c r="K44" i="51"/>
  <c r="G44" i="51"/>
  <c r="P19" i="51"/>
  <c r="O19" i="51"/>
  <c r="N19" i="51"/>
  <c r="M19" i="51"/>
  <c r="L19" i="51"/>
  <c r="P17" i="51"/>
  <c r="O17" i="51"/>
  <c r="N17" i="51"/>
  <c r="M17" i="51"/>
  <c r="L17" i="51"/>
  <c r="P16" i="51"/>
  <c r="O16" i="51"/>
  <c r="N16" i="51"/>
  <c r="M16" i="51"/>
  <c r="L16" i="51"/>
  <c r="P14" i="51"/>
  <c r="O14" i="51"/>
  <c r="N14" i="51"/>
  <c r="M14" i="51"/>
  <c r="L14" i="51"/>
  <c r="P13" i="51"/>
  <c r="O13" i="51"/>
  <c r="N13" i="51"/>
  <c r="M13" i="51"/>
  <c r="L13" i="51"/>
  <c r="Q9" i="51"/>
  <c r="F9" i="51"/>
  <c r="F33" i="51" s="1"/>
  <c r="K20" i="50"/>
  <c r="G20" i="50"/>
  <c r="Q51" i="53" l="1"/>
  <c r="W51" i="53" s="1"/>
  <c r="W37" i="53"/>
  <c r="AA51" i="53"/>
  <c r="Z51" i="53"/>
  <c r="Y51" i="53"/>
  <c r="X51" i="53"/>
  <c r="Q52" i="53"/>
  <c r="W52" i="53" s="1"/>
  <c r="W38" i="53"/>
  <c r="P51" i="53"/>
  <c r="N51" i="53"/>
  <c r="M51" i="53"/>
  <c r="O51" i="53"/>
  <c r="L51" i="53"/>
  <c r="Y52" i="53"/>
  <c r="X52" i="53"/>
  <c r="AA52" i="53"/>
  <c r="Z52" i="53"/>
  <c r="M52" i="53"/>
  <c r="P52" i="53"/>
  <c r="O52" i="53"/>
  <c r="N52" i="53"/>
  <c r="L52" i="53"/>
  <c r="O47" i="52"/>
  <c r="M43" i="52"/>
  <c r="L49" i="52"/>
  <c r="M49" i="52"/>
  <c r="L44" i="52"/>
  <c r="N28" i="52"/>
  <c r="O27" i="52"/>
  <c r="M37" i="52"/>
  <c r="L27" i="52"/>
  <c r="Y47" i="52"/>
  <c r="H52" i="52"/>
  <c r="T52" i="52"/>
  <c r="X43" i="52"/>
  <c r="AA44" i="52"/>
  <c r="U52" i="52"/>
  <c r="M40" i="52"/>
  <c r="V52" i="52"/>
  <c r="N37" i="52"/>
  <c r="L38" i="52"/>
  <c r="O41" i="52"/>
  <c r="X49" i="52"/>
  <c r="M50" i="52"/>
  <c r="M38" i="52"/>
  <c r="P41" i="52"/>
  <c r="S52" i="52"/>
  <c r="N46" i="52"/>
  <c r="L28" i="52"/>
  <c r="P28" i="52"/>
  <c r="O28" i="52"/>
  <c r="P37" i="52"/>
  <c r="K51" i="52"/>
  <c r="R52" i="52"/>
  <c r="P49" i="52"/>
  <c r="AA49" i="52"/>
  <c r="Z50" i="52"/>
  <c r="K52" i="52"/>
  <c r="X37" i="52"/>
  <c r="R51" i="52"/>
  <c r="I52" i="52"/>
  <c r="AA41" i="52"/>
  <c r="Z41" i="52"/>
  <c r="O43" i="52"/>
  <c r="Z43" i="52"/>
  <c r="L46" i="52"/>
  <c r="P46" i="52"/>
  <c r="AA46" i="52"/>
  <c r="Y46" i="52"/>
  <c r="Z46" i="52"/>
  <c r="X46" i="52"/>
  <c r="S51" i="52"/>
  <c r="P43" i="52"/>
  <c r="AA43" i="52"/>
  <c r="Z44" i="52"/>
  <c r="O46" i="52"/>
  <c r="N27" i="52"/>
  <c r="L40" i="52"/>
  <c r="P40" i="52"/>
  <c r="O40" i="52"/>
  <c r="X41" i="52"/>
  <c r="Y49" i="52"/>
  <c r="F51" i="52"/>
  <c r="M28" i="52"/>
  <c r="I51" i="52"/>
  <c r="T51" i="52"/>
  <c r="AA40" i="52"/>
  <c r="Y40" i="52"/>
  <c r="X40" i="52"/>
  <c r="Z40" i="52"/>
  <c r="Y41" i="52"/>
  <c r="N47" i="52"/>
  <c r="G51" i="52"/>
  <c r="O37" i="52"/>
  <c r="J51" i="52"/>
  <c r="Z37" i="52"/>
  <c r="N43" i="52"/>
  <c r="M46" i="52"/>
  <c r="AA47" i="52"/>
  <c r="Z47" i="52"/>
  <c r="O49" i="52"/>
  <c r="Z49" i="52"/>
  <c r="N38" i="52"/>
  <c r="N44" i="52"/>
  <c r="N50" i="52"/>
  <c r="H51" i="52"/>
  <c r="F52" i="52"/>
  <c r="O38" i="52"/>
  <c r="O44" i="52"/>
  <c r="O50" i="52"/>
  <c r="M27" i="52"/>
  <c r="P38" i="52"/>
  <c r="X38" i="52"/>
  <c r="L41" i="52"/>
  <c r="P44" i="52"/>
  <c r="X44" i="52"/>
  <c r="L47" i="52"/>
  <c r="P50" i="52"/>
  <c r="X50" i="52"/>
  <c r="Y38" i="52"/>
  <c r="M41" i="52"/>
  <c r="Y44" i="52"/>
  <c r="M47" i="52"/>
  <c r="Y50" i="52"/>
  <c r="Z38" i="52"/>
  <c r="AA50" i="51"/>
  <c r="M49" i="51"/>
  <c r="L49" i="51"/>
  <c r="O49" i="51"/>
  <c r="M47" i="51"/>
  <c r="M46" i="51"/>
  <c r="O46" i="51"/>
  <c r="P46" i="51"/>
  <c r="M43" i="51"/>
  <c r="N41" i="51"/>
  <c r="M28" i="51"/>
  <c r="M41" i="51"/>
  <c r="F51" i="51"/>
  <c r="P51" i="51" s="1"/>
  <c r="P28" i="51"/>
  <c r="O37" i="51"/>
  <c r="P37" i="51"/>
  <c r="M37" i="51"/>
  <c r="S52" i="51"/>
  <c r="L27" i="51"/>
  <c r="G51" i="51"/>
  <c r="K51" i="51"/>
  <c r="Z41" i="51"/>
  <c r="O43" i="51"/>
  <c r="P49" i="51"/>
  <c r="I51" i="51"/>
  <c r="O38" i="51"/>
  <c r="L40" i="51"/>
  <c r="P43" i="51"/>
  <c r="L46" i="51"/>
  <c r="N49" i="51"/>
  <c r="AA41" i="51"/>
  <c r="O28" i="51"/>
  <c r="H52" i="51"/>
  <c r="O40" i="51"/>
  <c r="X40" i="51"/>
  <c r="N46" i="51"/>
  <c r="Y50" i="51"/>
  <c r="I52" i="51"/>
  <c r="O50" i="51"/>
  <c r="T51" i="51"/>
  <c r="J51" i="51"/>
  <c r="O44" i="51"/>
  <c r="U51" i="51"/>
  <c r="Y40" i="51"/>
  <c r="Z40" i="51"/>
  <c r="Y46" i="51"/>
  <c r="X46" i="51"/>
  <c r="U52" i="51"/>
  <c r="L51" i="51"/>
  <c r="K52" i="51"/>
  <c r="Y44" i="51"/>
  <c r="AA44" i="51"/>
  <c r="Z44" i="51"/>
  <c r="X44" i="51"/>
  <c r="G52" i="51"/>
  <c r="V52" i="51"/>
  <c r="AA43" i="51"/>
  <c r="Z43" i="51"/>
  <c r="Y43" i="51"/>
  <c r="L37" i="51"/>
  <c r="P40" i="51"/>
  <c r="L43" i="51"/>
  <c r="N50" i="51"/>
  <c r="M27" i="51"/>
  <c r="N37" i="51"/>
  <c r="P38" i="51"/>
  <c r="X38" i="51"/>
  <c r="L41" i="51"/>
  <c r="P44" i="51"/>
  <c r="L47" i="51"/>
  <c r="P50" i="51"/>
  <c r="X50" i="51"/>
  <c r="N47" i="51"/>
  <c r="Z50" i="51"/>
  <c r="J52" i="51"/>
  <c r="R52" i="51"/>
  <c r="O27" i="51"/>
  <c r="P27" i="51"/>
  <c r="AA38" i="51"/>
  <c r="O41" i="51"/>
  <c r="O47" i="51"/>
  <c r="N27" i="51"/>
  <c r="N28" i="51"/>
  <c r="L38" i="51"/>
  <c r="N40" i="51"/>
  <c r="AA40" i="51"/>
  <c r="P41" i="51"/>
  <c r="X41" i="51"/>
  <c r="L44" i="51"/>
  <c r="AA46" i="51"/>
  <c r="P47" i="51"/>
  <c r="L50" i="51"/>
  <c r="G28" i="51"/>
  <c r="L28" i="51" s="1"/>
  <c r="M38" i="51"/>
  <c r="Y41" i="51"/>
  <c r="X43" i="51"/>
  <c r="M44" i="51"/>
  <c r="Y47" i="51"/>
  <c r="M50" i="51"/>
  <c r="Z47" i="51"/>
  <c r="H51" i="51"/>
  <c r="F52" i="51"/>
  <c r="N38" i="51"/>
  <c r="N44" i="51"/>
  <c r="U50" i="50"/>
  <c r="T50" i="50"/>
  <c r="V47" i="50"/>
  <c r="T46" i="50"/>
  <c r="S46" i="50"/>
  <c r="V43" i="50"/>
  <c r="U43" i="50"/>
  <c r="S41" i="50"/>
  <c r="T38" i="50"/>
  <c r="S38" i="50"/>
  <c r="R37" i="50"/>
  <c r="AF52" i="50"/>
  <c r="AE52" i="50"/>
  <c r="AD52" i="50"/>
  <c r="AC52" i="50"/>
  <c r="AF51" i="50"/>
  <c r="AE51" i="50"/>
  <c r="AD51" i="50"/>
  <c r="AC51" i="50"/>
  <c r="K50" i="50"/>
  <c r="V50" i="50" s="1"/>
  <c r="J50" i="50"/>
  <c r="I50" i="50"/>
  <c r="H50" i="50"/>
  <c r="S50" i="50" s="1"/>
  <c r="G50" i="50"/>
  <c r="R50" i="50" s="1"/>
  <c r="F50" i="50"/>
  <c r="K49" i="50"/>
  <c r="V49" i="50" s="1"/>
  <c r="J49" i="50"/>
  <c r="U49" i="50" s="1"/>
  <c r="I49" i="50"/>
  <c r="T49" i="50" s="1"/>
  <c r="H49" i="50"/>
  <c r="S49" i="50" s="1"/>
  <c r="G49" i="50"/>
  <c r="R49" i="50" s="1"/>
  <c r="AA49" i="50" s="1"/>
  <c r="F49" i="50"/>
  <c r="M49" i="50" s="1"/>
  <c r="K47" i="50"/>
  <c r="J47" i="50"/>
  <c r="U47" i="50" s="1"/>
  <c r="I47" i="50"/>
  <c r="T47" i="50" s="1"/>
  <c r="H47" i="50"/>
  <c r="S47" i="50" s="1"/>
  <c r="G47" i="50"/>
  <c r="R47" i="50" s="1"/>
  <c r="F47" i="50"/>
  <c r="K46" i="50"/>
  <c r="V46" i="50" s="1"/>
  <c r="J46" i="50"/>
  <c r="U46" i="50" s="1"/>
  <c r="I46" i="50"/>
  <c r="H46" i="50"/>
  <c r="G46" i="50"/>
  <c r="R46" i="50" s="1"/>
  <c r="F46" i="50"/>
  <c r="K44" i="50"/>
  <c r="V44" i="50" s="1"/>
  <c r="J44" i="50"/>
  <c r="U44" i="50" s="1"/>
  <c r="I44" i="50"/>
  <c r="T44" i="50" s="1"/>
  <c r="H44" i="50"/>
  <c r="S44" i="50" s="1"/>
  <c r="G44" i="50"/>
  <c r="F44" i="50"/>
  <c r="K43" i="50"/>
  <c r="J43" i="50"/>
  <c r="I43" i="50"/>
  <c r="T43" i="50" s="1"/>
  <c r="H43" i="50"/>
  <c r="S43" i="50" s="1"/>
  <c r="G43" i="50"/>
  <c r="R43" i="50" s="1"/>
  <c r="AA43" i="50" s="1"/>
  <c r="F43" i="50"/>
  <c r="K41" i="50"/>
  <c r="V41" i="50" s="1"/>
  <c r="J41" i="50"/>
  <c r="U41" i="50" s="1"/>
  <c r="I41" i="50"/>
  <c r="T41" i="50" s="1"/>
  <c r="H41" i="50"/>
  <c r="G41" i="50"/>
  <c r="F41" i="50"/>
  <c r="K40" i="50"/>
  <c r="V40" i="50" s="1"/>
  <c r="J40" i="50"/>
  <c r="U40" i="50" s="1"/>
  <c r="I40" i="50"/>
  <c r="T40" i="50" s="1"/>
  <c r="H40" i="50"/>
  <c r="S40" i="50" s="1"/>
  <c r="G40" i="50"/>
  <c r="R40" i="50" s="1"/>
  <c r="F40" i="50"/>
  <c r="M40" i="50" s="1"/>
  <c r="K38" i="50"/>
  <c r="V38" i="50" s="1"/>
  <c r="J38" i="50"/>
  <c r="U38" i="50" s="1"/>
  <c r="I38" i="50"/>
  <c r="H38" i="50"/>
  <c r="G38" i="50"/>
  <c r="R38" i="50" s="1"/>
  <c r="AA38" i="50" s="1"/>
  <c r="F38" i="50"/>
  <c r="O38" i="50" s="1"/>
  <c r="K37" i="50"/>
  <c r="K51" i="50" s="1"/>
  <c r="J37" i="50"/>
  <c r="U37" i="50" s="1"/>
  <c r="I37" i="50"/>
  <c r="T37" i="50" s="1"/>
  <c r="H37" i="50"/>
  <c r="S37" i="50" s="1"/>
  <c r="G37" i="50"/>
  <c r="F37" i="50"/>
  <c r="AF28" i="50"/>
  <c r="AE28" i="50"/>
  <c r="AD28" i="50"/>
  <c r="AC28" i="50"/>
  <c r="AB28" i="50"/>
  <c r="K28" i="50"/>
  <c r="J28" i="50"/>
  <c r="I28" i="50"/>
  <c r="H28" i="50"/>
  <c r="G28" i="50"/>
  <c r="F28" i="50"/>
  <c r="P28" i="50" s="1"/>
  <c r="AF27" i="50"/>
  <c r="AE27" i="50"/>
  <c r="AD27" i="50"/>
  <c r="AC27" i="50"/>
  <c r="AB27" i="50"/>
  <c r="K27" i="50"/>
  <c r="J27" i="50"/>
  <c r="I27" i="50"/>
  <c r="H27" i="50"/>
  <c r="G27" i="50"/>
  <c r="F27" i="50"/>
  <c r="P26" i="50"/>
  <c r="O26" i="50"/>
  <c r="N26" i="50"/>
  <c r="M26" i="50"/>
  <c r="L26" i="50"/>
  <c r="P25" i="50"/>
  <c r="O25" i="50"/>
  <c r="N25" i="50"/>
  <c r="M25" i="50"/>
  <c r="L25" i="50"/>
  <c r="P23" i="50"/>
  <c r="O23" i="50"/>
  <c r="N23" i="50"/>
  <c r="M23" i="50"/>
  <c r="L23" i="50"/>
  <c r="P22" i="50"/>
  <c r="O22" i="50"/>
  <c r="N22" i="50"/>
  <c r="M22" i="50"/>
  <c r="L22" i="50"/>
  <c r="P20" i="50"/>
  <c r="O20" i="50"/>
  <c r="N20" i="50"/>
  <c r="M20" i="50"/>
  <c r="L20" i="50"/>
  <c r="P19" i="50"/>
  <c r="O19" i="50"/>
  <c r="N19" i="50"/>
  <c r="M19" i="50"/>
  <c r="L19" i="50"/>
  <c r="P17" i="50"/>
  <c r="O17" i="50"/>
  <c r="N17" i="50"/>
  <c r="M17" i="50"/>
  <c r="L17" i="50"/>
  <c r="P16" i="50"/>
  <c r="O16" i="50"/>
  <c r="N16" i="50"/>
  <c r="M16" i="50"/>
  <c r="L16" i="50"/>
  <c r="P14" i="50"/>
  <c r="O14" i="50"/>
  <c r="N14" i="50"/>
  <c r="M14" i="50"/>
  <c r="L14" i="50"/>
  <c r="P13" i="50"/>
  <c r="O13" i="50"/>
  <c r="N13" i="50"/>
  <c r="M13" i="50"/>
  <c r="L13" i="50"/>
  <c r="Q9" i="50"/>
  <c r="F9" i="50"/>
  <c r="F33" i="50" s="1"/>
  <c r="Y37" i="52" l="1"/>
  <c r="V51" i="52"/>
  <c r="AA51" i="52" s="1"/>
  <c r="L51" i="52"/>
  <c r="P51" i="52"/>
  <c r="M51" i="52"/>
  <c r="O51" i="52"/>
  <c r="N51" i="52"/>
  <c r="AA52" i="52"/>
  <c r="Z52" i="52"/>
  <c r="Y52" i="52"/>
  <c r="X52" i="52"/>
  <c r="X51" i="52"/>
  <c r="Y51" i="52"/>
  <c r="O52" i="52"/>
  <c r="P52" i="52"/>
  <c r="N52" i="52"/>
  <c r="M52" i="52"/>
  <c r="L52" i="52"/>
  <c r="AA37" i="52"/>
  <c r="U51" i="52"/>
  <c r="Z51" i="52" s="1"/>
  <c r="N51" i="51"/>
  <c r="M51" i="51"/>
  <c r="O51" i="51"/>
  <c r="X47" i="51"/>
  <c r="S51" i="51"/>
  <c r="Z46" i="51"/>
  <c r="AA49" i="51"/>
  <c r="Z49" i="51"/>
  <c r="Y49" i="51"/>
  <c r="X49" i="51"/>
  <c r="AA37" i="51"/>
  <c r="X37" i="51"/>
  <c r="Z37" i="51"/>
  <c r="Y37" i="51"/>
  <c r="R51" i="51"/>
  <c r="AA52" i="51"/>
  <c r="Z52" i="51"/>
  <c r="X52" i="51"/>
  <c r="V51" i="51"/>
  <c r="T52" i="51"/>
  <c r="Y52" i="51" s="1"/>
  <c r="Y38" i="51"/>
  <c r="O52" i="51"/>
  <c r="N52" i="51"/>
  <c r="M52" i="51"/>
  <c r="L52" i="51"/>
  <c r="P52" i="51"/>
  <c r="L44" i="50"/>
  <c r="L41" i="50"/>
  <c r="T52" i="50"/>
  <c r="Y40" i="50"/>
  <c r="P44" i="50"/>
  <c r="M37" i="50"/>
  <c r="O44" i="50"/>
  <c r="Y46" i="50"/>
  <c r="V37" i="50"/>
  <c r="V51" i="50" s="1"/>
  <c r="H51" i="50"/>
  <c r="I52" i="50"/>
  <c r="O50" i="50"/>
  <c r="I51" i="50"/>
  <c r="M43" i="50"/>
  <c r="X50" i="50"/>
  <c r="L47" i="50"/>
  <c r="L46" i="50"/>
  <c r="R44" i="50"/>
  <c r="X44" i="50" s="1"/>
  <c r="X43" i="50"/>
  <c r="G52" i="50"/>
  <c r="R41" i="50"/>
  <c r="AA41" i="50" s="1"/>
  <c r="G51" i="50"/>
  <c r="L27" i="50"/>
  <c r="L40" i="50"/>
  <c r="L50" i="50"/>
  <c r="P50" i="50"/>
  <c r="M28" i="50"/>
  <c r="M27" i="50"/>
  <c r="L38" i="50"/>
  <c r="P38" i="50"/>
  <c r="L28" i="50"/>
  <c r="O27" i="50"/>
  <c r="P27" i="50"/>
  <c r="V52" i="50"/>
  <c r="Y41" i="50"/>
  <c r="X41" i="50"/>
  <c r="S52" i="50"/>
  <c r="X38" i="50"/>
  <c r="AA47" i="50"/>
  <c r="Z47" i="50"/>
  <c r="Y47" i="50"/>
  <c r="X47" i="50"/>
  <c r="AA50" i="50"/>
  <c r="U51" i="50"/>
  <c r="U52" i="50"/>
  <c r="N37" i="50"/>
  <c r="Z40" i="50"/>
  <c r="N43" i="50"/>
  <c r="Z46" i="50"/>
  <c r="N49" i="50"/>
  <c r="J51" i="50"/>
  <c r="R51" i="50"/>
  <c r="H52" i="50"/>
  <c r="N27" i="50"/>
  <c r="O37" i="50"/>
  <c r="Y38" i="50"/>
  <c r="AA40" i="50"/>
  <c r="M41" i="50"/>
  <c r="O43" i="50"/>
  <c r="AA46" i="50"/>
  <c r="M47" i="50"/>
  <c r="O49" i="50"/>
  <c r="Y50" i="50"/>
  <c r="P37" i="50"/>
  <c r="Z38" i="50"/>
  <c r="N41" i="50"/>
  <c r="P43" i="50"/>
  <c r="N47" i="50"/>
  <c r="P49" i="50"/>
  <c r="X49" i="50"/>
  <c r="Z50" i="50"/>
  <c r="J52" i="50"/>
  <c r="R52" i="50"/>
  <c r="O41" i="50"/>
  <c r="Y43" i="50"/>
  <c r="M46" i="50"/>
  <c r="O47" i="50"/>
  <c r="Y49" i="50"/>
  <c r="K52" i="50"/>
  <c r="N28" i="50"/>
  <c r="Z37" i="50"/>
  <c r="N40" i="50"/>
  <c r="P41" i="50"/>
  <c r="Z43" i="50"/>
  <c r="N46" i="50"/>
  <c r="P47" i="50"/>
  <c r="Z49" i="50"/>
  <c r="F51" i="50"/>
  <c r="O28" i="50"/>
  <c r="M38" i="50"/>
  <c r="O40" i="50"/>
  <c r="M44" i="50"/>
  <c r="O46" i="50"/>
  <c r="M50" i="50"/>
  <c r="L37" i="50"/>
  <c r="N38" i="50"/>
  <c r="P40" i="50"/>
  <c r="X40" i="50"/>
  <c r="L43" i="50"/>
  <c r="N44" i="50"/>
  <c r="P46" i="50"/>
  <c r="X46" i="50"/>
  <c r="L49" i="50"/>
  <c r="N50" i="50"/>
  <c r="F52" i="50"/>
  <c r="Y51" i="51" l="1"/>
  <c r="X51" i="51"/>
  <c r="AA51" i="51"/>
  <c r="Z51" i="51"/>
  <c r="AA44" i="50"/>
  <c r="Z41" i="50"/>
  <c r="Z44" i="50"/>
  <c r="AA37" i="50"/>
  <c r="Y44" i="50"/>
  <c r="X37" i="50"/>
  <c r="S51" i="50"/>
  <c r="X51" i="50" s="1"/>
  <c r="AA52" i="50"/>
  <c r="Z52" i="50"/>
  <c r="Y52" i="50"/>
  <c r="X52" i="50"/>
  <c r="AA51" i="50"/>
  <c r="Z51" i="50"/>
  <c r="O52" i="50"/>
  <c r="N52" i="50"/>
  <c r="M52" i="50"/>
  <c r="L52" i="50"/>
  <c r="P52" i="50"/>
  <c r="P51" i="50"/>
  <c r="O51" i="50"/>
  <c r="N51" i="50"/>
  <c r="M51" i="50"/>
  <c r="L51" i="50"/>
  <c r="Y37" i="50"/>
  <c r="T51" i="50"/>
  <c r="Y51" i="50" s="1"/>
  <c r="V50" i="49" l="1"/>
  <c r="V49" i="49"/>
  <c r="V47" i="49"/>
  <c r="V46" i="49"/>
  <c r="V44" i="49"/>
  <c r="V43" i="49"/>
  <c r="V41" i="49"/>
  <c r="V40" i="49"/>
  <c r="V38" i="49"/>
  <c r="V37" i="49"/>
  <c r="U50" i="49"/>
  <c r="U49" i="49"/>
  <c r="U47" i="49"/>
  <c r="U46" i="49"/>
  <c r="U44" i="49"/>
  <c r="U43" i="49"/>
  <c r="U41" i="49"/>
  <c r="U40" i="49"/>
  <c r="U38" i="49"/>
  <c r="U37" i="49"/>
  <c r="T50" i="49"/>
  <c r="T49" i="49"/>
  <c r="T47" i="49"/>
  <c r="T46" i="49"/>
  <c r="T44" i="49"/>
  <c r="T43" i="49"/>
  <c r="T41" i="49"/>
  <c r="T40" i="49"/>
  <c r="T38" i="49"/>
  <c r="T37" i="49"/>
  <c r="S50" i="49"/>
  <c r="S49" i="49"/>
  <c r="S47" i="49"/>
  <c r="S46" i="49"/>
  <c r="S44" i="49"/>
  <c r="S43" i="49"/>
  <c r="S41" i="49"/>
  <c r="S40" i="49"/>
  <c r="S38" i="49"/>
  <c r="S37" i="49"/>
  <c r="R50" i="49"/>
  <c r="R49" i="49"/>
  <c r="R47" i="49"/>
  <c r="R46" i="49"/>
  <c r="R44" i="49"/>
  <c r="R43" i="49"/>
  <c r="R41" i="49"/>
  <c r="R40" i="49"/>
  <c r="R38" i="49"/>
  <c r="R37" i="49"/>
  <c r="AF52" i="49" l="1"/>
  <c r="AE52" i="49"/>
  <c r="AD52" i="49"/>
  <c r="AC52" i="49"/>
  <c r="AF51" i="49"/>
  <c r="AE51" i="49"/>
  <c r="AD51" i="49"/>
  <c r="AC51" i="49"/>
  <c r="K50" i="49"/>
  <c r="J50" i="49"/>
  <c r="I50" i="49"/>
  <c r="H50" i="49"/>
  <c r="G50" i="49"/>
  <c r="F50" i="49"/>
  <c r="O50" i="49" s="1"/>
  <c r="AA49" i="49"/>
  <c r="K49" i="49"/>
  <c r="J49" i="49"/>
  <c r="I49" i="49"/>
  <c r="H49" i="49"/>
  <c r="G49" i="49"/>
  <c r="F49" i="49"/>
  <c r="M49" i="49" s="1"/>
  <c r="K47" i="49"/>
  <c r="J47" i="49"/>
  <c r="I47" i="49"/>
  <c r="H47" i="49"/>
  <c r="G47" i="49"/>
  <c r="F47" i="49"/>
  <c r="K46" i="49"/>
  <c r="J46" i="49"/>
  <c r="I46" i="49"/>
  <c r="H46" i="49"/>
  <c r="G46" i="49"/>
  <c r="F46" i="49"/>
  <c r="K44" i="49"/>
  <c r="J44" i="49"/>
  <c r="I44" i="49"/>
  <c r="H44" i="49"/>
  <c r="G44" i="49"/>
  <c r="F44" i="49"/>
  <c r="P44" i="49" s="1"/>
  <c r="K43" i="49"/>
  <c r="J43" i="49"/>
  <c r="I43" i="49"/>
  <c r="H43" i="49"/>
  <c r="G43" i="49"/>
  <c r="AA43" i="49" s="1"/>
  <c r="F43" i="49"/>
  <c r="M43" i="49" s="1"/>
  <c r="K41" i="49"/>
  <c r="J41" i="49"/>
  <c r="I41" i="49"/>
  <c r="H41" i="49"/>
  <c r="G41" i="49"/>
  <c r="F41" i="49"/>
  <c r="Y40" i="49"/>
  <c r="L40" i="49"/>
  <c r="K40" i="49"/>
  <c r="J40" i="49"/>
  <c r="I40" i="49"/>
  <c r="H40" i="49"/>
  <c r="G40" i="49"/>
  <c r="F40" i="49"/>
  <c r="AA38" i="49"/>
  <c r="K38" i="49"/>
  <c r="J38" i="49"/>
  <c r="I38" i="49"/>
  <c r="H38" i="49"/>
  <c r="G38" i="49"/>
  <c r="G52" i="49" s="1"/>
  <c r="F38" i="49"/>
  <c r="O38" i="49" s="1"/>
  <c r="K37" i="49"/>
  <c r="J37" i="49"/>
  <c r="I37" i="49"/>
  <c r="I51" i="49" s="1"/>
  <c r="H37" i="49"/>
  <c r="H51" i="49" s="1"/>
  <c r="G37" i="49"/>
  <c r="G51" i="49" s="1"/>
  <c r="F37" i="49"/>
  <c r="AF28" i="49"/>
  <c r="AE28" i="49"/>
  <c r="AD28" i="49"/>
  <c r="AC28" i="49"/>
  <c r="AB28" i="49"/>
  <c r="K28" i="49"/>
  <c r="J28" i="49"/>
  <c r="I28" i="49"/>
  <c r="H28" i="49"/>
  <c r="G28" i="49"/>
  <c r="F28" i="49"/>
  <c r="N28" i="49" s="1"/>
  <c r="AF27" i="49"/>
  <c r="AE27" i="49"/>
  <c r="AD27" i="49"/>
  <c r="AC27" i="49"/>
  <c r="AB27" i="49"/>
  <c r="K27" i="49"/>
  <c r="J27" i="49"/>
  <c r="I27" i="49"/>
  <c r="H27" i="49"/>
  <c r="G27" i="49"/>
  <c r="F27" i="49"/>
  <c r="L27" i="49" s="1"/>
  <c r="P26" i="49"/>
  <c r="O26" i="49"/>
  <c r="N26" i="49"/>
  <c r="M26" i="49"/>
  <c r="L26" i="49"/>
  <c r="P25" i="49"/>
  <c r="O25" i="49"/>
  <c r="N25" i="49"/>
  <c r="M25" i="49"/>
  <c r="L25" i="49"/>
  <c r="P23" i="49"/>
  <c r="O23" i="49"/>
  <c r="N23" i="49"/>
  <c r="M23" i="49"/>
  <c r="L23" i="49"/>
  <c r="P22" i="49"/>
  <c r="O22" i="49"/>
  <c r="N22" i="49"/>
  <c r="M22" i="49"/>
  <c r="L22" i="49"/>
  <c r="P20" i="49"/>
  <c r="O20" i="49"/>
  <c r="N20" i="49"/>
  <c r="M20" i="49"/>
  <c r="L20" i="49"/>
  <c r="P19" i="49"/>
  <c r="O19" i="49"/>
  <c r="N19" i="49"/>
  <c r="M19" i="49"/>
  <c r="L19" i="49"/>
  <c r="P17" i="49"/>
  <c r="O17" i="49"/>
  <c r="N17" i="49"/>
  <c r="M17" i="49"/>
  <c r="L17" i="49"/>
  <c r="P16" i="49"/>
  <c r="O16" i="49"/>
  <c r="N16" i="49"/>
  <c r="M16" i="49"/>
  <c r="L16" i="49"/>
  <c r="P14" i="49"/>
  <c r="O14" i="49"/>
  <c r="N14" i="49"/>
  <c r="M14" i="49"/>
  <c r="L14" i="49"/>
  <c r="P13" i="49"/>
  <c r="O13" i="49"/>
  <c r="N13" i="49"/>
  <c r="M13" i="49"/>
  <c r="L13" i="49"/>
  <c r="Q9" i="49"/>
  <c r="F9" i="49"/>
  <c r="F33" i="49" s="1"/>
  <c r="L50" i="49" l="1"/>
  <c r="P50" i="49"/>
  <c r="M27" i="49"/>
  <c r="V51" i="49"/>
  <c r="Y46" i="49"/>
  <c r="L28" i="49"/>
  <c r="M37" i="49"/>
  <c r="P38" i="49"/>
  <c r="P49" i="49"/>
  <c r="T52" i="49"/>
  <c r="P43" i="49"/>
  <c r="O27" i="49"/>
  <c r="I52" i="49"/>
  <c r="L44" i="49"/>
  <c r="X49" i="49"/>
  <c r="K51" i="49"/>
  <c r="U52" i="49"/>
  <c r="P37" i="49"/>
  <c r="O44" i="49"/>
  <c r="L46" i="49"/>
  <c r="Z37" i="49"/>
  <c r="L38" i="49"/>
  <c r="X43" i="49"/>
  <c r="V52" i="49"/>
  <c r="AA41" i="49"/>
  <c r="X41" i="49"/>
  <c r="Z41" i="49"/>
  <c r="Y41" i="49"/>
  <c r="AA44" i="49"/>
  <c r="S52" i="49"/>
  <c r="AA47" i="49"/>
  <c r="Z47" i="49"/>
  <c r="X47" i="49"/>
  <c r="Y47" i="49"/>
  <c r="AA50" i="49"/>
  <c r="U51" i="49"/>
  <c r="N37" i="49"/>
  <c r="X38" i="49"/>
  <c r="Z40" i="49"/>
  <c r="L41" i="49"/>
  <c r="N43" i="49"/>
  <c r="X44" i="49"/>
  <c r="Z46" i="49"/>
  <c r="L47" i="49"/>
  <c r="N49" i="49"/>
  <c r="X50" i="49"/>
  <c r="J51" i="49"/>
  <c r="R51" i="49"/>
  <c r="H52" i="49"/>
  <c r="P41" i="49"/>
  <c r="N27" i="49"/>
  <c r="O37" i="49"/>
  <c r="Y38" i="49"/>
  <c r="AA40" i="49"/>
  <c r="M41" i="49"/>
  <c r="O43" i="49"/>
  <c r="Y44" i="49"/>
  <c r="AA46" i="49"/>
  <c r="M47" i="49"/>
  <c r="O49" i="49"/>
  <c r="Y50" i="49"/>
  <c r="Z38" i="49"/>
  <c r="N41" i="49"/>
  <c r="Z44" i="49"/>
  <c r="N47" i="49"/>
  <c r="Z50" i="49"/>
  <c r="J52" i="49"/>
  <c r="R52" i="49"/>
  <c r="P27" i="49"/>
  <c r="M28" i="49"/>
  <c r="M40" i="49"/>
  <c r="O41" i="49"/>
  <c r="Y43" i="49"/>
  <c r="M46" i="49"/>
  <c r="O47" i="49"/>
  <c r="Y49" i="49"/>
  <c r="K52" i="49"/>
  <c r="Z43" i="49"/>
  <c r="P47" i="49"/>
  <c r="Z49" i="49"/>
  <c r="O28" i="49"/>
  <c r="M38" i="49"/>
  <c r="O40" i="49"/>
  <c r="M44" i="49"/>
  <c r="O46" i="49"/>
  <c r="M50" i="49"/>
  <c r="P28" i="49"/>
  <c r="L37" i="49"/>
  <c r="T51" i="49"/>
  <c r="N38" i="49"/>
  <c r="P40" i="49"/>
  <c r="X40" i="49"/>
  <c r="L43" i="49"/>
  <c r="N44" i="49"/>
  <c r="P46" i="49"/>
  <c r="X46" i="49"/>
  <c r="L49" i="49"/>
  <c r="N50" i="49"/>
  <c r="F52" i="49"/>
  <c r="N40" i="49"/>
  <c r="N46" i="49"/>
  <c r="F51" i="49"/>
  <c r="AA37" i="49" l="1"/>
  <c r="Y37" i="49"/>
  <c r="AA52" i="49"/>
  <c r="Z52" i="49"/>
  <c r="Y52" i="49"/>
  <c r="X52" i="49"/>
  <c r="N51" i="49"/>
  <c r="P51" i="49"/>
  <c r="O51" i="49"/>
  <c r="M51" i="49"/>
  <c r="L51" i="49"/>
  <c r="X37" i="49"/>
  <c r="S51" i="49"/>
  <c r="X51" i="49" s="1"/>
  <c r="O52" i="49"/>
  <c r="L52" i="49"/>
  <c r="N52" i="49"/>
  <c r="M52" i="49"/>
  <c r="P52" i="49"/>
  <c r="Y51" i="49"/>
  <c r="AA51" i="49"/>
  <c r="Z51" i="49"/>
  <c r="V50" i="45" l="1"/>
  <c r="V49" i="45"/>
  <c r="V47" i="45"/>
  <c r="V46" i="45"/>
  <c r="V44" i="45"/>
  <c r="V43" i="45"/>
  <c r="V41" i="45"/>
  <c r="V40" i="45"/>
  <c r="V38" i="45"/>
  <c r="V37" i="45"/>
  <c r="V50" i="46"/>
  <c r="V49" i="46"/>
  <c r="V47" i="46"/>
  <c r="V46" i="46"/>
  <c r="V44" i="46"/>
  <c r="V43" i="46"/>
  <c r="V41" i="46"/>
  <c r="V40" i="46"/>
  <c r="V38" i="46"/>
  <c r="V37" i="46"/>
  <c r="U37" i="46"/>
  <c r="U50" i="45"/>
  <c r="U49" i="45"/>
  <c r="U47" i="45"/>
  <c r="U46" i="45"/>
  <c r="U44" i="45"/>
  <c r="U43" i="45"/>
  <c r="U41" i="45"/>
  <c r="U40" i="45"/>
  <c r="U38" i="45"/>
  <c r="U37" i="45"/>
  <c r="U50" i="46"/>
  <c r="U49" i="46"/>
  <c r="U47" i="46"/>
  <c r="U46" i="46"/>
  <c r="U44" i="46"/>
  <c r="U43" i="46"/>
  <c r="U41" i="46"/>
  <c r="U40" i="46"/>
  <c r="U38" i="46"/>
  <c r="T47" i="45"/>
  <c r="T47" i="46" s="1"/>
  <c r="T46" i="45"/>
  <c r="T44" i="45"/>
  <c r="T44" i="46" s="1"/>
  <c r="T43" i="45"/>
  <c r="T43" i="46" s="1"/>
  <c r="T41" i="45"/>
  <c r="T41" i="46" s="1"/>
  <c r="T38" i="45"/>
  <c r="T38" i="46" s="1"/>
  <c r="T37" i="45"/>
  <c r="T50" i="46"/>
  <c r="T49" i="46"/>
  <c r="T46" i="46"/>
  <c r="T37" i="46"/>
  <c r="R37" i="48"/>
  <c r="S37" i="48"/>
  <c r="S50" i="46"/>
  <c r="S49" i="46"/>
  <c r="S47" i="46"/>
  <c r="S46" i="46"/>
  <c r="S44" i="46"/>
  <c r="S43" i="46"/>
  <c r="S41" i="46"/>
  <c r="S40" i="46"/>
  <c r="S38" i="46"/>
  <c r="S37" i="46"/>
  <c r="S50" i="45"/>
  <c r="S49" i="45"/>
  <c r="S47" i="45"/>
  <c r="S46" i="45"/>
  <c r="S44" i="45"/>
  <c r="S43" i="45"/>
  <c r="S41" i="45"/>
  <c r="S40" i="45"/>
  <c r="S38" i="45"/>
  <c r="S37" i="45"/>
  <c r="AF52" i="48"/>
  <c r="AE52" i="48"/>
  <c r="AD52" i="48"/>
  <c r="AF51" i="48"/>
  <c r="AE51" i="48"/>
  <c r="AD51" i="48"/>
  <c r="K50" i="48"/>
  <c r="V50" i="48" s="1"/>
  <c r="J50" i="48"/>
  <c r="U50" i="48" s="1"/>
  <c r="K49" i="48"/>
  <c r="V49" i="48" s="1"/>
  <c r="J49" i="48"/>
  <c r="U49" i="48" s="1"/>
  <c r="H49" i="48"/>
  <c r="S49" i="48" s="1"/>
  <c r="K47" i="48"/>
  <c r="V47" i="48" s="1"/>
  <c r="F46" i="48"/>
  <c r="Q46" i="48" s="1"/>
  <c r="Q46" i="49" s="1"/>
  <c r="F44" i="48"/>
  <c r="H43" i="48"/>
  <c r="S43" i="48" s="1"/>
  <c r="AC52" i="48"/>
  <c r="I41" i="48"/>
  <c r="T41" i="48" s="1"/>
  <c r="H41" i="48"/>
  <c r="S41" i="48" s="1"/>
  <c r="G41" i="48"/>
  <c r="R41" i="48" s="1"/>
  <c r="J40" i="48"/>
  <c r="U40" i="48" s="1"/>
  <c r="I38" i="48"/>
  <c r="T38" i="48" s="1"/>
  <c r="H38" i="48"/>
  <c r="S38" i="48" s="1"/>
  <c r="G38" i="48"/>
  <c r="AC51" i="48"/>
  <c r="H37" i="48"/>
  <c r="F33" i="48"/>
  <c r="AF27" i="48"/>
  <c r="AD27" i="48"/>
  <c r="N26" i="48"/>
  <c r="L26" i="48"/>
  <c r="I50" i="48"/>
  <c r="T50" i="48" s="1"/>
  <c r="H50" i="48"/>
  <c r="S50" i="48" s="1"/>
  <c r="G50" i="48"/>
  <c r="R50" i="48" s="1"/>
  <c r="M26" i="48"/>
  <c r="M25" i="48"/>
  <c r="I49" i="48"/>
  <c r="T49" i="48" s="1"/>
  <c r="G49" i="48"/>
  <c r="R49" i="48" s="1"/>
  <c r="AF28" i="48"/>
  <c r="J47" i="48"/>
  <c r="U47" i="48" s="1"/>
  <c r="I47" i="48"/>
  <c r="T47" i="48" s="1"/>
  <c r="G47" i="48"/>
  <c r="R47" i="48" s="1"/>
  <c r="N23" i="48"/>
  <c r="P22" i="48"/>
  <c r="J46" i="48"/>
  <c r="U46" i="48" s="1"/>
  <c r="I46" i="48"/>
  <c r="T46" i="48" s="1"/>
  <c r="H46" i="48"/>
  <c r="G46" i="48"/>
  <c r="R46" i="48" s="1"/>
  <c r="P20" i="48"/>
  <c r="L20" i="48"/>
  <c r="K44" i="48"/>
  <c r="V44" i="48" s="1"/>
  <c r="J44" i="48"/>
  <c r="I44" i="48"/>
  <c r="T44" i="48" s="1"/>
  <c r="H44" i="48"/>
  <c r="S44" i="48" s="1"/>
  <c r="G44" i="48"/>
  <c r="R44" i="48" s="1"/>
  <c r="K43" i="48"/>
  <c r="V43" i="48" s="1"/>
  <c r="J43" i="48"/>
  <c r="U43" i="48" s="1"/>
  <c r="G43" i="48"/>
  <c r="R43" i="48" s="1"/>
  <c r="M19" i="48"/>
  <c r="AC28" i="48"/>
  <c r="L17" i="48"/>
  <c r="K41" i="48"/>
  <c r="V41" i="48" s="1"/>
  <c r="J41" i="48"/>
  <c r="U41" i="48" s="1"/>
  <c r="O16" i="48"/>
  <c r="M16" i="48"/>
  <c r="L16" i="48"/>
  <c r="K40" i="48"/>
  <c r="I40" i="48"/>
  <c r="T40" i="48" s="1"/>
  <c r="H27" i="48"/>
  <c r="F40" i="48"/>
  <c r="AE28" i="48"/>
  <c r="AD28" i="48"/>
  <c r="AB28" i="48"/>
  <c r="N14" i="48"/>
  <c r="L14" i="48"/>
  <c r="K38" i="48"/>
  <c r="I28" i="48"/>
  <c r="H28" i="48"/>
  <c r="M14" i="48"/>
  <c r="AE27" i="48"/>
  <c r="AC27" i="48"/>
  <c r="AB27" i="48"/>
  <c r="M13" i="48"/>
  <c r="K37" i="48"/>
  <c r="V37" i="48" s="1"/>
  <c r="J37" i="48"/>
  <c r="I37" i="48"/>
  <c r="G37" i="48"/>
  <c r="P13" i="48"/>
  <c r="Q9" i="48"/>
  <c r="F9" i="48"/>
  <c r="Q46" i="50" l="1"/>
  <c r="W46" i="49"/>
  <c r="N46" i="48"/>
  <c r="Z43" i="48"/>
  <c r="O46" i="48"/>
  <c r="AA43" i="48"/>
  <c r="M44" i="48"/>
  <c r="N44" i="48"/>
  <c r="K52" i="48"/>
  <c r="V38" i="48"/>
  <c r="V52" i="48" s="1"/>
  <c r="J51" i="48"/>
  <c r="U37" i="48"/>
  <c r="U51" i="48" s="1"/>
  <c r="P40" i="48"/>
  <c r="O40" i="48"/>
  <c r="N40" i="48"/>
  <c r="Q40" i="48"/>
  <c r="Q40" i="49" s="1"/>
  <c r="T52" i="48"/>
  <c r="AA49" i="48"/>
  <c r="Z49" i="48"/>
  <c r="Y49" i="48"/>
  <c r="X49" i="48"/>
  <c r="U44" i="48"/>
  <c r="O44" i="48"/>
  <c r="AA47" i="48"/>
  <c r="Z47" i="48"/>
  <c r="Y47" i="48"/>
  <c r="T37" i="48"/>
  <c r="Z46" i="48"/>
  <c r="Y46" i="48"/>
  <c r="X46" i="48"/>
  <c r="W46" i="48"/>
  <c r="V40" i="48"/>
  <c r="Y44" i="48"/>
  <c r="X44" i="48"/>
  <c r="Z44" i="48"/>
  <c r="AA44" i="48"/>
  <c r="S46" i="48"/>
  <c r="M46" i="48"/>
  <c r="X50" i="48"/>
  <c r="AA50" i="48"/>
  <c r="Z50" i="48"/>
  <c r="Y50" i="48"/>
  <c r="X41" i="48"/>
  <c r="AA41" i="48"/>
  <c r="Z41" i="48"/>
  <c r="Y41" i="48"/>
  <c r="F49" i="48"/>
  <c r="P25" i="48"/>
  <c r="O13" i="48"/>
  <c r="P23" i="48"/>
  <c r="N19" i="48"/>
  <c r="P16" i="48"/>
  <c r="P19" i="48"/>
  <c r="N20" i="48"/>
  <c r="M22" i="48"/>
  <c r="L23" i="48"/>
  <c r="I27" i="48"/>
  <c r="J28" i="48"/>
  <c r="H40" i="48"/>
  <c r="X43" i="48"/>
  <c r="L44" i="48"/>
  <c r="K46" i="48"/>
  <c r="V46" i="48" s="1"/>
  <c r="AA46" i="48" s="1"/>
  <c r="F50" i="48"/>
  <c r="O14" i="48"/>
  <c r="F41" i="48"/>
  <c r="O17" i="48"/>
  <c r="P17" i="48"/>
  <c r="O19" i="48"/>
  <c r="L22" i="48"/>
  <c r="L13" i="48"/>
  <c r="O20" i="48"/>
  <c r="N22" i="48"/>
  <c r="O22" i="48"/>
  <c r="M23" i="48"/>
  <c r="L25" i="48"/>
  <c r="K27" i="48"/>
  <c r="K28" i="48"/>
  <c r="F38" i="48"/>
  <c r="L46" i="48"/>
  <c r="N25" i="48"/>
  <c r="O25" i="48"/>
  <c r="O26" i="48"/>
  <c r="G28" i="48"/>
  <c r="P14" i="48"/>
  <c r="N16" i="48"/>
  <c r="M17" i="48"/>
  <c r="P26" i="48"/>
  <c r="F27" i="48"/>
  <c r="F28" i="48"/>
  <c r="F37" i="48"/>
  <c r="J38" i="48"/>
  <c r="I43" i="48"/>
  <c r="T43" i="48" s="1"/>
  <c r="Y43" i="48" s="1"/>
  <c r="F47" i="48"/>
  <c r="I52" i="48"/>
  <c r="G52" i="48"/>
  <c r="N13" i="48"/>
  <c r="O23" i="48"/>
  <c r="Q44" i="48"/>
  <c r="P44" i="48"/>
  <c r="N17" i="48"/>
  <c r="G27" i="48"/>
  <c r="R38" i="48"/>
  <c r="J27" i="48"/>
  <c r="L19" i="48"/>
  <c r="F43" i="48"/>
  <c r="M20" i="48"/>
  <c r="G40" i="48"/>
  <c r="R40" i="48" s="1"/>
  <c r="H47" i="48"/>
  <c r="S47" i="48" s="1"/>
  <c r="S52" i="48" s="1"/>
  <c r="Q40" i="50" l="1"/>
  <c r="W40" i="49"/>
  <c r="Q46" i="51"/>
  <c r="W46" i="50"/>
  <c r="W44" i="48"/>
  <c r="Q44" i="49"/>
  <c r="L40" i="48"/>
  <c r="X47" i="48"/>
  <c r="R52" i="48"/>
  <c r="Y38" i="48"/>
  <c r="X38" i="48"/>
  <c r="AA38" i="48"/>
  <c r="P46" i="48"/>
  <c r="V51" i="48"/>
  <c r="Z40" i="48"/>
  <c r="Y40" i="48"/>
  <c r="X40" i="48"/>
  <c r="AA40" i="48"/>
  <c r="L47" i="48"/>
  <c r="Q47" i="48"/>
  <c r="N47" i="48"/>
  <c r="M47" i="48"/>
  <c r="P47" i="48"/>
  <c r="O47" i="48"/>
  <c r="Q37" i="48"/>
  <c r="Q37" i="49" s="1"/>
  <c r="N37" i="48"/>
  <c r="P37" i="48"/>
  <c r="O37" i="48"/>
  <c r="L37" i="48"/>
  <c r="F51" i="48"/>
  <c r="M37" i="48"/>
  <c r="O43" i="48"/>
  <c r="N43" i="48"/>
  <c r="M43" i="48"/>
  <c r="L43" i="48"/>
  <c r="Q43" i="48"/>
  <c r="P43" i="48"/>
  <c r="O28" i="48"/>
  <c r="L28" i="48"/>
  <c r="M28" i="48"/>
  <c r="P28" i="48"/>
  <c r="N28" i="48"/>
  <c r="I51" i="48"/>
  <c r="H52" i="48"/>
  <c r="N41" i="48"/>
  <c r="M41" i="48"/>
  <c r="L41" i="48"/>
  <c r="P41" i="48"/>
  <c r="O41" i="48"/>
  <c r="Q41" i="48"/>
  <c r="S40" i="48"/>
  <c r="S51" i="48" s="1"/>
  <c r="H51" i="48"/>
  <c r="T51" i="48"/>
  <c r="L38" i="48"/>
  <c r="M38" i="48"/>
  <c r="F52" i="48"/>
  <c r="P38" i="48"/>
  <c r="O38" i="48"/>
  <c r="N38" i="48"/>
  <c r="Q38" i="48"/>
  <c r="Q38" i="49" s="1"/>
  <c r="Q38" i="50" s="1"/>
  <c r="R51" i="48"/>
  <c r="AA37" i="48"/>
  <c r="Z37" i="48"/>
  <c r="Y37" i="48"/>
  <c r="X37" i="48"/>
  <c r="W40" i="48"/>
  <c r="J52" i="48"/>
  <c r="U38" i="48"/>
  <c r="U52" i="48" s="1"/>
  <c r="M40" i="48"/>
  <c r="N49" i="48"/>
  <c r="M49" i="48"/>
  <c r="Q49" i="48"/>
  <c r="P49" i="48"/>
  <c r="O49" i="48"/>
  <c r="L49" i="48"/>
  <c r="K51" i="48"/>
  <c r="P27" i="48"/>
  <c r="N27" i="48"/>
  <c r="L27" i="48"/>
  <c r="O27" i="48"/>
  <c r="M27" i="48"/>
  <c r="P50" i="48"/>
  <c r="O50" i="48"/>
  <c r="Q50" i="48"/>
  <c r="N50" i="48"/>
  <c r="M50" i="48"/>
  <c r="L50" i="48"/>
  <c r="G51" i="48"/>
  <c r="W44" i="49" l="1"/>
  <c r="Q44" i="50"/>
  <c r="W49" i="48"/>
  <c r="Q49" i="49"/>
  <c r="Q51" i="49" s="1"/>
  <c r="W51" i="49" s="1"/>
  <c r="W50" i="48"/>
  <c r="Q50" i="49"/>
  <c r="Q38" i="51"/>
  <c r="W38" i="50"/>
  <c r="W43" i="48"/>
  <c r="Q43" i="49"/>
  <c r="W47" i="48"/>
  <c r="Q47" i="49"/>
  <c r="W46" i="51"/>
  <c r="Q46" i="52"/>
  <c r="W46" i="52" s="1"/>
  <c r="W41" i="48"/>
  <c r="Q41" i="49"/>
  <c r="Q52" i="49" s="1"/>
  <c r="W52" i="49" s="1"/>
  <c r="Q37" i="50"/>
  <c r="W37" i="49"/>
  <c r="W40" i="50"/>
  <c r="Q40" i="51"/>
  <c r="W38" i="49"/>
  <c r="P52" i="48"/>
  <c r="O52" i="48"/>
  <c r="M52" i="48"/>
  <c r="L52" i="48"/>
  <c r="N52" i="48"/>
  <c r="O51" i="48"/>
  <c r="N51" i="48"/>
  <c r="M51" i="48"/>
  <c r="L51" i="48"/>
  <c r="P51" i="48"/>
  <c r="X52" i="48"/>
  <c r="AA52" i="48"/>
  <c r="Z52" i="48"/>
  <c r="Y52" i="48"/>
  <c r="Z51" i="48"/>
  <c r="Y51" i="48"/>
  <c r="AA51" i="48"/>
  <c r="X51" i="48"/>
  <c r="W38" i="48"/>
  <c r="Q52" i="48"/>
  <c r="W52" i="48" s="1"/>
  <c r="Z38" i="48"/>
  <c r="Q51" i="48"/>
  <c r="W51" i="48" s="1"/>
  <c r="W37" i="48"/>
  <c r="W38" i="51" l="1"/>
  <c r="Q38" i="52"/>
  <c r="Q50" i="50"/>
  <c r="W50" i="49"/>
  <c r="Q47" i="50"/>
  <c r="W47" i="49"/>
  <c r="Q49" i="50"/>
  <c r="Q51" i="50" s="1"/>
  <c r="W51" i="50" s="1"/>
  <c r="W49" i="49"/>
  <c r="Q43" i="50"/>
  <c r="W43" i="49"/>
  <c r="Q40" i="52"/>
  <c r="W40" i="52" s="1"/>
  <c r="W40" i="51"/>
  <c r="Q37" i="51"/>
  <c r="W37" i="50"/>
  <c r="Q44" i="51"/>
  <c r="W44" i="50"/>
  <c r="Q41" i="50"/>
  <c r="W41" i="49"/>
  <c r="AF52" i="47"/>
  <c r="AE52" i="47"/>
  <c r="AD52" i="47"/>
  <c r="AF51" i="47"/>
  <c r="AE51" i="47"/>
  <c r="AD51" i="47"/>
  <c r="AC44" i="47"/>
  <c r="Q33" i="47"/>
  <c r="K50" i="47"/>
  <c r="U26" i="48"/>
  <c r="U26" i="49" s="1"/>
  <c r="U26" i="50" s="1"/>
  <c r="U26" i="51" s="1"/>
  <c r="U26" i="52" s="1"/>
  <c r="U26" i="53" s="1"/>
  <c r="I50" i="47"/>
  <c r="Q26" i="48"/>
  <c r="Q26" i="49" s="1"/>
  <c r="Q26" i="50" s="1"/>
  <c r="I49" i="47"/>
  <c r="H49" i="47"/>
  <c r="G49" i="47"/>
  <c r="S49" i="47" s="1"/>
  <c r="L25" i="47"/>
  <c r="K47" i="47"/>
  <c r="J47" i="47"/>
  <c r="V47" i="47" s="1"/>
  <c r="I47" i="47"/>
  <c r="U47" i="47" s="1"/>
  <c r="S23" i="48"/>
  <c r="S23" i="49" s="1"/>
  <c r="S23" i="50" s="1"/>
  <c r="S23" i="51" s="1"/>
  <c r="S23" i="52" s="1"/>
  <c r="S23" i="53" s="1"/>
  <c r="R23" i="48"/>
  <c r="R23" i="49" s="1"/>
  <c r="R23" i="50" s="1"/>
  <c r="R23" i="51" s="1"/>
  <c r="R23" i="52" s="1"/>
  <c r="R23" i="53" s="1"/>
  <c r="V22" i="48"/>
  <c r="V22" i="49" s="1"/>
  <c r="V22" i="50" s="1"/>
  <c r="V22" i="51" s="1"/>
  <c r="V22" i="52" s="1"/>
  <c r="V22" i="53" s="1"/>
  <c r="U22" i="48"/>
  <c r="U22" i="49" s="1"/>
  <c r="U22" i="50" s="1"/>
  <c r="U22" i="51" s="1"/>
  <c r="U22" i="52" s="1"/>
  <c r="U22" i="53" s="1"/>
  <c r="G46" i="47"/>
  <c r="S46" i="47" s="1"/>
  <c r="Q22" i="48"/>
  <c r="Q22" i="49" s="1"/>
  <c r="Q22" i="50" s="1"/>
  <c r="J44" i="47"/>
  <c r="V44" i="47" s="1"/>
  <c r="I44" i="47"/>
  <c r="U44" i="47" s="1"/>
  <c r="H44" i="47"/>
  <c r="T44" i="47" s="1"/>
  <c r="G44" i="47"/>
  <c r="S44" i="47" s="1"/>
  <c r="Q20" i="48"/>
  <c r="Q20" i="49" s="1"/>
  <c r="Q20" i="50" s="1"/>
  <c r="K43" i="47"/>
  <c r="U19" i="48"/>
  <c r="U19" i="49" s="1"/>
  <c r="U19" i="50" s="1"/>
  <c r="U19" i="51" s="1"/>
  <c r="U19" i="52" s="1"/>
  <c r="U19" i="53" s="1"/>
  <c r="T19" i="48"/>
  <c r="T19" i="49" s="1"/>
  <c r="T19" i="50" s="1"/>
  <c r="T19" i="51" s="1"/>
  <c r="T19" i="52" s="1"/>
  <c r="T19" i="53" s="1"/>
  <c r="S19" i="48"/>
  <c r="S19" i="49" s="1"/>
  <c r="S19" i="50" s="1"/>
  <c r="S19" i="51" s="1"/>
  <c r="S19" i="52" s="1"/>
  <c r="S19" i="53" s="1"/>
  <c r="K41" i="47"/>
  <c r="H41" i="47"/>
  <c r="T41" i="47" s="1"/>
  <c r="G41" i="47"/>
  <c r="S41" i="47" s="1"/>
  <c r="F41" i="47"/>
  <c r="K40" i="47"/>
  <c r="J40" i="47"/>
  <c r="V40" i="47" s="1"/>
  <c r="I40" i="47"/>
  <c r="U40" i="47" s="1"/>
  <c r="H40" i="47"/>
  <c r="R16" i="48"/>
  <c r="R16" i="49" s="1"/>
  <c r="R16" i="50" s="1"/>
  <c r="R16" i="51" s="1"/>
  <c r="R16" i="52" s="1"/>
  <c r="R16" i="53" s="1"/>
  <c r="F40" i="47"/>
  <c r="V14" i="48"/>
  <c r="V14" i="49" s="1"/>
  <c r="V14" i="50" s="1"/>
  <c r="V14" i="51" s="1"/>
  <c r="U14" i="48"/>
  <c r="U14" i="49" s="1"/>
  <c r="U14" i="50" s="1"/>
  <c r="U14" i="51" s="1"/>
  <c r="T14" i="48"/>
  <c r="T14" i="49" s="1"/>
  <c r="T14" i="50" s="1"/>
  <c r="I37" i="47"/>
  <c r="U37" i="47" s="1"/>
  <c r="H37" i="47"/>
  <c r="T37" i="47" s="1"/>
  <c r="G37" i="47"/>
  <c r="S37" i="47" s="1"/>
  <c r="F37" i="47"/>
  <c r="Q9" i="47"/>
  <c r="F9" i="47"/>
  <c r="F33" i="47" s="1"/>
  <c r="V16" i="48" l="1"/>
  <c r="V16" i="49" s="1"/>
  <c r="V16" i="50" s="1"/>
  <c r="V16" i="51" s="1"/>
  <c r="V16" i="52" s="1"/>
  <c r="V16" i="53" s="1"/>
  <c r="AA16" i="53" s="1"/>
  <c r="N23" i="47"/>
  <c r="S19" i="54"/>
  <c r="X19" i="53"/>
  <c r="U22" i="54"/>
  <c r="U22" i="55" s="1"/>
  <c r="Z22" i="53"/>
  <c r="R23" i="54"/>
  <c r="R23" i="55" s="1"/>
  <c r="W23" i="53"/>
  <c r="V16" i="54"/>
  <c r="T19" i="54"/>
  <c r="Y19" i="53"/>
  <c r="V22" i="54"/>
  <c r="V22" i="55" s="1"/>
  <c r="AA22" i="53"/>
  <c r="S23" i="54"/>
  <c r="S23" i="55" s="1"/>
  <c r="X23" i="53"/>
  <c r="U26" i="54"/>
  <c r="Z26" i="53"/>
  <c r="R16" i="54"/>
  <c r="W16" i="53"/>
  <c r="U19" i="54"/>
  <c r="Z19" i="53"/>
  <c r="AC52" i="47"/>
  <c r="L22" i="47"/>
  <c r="U16" i="48"/>
  <c r="U16" i="49" s="1"/>
  <c r="U16" i="50" s="1"/>
  <c r="U16" i="51" s="1"/>
  <c r="U16" i="52" s="1"/>
  <c r="U16" i="53" s="1"/>
  <c r="V14" i="52"/>
  <c r="V14" i="53" s="1"/>
  <c r="V14" i="54" s="1"/>
  <c r="T14" i="51"/>
  <c r="L20" i="47"/>
  <c r="U23" i="48"/>
  <c r="U23" i="49" s="1"/>
  <c r="U23" i="50" s="1"/>
  <c r="U23" i="51" s="1"/>
  <c r="U23" i="52" s="1"/>
  <c r="U23" i="53" s="1"/>
  <c r="U14" i="52"/>
  <c r="U14" i="53" s="1"/>
  <c r="V23" i="48"/>
  <c r="V23" i="49" s="1"/>
  <c r="V23" i="50" s="1"/>
  <c r="V23" i="51" s="1"/>
  <c r="V23" i="52" s="1"/>
  <c r="V23" i="53" s="1"/>
  <c r="Q37" i="52"/>
  <c r="W37" i="51"/>
  <c r="W47" i="50"/>
  <c r="Q47" i="51"/>
  <c r="W50" i="50"/>
  <c r="Q50" i="51"/>
  <c r="Q41" i="51"/>
  <c r="W41" i="50"/>
  <c r="Q52" i="50"/>
  <c r="W52" i="50" s="1"/>
  <c r="W43" i="50"/>
  <c r="Q43" i="51"/>
  <c r="W38" i="52"/>
  <c r="Q49" i="51"/>
  <c r="W49" i="50"/>
  <c r="Q44" i="52"/>
  <c r="W44" i="52" s="1"/>
  <c r="W44" i="51"/>
  <c r="Q26" i="51"/>
  <c r="Z26" i="50"/>
  <c r="Q20" i="51"/>
  <c r="AA22" i="50"/>
  <c r="Q22" i="51"/>
  <c r="Z22" i="50"/>
  <c r="P14" i="47"/>
  <c r="Z26" i="49"/>
  <c r="S17" i="48"/>
  <c r="S17" i="49" s="1"/>
  <c r="S17" i="50" s="1"/>
  <c r="S17" i="51" s="1"/>
  <c r="S17" i="52" s="1"/>
  <c r="S17" i="53" s="1"/>
  <c r="M20" i="47"/>
  <c r="Z22" i="49"/>
  <c r="AA22" i="49"/>
  <c r="S25" i="48"/>
  <c r="S25" i="49" s="1"/>
  <c r="S25" i="50" s="1"/>
  <c r="S25" i="51" s="1"/>
  <c r="S25" i="52" s="1"/>
  <c r="S25" i="53" s="1"/>
  <c r="AB27" i="47"/>
  <c r="L13" i="47"/>
  <c r="O14" i="47"/>
  <c r="S20" i="48"/>
  <c r="S20" i="49" s="1"/>
  <c r="T25" i="48"/>
  <c r="T25" i="49" s="1"/>
  <c r="T25" i="50" s="1"/>
  <c r="T25" i="51" s="1"/>
  <c r="T25" i="52" s="1"/>
  <c r="T25" i="53" s="1"/>
  <c r="R13" i="48"/>
  <c r="R13" i="49" s="1"/>
  <c r="R13" i="50" s="1"/>
  <c r="U20" i="48"/>
  <c r="U20" i="49" s="1"/>
  <c r="U20" i="50" s="1"/>
  <c r="U20" i="51" s="1"/>
  <c r="U20" i="52" s="1"/>
  <c r="U20" i="53" s="1"/>
  <c r="M23" i="47"/>
  <c r="S13" i="48"/>
  <c r="S13" i="49" s="1"/>
  <c r="S13" i="50" s="1"/>
  <c r="S13" i="51" s="1"/>
  <c r="AC51" i="47"/>
  <c r="O26" i="47"/>
  <c r="Z22" i="48"/>
  <c r="AA22" i="48"/>
  <c r="Z26" i="48"/>
  <c r="M37" i="47"/>
  <c r="Q14" i="48"/>
  <c r="Q14" i="49" s="1"/>
  <c r="Q14" i="50" s="1"/>
  <c r="O20" i="47"/>
  <c r="P22" i="47"/>
  <c r="F44" i="47"/>
  <c r="M44" i="47" s="1"/>
  <c r="T13" i="48"/>
  <c r="T13" i="49" s="1"/>
  <c r="T13" i="50" s="1"/>
  <c r="AC27" i="47"/>
  <c r="AD28" i="47"/>
  <c r="AD27" i="47"/>
  <c r="V19" i="48"/>
  <c r="V19" i="49" s="1"/>
  <c r="V19" i="50" s="1"/>
  <c r="V19" i="51" s="1"/>
  <c r="V19" i="52" s="1"/>
  <c r="V19" i="53" s="1"/>
  <c r="T20" i="48"/>
  <c r="R22" i="48"/>
  <c r="AE28" i="47"/>
  <c r="M17" i="47"/>
  <c r="AF28" i="47"/>
  <c r="M16" i="47"/>
  <c r="AF27" i="47"/>
  <c r="Q17" i="48"/>
  <c r="Q17" i="49" s="1"/>
  <c r="Q17" i="50" s="1"/>
  <c r="O19" i="47"/>
  <c r="P26" i="47"/>
  <c r="AC28" i="47"/>
  <c r="L16" i="47"/>
  <c r="AE27" i="47"/>
  <c r="T16" i="48"/>
  <c r="T16" i="49" s="1"/>
  <c r="T16" i="50" s="1"/>
  <c r="T16" i="51" s="1"/>
  <c r="T16" i="52" s="1"/>
  <c r="T16" i="53" s="1"/>
  <c r="R17" i="48"/>
  <c r="R17" i="49" s="1"/>
  <c r="R17" i="50" s="1"/>
  <c r="R17" i="51" s="1"/>
  <c r="R17" i="52" s="1"/>
  <c r="R17" i="53" s="1"/>
  <c r="R25" i="48"/>
  <c r="R25" i="49" s="1"/>
  <c r="R25" i="50" s="1"/>
  <c r="R25" i="51" s="1"/>
  <c r="R25" i="52" s="1"/>
  <c r="R25" i="53" s="1"/>
  <c r="K46" i="47"/>
  <c r="I43" i="47"/>
  <c r="U43" i="47" s="1"/>
  <c r="J43" i="47"/>
  <c r="V43" i="47" s="1"/>
  <c r="I46" i="47"/>
  <c r="U46" i="47" s="1"/>
  <c r="K37" i="47"/>
  <c r="K27" i="47"/>
  <c r="J41" i="47"/>
  <c r="V41" i="47" s="1"/>
  <c r="U17" i="48"/>
  <c r="J28" i="47"/>
  <c r="M22" i="47"/>
  <c r="H46" i="47"/>
  <c r="T46" i="47" s="1"/>
  <c r="G50" i="47"/>
  <c r="S50" i="47" s="1"/>
  <c r="P41" i="47"/>
  <c r="K44" i="47"/>
  <c r="N19" i="47"/>
  <c r="K49" i="47"/>
  <c r="V25" i="48"/>
  <c r="V25" i="49" s="1"/>
  <c r="V25" i="50" s="1"/>
  <c r="V25" i="51" s="1"/>
  <c r="V25" i="52" s="1"/>
  <c r="V25" i="53" s="1"/>
  <c r="L37" i="47"/>
  <c r="M14" i="47"/>
  <c r="P40" i="47"/>
  <c r="O40" i="47"/>
  <c r="M40" i="47"/>
  <c r="N40" i="47"/>
  <c r="O17" i="47"/>
  <c r="Z20" i="47"/>
  <c r="J49" i="47"/>
  <c r="U25" i="48"/>
  <c r="U25" i="49" s="1"/>
  <c r="U25" i="50" s="1"/>
  <c r="U25" i="51" s="1"/>
  <c r="U25" i="52" s="1"/>
  <c r="U25" i="53" s="1"/>
  <c r="P13" i="47"/>
  <c r="F43" i="47"/>
  <c r="L19" i="47"/>
  <c r="Q19" i="48"/>
  <c r="Q19" i="49" s="1"/>
  <c r="Q19" i="50" s="1"/>
  <c r="M19" i="47"/>
  <c r="P19" i="47"/>
  <c r="S14" i="48"/>
  <c r="S14" i="49" s="1"/>
  <c r="S14" i="50" s="1"/>
  <c r="H38" i="47"/>
  <c r="T38" i="47" s="1"/>
  <c r="H28" i="47"/>
  <c r="G43" i="47"/>
  <c r="S43" i="47" s="1"/>
  <c r="R19" i="48"/>
  <c r="R19" i="49" s="1"/>
  <c r="R19" i="50" s="1"/>
  <c r="R19" i="51" s="1"/>
  <c r="R19" i="52" s="1"/>
  <c r="R19" i="53" s="1"/>
  <c r="N22" i="47"/>
  <c r="Z22" i="47"/>
  <c r="AA22" i="47"/>
  <c r="P25" i="47"/>
  <c r="H50" i="47"/>
  <c r="G28" i="47"/>
  <c r="R14" i="48"/>
  <c r="R14" i="49" s="1"/>
  <c r="R14" i="50" s="1"/>
  <c r="G38" i="47"/>
  <c r="S38" i="47" s="1"/>
  <c r="L14" i="47"/>
  <c r="J37" i="47"/>
  <c r="V37" i="47" s="1"/>
  <c r="J27" i="47"/>
  <c r="AB28" i="47"/>
  <c r="I41" i="47"/>
  <c r="U41" i="47" s="1"/>
  <c r="Q23" i="48"/>
  <c r="Q23" i="49" s="1"/>
  <c r="Q23" i="50" s="1"/>
  <c r="O23" i="47"/>
  <c r="F47" i="47"/>
  <c r="P23" i="47"/>
  <c r="L23" i="47"/>
  <c r="M26" i="47"/>
  <c r="Z26" i="47"/>
  <c r="K28" i="47"/>
  <c r="AA14" i="47"/>
  <c r="P16" i="47"/>
  <c r="H27" i="47"/>
  <c r="K38" i="47"/>
  <c r="G47" i="47"/>
  <c r="S47" i="47" s="1"/>
  <c r="Q13" i="48"/>
  <c r="Q13" i="49" s="1"/>
  <c r="Q13" i="50" s="1"/>
  <c r="N14" i="47"/>
  <c r="P17" i="47"/>
  <c r="O22" i="47"/>
  <c r="T23" i="48"/>
  <c r="T23" i="49" s="1"/>
  <c r="T23" i="50" s="1"/>
  <c r="T23" i="51" s="1"/>
  <c r="T23" i="52" s="1"/>
  <c r="T23" i="53" s="1"/>
  <c r="Q25" i="48"/>
  <c r="Q25" i="49" s="1"/>
  <c r="Q25" i="50" s="1"/>
  <c r="N26" i="47"/>
  <c r="F38" i="47"/>
  <c r="L41" i="47"/>
  <c r="F46" i="47"/>
  <c r="F49" i="47"/>
  <c r="J50" i="47"/>
  <c r="I28" i="47"/>
  <c r="M41" i="47"/>
  <c r="H43" i="47"/>
  <c r="T43" i="47" s="1"/>
  <c r="F27" i="47"/>
  <c r="N37" i="47"/>
  <c r="I38" i="47"/>
  <c r="U38" i="47" s="1"/>
  <c r="M13" i="47"/>
  <c r="Z14" i="47"/>
  <c r="O16" i="47"/>
  <c r="L17" i="47"/>
  <c r="N20" i="47"/>
  <c r="M25" i="47"/>
  <c r="G27" i="47"/>
  <c r="J38" i="47"/>
  <c r="V38" i="47" s="1"/>
  <c r="J46" i="47"/>
  <c r="V46" i="47" s="1"/>
  <c r="F50" i="47"/>
  <c r="O13" i="47"/>
  <c r="Q16" i="48"/>
  <c r="Q16" i="49" s="1"/>
  <c r="Q16" i="50" s="1"/>
  <c r="N17" i="47"/>
  <c r="P20" i="47"/>
  <c r="O25" i="47"/>
  <c r="L26" i="47"/>
  <c r="I27" i="47"/>
  <c r="F28" i="47"/>
  <c r="G40" i="47"/>
  <c r="S40" i="47" s="1"/>
  <c r="H47" i="47"/>
  <c r="T47" i="47" s="1"/>
  <c r="N16" i="47"/>
  <c r="N13" i="47"/>
  <c r="N25" i="47"/>
  <c r="V26" i="46"/>
  <c r="U26" i="46"/>
  <c r="T26" i="46"/>
  <c r="S26" i="46"/>
  <c r="R26" i="46"/>
  <c r="Q26" i="46"/>
  <c r="V25" i="46"/>
  <c r="U25" i="46"/>
  <c r="T25" i="46"/>
  <c r="S25" i="46"/>
  <c r="R25" i="46"/>
  <c r="Q25" i="46"/>
  <c r="V23" i="46"/>
  <c r="U23" i="46"/>
  <c r="T23" i="46"/>
  <c r="S23" i="46"/>
  <c r="R23" i="46"/>
  <c r="V22" i="46"/>
  <c r="U22" i="46"/>
  <c r="T22" i="46"/>
  <c r="S22" i="46"/>
  <c r="R22" i="46"/>
  <c r="V20" i="46"/>
  <c r="U20" i="46"/>
  <c r="T20" i="46"/>
  <c r="S20" i="46"/>
  <c r="R20" i="46"/>
  <c r="Q20" i="46"/>
  <c r="V19" i="46"/>
  <c r="U19" i="46"/>
  <c r="T19" i="46"/>
  <c r="S19" i="46"/>
  <c r="R19" i="46"/>
  <c r="Q19" i="46"/>
  <c r="W19" i="46" s="1"/>
  <c r="V17" i="46"/>
  <c r="U17" i="46"/>
  <c r="T17" i="46"/>
  <c r="S17" i="46"/>
  <c r="R17" i="46"/>
  <c r="V16" i="46"/>
  <c r="U16" i="46"/>
  <c r="T16" i="46"/>
  <c r="S16" i="46"/>
  <c r="R16" i="46"/>
  <c r="V14" i="46"/>
  <c r="U14" i="46"/>
  <c r="T14" i="46"/>
  <c r="S14" i="46"/>
  <c r="R14" i="46"/>
  <c r="V13" i="46"/>
  <c r="U13" i="46"/>
  <c r="T13" i="46"/>
  <c r="S13" i="46"/>
  <c r="R13" i="46"/>
  <c r="AF52" i="46"/>
  <c r="AE52" i="46"/>
  <c r="AD52" i="46"/>
  <c r="AF51" i="46"/>
  <c r="AE51" i="46"/>
  <c r="AD51" i="46"/>
  <c r="J50" i="46"/>
  <c r="I50" i="46"/>
  <c r="F49" i="46"/>
  <c r="J47" i="46"/>
  <c r="I47" i="46"/>
  <c r="H46" i="46"/>
  <c r="K44" i="46"/>
  <c r="I43" i="46"/>
  <c r="F43" i="46"/>
  <c r="N43" i="46" s="1"/>
  <c r="K41" i="46"/>
  <c r="F41" i="46"/>
  <c r="I40" i="46"/>
  <c r="H40" i="46"/>
  <c r="AC52" i="46"/>
  <c r="AC51" i="46"/>
  <c r="J37" i="46"/>
  <c r="Q33" i="46"/>
  <c r="K50" i="46"/>
  <c r="H50" i="46"/>
  <c r="G50" i="46"/>
  <c r="N26" i="46"/>
  <c r="P25" i="46"/>
  <c r="K49" i="46"/>
  <c r="J49" i="46"/>
  <c r="G49" i="46"/>
  <c r="O25" i="46"/>
  <c r="L23" i="46"/>
  <c r="H47" i="46"/>
  <c r="O22" i="46"/>
  <c r="N22" i="46"/>
  <c r="K46" i="46"/>
  <c r="L20" i="46"/>
  <c r="H44" i="46"/>
  <c r="G44" i="46"/>
  <c r="P20" i="46"/>
  <c r="O19" i="46"/>
  <c r="M19" i="46"/>
  <c r="L19" i="46"/>
  <c r="K43" i="46"/>
  <c r="J43" i="46"/>
  <c r="P19" i="46"/>
  <c r="AE28" i="46"/>
  <c r="P17" i="46"/>
  <c r="O17" i="46"/>
  <c r="J41" i="46"/>
  <c r="I41" i="46"/>
  <c r="G28" i="46"/>
  <c r="N17" i="46"/>
  <c r="AC27" i="46"/>
  <c r="M16" i="46"/>
  <c r="G40" i="46"/>
  <c r="AF28" i="46"/>
  <c r="AD28" i="46"/>
  <c r="AC28" i="46"/>
  <c r="K38" i="46"/>
  <c r="J38" i="46"/>
  <c r="G38" i="46"/>
  <c r="N14" i="46"/>
  <c r="AF27" i="46"/>
  <c r="AE27" i="46"/>
  <c r="AD27" i="46"/>
  <c r="P13" i="46"/>
  <c r="G37" i="46"/>
  <c r="O13" i="46"/>
  <c r="Q9" i="46"/>
  <c r="F9" i="46"/>
  <c r="F33" i="46" s="1"/>
  <c r="AF52" i="45"/>
  <c r="AE52" i="45"/>
  <c r="AD52" i="45"/>
  <c r="AF51" i="45"/>
  <c r="AE51" i="45"/>
  <c r="AD51" i="45"/>
  <c r="J50" i="45"/>
  <c r="G50" i="45"/>
  <c r="J47" i="45"/>
  <c r="I47" i="45"/>
  <c r="K46" i="45"/>
  <c r="H46" i="45"/>
  <c r="K44" i="45"/>
  <c r="H44" i="45"/>
  <c r="M44" i="45"/>
  <c r="J43" i="45"/>
  <c r="I43" i="45"/>
  <c r="I40" i="45"/>
  <c r="H40" i="45"/>
  <c r="AC51" i="45"/>
  <c r="J37" i="45"/>
  <c r="Q33" i="45"/>
  <c r="J27" i="45"/>
  <c r="V26" i="45"/>
  <c r="U26" i="45"/>
  <c r="K50" i="45"/>
  <c r="T26" i="45"/>
  <c r="R26" i="45"/>
  <c r="M26" i="45"/>
  <c r="R25" i="45"/>
  <c r="Q25" i="45"/>
  <c r="P25" i="45"/>
  <c r="L25" i="45"/>
  <c r="J49" i="45"/>
  <c r="I49" i="45"/>
  <c r="H49" i="45"/>
  <c r="G49" i="45"/>
  <c r="O25" i="45"/>
  <c r="V23" i="45"/>
  <c r="U23" i="45"/>
  <c r="T23" i="45"/>
  <c r="S23" i="45"/>
  <c r="N23" i="45"/>
  <c r="K47" i="45"/>
  <c r="H47" i="45"/>
  <c r="L23" i="45"/>
  <c r="AD27" i="45"/>
  <c r="V22" i="45"/>
  <c r="O22" i="45"/>
  <c r="N22" i="45"/>
  <c r="S22" i="45"/>
  <c r="G46" i="45"/>
  <c r="S20" i="45"/>
  <c r="R20" i="45"/>
  <c r="Q20" i="45"/>
  <c r="M20" i="45"/>
  <c r="L20" i="45"/>
  <c r="V20" i="45"/>
  <c r="O20" i="45"/>
  <c r="I44" i="45"/>
  <c r="G44" i="45"/>
  <c r="P20" i="45"/>
  <c r="V19" i="45"/>
  <c r="U19" i="45"/>
  <c r="T19" i="45"/>
  <c r="P19" i="45"/>
  <c r="O19" i="45"/>
  <c r="M19" i="45"/>
  <c r="L19" i="45"/>
  <c r="K43" i="45"/>
  <c r="Q19" i="45"/>
  <c r="AE28" i="45"/>
  <c r="Q17" i="45"/>
  <c r="Q17" i="46" s="1"/>
  <c r="P17" i="45"/>
  <c r="V17" i="45"/>
  <c r="O17" i="45"/>
  <c r="I41" i="45"/>
  <c r="G28" i="45"/>
  <c r="N17" i="45"/>
  <c r="AC27" i="45"/>
  <c r="U16" i="45"/>
  <c r="T16" i="45"/>
  <c r="S16" i="45"/>
  <c r="R16" i="45"/>
  <c r="M16" i="45"/>
  <c r="K40" i="45"/>
  <c r="J40" i="45"/>
  <c r="G40" i="45"/>
  <c r="N16" i="45"/>
  <c r="AF28" i="45"/>
  <c r="AD28" i="45"/>
  <c r="V14" i="45"/>
  <c r="U14" i="45"/>
  <c r="K38" i="45"/>
  <c r="J38" i="45"/>
  <c r="S14" i="45"/>
  <c r="R14" i="45"/>
  <c r="N14" i="45"/>
  <c r="R13" i="45"/>
  <c r="Q13" i="45"/>
  <c r="Q13" i="46" s="1"/>
  <c r="L13" i="45"/>
  <c r="V13" i="45"/>
  <c r="U13" i="45"/>
  <c r="S13" i="45"/>
  <c r="G37" i="45"/>
  <c r="O13" i="45"/>
  <c r="F9" i="45"/>
  <c r="AA52" i="44"/>
  <c r="Z52" i="44"/>
  <c r="Y52" i="44"/>
  <c r="AA51" i="44"/>
  <c r="Z51" i="44"/>
  <c r="Y51" i="44"/>
  <c r="X51" i="44"/>
  <c r="J50" i="44"/>
  <c r="F47" i="44"/>
  <c r="X52" i="44"/>
  <c r="F38" i="44"/>
  <c r="O33" i="44"/>
  <c r="M26" i="44"/>
  <c r="H50" i="44"/>
  <c r="G50" i="44"/>
  <c r="N26" i="44"/>
  <c r="M25" i="44"/>
  <c r="J49" i="44"/>
  <c r="H49" i="44"/>
  <c r="K25" i="44"/>
  <c r="L25" i="44"/>
  <c r="M23" i="44"/>
  <c r="H47" i="44"/>
  <c r="G47" i="44"/>
  <c r="I46" i="44"/>
  <c r="L22" i="44"/>
  <c r="K22" i="44"/>
  <c r="J44" i="44"/>
  <c r="M20" i="44"/>
  <c r="H44" i="44"/>
  <c r="G44" i="44"/>
  <c r="N20" i="44"/>
  <c r="M19" i="44"/>
  <c r="J43" i="44"/>
  <c r="I43" i="44"/>
  <c r="K19" i="44"/>
  <c r="F43" i="44"/>
  <c r="AA28" i="44"/>
  <c r="K17" i="44"/>
  <c r="I41" i="44"/>
  <c r="G41" i="44"/>
  <c r="F41" i="44"/>
  <c r="Y27" i="44"/>
  <c r="J40" i="44"/>
  <c r="I40" i="44"/>
  <c r="H40" i="44"/>
  <c r="K16" i="44"/>
  <c r="Z28" i="44"/>
  <c r="Y28" i="44"/>
  <c r="X28" i="44"/>
  <c r="J28" i="44"/>
  <c r="H28" i="44"/>
  <c r="G38" i="44"/>
  <c r="AA27" i="44"/>
  <c r="Z27" i="44"/>
  <c r="X27" i="44"/>
  <c r="M13" i="44"/>
  <c r="J37" i="44"/>
  <c r="I37" i="44"/>
  <c r="G27" i="44"/>
  <c r="O9" i="44"/>
  <c r="F9" i="44"/>
  <c r="F33" i="44" s="1"/>
  <c r="AA52" i="43"/>
  <c r="Z52" i="43"/>
  <c r="Y52" i="43"/>
  <c r="AA51" i="43"/>
  <c r="Z51" i="43"/>
  <c r="Y51" i="43"/>
  <c r="X51" i="43"/>
  <c r="F49" i="43"/>
  <c r="H47" i="43"/>
  <c r="J46" i="43"/>
  <c r="G43" i="43"/>
  <c r="J41" i="43"/>
  <c r="X52" i="43"/>
  <c r="H38" i="43"/>
  <c r="O33" i="43"/>
  <c r="J50" i="43"/>
  <c r="M26" i="43"/>
  <c r="H50" i="43"/>
  <c r="G50" i="43"/>
  <c r="N26" i="43"/>
  <c r="M25" i="43"/>
  <c r="J49" i="43"/>
  <c r="K25" i="43"/>
  <c r="L25" i="43"/>
  <c r="M23" i="43"/>
  <c r="K23" i="43"/>
  <c r="J47" i="43"/>
  <c r="G47" i="43"/>
  <c r="F47" i="43"/>
  <c r="K22" i="43"/>
  <c r="I46" i="43"/>
  <c r="H46" i="43"/>
  <c r="N22" i="43"/>
  <c r="J44" i="43"/>
  <c r="M20" i="43"/>
  <c r="H44" i="43"/>
  <c r="G44" i="43"/>
  <c r="N20" i="43"/>
  <c r="M19" i="43"/>
  <c r="J43" i="43"/>
  <c r="K19" i="43"/>
  <c r="F43" i="43"/>
  <c r="AA28" i="43"/>
  <c r="M17" i="43"/>
  <c r="K17" i="43"/>
  <c r="I41" i="43"/>
  <c r="H41" i="43"/>
  <c r="G41" i="43"/>
  <c r="F41" i="43"/>
  <c r="Y27" i="43"/>
  <c r="K16" i="43"/>
  <c r="J40" i="43"/>
  <c r="I40" i="43"/>
  <c r="H40" i="43"/>
  <c r="N16" i="43"/>
  <c r="Z28" i="43"/>
  <c r="Y28" i="43"/>
  <c r="X28" i="43"/>
  <c r="J28" i="43"/>
  <c r="I28" i="43"/>
  <c r="H28" i="43"/>
  <c r="G38" i="43"/>
  <c r="N14" i="43"/>
  <c r="AA27" i="43"/>
  <c r="Z27" i="43"/>
  <c r="X27" i="43"/>
  <c r="M13" i="43"/>
  <c r="J37" i="43"/>
  <c r="I37" i="43"/>
  <c r="H27" i="43"/>
  <c r="G27" i="43"/>
  <c r="L13" i="43"/>
  <c r="O9" i="43"/>
  <c r="F9" i="43"/>
  <c r="F33" i="43" s="1"/>
  <c r="S23" i="56" l="1"/>
  <c r="R23" i="56"/>
  <c r="X20" i="48"/>
  <c r="AA22" i="55"/>
  <c r="V22" i="56"/>
  <c r="Z22" i="55"/>
  <c r="U22" i="56"/>
  <c r="X20" i="47"/>
  <c r="R19" i="54"/>
  <c r="W19" i="53"/>
  <c r="T25" i="54"/>
  <c r="Y25" i="53"/>
  <c r="U16" i="54"/>
  <c r="Z16" i="53"/>
  <c r="U26" i="55"/>
  <c r="Z26" i="54"/>
  <c r="V16" i="55"/>
  <c r="AA16" i="54"/>
  <c r="S17" i="54"/>
  <c r="X17" i="53"/>
  <c r="V23" i="54"/>
  <c r="V23" i="55" s="1"/>
  <c r="AA23" i="53"/>
  <c r="T23" i="54"/>
  <c r="T23" i="55" s="1"/>
  <c r="Y23" i="53"/>
  <c r="U25" i="54"/>
  <c r="Z25" i="53"/>
  <c r="U14" i="54"/>
  <c r="Z14" i="53"/>
  <c r="U23" i="54"/>
  <c r="U23" i="55" s="1"/>
  <c r="Z23" i="53"/>
  <c r="U19" i="55"/>
  <c r="Z19" i="54"/>
  <c r="V19" i="54"/>
  <c r="AA19" i="53"/>
  <c r="R17" i="54"/>
  <c r="W17" i="53"/>
  <c r="S25" i="54"/>
  <c r="X25" i="53"/>
  <c r="R25" i="54"/>
  <c r="W25" i="53"/>
  <c r="V25" i="54"/>
  <c r="AA25" i="53"/>
  <c r="T16" i="54"/>
  <c r="Y16" i="53"/>
  <c r="U20" i="54"/>
  <c r="Z20" i="53"/>
  <c r="R16" i="55"/>
  <c r="W16" i="54"/>
  <c r="T19" i="55"/>
  <c r="Y19" i="54"/>
  <c r="S19" i="55"/>
  <c r="X19" i="54"/>
  <c r="W22" i="47"/>
  <c r="V14" i="55"/>
  <c r="AA14" i="54"/>
  <c r="AA14" i="53"/>
  <c r="O41" i="47"/>
  <c r="S14" i="51"/>
  <c r="S13" i="52"/>
  <c r="S13" i="53" s="1"/>
  <c r="Z20" i="50"/>
  <c r="T14" i="52"/>
  <c r="T14" i="53" s="1"/>
  <c r="T14" i="54" s="1"/>
  <c r="R14" i="51"/>
  <c r="R13" i="51"/>
  <c r="T13" i="51"/>
  <c r="X20" i="49"/>
  <c r="S20" i="50"/>
  <c r="Z20" i="49"/>
  <c r="AA17" i="45"/>
  <c r="W41" i="51"/>
  <c r="Q41" i="52"/>
  <c r="Q52" i="51"/>
  <c r="W52" i="51" s="1"/>
  <c r="Q49" i="52"/>
  <c r="W49" i="52" s="1"/>
  <c r="W49" i="51"/>
  <c r="W50" i="51"/>
  <c r="Q50" i="52"/>
  <c r="W50" i="52" s="1"/>
  <c r="Q47" i="52"/>
  <c r="W47" i="52" s="1"/>
  <c r="W47" i="51"/>
  <c r="Q43" i="52"/>
  <c r="W43" i="52" s="1"/>
  <c r="W43" i="51"/>
  <c r="Q51" i="51"/>
  <c r="W51" i="51" s="1"/>
  <c r="W37" i="52"/>
  <c r="Q20" i="52"/>
  <c r="Z20" i="51"/>
  <c r="Q13" i="51"/>
  <c r="Q27" i="50"/>
  <c r="X13" i="50"/>
  <c r="Y13" i="50"/>
  <c r="W13" i="50"/>
  <c r="Z16" i="50"/>
  <c r="Q16" i="51"/>
  <c r="Y16" i="50"/>
  <c r="AA16" i="50"/>
  <c r="W16" i="50"/>
  <c r="Q25" i="51"/>
  <c r="X25" i="50"/>
  <c r="AA25" i="50"/>
  <c r="Z25" i="50"/>
  <c r="Y25" i="50"/>
  <c r="W25" i="50"/>
  <c r="Q22" i="52"/>
  <c r="Z22" i="51"/>
  <c r="AA22" i="51"/>
  <c r="Z25" i="49"/>
  <c r="Q17" i="51"/>
  <c r="W17" i="50"/>
  <c r="X17" i="50"/>
  <c r="X14" i="50"/>
  <c r="Q14" i="51"/>
  <c r="AA14" i="50"/>
  <c r="W14" i="50"/>
  <c r="Z14" i="50"/>
  <c r="Q28" i="50"/>
  <c r="Y14" i="50"/>
  <c r="Q23" i="51"/>
  <c r="AA23" i="50"/>
  <c r="W23" i="50"/>
  <c r="Z23" i="50"/>
  <c r="Y23" i="50"/>
  <c r="X23" i="50"/>
  <c r="AA25" i="49"/>
  <c r="X19" i="50"/>
  <c r="Q19" i="51"/>
  <c r="AA19" i="50"/>
  <c r="Z19" i="50"/>
  <c r="Y19" i="50"/>
  <c r="W19" i="50"/>
  <c r="Z19" i="49"/>
  <c r="Q26" i="52"/>
  <c r="Z26" i="51"/>
  <c r="W25" i="49"/>
  <c r="X25" i="49"/>
  <c r="Y25" i="49"/>
  <c r="R27" i="48"/>
  <c r="R22" i="49"/>
  <c r="W23" i="49"/>
  <c r="AA23" i="49"/>
  <c r="Z23" i="49"/>
  <c r="X23" i="49"/>
  <c r="Y23" i="49"/>
  <c r="U28" i="47"/>
  <c r="Y20" i="48"/>
  <c r="T20" i="49"/>
  <c r="Z16" i="49"/>
  <c r="Y16" i="49"/>
  <c r="W16" i="49"/>
  <c r="AA16" i="49"/>
  <c r="L44" i="47"/>
  <c r="Z17" i="47"/>
  <c r="W17" i="49"/>
  <c r="X17" i="49"/>
  <c r="AA19" i="49"/>
  <c r="Z20" i="48"/>
  <c r="W19" i="49"/>
  <c r="X19" i="49"/>
  <c r="Y19" i="49"/>
  <c r="U28" i="48"/>
  <c r="U17" i="49"/>
  <c r="W13" i="49"/>
  <c r="Q27" i="49"/>
  <c r="X13" i="49"/>
  <c r="Y13" i="49"/>
  <c r="T27" i="47"/>
  <c r="AA14" i="49"/>
  <c r="W14" i="49"/>
  <c r="Q28" i="49"/>
  <c r="Y14" i="49"/>
  <c r="Z14" i="49"/>
  <c r="X14" i="49"/>
  <c r="Y26" i="47"/>
  <c r="T26" i="48"/>
  <c r="W26" i="47"/>
  <c r="R26" i="48"/>
  <c r="S27" i="47"/>
  <c r="S16" i="48"/>
  <c r="Y13" i="48"/>
  <c r="X13" i="48"/>
  <c r="W13" i="48"/>
  <c r="Q27" i="48"/>
  <c r="T28" i="47"/>
  <c r="T17" i="48"/>
  <c r="X17" i="47"/>
  <c r="X22" i="47"/>
  <c r="S22" i="48"/>
  <c r="V27" i="47"/>
  <c r="V13" i="48"/>
  <c r="W22" i="48"/>
  <c r="N44" i="47"/>
  <c r="X25" i="48"/>
  <c r="AA25" i="48"/>
  <c r="Y25" i="48"/>
  <c r="W25" i="48"/>
  <c r="Z25" i="48"/>
  <c r="R27" i="47"/>
  <c r="W17" i="47"/>
  <c r="W14" i="48"/>
  <c r="AA14" i="48"/>
  <c r="Z14" i="48"/>
  <c r="Y14" i="48"/>
  <c r="Q28" i="48"/>
  <c r="X14" i="48"/>
  <c r="V28" i="47"/>
  <c r="V17" i="48"/>
  <c r="V17" i="49" s="1"/>
  <c r="V17" i="50" s="1"/>
  <c r="U27" i="47"/>
  <c r="U13" i="48"/>
  <c r="Y14" i="47"/>
  <c r="Y22" i="47"/>
  <c r="T22" i="48"/>
  <c r="AA23" i="48"/>
  <c r="W23" i="48"/>
  <c r="Y23" i="48"/>
  <c r="X23" i="48"/>
  <c r="Z23" i="48"/>
  <c r="X26" i="47"/>
  <c r="S26" i="48"/>
  <c r="Y17" i="47"/>
  <c r="W19" i="48"/>
  <c r="Y19" i="48"/>
  <c r="X19" i="48"/>
  <c r="AA19" i="48"/>
  <c r="Z19" i="48"/>
  <c r="Y20" i="47"/>
  <c r="AA20" i="47"/>
  <c r="V20" i="48"/>
  <c r="AA26" i="47"/>
  <c r="V26" i="48"/>
  <c r="X17" i="48"/>
  <c r="W17" i="48"/>
  <c r="Z17" i="48"/>
  <c r="O44" i="47"/>
  <c r="P44" i="47"/>
  <c r="Z16" i="48"/>
  <c r="W16" i="48"/>
  <c r="AA16" i="48"/>
  <c r="Y16" i="48"/>
  <c r="W20" i="47"/>
  <c r="R20" i="48"/>
  <c r="H51" i="47"/>
  <c r="S51" i="47"/>
  <c r="Z16" i="47"/>
  <c r="Y16" i="47"/>
  <c r="X16" i="47"/>
  <c r="W16" i="47"/>
  <c r="AA16" i="47"/>
  <c r="M38" i="47"/>
  <c r="P38" i="47"/>
  <c r="L38" i="47"/>
  <c r="O38" i="47"/>
  <c r="F52" i="47"/>
  <c r="N38" i="47"/>
  <c r="J51" i="47"/>
  <c r="U51" i="47"/>
  <c r="N43" i="47"/>
  <c r="M43" i="47"/>
  <c r="P43" i="47"/>
  <c r="O43" i="47"/>
  <c r="L43" i="47"/>
  <c r="X25" i="47"/>
  <c r="W25" i="47"/>
  <c r="Y25" i="47"/>
  <c r="AA25" i="47"/>
  <c r="Z25" i="47"/>
  <c r="O37" i="47"/>
  <c r="M46" i="47"/>
  <c r="L46" i="47"/>
  <c r="P46" i="47"/>
  <c r="O46" i="47"/>
  <c r="N46" i="47"/>
  <c r="O47" i="47"/>
  <c r="P47" i="47"/>
  <c r="N47" i="47"/>
  <c r="M47" i="47"/>
  <c r="L47" i="47"/>
  <c r="I51" i="47"/>
  <c r="AA19" i="47"/>
  <c r="X19" i="47"/>
  <c r="Y19" i="47"/>
  <c r="Z19" i="47"/>
  <c r="W19" i="47"/>
  <c r="G51" i="47"/>
  <c r="AA17" i="47"/>
  <c r="V51" i="47"/>
  <c r="K51" i="47"/>
  <c r="L40" i="47"/>
  <c r="F51" i="47"/>
  <c r="P50" i="47"/>
  <c r="N50" i="47"/>
  <c r="M50" i="47"/>
  <c r="L50" i="47"/>
  <c r="O50" i="47"/>
  <c r="X13" i="47"/>
  <c r="Q27" i="47"/>
  <c r="W13" i="47"/>
  <c r="Y13" i="47"/>
  <c r="AA13" i="47"/>
  <c r="Z13" i="47"/>
  <c r="N41" i="47"/>
  <c r="G52" i="47"/>
  <c r="AA23" i="47"/>
  <c r="Z23" i="47"/>
  <c r="Y23" i="47"/>
  <c r="X23" i="47"/>
  <c r="W23" i="47"/>
  <c r="P27" i="47"/>
  <c r="O27" i="47"/>
  <c r="L27" i="47"/>
  <c r="N27" i="47"/>
  <c r="M27" i="47"/>
  <c r="M49" i="47"/>
  <c r="L49" i="47"/>
  <c r="P49" i="47"/>
  <c r="O49" i="47"/>
  <c r="N49" i="47"/>
  <c r="V52" i="47"/>
  <c r="K52" i="47"/>
  <c r="S28" i="47"/>
  <c r="X14" i="47"/>
  <c r="O28" i="47"/>
  <c r="N28" i="47"/>
  <c r="M28" i="47"/>
  <c r="L28" i="47"/>
  <c r="P28" i="47"/>
  <c r="I52" i="47"/>
  <c r="R28" i="47"/>
  <c r="W14" i="47"/>
  <c r="S52" i="47"/>
  <c r="H52" i="47"/>
  <c r="U52" i="47"/>
  <c r="J52" i="47"/>
  <c r="Q28" i="47"/>
  <c r="P37" i="47"/>
  <c r="X13" i="46"/>
  <c r="K37" i="46"/>
  <c r="AB27" i="46"/>
  <c r="AB28" i="46"/>
  <c r="G46" i="46"/>
  <c r="S27" i="46"/>
  <c r="H49" i="46"/>
  <c r="O43" i="46"/>
  <c r="Z13" i="46"/>
  <c r="K40" i="46"/>
  <c r="J44" i="46"/>
  <c r="Z20" i="46"/>
  <c r="O16" i="46"/>
  <c r="J40" i="46"/>
  <c r="I49" i="46"/>
  <c r="Y25" i="46"/>
  <c r="K52" i="46"/>
  <c r="M14" i="46"/>
  <c r="K47" i="46"/>
  <c r="I44" i="46"/>
  <c r="Y20" i="46"/>
  <c r="M26" i="46"/>
  <c r="H37" i="46"/>
  <c r="H27" i="46"/>
  <c r="M13" i="46"/>
  <c r="F28" i="46"/>
  <c r="L14" i="46"/>
  <c r="P14" i="46"/>
  <c r="O14" i="46"/>
  <c r="F38" i="46"/>
  <c r="W20" i="46"/>
  <c r="AA20" i="46"/>
  <c r="W25" i="46"/>
  <c r="J27" i="46"/>
  <c r="N41" i="46"/>
  <c r="L17" i="46"/>
  <c r="G41" i="46"/>
  <c r="L26" i="46"/>
  <c r="P26" i="46"/>
  <c r="F50" i="46"/>
  <c r="O26" i="46"/>
  <c r="K27" i="46"/>
  <c r="I37" i="46"/>
  <c r="I27" i="46"/>
  <c r="AA19" i="46"/>
  <c r="AA13" i="46"/>
  <c r="H41" i="46"/>
  <c r="M22" i="46"/>
  <c r="L22" i="46"/>
  <c r="P22" i="46"/>
  <c r="F46" i="46"/>
  <c r="X25" i="46"/>
  <c r="M49" i="46"/>
  <c r="H28" i="46"/>
  <c r="G43" i="46"/>
  <c r="W13" i="46"/>
  <c r="L16" i="46"/>
  <c r="N19" i="46"/>
  <c r="X20" i="46"/>
  <c r="M23" i="46"/>
  <c r="I28" i="46"/>
  <c r="M41" i="46"/>
  <c r="H43" i="46"/>
  <c r="P43" i="46"/>
  <c r="O49" i="46"/>
  <c r="L13" i="46"/>
  <c r="N16" i="46"/>
  <c r="X19" i="46"/>
  <c r="M20" i="46"/>
  <c r="O23" i="46"/>
  <c r="L25" i="46"/>
  <c r="F27" i="46"/>
  <c r="K28" i="46"/>
  <c r="F37" i="46"/>
  <c r="I38" i="46"/>
  <c r="O41" i="46"/>
  <c r="F44" i="46"/>
  <c r="I46" i="46"/>
  <c r="Y19" i="46"/>
  <c r="N20" i="46"/>
  <c r="P23" i="46"/>
  <c r="M25" i="46"/>
  <c r="Z25" i="46"/>
  <c r="G27" i="46"/>
  <c r="P41" i="46"/>
  <c r="J46" i="46"/>
  <c r="F47" i="46"/>
  <c r="N23" i="46"/>
  <c r="H38" i="46"/>
  <c r="N13" i="46"/>
  <c r="P16" i="46"/>
  <c r="M17" i="46"/>
  <c r="U28" i="46"/>
  <c r="Z19" i="46"/>
  <c r="O20" i="46"/>
  <c r="N25" i="46"/>
  <c r="AA25" i="46"/>
  <c r="F40" i="46"/>
  <c r="L43" i="46"/>
  <c r="G47" i="46"/>
  <c r="J28" i="46"/>
  <c r="P49" i="46"/>
  <c r="L49" i="46"/>
  <c r="P44" i="45"/>
  <c r="X13" i="45"/>
  <c r="M49" i="45"/>
  <c r="T20" i="45"/>
  <c r="Y20" i="45" s="1"/>
  <c r="T14" i="45"/>
  <c r="I28" i="45"/>
  <c r="U20" i="45"/>
  <c r="Z20" i="45" s="1"/>
  <c r="M22" i="45"/>
  <c r="L22" i="45"/>
  <c r="P22" i="45"/>
  <c r="Q22" i="45"/>
  <c r="Q22" i="46" s="1"/>
  <c r="K27" i="45"/>
  <c r="P43" i="45"/>
  <c r="O43" i="45"/>
  <c r="W13" i="45"/>
  <c r="Z13" i="45"/>
  <c r="R19" i="45"/>
  <c r="W19" i="45" s="1"/>
  <c r="G43" i="45"/>
  <c r="R22" i="45"/>
  <c r="S25" i="45"/>
  <c r="J44" i="45"/>
  <c r="Q16" i="45"/>
  <c r="Q16" i="46" s="1"/>
  <c r="AA16" i="46" s="1"/>
  <c r="P16" i="45"/>
  <c r="O16" i="45"/>
  <c r="L16" i="45"/>
  <c r="M17" i="45"/>
  <c r="H41" i="45"/>
  <c r="AA13" i="45"/>
  <c r="Q9" i="45"/>
  <c r="F33" i="45"/>
  <c r="AB27" i="45"/>
  <c r="V28" i="45"/>
  <c r="AA19" i="45"/>
  <c r="Z19" i="45"/>
  <c r="Y19" i="45"/>
  <c r="S19" i="45"/>
  <c r="X19" i="45" s="1"/>
  <c r="H43" i="45"/>
  <c r="T25" i="45"/>
  <c r="Y25" i="45" s="1"/>
  <c r="N26" i="45"/>
  <c r="O37" i="45"/>
  <c r="L37" i="45"/>
  <c r="I50" i="45"/>
  <c r="M14" i="45"/>
  <c r="T22" i="45"/>
  <c r="I46" i="45"/>
  <c r="Q23" i="45"/>
  <c r="Q23" i="46" s="1"/>
  <c r="Y23" i="46" s="1"/>
  <c r="P23" i="45"/>
  <c r="M23" i="45"/>
  <c r="O23" i="45"/>
  <c r="X25" i="45"/>
  <c r="L26" i="45"/>
  <c r="O26" i="45"/>
  <c r="P26" i="45"/>
  <c r="K41" i="45"/>
  <c r="N43" i="45"/>
  <c r="L49" i="45"/>
  <c r="P13" i="45"/>
  <c r="J41" i="45"/>
  <c r="U17" i="45"/>
  <c r="Z17" i="45" s="1"/>
  <c r="AC52" i="45"/>
  <c r="M41" i="45"/>
  <c r="H37" i="45"/>
  <c r="H27" i="45"/>
  <c r="AE27" i="45"/>
  <c r="AB28" i="45"/>
  <c r="I37" i="45"/>
  <c r="I27" i="45"/>
  <c r="T13" i="45"/>
  <c r="AF27" i="45"/>
  <c r="AC28" i="45"/>
  <c r="V16" i="45"/>
  <c r="X20" i="45"/>
  <c r="W20" i="45"/>
  <c r="AA20" i="45"/>
  <c r="U22" i="45"/>
  <c r="J46" i="45"/>
  <c r="R23" i="45"/>
  <c r="G47" i="45"/>
  <c r="K49" i="45"/>
  <c r="V25" i="45"/>
  <c r="AA25" i="45" s="1"/>
  <c r="Q26" i="45"/>
  <c r="H28" i="45"/>
  <c r="K37" i="45"/>
  <c r="P37" i="45" s="1"/>
  <c r="H38" i="45"/>
  <c r="N41" i="45"/>
  <c r="F28" i="45"/>
  <c r="L14" i="45"/>
  <c r="O14" i="45"/>
  <c r="P14" i="45"/>
  <c r="L17" i="45"/>
  <c r="G41" i="45"/>
  <c r="R17" i="45"/>
  <c r="W17" i="45" s="1"/>
  <c r="H50" i="45"/>
  <c r="S26" i="45"/>
  <c r="J28" i="45"/>
  <c r="I38" i="45"/>
  <c r="Q14" i="45"/>
  <c r="Q14" i="46" s="1"/>
  <c r="S17" i="45"/>
  <c r="X17" i="45" s="1"/>
  <c r="F27" i="45"/>
  <c r="K28" i="45"/>
  <c r="W25" i="45"/>
  <c r="N49" i="45"/>
  <c r="N19" i="45"/>
  <c r="G38" i="45"/>
  <c r="L44" i="45"/>
  <c r="O49" i="45"/>
  <c r="N44" i="45"/>
  <c r="M13" i="45"/>
  <c r="T17" i="45"/>
  <c r="Y17" i="45" s="1"/>
  <c r="N20" i="45"/>
  <c r="M25" i="45"/>
  <c r="U25" i="45"/>
  <c r="U27" i="45" s="1"/>
  <c r="G27" i="45"/>
  <c r="O44" i="45"/>
  <c r="N13" i="45"/>
  <c r="N25" i="45"/>
  <c r="H46" i="44"/>
  <c r="M17" i="44"/>
  <c r="K23" i="44"/>
  <c r="H38" i="44"/>
  <c r="J46" i="44"/>
  <c r="J38" i="44"/>
  <c r="L13" i="44"/>
  <c r="N14" i="44"/>
  <c r="N16" i="44"/>
  <c r="H41" i="44"/>
  <c r="J47" i="44"/>
  <c r="H27" i="44"/>
  <c r="J41" i="44"/>
  <c r="F49" i="44"/>
  <c r="N22" i="44"/>
  <c r="G43" i="44"/>
  <c r="M14" i="44"/>
  <c r="F50" i="44"/>
  <c r="N43" i="44"/>
  <c r="M43" i="44"/>
  <c r="K43" i="44"/>
  <c r="N41" i="44"/>
  <c r="M41" i="44"/>
  <c r="L41" i="44"/>
  <c r="K41" i="44"/>
  <c r="G52" i="44"/>
  <c r="J52" i="44"/>
  <c r="I27" i="44"/>
  <c r="N13" i="44"/>
  <c r="L17" i="44"/>
  <c r="N19" i="44"/>
  <c r="L23" i="44"/>
  <c r="N25" i="44"/>
  <c r="J27" i="44"/>
  <c r="I38" i="44"/>
  <c r="F40" i="44"/>
  <c r="H43" i="44"/>
  <c r="F44" i="44"/>
  <c r="I47" i="44"/>
  <c r="G49" i="44"/>
  <c r="G40" i="44"/>
  <c r="L16" i="44"/>
  <c r="N17" i="44"/>
  <c r="N23" i="44"/>
  <c r="F28" i="44"/>
  <c r="F37" i="44"/>
  <c r="K38" i="44"/>
  <c r="K47" i="44"/>
  <c r="I49" i="44"/>
  <c r="K14" i="44"/>
  <c r="M16" i="44"/>
  <c r="K20" i="44"/>
  <c r="M22" i="44"/>
  <c r="K26" i="44"/>
  <c r="G28" i="44"/>
  <c r="G37" i="44"/>
  <c r="L38" i="44"/>
  <c r="I44" i="44"/>
  <c r="F46" i="44"/>
  <c r="L47" i="44"/>
  <c r="L14" i="44"/>
  <c r="L20" i="44"/>
  <c r="L26" i="44"/>
  <c r="F27" i="44"/>
  <c r="H37" i="44"/>
  <c r="G46" i="44"/>
  <c r="M47" i="44"/>
  <c r="I50" i="44"/>
  <c r="K13" i="44"/>
  <c r="I28" i="44"/>
  <c r="N38" i="44"/>
  <c r="L19" i="44"/>
  <c r="J51" i="43"/>
  <c r="G52" i="43"/>
  <c r="N47" i="43"/>
  <c r="L47" i="43"/>
  <c r="K47" i="43"/>
  <c r="N43" i="43"/>
  <c r="K43" i="43"/>
  <c r="N41" i="43"/>
  <c r="M41" i="43"/>
  <c r="L41" i="43"/>
  <c r="K41" i="43"/>
  <c r="H52" i="43"/>
  <c r="I27" i="43"/>
  <c r="N13" i="43"/>
  <c r="L17" i="43"/>
  <c r="N19" i="43"/>
  <c r="L23" i="43"/>
  <c r="N25" i="43"/>
  <c r="J27" i="43"/>
  <c r="I38" i="43"/>
  <c r="F40" i="43"/>
  <c r="H43" i="43"/>
  <c r="F44" i="43"/>
  <c r="I47" i="43"/>
  <c r="G49" i="43"/>
  <c r="N49" i="43"/>
  <c r="J38" i="43"/>
  <c r="G40" i="43"/>
  <c r="I43" i="43"/>
  <c r="H49" i="43"/>
  <c r="F50" i="43"/>
  <c r="L16" i="43"/>
  <c r="N17" i="43"/>
  <c r="L22" i="43"/>
  <c r="N23" i="43"/>
  <c r="F28" i="43"/>
  <c r="F37" i="43"/>
  <c r="I49" i="43"/>
  <c r="K14" i="43"/>
  <c r="M16" i="43"/>
  <c r="K20" i="43"/>
  <c r="M22" i="43"/>
  <c r="K26" i="43"/>
  <c r="G28" i="43"/>
  <c r="G37" i="43"/>
  <c r="I44" i="43"/>
  <c r="F46" i="43"/>
  <c r="L14" i="43"/>
  <c r="L20" i="43"/>
  <c r="L26" i="43"/>
  <c r="F27" i="43"/>
  <c r="H37" i="43"/>
  <c r="G46" i="43"/>
  <c r="K49" i="43"/>
  <c r="I50" i="43"/>
  <c r="K13" i="43"/>
  <c r="M14" i="43"/>
  <c r="F38" i="43"/>
  <c r="L49" i="43"/>
  <c r="L19" i="43"/>
  <c r="AA17" i="48" l="1"/>
  <c r="X19" i="55"/>
  <c r="S19" i="56"/>
  <c r="X19" i="56" s="1"/>
  <c r="Y19" i="55"/>
  <c r="T19" i="56"/>
  <c r="Y19" i="56" s="1"/>
  <c r="AA16" i="55"/>
  <c r="V16" i="56"/>
  <c r="AA16" i="56" s="1"/>
  <c r="W16" i="55"/>
  <c r="R16" i="56"/>
  <c r="W16" i="56" s="1"/>
  <c r="Z19" i="55"/>
  <c r="U19" i="56"/>
  <c r="Z19" i="56" s="1"/>
  <c r="T23" i="56"/>
  <c r="Z26" i="55"/>
  <c r="U26" i="56"/>
  <c r="Z26" i="56" s="1"/>
  <c r="V14" i="56"/>
  <c r="U23" i="56"/>
  <c r="V23" i="56"/>
  <c r="T14" i="55"/>
  <c r="Y14" i="54"/>
  <c r="R25" i="55"/>
  <c r="W25" i="54"/>
  <c r="AA14" i="55"/>
  <c r="U20" i="55"/>
  <c r="Z20" i="54"/>
  <c r="S25" i="55"/>
  <c r="X25" i="54"/>
  <c r="U16" i="55"/>
  <c r="Z16" i="54"/>
  <c r="T16" i="55"/>
  <c r="Y16" i="54"/>
  <c r="R17" i="55"/>
  <c r="W17" i="54"/>
  <c r="S13" i="54"/>
  <c r="X13" i="53"/>
  <c r="U14" i="55"/>
  <c r="Z14" i="54"/>
  <c r="S17" i="55"/>
  <c r="X17" i="54"/>
  <c r="T25" i="55"/>
  <c r="Y25" i="54"/>
  <c r="V25" i="55"/>
  <c r="AA25" i="54"/>
  <c r="V19" i="55"/>
  <c r="AA19" i="54"/>
  <c r="U25" i="55"/>
  <c r="Z25" i="54"/>
  <c r="R19" i="55"/>
  <c r="W19" i="54"/>
  <c r="Y14" i="53"/>
  <c r="Y20" i="49"/>
  <c r="T20" i="50"/>
  <c r="W22" i="49"/>
  <c r="R22" i="50"/>
  <c r="V17" i="51"/>
  <c r="R13" i="52"/>
  <c r="R13" i="53" s="1"/>
  <c r="U28" i="49"/>
  <c r="Z28" i="49" s="1"/>
  <c r="U17" i="50"/>
  <c r="T13" i="52"/>
  <c r="T13" i="53" s="1"/>
  <c r="T13" i="54" s="1"/>
  <c r="AA17" i="50"/>
  <c r="S14" i="52"/>
  <c r="S14" i="53" s="1"/>
  <c r="S20" i="51"/>
  <c r="X20" i="50"/>
  <c r="R14" i="52"/>
  <c r="R14" i="53" s="1"/>
  <c r="W23" i="46"/>
  <c r="AA23" i="46"/>
  <c r="X23" i="46"/>
  <c r="Z23" i="46"/>
  <c r="X16" i="46"/>
  <c r="Q27" i="46"/>
  <c r="X27" i="46" s="1"/>
  <c r="W16" i="46"/>
  <c r="Y16" i="46"/>
  <c r="Q51" i="52"/>
  <c r="W51" i="52" s="1"/>
  <c r="W41" i="52"/>
  <c r="Q52" i="52"/>
  <c r="W52" i="52" s="1"/>
  <c r="Q28" i="51"/>
  <c r="W14" i="51"/>
  <c r="X14" i="51"/>
  <c r="Q14" i="52"/>
  <c r="Z14" i="51"/>
  <c r="Y14" i="51"/>
  <c r="AA14" i="51"/>
  <c r="Q19" i="52"/>
  <c r="W19" i="51"/>
  <c r="Y19" i="51"/>
  <c r="Z19" i="51"/>
  <c r="X19" i="51"/>
  <c r="AA19" i="51"/>
  <c r="Q23" i="52"/>
  <c r="Y23" i="51"/>
  <c r="W23" i="51"/>
  <c r="X23" i="51"/>
  <c r="Z23" i="51"/>
  <c r="AA23" i="51"/>
  <c r="W16" i="51"/>
  <c r="Q16" i="52"/>
  <c r="Y16" i="51"/>
  <c r="AA16" i="51"/>
  <c r="Z16" i="51"/>
  <c r="Z26" i="52"/>
  <c r="Q25" i="52"/>
  <c r="AA25" i="51"/>
  <c r="Y25" i="51"/>
  <c r="Z25" i="51"/>
  <c r="W25" i="51"/>
  <c r="X25" i="51"/>
  <c r="Q17" i="52"/>
  <c r="W17" i="51"/>
  <c r="X17" i="51"/>
  <c r="AA22" i="52"/>
  <c r="Z22" i="52"/>
  <c r="W13" i="51"/>
  <c r="Q13" i="52"/>
  <c r="X13" i="51"/>
  <c r="Y13" i="51"/>
  <c r="Q27" i="51"/>
  <c r="Z20" i="52"/>
  <c r="X22" i="48"/>
  <c r="S22" i="49"/>
  <c r="X26" i="48"/>
  <c r="S26" i="49"/>
  <c r="S26" i="50" s="1"/>
  <c r="S27" i="48"/>
  <c r="X27" i="48" s="1"/>
  <c r="S16" i="49"/>
  <c r="S16" i="50" s="1"/>
  <c r="W20" i="48"/>
  <c r="R20" i="49"/>
  <c r="R20" i="50" s="1"/>
  <c r="U27" i="48"/>
  <c r="Z27" i="48" s="1"/>
  <c r="U13" i="49"/>
  <c r="U13" i="50" s="1"/>
  <c r="T28" i="48"/>
  <c r="Y28" i="48" s="1"/>
  <c r="T17" i="49"/>
  <c r="T17" i="50" s="1"/>
  <c r="W26" i="48"/>
  <c r="R26" i="49"/>
  <c r="Y22" i="48"/>
  <c r="T22" i="49"/>
  <c r="T22" i="50" s="1"/>
  <c r="Y26" i="48"/>
  <c r="T26" i="49"/>
  <c r="AA17" i="49"/>
  <c r="AA20" i="48"/>
  <c r="V20" i="49"/>
  <c r="AA26" i="48"/>
  <c r="V26" i="49"/>
  <c r="V27" i="48"/>
  <c r="AA27" i="48" s="1"/>
  <c r="V13" i="49"/>
  <c r="V13" i="50" s="1"/>
  <c r="Z17" i="49"/>
  <c r="R27" i="49"/>
  <c r="W27" i="49" s="1"/>
  <c r="X16" i="48"/>
  <c r="V28" i="48"/>
  <c r="AA28" i="48" s="1"/>
  <c r="W27" i="48"/>
  <c r="R28" i="48"/>
  <c r="W28" i="48" s="1"/>
  <c r="Z28" i="48"/>
  <c r="AA13" i="48"/>
  <c r="Y17" i="48"/>
  <c r="S28" i="48"/>
  <c r="X28" i="48" s="1"/>
  <c r="Z13" i="48"/>
  <c r="T27" i="48"/>
  <c r="Y27" i="48" s="1"/>
  <c r="T52" i="47"/>
  <c r="W28" i="47"/>
  <c r="Z28" i="47"/>
  <c r="AA28" i="47"/>
  <c r="Y28" i="47"/>
  <c r="X28" i="47"/>
  <c r="M51" i="47"/>
  <c r="L51" i="47"/>
  <c r="P51" i="47"/>
  <c r="O51" i="47"/>
  <c r="N51" i="47"/>
  <c r="M52" i="47"/>
  <c r="L52" i="47"/>
  <c r="P52" i="47"/>
  <c r="O52" i="47"/>
  <c r="N52" i="47"/>
  <c r="Z27" i="47"/>
  <c r="X27" i="47"/>
  <c r="Y27" i="47"/>
  <c r="W27" i="47"/>
  <c r="AA27" i="47"/>
  <c r="J51" i="46"/>
  <c r="S28" i="46"/>
  <c r="I51" i="46"/>
  <c r="M46" i="46"/>
  <c r="L46" i="46"/>
  <c r="P46" i="46"/>
  <c r="O46" i="46"/>
  <c r="N46" i="46"/>
  <c r="U27" i="46"/>
  <c r="Z27" i="46" s="1"/>
  <c r="Z16" i="46"/>
  <c r="T28" i="46"/>
  <c r="P47" i="46"/>
  <c r="O47" i="46"/>
  <c r="N47" i="46"/>
  <c r="M47" i="46"/>
  <c r="L47" i="46"/>
  <c r="M27" i="46"/>
  <c r="P27" i="46"/>
  <c r="O27" i="46"/>
  <c r="N27" i="46"/>
  <c r="L27" i="46"/>
  <c r="AA17" i="46"/>
  <c r="Z17" i="46"/>
  <c r="Y17" i="46"/>
  <c r="X17" i="46"/>
  <c r="W17" i="46"/>
  <c r="N28" i="46"/>
  <c r="M28" i="46"/>
  <c r="L28" i="46"/>
  <c r="P28" i="46"/>
  <c r="O28" i="46"/>
  <c r="P44" i="46"/>
  <c r="O44" i="46"/>
  <c r="N44" i="46"/>
  <c r="M44" i="46"/>
  <c r="L44" i="46"/>
  <c r="R27" i="46"/>
  <c r="P40" i="46"/>
  <c r="O40" i="46"/>
  <c r="N40" i="46"/>
  <c r="M40" i="46"/>
  <c r="L40" i="46"/>
  <c r="N49" i="46"/>
  <c r="AA26" i="46"/>
  <c r="X26" i="46"/>
  <c r="Z26" i="46"/>
  <c r="Y26" i="46"/>
  <c r="W26" i="46"/>
  <c r="L41" i="46"/>
  <c r="M38" i="46"/>
  <c r="L38" i="46"/>
  <c r="P38" i="46"/>
  <c r="O38" i="46"/>
  <c r="F52" i="46"/>
  <c r="N38" i="46"/>
  <c r="H51" i="46"/>
  <c r="K51" i="46"/>
  <c r="V27" i="46"/>
  <c r="P50" i="46"/>
  <c r="O50" i="46"/>
  <c r="N50" i="46"/>
  <c r="M50" i="46"/>
  <c r="L50" i="46"/>
  <c r="H52" i="46"/>
  <c r="M37" i="46"/>
  <c r="P37" i="46"/>
  <c r="O37" i="46"/>
  <c r="N37" i="46"/>
  <c r="L37" i="46"/>
  <c r="F51" i="46"/>
  <c r="V28" i="46"/>
  <c r="R28" i="46"/>
  <c r="AA14" i="46"/>
  <c r="X14" i="46"/>
  <c r="Z14" i="46"/>
  <c r="Y14" i="46"/>
  <c r="Q28" i="46"/>
  <c r="W14" i="46"/>
  <c r="G51" i="46"/>
  <c r="J52" i="46"/>
  <c r="I52" i="46"/>
  <c r="AA22" i="46"/>
  <c r="Y22" i="46"/>
  <c r="Z22" i="46"/>
  <c r="X22" i="46"/>
  <c r="W22" i="46"/>
  <c r="M43" i="46"/>
  <c r="T27" i="46"/>
  <c r="Y27" i="46" s="1"/>
  <c r="Y13" i="46"/>
  <c r="G52" i="46"/>
  <c r="F51" i="45"/>
  <c r="O41" i="45"/>
  <c r="R28" i="45"/>
  <c r="P41" i="45"/>
  <c r="G51" i="45"/>
  <c r="L51" i="45" s="1"/>
  <c r="M43" i="45"/>
  <c r="S28" i="45"/>
  <c r="V27" i="45"/>
  <c r="R27" i="45"/>
  <c r="I51" i="45"/>
  <c r="N51" i="45" s="1"/>
  <c r="N37" i="45"/>
  <c r="Z25" i="45"/>
  <c r="N28" i="45"/>
  <c r="M28" i="45"/>
  <c r="L28" i="45"/>
  <c r="O28" i="45"/>
  <c r="P28" i="45"/>
  <c r="P49" i="45"/>
  <c r="K52" i="45"/>
  <c r="Y16" i="45"/>
  <c r="X16" i="45"/>
  <c r="W16" i="45"/>
  <c r="AA16" i="45"/>
  <c r="Z16" i="45"/>
  <c r="Q27" i="45"/>
  <c r="S27" i="45"/>
  <c r="AA14" i="45"/>
  <c r="Z14" i="45"/>
  <c r="Q28" i="45"/>
  <c r="W14" i="45"/>
  <c r="Y14" i="45"/>
  <c r="X14" i="45"/>
  <c r="AA26" i="45"/>
  <c r="Z26" i="45"/>
  <c r="W26" i="45"/>
  <c r="X26" i="45"/>
  <c r="Y26" i="45"/>
  <c r="O40" i="45"/>
  <c r="N40" i="45"/>
  <c r="M40" i="45"/>
  <c r="L40" i="45"/>
  <c r="P40" i="45"/>
  <c r="I52" i="45"/>
  <c r="J51" i="45"/>
  <c r="O51" i="45" s="1"/>
  <c r="T28" i="45"/>
  <c r="AA22" i="45"/>
  <c r="X22" i="45"/>
  <c r="Z22" i="45"/>
  <c r="Y22" i="45"/>
  <c r="W22" i="45"/>
  <c r="G52" i="45"/>
  <c r="L38" i="45"/>
  <c r="O38" i="45"/>
  <c r="F52" i="45"/>
  <c r="N38" i="45"/>
  <c r="P38" i="45"/>
  <c r="M38" i="45"/>
  <c r="M37" i="45"/>
  <c r="H51" i="45"/>
  <c r="M51" i="45" s="1"/>
  <c r="P47" i="45"/>
  <c r="O47" i="45"/>
  <c r="N47" i="45"/>
  <c r="M47" i="45"/>
  <c r="L47" i="45"/>
  <c r="P27" i="45"/>
  <c r="O27" i="45"/>
  <c r="L27" i="45"/>
  <c r="N27" i="45"/>
  <c r="M27" i="45"/>
  <c r="H52" i="45"/>
  <c r="L41" i="45"/>
  <c r="Z23" i="45"/>
  <c r="Y23" i="45"/>
  <c r="X23" i="45"/>
  <c r="AA23" i="45"/>
  <c r="W23" i="45"/>
  <c r="L46" i="45"/>
  <c r="O46" i="45"/>
  <c r="N46" i="45"/>
  <c r="P46" i="45"/>
  <c r="M46" i="45"/>
  <c r="K51" i="45"/>
  <c r="P51" i="45" s="1"/>
  <c r="T27" i="45"/>
  <c r="Y13" i="45"/>
  <c r="U28" i="45"/>
  <c r="P50" i="45"/>
  <c r="O50" i="45"/>
  <c r="N50" i="45"/>
  <c r="M50" i="45"/>
  <c r="L50" i="45"/>
  <c r="J52" i="45"/>
  <c r="L43" i="45"/>
  <c r="L50" i="44"/>
  <c r="K50" i="44"/>
  <c r="F52" i="44"/>
  <c r="N52" i="44" s="1"/>
  <c r="N50" i="44"/>
  <c r="M50" i="44"/>
  <c r="J51" i="44"/>
  <c r="H52" i="44"/>
  <c r="M49" i="44"/>
  <c r="I51" i="44"/>
  <c r="L49" i="44"/>
  <c r="L43" i="44"/>
  <c r="N47" i="44"/>
  <c r="N49" i="44"/>
  <c r="H51" i="44"/>
  <c r="K52" i="44"/>
  <c r="L44" i="44"/>
  <c r="K44" i="44"/>
  <c r="N44" i="44"/>
  <c r="M44" i="44"/>
  <c r="F51" i="44"/>
  <c r="N37" i="44"/>
  <c r="M37" i="44"/>
  <c r="L37" i="44"/>
  <c r="K37" i="44"/>
  <c r="N27" i="44"/>
  <c r="M27" i="44"/>
  <c r="L27" i="44"/>
  <c r="K27" i="44"/>
  <c r="K49" i="44"/>
  <c r="N46" i="44"/>
  <c r="M46" i="44"/>
  <c r="L46" i="44"/>
  <c r="K46" i="44"/>
  <c r="N28" i="44"/>
  <c r="M28" i="44"/>
  <c r="L28" i="44"/>
  <c r="K28" i="44"/>
  <c r="L40" i="44"/>
  <c r="K40" i="44"/>
  <c r="N40" i="44"/>
  <c r="M40" i="44"/>
  <c r="I52" i="44"/>
  <c r="M38" i="44"/>
  <c r="G51" i="44"/>
  <c r="M49" i="43"/>
  <c r="N38" i="43"/>
  <c r="M38" i="43"/>
  <c r="L38" i="43"/>
  <c r="K38" i="43"/>
  <c r="F52" i="43"/>
  <c r="N46" i="43"/>
  <c r="M46" i="43"/>
  <c r="L46" i="43"/>
  <c r="K46" i="43"/>
  <c r="L40" i="43"/>
  <c r="K40" i="43"/>
  <c r="M40" i="43"/>
  <c r="N40" i="43"/>
  <c r="L43" i="43"/>
  <c r="M47" i="43"/>
  <c r="K50" i="43"/>
  <c r="L50" i="43"/>
  <c r="N50" i="43"/>
  <c r="M50" i="43"/>
  <c r="M43" i="43"/>
  <c r="K37" i="43"/>
  <c r="F51" i="43"/>
  <c r="N37" i="43"/>
  <c r="M37" i="43"/>
  <c r="L37" i="43"/>
  <c r="H51" i="43"/>
  <c r="N27" i="43"/>
  <c r="M27" i="43"/>
  <c r="L27" i="43"/>
  <c r="K27" i="43"/>
  <c r="N28" i="43"/>
  <c r="M28" i="43"/>
  <c r="K28" i="43"/>
  <c r="L28" i="43"/>
  <c r="G51" i="43"/>
  <c r="I52" i="43"/>
  <c r="J52" i="43"/>
  <c r="I51" i="43"/>
  <c r="L44" i="43"/>
  <c r="K44" i="43"/>
  <c r="M44" i="43"/>
  <c r="N44" i="43"/>
  <c r="Y25" i="55" l="1"/>
  <c r="T25" i="56"/>
  <c r="Y25" i="56" s="1"/>
  <c r="Z20" i="55"/>
  <c r="U20" i="56"/>
  <c r="Z20" i="56" s="1"/>
  <c r="AA14" i="56"/>
  <c r="Z25" i="55"/>
  <c r="U25" i="56"/>
  <c r="Z25" i="56" s="1"/>
  <c r="Y16" i="55"/>
  <c r="T16" i="56"/>
  <c r="Y16" i="56" s="1"/>
  <c r="W25" i="55"/>
  <c r="R25" i="56"/>
  <c r="W25" i="56" s="1"/>
  <c r="X17" i="55"/>
  <c r="S17" i="56"/>
  <c r="X17" i="56" s="1"/>
  <c r="AA19" i="55"/>
  <c r="V19" i="56"/>
  <c r="AA19" i="56" s="1"/>
  <c r="U14" i="56"/>
  <c r="Z16" i="55"/>
  <c r="U16" i="56"/>
  <c r="W19" i="55"/>
  <c r="R19" i="56"/>
  <c r="W19" i="56" s="1"/>
  <c r="T14" i="56"/>
  <c r="W17" i="55"/>
  <c r="R17" i="56"/>
  <c r="W17" i="56" s="1"/>
  <c r="AA25" i="55"/>
  <c r="V25" i="56"/>
  <c r="AA25" i="56" s="1"/>
  <c r="X25" i="55"/>
  <c r="S25" i="56"/>
  <c r="X25" i="56" s="1"/>
  <c r="T13" i="55"/>
  <c r="Y13" i="54"/>
  <c r="S14" i="54"/>
  <c r="X14" i="53"/>
  <c r="Z14" i="55"/>
  <c r="R14" i="54"/>
  <c r="W14" i="53"/>
  <c r="R13" i="54"/>
  <c r="W13" i="53"/>
  <c r="S13" i="55"/>
  <c r="X13" i="54"/>
  <c r="Y14" i="55"/>
  <c r="Y13" i="53"/>
  <c r="Y26" i="49"/>
  <c r="T26" i="50"/>
  <c r="T28" i="50" s="1"/>
  <c r="Y28" i="50" s="1"/>
  <c r="V17" i="52"/>
  <c r="V17" i="53" s="1"/>
  <c r="V13" i="51"/>
  <c r="V27" i="50"/>
  <c r="AA27" i="50" s="1"/>
  <c r="AA13" i="50"/>
  <c r="U13" i="51"/>
  <c r="U27" i="50"/>
  <c r="Z27" i="50" s="1"/>
  <c r="Z13" i="50"/>
  <c r="X22" i="49"/>
  <c r="S22" i="50"/>
  <c r="AA26" i="49"/>
  <c r="V26" i="50"/>
  <c r="R20" i="51"/>
  <c r="W20" i="50"/>
  <c r="T22" i="51"/>
  <c r="Y22" i="50"/>
  <c r="T27" i="50"/>
  <c r="Y27" i="50" s="1"/>
  <c r="U28" i="50"/>
  <c r="Z28" i="50" s="1"/>
  <c r="U17" i="51"/>
  <c r="Z17" i="50"/>
  <c r="R22" i="51"/>
  <c r="W22" i="50"/>
  <c r="R27" i="50"/>
  <c r="W27" i="50" s="1"/>
  <c r="AA20" i="49"/>
  <c r="V20" i="50"/>
  <c r="W26" i="49"/>
  <c r="R26" i="50"/>
  <c r="R28" i="50" s="1"/>
  <c r="W28" i="50" s="1"/>
  <c r="S16" i="51"/>
  <c r="X16" i="50"/>
  <c r="AA17" i="51"/>
  <c r="S20" i="52"/>
  <c r="X20" i="51"/>
  <c r="T20" i="51"/>
  <c r="Y20" i="50"/>
  <c r="T17" i="51"/>
  <c r="Y17" i="50"/>
  <c r="S26" i="51"/>
  <c r="S28" i="51" s="1"/>
  <c r="X28" i="51" s="1"/>
  <c r="X26" i="50"/>
  <c r="S28" i="50"/>
  <c r="X28" i="50" s="1"/>
  <c r="AA27" i="46"/>
  <c r="W27" i="46"/>
  <c r="Z19" i="52"/>
  <c r="X19" i="52"/>
  <c r="Y19" i="52"/>
  <c r="W19" i="52"/>
  <c r="AA19" i="52"/>
  <c r="W23" i="52"/>
  <c r="AA23" i="52"/>
  <c r="X23" i="52"/>
  <c r="Y23" i="52"/>
  <c r="Z23" i="52"/>
  <c r="W16" i="52"/>
  <c r="Y16" i="52"/>
  <c r="AA16" i="52"/>
  <c r="Z16" i="52"/>
  <c r="X25" i="52"/>
  <c r="AA25" i="52"/>
  <c r="Z25" i="52"/>
  <c r="Y25" i="52"/>
  <c r="W25" i="52"/>
  <c r="W14" i="52"/>
  <c r="Y14" i="52"/>
  <c r="Q28" i="52"/>
  <c r="AA14" i="52"/>
  <c r="X14" i="52"/>
  <c r="Z14" i="52"/>
  <c r="X13" i="52"/>
  <c r="W13" i="52"/>
  <c r="Y13" i="52"/>
  <c r="Q27" i="52"/>
  <c r="W17" i="52"/>
  <c r="X17" i="52"/>
  <c r="U27" i="49"/>
  <c r="Z27" i="49" s="1"/>
  <c r="Z13" i="49"/>
  <c r="W20" i="49"/>
  <c r="R28" i="49"/>
  <c r="W28" i="49" s="1"/>
  <c r="S27" i="49"/>
  <c r="X27" i="49" s="1"/>
  <c r="X16" i="49"/>
  <c r="AA13" i="49"/>
  <c r="V27" i="49"/>
  <c r="AA27" i="49" s="1"/>
  <c r="X26" i="49"/>
  <c r="S28" i="49"/>
  <c r="X28" i="49" s="1"/>
  <c r="V28" i="49"/>
  <c r="AA28" i="49" s="1"/>
  <c r="Y22" i="49"/>
  <c r="T27" i="49"/>
  <c r="Y27" i="49" s="1"/>
  <c r="T28" i="49"/>
  <c r="Y28" i="49" s="1"/>
  <c r="Y17" i="49"/>
  <c r="Z28" i="46"/>
  <c r="AA28" i="46"/>
  <c r="Y28" i="46"/>
  <c r="X28" i="46"/>
  <c r="W28" i="46"/>
  <c r="M51" i="46"/>
  <c r="L51" i="46"/>
  <c r="P51" i="46"/>
  <c r="O51" i="46"/>
  <c r="N51" i="46"/>
  <c r="M52" i="46"/>
  <c r="L52" i="46"/>
  <c r="P52" i="46"/>
  <c r="O52" i="46"/>
  <c r="N52" i="46"/>
  <c r="M52" i="44"/>
  <c r="L52" i="45"/>
  <c r="O52" i="45"/>
  <c r="N52" i="45"/>
  <c r="P52" i="45"/>
  <c r="M52" i="45"/>
  <c r="Y28" i="45"/>
  <c r="AA28" i="45"/>
  <c r="Z28" i="45"/>
  <c r="X28" i="45"/>
  <c r="W28" i="45"/>
  <c r="Y27" i="45"/>
  <c r="X27" i="45"/>
  <c r="W27" i="45"/>
  <c r="Z27" i="45"/>
  <c r="AA27" i="45"/>
  <c r="L52" i="44"/>
  <c r="N51" i="44"/>
  <c r="M51" i="44"/>
  <c r="L51" i="44"/>
  <c r="K51" i="44"/>
  <c r="K52" i="43"/>
  <c r="L52" i="43"/>
  <c r="N52" i="43"/>
  <c r="M52" i="43"/>
  <c r="N51" i="43"/>
  <c r="M51" i="43"/>
  <c r="L51" i="43"/>
  <c r="K51" i="43"/>
  <c r="AA17" i="52" l="1"/>
  <c r="Z16" i="56"/>
  <c r="T13" i="56"/>
  <c r="S13" i="56"/>
  <c r="Y14" i="56"/>
  <c r="Z14" i="56"/>
  <c r="V17" i="54"/>
  <c r="AA17" i="53"/>
  <c r="X20" i="52"/>
  <c r="S20" i="53"/>
  <c r="R13" i="55"/>
  <c r="W13" i="54"/>
  <c r="S14" i="55"/>
  <c r="X14" i="54"/>
  <c r="X13" i="55"/>
  <c r="R14" i="55"/>
  <c r="W14" i="54"/>
  <c r="Y13" i="55"/>
  <c r="V20" i="51"/>
  <c r="AA20" i="50"/>
  <c r="V28" i="50"/>
  <c r="AA28" i="50" s="1"/>
  <c r="V26" i="51"/>
  <c r="AA26" i="50"/>
  <c r="V27" i="51"/>
  <c r="AA27" i="51" s="1"/>
  <c r="V13" i="52"/>
  <c r="V13" i="53" s="1"/>
  <c r="V13" i="54" s="1"/>
  <c r="AA13" i="51"/>
  <c r="S26" i="52"/>
  <c r="X26" i="51"/>
  <c r="S22" i="51"/>
  <c r="S27" i="51" s="1"/>
  <c r="X27" i="51" s="1"/>
  <c r="X22" i="50"/>
  <c r="R20" i="52"/>
  <c r="R20" i="53" s="1"/>
  <c r="W20" i="51"/>
  <c r="T22" i="52"/>
  <c r="T22" i="53" s="1"/>
  <c r="Y22" i="51"/>
  <c r="T27" i="51"/>
  <c r="Y27" i="51" s="1"/>
  <c r="T20" i="52"/>
  <c r="Y20" i="51"/>
  <c r="S16" i="52"/>
  <c r="S16" i="53" s="1"/>
  <c r="X16" i="51"/>
  <c r="R22" i="52"/>
  <c r="R22" i="53" s="1"/>
  <c r="W22" i="51"/>
  <c r="R27" i="51"/>
  <c r="W27" i="51" s="1"/>
  <c r="S28" i="52"/>
  <c r="X28" i="52" s="1"/>
  <c r="T17" i="52"/>
  <c r="T17" i="53" s="1"/>
  <c r="Y17" i="51"/>
  <c r="S27" i="50"/>
  <c r="X27" i="50" s="1"/>
  <c r="T26" i="51"/>
  <c r="T28" i="51" s="1"/>
  <c r="Y28" i="51" s="1"/>
  <c r="Y26" i="50"/>
  <c r="R26" i="51"/>
  <c r="R28" i="51" s="1"/>
  <c r="W28" i="51" s="1"/>
  <c r="W26" i="50"/>
  <c r="U17" i="52"/>
  <c r="U17" i="53" s="1"/>
  <c r="U28" i="51"/>
  <c r="Z28" i="51" s="1"/>
  <c r="Z17" i="51"/>
  <c r="U27" i="51"/>
  <c r="Z27" i="51" s="1"/>
  <c r="U13" i="52"/>
  <c r="U13" i="53" s="1"/>
  <c r="Z13" i="51"/>
  <c r="AA52" i="41"/>
  <c r="Z52" i="41"/>
  <c r="Y52" i="41"/>
  <c r="AA51" i="41"/>
  <c r="Z51" i="41"/>
  <c r="Y51" i="41"/>
  <c r="F50" i="41"/>
  <c r="K50" i="41" s="1"/>
  <c r="H49" i="41"/>
  <c r="J47" i="41"/>
  <c r="G44" i="41"/>
  <c r="I43" i="41"/>
  <c r="G40" i="41"/>
  <c r="X52" i="41"/>
  <c r="J38" i="41"/>
  <c r="X51" i="41"/>
  <c r="O33" i="41"/>
  <c r="J50" i="41"/>
  <c r="I50" i="41"/>
  <c r="H50" i="41"/>
  <c r="G50" i="41"/>
  <c r="N26" i="41"/>
  <c r="L25" i="41"/>
  <c r="M23" i="41"/>
  <c r="I47" i="41"/>
  <c r="G47" i="41"/>
  <c r="F47" i="41"/>
  <c r="K22" i="41"/>
  <c r="J46" i="41"/>
  <c r="I46" i="41"/>
  <c r="H46" i="41"/>
  <c r="G46" i="41"/>
  <c r="J44" i="41"/>
  <c r="I44" i="41"/>
  <c r="H44" i="41"/>
  <c r="N20" i="41"/>
  <c r="F43" i="41"/>
  <c r="M17" i="41"/>
  <c r="J41" i="41"/>
  <c r="I41" i="41"/>
  <c r="H41" i="41"/>
  <c r="G41" i="41"/>
  <c r="F41" i="41"/>
  <c r="AA27" i="41"/>
  <c r="K16" i="41"/>
  <c r="J40" i="41"/>
  <c r="I40" i="41"/>
  <c r="H40" i="41"/>
  <c r="AA28" i="41"/>
  <c r="Z28" i="41"/>
  <c r="Y28" i="41"/>
  <c r="X28" i="41"/>
  <c r="J28" i="41"/>
  <c r="I28" i="41"/>
  <c r="H28" i="41"/>
  <c r="G38" i="41"/>
  <c r="N14" i="41"/>
  <c r="Z27" i="41"/>
  <c r="Y27" i="41"/>
  <c r="X27" i="41"/>
  <c r="J37" i="41"/>
  <c r="I37" i="41"/>
  <c r="H27" i="41"/>
  <c r="G27" i="41"/>
  <c r="L13" i="41"/>
  <c r="O9" i="41"/>
  <c r="F9" i="41"/>
  <c r="F33" i="41" s="1"/>
  <c r="AA52" i="40"/>
  <c r="Z52" i="40"/>
  <c r="Y52" i="40"/>
  <c r="AA51" i="40"/>
  <c r="Z51" i="40"/>
  <c r="Y51" i="40"/>
  <c r="X51" i="40"/>
  <c r="J50" i="40"/>
  <c r="H50" i="40"/>
  <c r="J49" i="40"/>
  <c r="F49" i="40"/>
  <c r="H47" i="40"/>
  <c r="F47" i="40"/>
  <c r="J46" i="40"/>
  <c r="H46" i="40"/>
  <c r="F46" i="40"/>
  <c r="I44" i="40"/>
  <c r="G43" i="40"/>
  <c r="J41" i="40"/>
  <c r="H41" i="40"/>
  <c r="F41" i="40"/>
  <c r="X52" i="40"/>
  <c r="H38" i="40"/>
  <c r="F38" i="40"/>
  <c r="G37" i="40"/>
  <c r="O33" i="40"/>
  <c r="M26" i="40"/>
  <c r="K26" i="40"/>
  <c r="I50" i="40"/>
  <c r="G50" i="40"/>
  <c r="N26" i="40"/>
  <c r="K25" i="40"/>
  <c r="H49" i="40"/>
  <c r="L25" i="40"/>
  <c r="J47" i="40"/>
  <c r="G47" i="40"/>
  <c r="N23" i="40"/>
  <c r="M22" i="40"/>
  <c r="I46" i="40"/>
  <c r="L22" i="40"/>
  <c r="N22" i="40"/>
  <c r="M20" i="40"/>
  <c r="K20" i="40"/>
  <c r="J44" i="40"/>
  <c r="H44" i="40"/>
  <c r="G44" i="40"/>
  <c r="N20" i="40"/>
  <c r="K19" i="40"/>
  <c r="J43" i="40"/>
  <c r="H43" i="40"/>
  <c r="F43" i="40"/>
  <c r="Y28" i="40"/>
  <c r="I41" i="40"/>
  <c r="G41" i="40"/>
  <c r="N17" i="40"/>
  <c r="M16" i="40"/>
  <c r="J40" i="40"/>
  <c r="I40" i="40"/>
  <c r="H40" i="40"/>
  <c r="N16" i="40"/>
  <c r="AA28" i="40"/>
  <c r="Z28" i="40"/>
  <c r="X28" i="40"/>
  <c r="M14" i="40"/>
  <c r="K14" i="40"/>
  <c r="J28" i="40"/>
  <c r="I38" i="40"/>
  <c r="H28" i="40"/>
  <c r="G38" i="40"/>
  <c r="N14" i="40"/>
  <c r="AA27" i="40"/>
  <c r="Z27" i="40"/>
  <c r="Y27" i="40"/>
  <c r="X27" i="40"/>
  <c r="K13" i="40"/>
  <c r="J37" i="40"/>
  <c r="I37" i="40"/>
  <c r="H27" i="40"/>
  <c r="L13" i="40"/>
  <c r="O9" i="40"/>
  <c r="F9" i="40"/>
  <c r="F33" i="40" s="1"/>
  <c r="AA52" i="38"/>
  <c r="Z52" i="38"/>
  <c r="Y52" i="38"/>
  <c r="AA51" i="38"/>
  <c r="Z51" i="38"/>
  <c r="Y51" i="38"/>
  <c r="I50" i="38"/>
  <c r="F49" i="38"/>
  <c r="H47" i="38"/>
  <c r="J46" i="38"/>
  <c r="G43" i="38"/>
  <c r="X52" i="38"/>
  <c r="H38" i="38"/>
  <c r="X51" i="38"/>
  <c r="O33" i="38"/>
  <c r="J50" i="38"/>
  <c r="H50" i="38"/>
  <c r="G50" i="38"/>
  <c r="N26" i="38"/>
  <c r="M25" i="38"/>
  <c r="L25" i="38"/>
  <c r="I49" i="38"/>
  <c r="K25" i="38"/>
  <c r="K23" i="38"/>
  <c r="J47" i="38"/>
  <c r="I47" i="38"/>
  <c r="G47" i="38"/>
  <c r="F47" i="38"/>
  <c r="I46" i="38"/>
  <c r="H46" i="38"/>
  <c r="G46" i="38"/>
  <c r="J44" i="38"/>
  <c r="I44" i="38"/>
  <c r="H44" i="38"/>
  <c r="G44" i="38"/>
  <c r="N20" i="38"/>
  <c r="M19" i="38"/>
  <c r="L19" i="38"/>
  <c r="I43" i="38"/>
  <c r="F43" i="38"/>
  <c r="AA28" i="38"/>
  <c r="K17" i="38"/>
  <c r="J41" i="38"/>
  <c r="I41" i="38"/>
  <c r="H41" i="38"/>
  <c r="G41" i="38"/>
  <c r="F41" i="38"/>
  <c r="Y27" i="38"/>
  <c r="J40" i="38"/>
  <c r="I40" i="38"/>
  <c r="G40" i="38"/>
  <c r="Z28" i="38"/>
  <c r="Y28" i="38"/>
  <c r="X28" i="38"/>
  <c r="J28" i="38"/>
  <c r="I28" i="38"/>
  <c r="H28" i="38"/>
  <c r="G38" i="38"/>
  <c r="F38" i="38"/>
  <c r="AA27" i="38"/>
  <c r="Z27" i="38"/>
  <c r="X27" i="38"/>
  <c r="M13" i="38"/>
  <c r="L13" i="38"/>
  <c r="J37" i="38"/>
  <c r="I37" i="38"/>
  <c r="H27" i="38"/>
  <c r="G27" i="38"/>
  <c r="K13" i="38"/>
  <c r="O9" i="38"/>
  <c r="F9" i="38"/>
  <c r="F33" i="38" s="1"/>
  <c r="R14" i="56" l="1"/>
  <c r="X13" i="56"/>
  <c r="S14" i="56"/>
  <c r="Y13" i="56"/>
  <c r="R13" i="56"/>
  <c r="T22" i="54"/>
  <c r="Y22" i="53"/>
  <c r="T27" i="53"/>
  <c r="Y27" i="53" s="1"/>
  <c r="V13" i="55"/>
  <c r="AA13" i="54"/>
  <c r="V27" i="54"/>
  <c r="X14" i="55"/>
  <c r="V17" i="55"/>
  <c r="AA17" i="54"/>
  <c r="R20" i="54"/>
  <c r="W20" i="53"/>
  <c r="W14" i="55"/>
  <c r="Y20" i="52"/>
  <c r="T20" i="53"/>
  <c r="S20" i="54"/>
  <c r="X20" i="53"/>
  <c r="X16" i="53"/>
  <c r="S16" i="54"/>
  <c r="T17" i="54"/>
  <c r="Y17" i="53"/>
  <c r="U13" i="54"/>
  <c r="U27" i="53"/>
  <c r="Z27" i="53" s="1"/>
  <c r="Z13" i="53"/>
  <c r="R27" i="53"/>
  <c r="W27" i="53" s="1"/>
  <c r="R22" i="54"/>
  <c r="W22" i="53"/>
  <c r="U17" i="54"/>
  <c r="Z17" i="53"/>
  <c r="U28" i="53"/>
  <c r="Z28" i="53" s="1"/>
  <c r="W13" i="55"/>
  <c r="X26" i="52"/>
  <c r="S26" i="53"/>
  <c r="V27" i="53"/>
  <c r="AA27" i="53" s="1"/>
  <c r="AA13" i="53"/>
  <c r="X16" i="52"/>
  <c r="V27" i="52"/>
  <c r="AA27" i="52" s="1"/>
  <c r="AA13" i="52"/>
  <c r="U28" i="52"/>
  <c r="Z28" i="52" s="1"/>
  <c r="Z17" i="52"/>
  <c r="Y17" i="52"/>
  <c r="W20" i="52"/>
  <c r="Y22" i="52"/>
  <c r="T27" i="52"/>
  <c r="Y27" i="52" s="1"/>
  <c r="V26" i="52"/>
  <c r="AA26" i="51"/>
  <c r="R26" i="52"/>
  <c r="W26" i="51"/>
  <c r="S22" i="52"/>
  <c r="X22" i="51"/>
  <c r="U27" i="52"/>
  <c r="Z27" i="52" s="1"/>
  <c r="Z13" i="52"/>
  <c r="T26" i="52"/>
  <c r="Y26" i="51"/>
  <c r="W22" i="52"/>
  <c r="R27" i="52"/>
  <c r="W27" i="52" s="1"/>
  <c r="V20" i="52"/>
  <c r="V20" i="53" s="1"/>
  <c r="AA20" i="51"/>
  <c r="V28" i="51"/>
  <c r="AA28" i="51" s="1"/>
  <c r="G52" i="41"/>
  <c r="N41" i="41"/>
  <c r="L41" i="41"/>
  <c r="M41" i="41"/>
  <c r="K41" i="41"/>
  <c r="M43" i="41"/>
  <c r="L43" i="41"/>
  <c r="N47" i="41"/>
  <c r="M47" i="41"/>
  <c r="K47" i="41"/>
  <c r="J52" i="41"/>
  <c r="M13" i="41"/>
  <c r="K17" i="41"/>
  <c r="M19" i="41"/>
  <c r="K23" i="41"/>
  <c r="M25" i="41"/>
  <c r="I27" i="41"/>
  <c r="H38" i="41"/>
  <c r="G43" i="41"/>
  <c r="H47" i="41"/>
  <c r="F49" i="41"/>
  <c r="L50" i="41"/>
  <c r="N50" i="41"/>
  <c r="N13" i="41"/>
  <c r="L17" i="41"/>
  <c r="N19" i="41"/>
  <c r="L23" i="41"/>
  <c r="N25" i="41"/>
  <c r="J27" i="41"/>
  <c r="I38" i="41"/>
  <c r="F40" i="41"/>
  <c r="H43" i="41"/>
  <c r="F44" i="41"/>
  <c r="G49" i="41"/>
  <c r="M50" i="41"/>
  <c r="L16" i="41"/>
  <c r="N17" i="41"/>
  <c r="L22" i="41"/>
  <c r="N23" i="41"/>
  <c r="F28" i="41"/>
  <c r="F37" i="41"/>
  <c r="J43" i="41"/>
  <c r="I49" i="41"/>
  <c r="K14" i="41"/>
  <c r="M16" i="41"/>
  <c r="K20" i="41"/>
  <c r="M22" i="41"/>
  <c r="K26" i="41"/>
  <c r="G28" i="41"/>
  <c r="G37" i="41"/>
  <c r="F46" i="41"/>
  <c r="J49" i="41"/>
  <c r="L14" i="41"/>
  <c r="N16" i="41"/>
  <c r="L20" i="41"/>
  <c r="N22" i="41"/>
  <c r="L26" i="41"/>
  <c r="F27" i="41"/>
  <c r="H37" i="41"/>
  <c r="K13" i="41"/>
  <c r="M14" i="41"/>
  <c r="K19" i="41"/>
  <c r="M20" i="41"/>
  <c r="K25" i="41"/>
  <c r="M26" i="41"/>
  <c r="F38" i="41"/>
  <c r="L19" i="41"/>
  <c r="G52" i="40"/>
  <c r="L49" i="40"/>
  <c r="H52" i="40"/>
  <c r="J51" i="40"/>
  <c r="N43" i="40"/>
  <c r="L43" i="40"/>
  <c r="K43" i="40"/>
  <c r="K23" i="40"/>
  <c r="I27" i="40"/>
  <c r="N13" i="40"/>
  <c r="L17" i="40"/>
  <c r="N19" i="40"/>
  <c r="L23" i="40"/>
  <c r="N25" i="40"/>
  <c r="J27" i="40"/>
  <c r="F40" i="40"/>
  <c r="K41" i="40"/>
  <c r="F44" i="40"/>
  <c r="I47" i="40"/>
  <c r="G49" i="40"/>
  <c r="M13" i="40"/>
  <c r="K17" i="40"/>
  <c r="M19" i="40"/>
  <c r="N49" i="40"/>
  <c r="K16" i="40"/>
  <c r="M17" i="40"/>
  <c r="K22" i="40"/>
  <c r="M23" i="40"/>
  <c r="J38" i="40"/>
  <c r="G40" i="40"/>
  <c r="L41" i="40"/>
  <c r="I43" i="40"/>
  <c r="L46" i="40"/>
  <c r="F50" i="40"/>
  <c r="M25" i="40"/>
  <c r="L16" i="40"/>
  <c r="F28" i="40"/>
  <c r="F37" i="40"/>
  <c r="K38" i="40"/>
  <c r="M41" i="40"/>
  <c r="M46" i="40"/>
  <c r="K47" i="40"/>
  <c r="I49" i="40"/>
  <c r="G28" i="40"/>
  <c r="L38" i="40"/>
  <c r="N41" i="40"/>
  <c r="N46" i="40"/>
  <c r="L47" i="40"/>
  <c r="L14" i="40"/>
  <c r="L20" i="40"/>
  <c r="L26" i="40"/>
  <c r="F27" i="40"/>
  <c r="H37" i="40"/>
  <c r="M38" i="40"/>
  <c r="G46" i="40"/>
  <c r="K46" i="40" s="1"/>
  <c r="M47" i="40"/>
  <c r="G27" i="40"/>
  <c r="I28" i="40"/>
  <c r="N38" i="40"/>
  <c r="N47" i="40"/>
  <c r="L19" i="40"/>
  <c r="H52" i="38"/>
  <c r="M49" i="38"/>
  <c r="N47" i="38"/>
  <c r="M47" i="38"/>
  <c r="L47" i="38"/>
  <c r="K47" i="38"/>
  <c r="N41" i="38"/>
  <c r="M41" i="38"/>
  <c r="L41" i="38"/>
  <c r="K41" i="38"/>
  <c r="M43" i="38"/>
  <c r="K43" i="38"/>
  <c r="I51" i="38"/>
  <c r="M38" i="38"/>
  <c r="L38" i="38"/>
  <c r="K38" i="38"/>
  <c r="G52" i="38"/>
  <c r="N14" i="38"/>
  <c r="N13" i="38"/>
  <c r="L17" i="38"/>
  <c r="N19" i="38"/>
  <c r="L23" i="38"/>
  <c r="N25" i="38"/>
  <c r="J27" i="38"/>
  <c r="I38" i="38"/>
  <c r="F40" i="38"/>
  <c r="H43" i="38"/>
  <c r="F44" i="38"/>
  <c r="G49" i="38"/>
  <c r="K16" i="38"/>
  <c r="M17" i="38"/>
  <c r="K22" i="38"/>
  <c r="M23" i="38"/>
  <c r="J38" i="38"/>
  <c r="N38" i="38" s="1"/>
  <c r="H49" i="38"/>
  <c r="F50" i="38"/>
  <c r="I27" i="38"/>
  <c r="L16" i="38"/>
  <c r="N17" i="38"/>
  <c r="L22" i="38"/>
  <c r="N23" i="38"/>
  <c r="F28" i="38"/>
  <c r="F37" i="38"/>
  <c r="H40" i="38"/>
  <c r="J43" i="38"/>
  <c r="K14" i="38"/>
  <c r="M16" i="38"/>
  <c r="K20" i="38"/>
  <c r="M22" i="38"/>
  <c r="K26" i="38"/>
  <c r="G28" i="38"/>
  <c r="G37" i="38"/>
  <c r="F46" i="38"/>
  <c r="J49" i="38"/>
  <c r="L14" i="38"/>
  <c r="N22" i="38"/>
  <c r="L26" i="38"/>
  <c r="F27" i="38"/>
  <c r="H37" i="38"/>
  <c r="N16" i="38"/>
  <c r="L20" i="38"/>
  <c r="M14" i="38"/>
  <c r="K19" i="38"/>
  <c r="M20" i="38"/>
  <c r="M26" i="38"/>
  <c r="J20" i="36"/>
  <c r="F20" i="36"/>
  <c r="X14" i="56" l="1"/>
  <c r="W13" i="56"/>
  <c r="V13" i="56"/>
  <c r="W14" i="56"/>
  <c r="V17" i="56"/>
  <c r="S16" i="55"/>
  <c r="X16" i="54"/>
  <c r="S26" i="54"/>
  <c r="S28" i="54" s="1"/>
  <c r="X26" i="53"/>
  <c r="S28" i="53"/>
  <c r="X28" i="53" s="1"/>
  <c r="X22" i="52"/>
  <c r="S22" i="53"/>
  <c r="Y26" i="52"/>
  <c r="T26" i="53"/>
  <c r="AA26" i="52"/>
  <c r="V26" i="53"/>
  <c r="V28" i="53" s="1"/>
  <c r="AA28" i="53" s="1"/>
  <c r="U13" i="55"/>
  <c r="Z13" i="54"/>
  <c r="U27" i="54"/>
  <c r="R20" i="55"/>
  <c r="W20" i="54"/>
  <c r="V27" i="55"/>
  <c r="AA27" i="55" s="1"/>
  <c r="AA13" i="55"/>
  <c r="S20" i="55"/>
  <c r="X20" i="54"/>
  <c r="W26" i="52"/>
  <c r="R26" i="53"/>
  <c r="U17" i="55"/>
  <c r="Z17" i="54"/>
  <c r="U28" i="54"/>
  <c r="T20" i="54"/>
  <c r="Y20" i="53"/>
  <c r="V20" i="54"/>
  <c r="AA20" i="53"/>
  <c r="R22" i="55"/>
  <c r="R27" i="54"/>
  <c r="T17" i="55"/>
  <c r="Y17" i="54"/>
  <c r="AA17" i="55"/>
  <c r="T22" i="55"/>
  <c r="T27" i="54"/>
  <c r="T28" i="52"/>
  <c r="Y28" i="52" s="1"/>
  <c r="R28" i="52"/>
  <c r="W28" i="52" s="1"/>
  <c r="AA20" i="52"/>
  <c r="V28" i="52"/>
  <c r="AA28" i="52" s="1"/>
  <c r="S27" i="52"/>
  <c r="X27" i="52" s="1"/>
  <c r="K43" i="41"/>
  <c r="J51" i="41"/>
  <c r="H51" i="41"/>
  <c r="K27" i="41"/>
  <c r="N27" i="41"/>
  <c r="M27" i="41"/>
  <c r="L27" i="41"/>
  <c r="L44" i="41"/>
  <c r="K44" i="41"/>
  <c r="N44" i="41"/>
  <c r="M44" i="41"/>
  <c r="L46" i="41"/>
  <c r="N46" i="41"/>
  <c r="M46" i="41"/>
  <c r="K46" i="41"/>
  <c r="M49" i="41"/>
  <c r="L49" i="41"/>
  <c r="K49" i="41"/>
  <c r="N49" i="41"/>
  <c r="L47" i="41"/>
  <c r="N43" i="41"/>
  <c r="I51" i="41"/>
  <c r="G51" i="41"/>
  <c r="L40" i="41"/>
  <c r="K40" i="41"/>
  <c r="N40" i="41"/>
  <c r="M40" i="41"/>
  <c r="N38" i="41"/>
  <c r="M38" i="41"/>
  <c r="F52" i="41"/>
  <c r="L38" i="41"/>
  <c r="K38" i="41"/>
  <c r="H52" i="41"/>
  <c r="I52" i="41"/>
  <c r="M37" i="41"/>
  <c r="F51" i="41"/>
  <c r="N37" i="41"/>
  <c r="L37" i="41"/>
  <c r="K37" i="41"/>
  <c r="M28" i="41"/>
  <c r="N28" i="41"/>
  <c r="L28" i="41"/>
  <c r="K28" i="41"/>
  <c r="I52" i="40"/>
  <c r="L44" i="40"/>
  <c r="K44" i="40"/>
  <c r="N44" i="40"/>
  <c r="M44" i="40"/>
  <c r="M43" i="40"/>
  <c r="F51" i="40"/>
  <c r="N37" i="40"/>
  <c r="K37" i="40"/>
  <c r="M37" i="40"/>
  <c r="L37" i="40"/>
  <c r="L40" i="40"/>
  <c r="K40" i="40"/>
  <c r="M40" i="40"/>
  <c r="N40" i="40"/>
  <c r="G51" i="40"/>
  <c r="H51" i="40"/>
  <c r="N27" i="40"/>
  <c r="M27" i="40"/>
  <c r="L27" i="40"/>
  <c r="K27" i="40"/>
  <c r="N28" i="40"/>
  <c r="M28" i="40"/>
  <c r="L28" i="40"/>
  <c r="K28" i="40"/>
  <c r="J52" i="40"/>
  <c r="F52" i="40"/>
  <c r="I51" i="40"/>
  <c r="M49" i="40"/>
  <c r="K49" i="40"/>
  <c r="K50" i="40"/>
  <c r="N50" i="40"/>
  <c r="M50" i="40"/>
  <c r="L50" i="40"/>
  <c r="F52" i="38"/>
  <c r="J51" i="38"/>
  <c r="L49" i="38"/>
  <c r="K52" i="38"/>
  <c r="L52" i="38"/>
  <c r="N46" i="38"/>
  <c r="M46" i="38"/>
  <c r="L46" i="38"/>
  <c r="K46" i="38"/>
  <c r="N49" i="38"/>
  <c r="L40" i="38"/>
  <c r="K40" i="38"/>
  <c r="M40" i="38"/>
  <c r="N40" i="38"/>
  <c r="G51" i="38"/>
  <c r="F51" i="38"/>
  <c r="N37" i="38"/>
  <c r="M37" i="38"/>
  <c r="K37" i="38"/>
  <c r="L37" i="38"/>
  <c r="L44" i="38"/>
  <c r="K44" i="38"/>
  <c r="M44" i="38"/>
  <c r="N44" i="38"/>
  <c r="K49" i="38"/>
  <c r="N27" i="38"/>
  <c r="M27" i="38"/>
  <c r="L27" i="38"/>
  <c r="K27" i="38"/>
  <c r="N28" i="38"/>
  <c r="M28" i="38"/>
  <c r="L28" i="38"/>
  <c r="K28" i="38"/>
  <c r="K50" i="38"/>
  <c r="N50" i="38"/>
  <c r="M50" i="38"/>
  <c r="L50" i="38"/>
  <c r="I52" i="38"/>
  <c r="M52" i="38" s="1"/>
  <c r="L43" i="38"/>
  <c r="H51" i="38"/>
  <c r="J52" i="38"/>
  <c r="N52" i="38" s="1"/>
  <c r="N43" i="38"/>
  <c r="X44" i="37"/>
  <c r="X44" i="36"/>
  <c r="X44" i="35"/>
  <c r="X44" i="34"/>
  <c r="R20" i="56" l="1"/>
  <c r="T22" i="56"/>
  <c r="T27" i="56" s="1"/>
  <c r="AD30" i="56" s="1"/>
  <c r="AA17" i="56"/>
  <c r="U13" i="56"/>
  <c r="R22" i="56"/>
  <c r="R27" i="56" s="1"/>
  <c r="AB30" i="56" s="1"/>
  <c r="S20" i="56"/>
  <c r="U17" i="56"/>
  <c r="T17" i="56"/>
  <c r="V27" i="56"/>
  <c r="AF30" i="56" s="1"/>
  <c r="AA13" i="56"/>
  <c r="S16" i="56"/>
  <c r="V20" i="55"/>
  <c r="AA20" i="54"/>
  <c r="W20" i="55"/>
  <c r="T20" i="55"/>
  <c r="Y20" i="54"/>
  <c r="X20" i="55"/>
  <c r="U27" i="55"/>
  <c r="Z27" i="55" s="1"/>
  <c r="Z13" i="55"/>
  <c r="X22" i="53"/>
  <c r="S22" i="54"/>
  <c r="S27" i="53"/>
  <c r="X27" i="53" s="1"/>
  <c r="Y17" i="55"/>
  <c r="V26" i="54"/>
  <c r="V28" i="54" s="1"/>
  <c r="AA26" i="53"/>
  <c r="S26" i="55"/>
  <c r="X26" i="54"/>
  <c r="W22" i="55"/>
  <c r="R27" i="55"/>
  <c r="W27" i="55" s="1"/>
  <c r="Z17" i="55"/>
  <c r="U28" i="55"/>
  <c r="T26" i="54"/>
  <c r="Y26" i="53"/>
  <c r="T28" i="53"/>
  <c r="Y28" i="53" s="1"/>
  <c r="Y22" i="55"/>
  <c r="T27" i="55"/>
  <c r="Y27" i="55" s="1"/>
  <c r="R26" i="54"/>
  <c r="W26" i="53"/>
  <c r="R28" i="53"/>
  <c r="W28" i="53" s="1"/>
  <c r="X16" i="55"/>
  <c r="K52" i="41"/>
  <c r="N52" i="41"/>
  <c r="M52" i="41"/>
  <c r="L52" i="41"/>
  <c r="L51" i="41"/>
  <c r="N51" i="41"/>
  <c r="M51" i="41"/>
  <c r="K51" i="41"/>
  <c r="N51" i="40"/>
  <c r="M51" i="40"/>
  <c r="L51" i="40"/>
  <c r="K51" i="40"/>
  <c r="K52" i="40"/>
  <c r="L52" i="40"/>
  <c r="N52" i="40"/>
  <c r="M52" i="40"/>
  <c r="N51" i="38"/>
  <c r="M51" i="38"/>
  <c r="L51" i="38"/>
  <c r="K51" i="38"/>
  <c r="X52" i="33"/>
  <c r="X51" i="33"/>
  <c r="X44" i="33"/>
  <c r="Z17" i="56" l="1"/>
  <c r="U28" i="56"/>
  <c r="AE29" i="56" s="1"/>
  <c r="X26" i="55"/>
  <c r="S26" i="56"/>
  <c r="X26" i="56" s="1"/>
  <c r="X16" i="56"/>
  <c r="Y20" i="55"/>
  <c r="T20" i="56"/>
  <c r="Y20" i="56" s="1"/>
  <c r="X20" i="56"/>
  <c r="Y17" i="56"/>
  <c r="Z13" i="56"/>
  <c r="U27" i="56"/>
  <c r="AE30" i="56" s="1"/>
  <c r="W20" i="56"/>
  <c r="V20" i="56"/>
  <c r="S22" i="55"/>
  <c r="S27" i="54"/>
  <c r="R26" i="55"/>
  <c r="W26" i="54"/>
  <c r="R28" i="54"/>
  <c r="T26" i="55"/>
  <c r="Y26" i="54"/>
  <c r="T28" i="54"/>
  <c r="V26" i="55"/>
  <c r="AA26" i="54"/>
  <c r="S28" i="55"/>
  <c r="AA20" i="55"/>
  <c r="AA52" i="37"/>
  <c r="AA51" i="37"/>
  <c r="Z51" i="37"/>
  <c r="Y51" i="37"/>
  <c r="X51" i="37"/>
  <c r="J50" i="37"/>
  <c r="I50" i="37"/>
  <c r="H50" i="37"/>
  <c r="G50" i="37"/>
  <c r="F50" i="37"/>
  <c r="K50" i="37" s="1"/>
  <c r="J49" i="37"/>
  <c r="I49" i="37"/>
  <c r="H49" i="37"/>
  <c r="G49" i="37"/>
  <c r="F49" i="37"/>
  <c r="M49" i="37" s="1"/>
  <c r="J47" i="37"/>
  <c r="I47" i="37"/>
  <c r="H47" i="37"/>
  <c r="G47" i="37"/>
  <c r="F47" i="37"/>
  <c r="M46" i="37"/>
  <c r="K46" i="37"/>
  <c r="J46" i="37"/>
  <c r="I46" i="37"/>
  <c r="H46" i="37"/>
  <c r="G46" i="37"/>
  <c r="F46" i="37"/>
  <c r="Z52" i="37"/>
  <c r="Y52" i="37"/>
  <c r="X52" i="37"/>
  <c r="I44" i="37"/>
  <c r="H44" i="37"/>
  <c r="G44" i="37"/>
  <c r="J43" i="37"/>
  <c r="I43" i="37"/>
  <c r="H43" i="37"/>
  <c r="G43" i="37"/>
  <c r="F43" i="37"/>
  <c r="N43" i="37" s="1"/>
  <c r="M41" i="37"/>
  <c r="J41" i="37"/>
  <c r="I41" i="37"/>
  <c r="H41" i="37"/>
  <c r="L41" i="37" s="1"/>
  <c r="G41" i="37"/>
  <c r="F41" i="37"/>
  <c r="J40" i="37"/>
  <c r="I40" i="37"/>
  <c r="H40" i="37"/>
  <c r="G40" i="37"/>
  <c r="F40" i="37"/>
  <c r="J38" i="37"/>
  <c r="I38" i="37"/>
  <c r="H38" i="37"/>
  <c r="G38" i="37"/>
  <c r="F38" i="37"/>
  <c r="J37" i="37"/>
  <c r="I37" i="37"/>
  <c r="H37" i="37"/>
  <c r="G37" i="37"/>
  <c r="F37" i="37"/>
  <c r="F33" i="37"/>
  <c r="AA28" i="37"/>
  <c r="Z28" i="37"/>
  <c r="Y28" i="37"/>
  <c r="X28" i="37"/>
  <c r="J28" i="37"/>
  <c r="I28" i="37"/>
  <c r="H28" i="37"/>
  <c r="Z27" i="37"/>
  <c r="Y27" i="37"/>
  <c r="X27" i="37"/>
  <c r="J27" i="37"/>
  <c r="I27" i="37"/>
  <c r="H27" i="37"/>
  <c r="G27" i="37"/>
  <c r="F27" i="37"/>
  <c r="M27" i="37" s="1"/>
  <c r="N26" i="37"/>
  <c r="M26" i="37"/>
  <c r="L26" i="37"/>
  <c r="K26" i="37"/>
  <c r="AA27" i="37"/>
  <c r="N25" i="37"/>
  <c r="M25" i="37"/>
  <c r="L25" i="37"/>
  <c r="K25" i="37"/>
  <c r="N23" i="37"/>
  <c r="M23" i="37"/>
  <c r="L23" i="37"/>
  <c r="K23" i="37"/>
  <c r="N22" i="37"/>
  <c r="M22" i="37"/>
  <c r="L22" i="37"/>
  <c r="K22" i="37"/>
  <c r="J44" i="37"/>
  <c r="G28" i="37"/>
  <c r="F44" i="37"/>
  <c r="N19" i="37"/>
  <c r="M19" i="37"/>
  <c r="L19" i="37"/>
  <c r="K19" i="37"/>
  <c r="N17" i="37"/>
  <c r="M17" i="37"/>
  <c r="L17" i="37"/>
  <c r="K17" i="37"/>
  <c r="N16" i="37"/>
  <c r="M16" i="37"/>
  <c r="L16" i="37"/>
  <c r="K16" i="37"/>
  <c r="N14" i="37"/>
  <c r="M14" i="37"/>
  <c r="L14" i="37"/>
  <c r="K14" i="37"/>
  <c r="N13" i="37"/>
  <c r="M13" i="37"/>
  <c r="L13" i="37"/>
  <c r="K13" i="37"/>
  <c r="S28" i="56" l="1"/>
  <c r="AC29" i="56" s="1"/>
  <c r="AA26" i="55"/>
  <c r="V26" i="56"/>
  <c r="AA26" i="56" s="1"/>
  <c r="S22" i="56"/>
  <c r="S27" i="56" s="1"/>
  <c r="AC30" i="56" s="1"/>
  <c r="AA20" i="56"/>
  <c r="V28" i="55"/>
  <c r="T26" i="56"/>
  <c r="Y26" i="56" s="1"/>
  <c r="R26" i="56"/>
  <c r="Y26" i="55"/>
  <c r="T28" i="55"/>
  <c r="W26" i="55"/>
  <c r="R28" i="55"/>
  <c r="X22" i="55"/>
  <c r="S27" i="55"/>
  <c r="X27" i="55" s="1"/>
  <c r="I51" i="37"/>
  <c r="L43" i="37"/>
  <c r="H51" i="37"/>
  <c r="L40" i="37"/>
  <c r="N38" i="37"/>
  <c r="N37" i="37"/>
  <c r="L37" i="37"/>
  <c r="K47" i="37"/>
  <c r="G52" i="37"/>
  <c r="K43" i="37"/>
  <c r="K37" i="37"/>
  <c r="L50" i="37"/>
  <c r="M50" i="37"/>
  <c r="L46" i="37"/>
  <c r="M43" i="37"/>
  <c r="K41" i="37"/>
  <c r="M40" i="37"/>
  <c r="N44" i="37"/>
  <c r="F52" i="37"/>
  <c r="M44" i="37"/>
  <c r="L44" i="37"/>
  <c r="K44" i="37"/>
  <c r="J52" i="37"/>
  <c r="N49" i="37"/>
  <c r="J51" i="37"/>
  <c r="N41" i="37"/>
  <c r="K20" i="37"/>
  <c r="M37" i="37"/>
  <c r="K38" i="37"/>
  <c r="N46" i="37"/>
  <c r="L47" i="37"/>
  <c r="F51" i="37"/>
  <c r="H52" i="37"/>
  <c r="K27" i="37"/>
  <c r="L38" i="37"/>
  <c r="M47" i="37"/>
  <c r="K49" i="37"/>
  <c r="G51" i="37"/>
  <c r="I52" i="37"/>
  <c r="L20" i="37"/>
  <c r="M20" i="37"/>
  <c r="L27" i="37"/>
  <c r="F28" i="37"/>
  <c r="M38" i="37"/>
  <c r="K40" i="37"/>
  <c r="N47" i="37"/>
  <c r="L49" i="37"/>
  <c r="N27" i="37"/>
  <c r="N40" i="37"/>
  <c r="N50" i="37"/>
  <c r="N20" i="37"/>
  <c r="V28" i="56" l="1"/>
  <c r="AF29" i="56" s="1"/>
  <c r="T28" i="56"/>
  <c r="AD29" i="56" s="1"/>
  <c r="W26" i="56"/>
  <c r="R28" i="56"/>
  <c r="AB29" i="56" s="1"/>
  <c r="L51" i="37"/>
  <c r="K51" i="37"/>
  <c r="N51" i="37"/>
  <c r="M51" i="37"/>
  <c r="K52" i="37"/>
  <c r="M52" i="37"/>
  <c r="N52" i="37"/>
  <c r="L52" i="37"/>
  <c r="N28" i="37"/>
  <c r="K28" i="37"/>
  <c r="M28" i="37"/>
  <c r="L28" i="37"/>
  <c r="O26" i="34" l="1"/>
  <c r="O26" i="35" s="1"/>
  <c r="O26" i="36" s="1"/>
  <c r="O26" i="37" s="1"/>
  <c r="O26" i="38" s="1"/>
  <c r="O26" i="40" l="1"/>
  <c r="AA52" i="36"/>
  <c r="AA51" i="36"/>
  <c r="Z51" i="36"/>
  <c r="Y51" i="36"/>
  <c r="X51" i="36"/>
  <c r="J50" i="36"/>
  <c r="I50" i="36"/>
  <c r="H50" i="36"/>
  <c r="G50" i="36"/>
  <c r="F50" i="36"/>
  <c r="J49" i="36"/>
  <c r="I49" i="36"/>
  <c r="H49" i="36"/>
  <c r="G49" i="36"/>
  <c r="F49" i="36"/>
  <c r="J47" i="36"/>
  <c r="I47" i="36"/>
  <c r="H47" i="36"/>
  <c r="G47" i="36"/>
  <c r="F47" i="36"/>
  <c r="J46" i="36"/>
  <c r="I46" i="36"/>
  <c r="H46" i="36"/>
  <c r="G46" i="36"/>
  <c r="F46" i="36"/>
  <c r="Z52" i="36"/>
  <c r="Y52" i="36"/>
  <c r="X52" i="36"/>
  <c r="I44" i="36"/>
  <c r="H44" i="36"/>
  <c r="J43" i="36"/>
  <c r="I43" i="36"/>
  <c r="H43" i="36"/>
  <c r="G43" i="36"/>
  <c r="F43" i="36"/>
  <c r="J41" i="36"/>
  <c r="I41" i="36"/>
  <c r="H41" i="36"/>
  <c r="G41" i="36"/>
  <c r="F41" i="36"/>
  <c r="J40" i="36"/>
  <c r="I40" i="36"/>
  <c r="H40" i="36"/>
  <c r="G40" i="36"/>
  <c r="F40" i="36"/>
  <c r="M40" i="36" s="1"/>
  <c r="J38" i="36"/>
  <c r="I38" i="36"/>
  <c r="H38" i="36"/>
  <c r="G38" i="36"/>
  <c r="F38" i="36"/>
  <c r="J37" i="36"/>
  <c r="I37" i="36"/>
  <c r="H37" i="36"/>
  <c r="G37" i="36"/>
  <c r="F37" i="36"/>
  <c r="F33" i="36"/>
  <c r="Y28" i="36"/>
  <c r="X28" i="36"/>
  <c r="I28" i="36"/>
  <c r="H28" i="36"/>
  <c r="Z27" i="36"/>
  <c r="Y27" i="36"/>
  <c r="X27" i="36"/>
  <c r="J27" i="36"/>
  <c r="I27" i="36"/>
  <c r="H27" i="36"/>
  <c r="G27" i="36"/>
  <c r="F27" i="36"/>
  <c r="AA28" i="36"/>
  <c r="Z28" i="36"/>
  <c r="N26" i="36"/>
  <c r="M26" i="36"/>
  <c r="L26" i="36"/>
  <c r="K26" i="36"/>
  <c r="AA27" i="36"/>
  <c r="N25" i="36"/>
  <c r="M25" i="36"/>
  <c r="L25" i="36"/>
  <c r="K25" i="36"/>
  <c r="N23" i="36"/>
  <c r="M23" i="36"/>
  <c r="L23" i="36"/>
  <c r="K23" i="36"/>
  <c r="N22" i="36"/>
  <c r="M22" i="36"/>
  <c r="L22" i="36"/>
  <c r="K22" i="36"/>
  <c r="J44" i="36"/>
  <c r="G28" i="36"/>
  <c r="F28" i="36"/>
  <c r="N19" i="36"/>
  <c r="M19" i="36"/>
  <c r="L19" i="36"/>
  <c r="K19" i="36"/>
  <c r="N17" i="36"/>
  <c r="M17" i="36"/>
  <c r="L17" i="36"/>
  <c r="K17" i="36"/>
  <c r="N16" i="36"/>
  <c r="M16" i="36"/>
  <c r="L16" i="36"/>
  <c r="K16" i="36"/>
  <c r="N14" i="36"/>
  <c r="M14" i="36"/>
  <c r="L14" i="36"/>
  <c r="K14" i="36"/>
  <c r="N13" i="36"/>
  <c r="M13" i="36"/>
  <c r="L13" i="36"/>
  <c r="K13" i="36"/>
  <c r="F22" i="34"/>
  <c r="O26" i="41" l="1"/>
  <c r="K41" i="36"/>
  <c r="H52" i="36"/>
  <c r="L40" i="36"/>
  <c r="L38" i="36"/>
  <c r="N50" i="36"/>
  <c r="N46" i="36"/>
  <c r="L49" i="36"/>
  <c r="K40" i="36"/>
  <c r="M38" i="36"/>
  <c r="N47" i="36"/>
  <c r="L27" i="36"/>
  <c r="H51" i="36"/>
  <c r="K50" i="36"/>
  <c r="L50" i="36"/>
  <c r="K49" i="36"/>
  <c r="M49" i="36"/>
  <c r="K47" i="36"/>
  <c r="L47" i="36"/>
  <c r="M47" i="36"/>
  <c r="M46" i="36"/>
  <c r="K27" i="36"/>
  <c r="M27" i="36"/>
  <c r="J52" i="36"/>
  <c r="M28" i="36"/>
  <c r="L28" i="36"/>
  <c r="K28" i="36"/>
  <c r="K20" i="36"/>
  <c r="N37" i="36"/>
  <c r="M20" i="36"/>
  <c r="N38" i="36"/>
  <c r="N20" i="36"/>
  <c r="N27" i="36"/>
  <c r="G44" i="36"/>
  <c r="G52" i="36" s="1"/>
  <c r="N49" i="36"/>
  <c r="F44" i="36"/>
  <c r="F52" i="36" s="1"/>
  <c r="I51" i="36"/>
  <c r="J51" i="36"/>
  <c r="N40" i="36"/>
  <c r="L41" i="36"/>
  <c r="K46" i="36"/>
  <c r="M50" i="36"/>
  <c r="J28" i="36"/>
  <c r="N28" i="36" s="1"/>
  <c r="K37" i="36"/>
  <c r="M41" i="36"/>
  <c r="K43" i="36"/>
  <c r="L46" i="36"/>
  <c r="L37" i="36"/>
  <c r="N41" i="36"/>
  <c r="L43" i="36"/>
  <c r="M37" i="36"/>
  <c r="K38" i="36"/>
  <c r="M43" i="36"/>
  <c r="F51" i="36"/>
  <c r="N43" i="36"/>
  <c r="G51" i="36"/>
  <c r="I52" i="36"/>
  <c r="L20" i="36"/>
  <c r="J20" i="35"/>
  <c r="J28" i="35" s="1"/>
  <c r="G20" i="35"/>
  <c r="G28" i="35" s="1"/>
  <c r="F20" i="35"/>
  <c r="AA52" i="35"/>
  <c r="X52" i="35"/>
  <c r="AA51" i="35"/>
  <c r="Z51" i="35"/>
  <c r="Y51" i="35"/>
  <c r="X51" i="35"/>
  <c r="J50" i="35"/>
  <c r="I50" i="35"/>
  <c r="H50" i="35"/>
  <c r="L50" i="35" s="1"/>
  <c r="G50" i="35"/>
  <c r="F50" i="35"/>
  <c r="K50" i="35" s="1"/>
  <c r="J49" i="35"/>
  <c r="I49" i="35"/>
  <c r="H49" i="35"/>
  <c r="G49" i="35"/>
  <c r="F49" i="35"/>
  <c r="J47" i="35"/>
  <c r="I47" i="35"/>
  <c r="H47" i="35"/>
  <c r="G47" i="35"/>
  <c r="F47" i="35"/>
  <c r="J46" i="35"/>
  <c r="I46" i="35"/>
  <c r="M46" i="35" s="1"/>
  <c r="H46" i="35"/>
  <c r="L46" i="35" s="1"/>
  <c r="G46" i="35"/>
  <c r="F46" i="35"/>
  <c r="Z52" i="35"/>
  <c r="Y52" i="35"/>
  <c r="I44" i="35"/>
  <c r="H44" i="35"/>
  <c r="G44" i="35"/>
  <c r="J43" i="35"/>
  <c r="I43" i="35"/>
  <c r="H43" i="35"/>
  <c r="G43" i="35"/>
  <c r="F43" i="35"/>
  <c r="M43" i="35" s="1"/>
  <c r="J41" i="35"/>
  <c r="I41" i="35"/>
  <c r="H41" i="35"/>
  <c r="G41" i="35"/>
  <c r="F41" i="35"/>
  <c r="J40" i="35"/>
  <c r="I40" i="35"/>
  <c r="H40" i="35"/>
  <c r="G40" i="35"/>
  <c r="F40" i="35"/>
  <c r="J38" i="35"/>
  <c r="I38" i="35"/>
  <c r="H38" i="35"/>
  <c r="G38" i="35"/>
  <c r="F38" i="35"/>
  <c r="J37" i="35"/>
  <c r="J51" i="35" s="1"/>
  <c r="I37" i="35"/>
  <c r="H37" i="35"/>
  <c r="G37" i="35"/>
  <c r="F37" i="35"/>
  <c r="F33" i="35"/>
  <c r="Y28" i="35"/>
  <c r="X28" i="35"/>
  <c r="I28" i="35"/>
  <c r="H28" i="35"/>
  <c r="Z27" i="35"/>
  <c r="Y27" i="35"/>
  <c r="X27" i="35"/>
  <c r="J27" i="35"/>
  <c r="I27" i="35"/>
  <c r="G27" i="35"/>
  <c r="F27" i="35"/>
  <c r="AA28" i="35"/>
  <c r="Z28" i="35"/>
  <c r="N26" i="35"/>
  <c r="M26" i="35"/>
  <c r="L26" i="35"/>
  <c r="K26" i="35"/>
  <c r="AA27" i="35"/>
  <c r="N25" i="35"/>
  <c r="M25" i="35"/>
  <c r="L25" i="35"/>
  <c r="K25" i="35"/>
  <c r="N23" i="35"/>
  <c r="M23" i="35"/>
  <c r="L23" i="35"/>
  <c r="K23" i="35"/>
  <c r="N22" i="35"/>
  <c r="M22" i="35"/>
  <c r="L22" i="35"/>
  <c r="K22" i="35"/>
  <c r="N20" i="35"/>
  <c r="M20" i="35"/>
  <c r="F44" i="35"/>
  <c r="N19" i="35"/>
  <c r="M19" i="35"/>
  <c r="L19" i="35"/>
  <c r="K19" i="35"/>
  <c r="N17" i="35"/>
  <c r="M17" i="35"/>
  <c r="L17" i="35"/>
  <c r="K17" i="35"/>
  <c r="N16" i="35"/>
  <c r="M16" i="35"/>
  <c r="K16" i="35"/>
  <c r="L16" i="35"/>
  <c r="N14" i="35"/>
  <c r="M14" i="35"/>
  <c r="L14" i="35"/>
  <c r="K14" i="35"/>
  <c r="N13" i="35"/>
  <c r="M13" i="35"/>
  <c r="L13" i="35"/>
  <c r="K13" i="35"/>
  <c r="O26" i="43" l="1"/>
  <c r="N46" i="35"/>
  <c r="N49" i="35"/>
  <c r="I52" i="35"/>
  <c r="N41" i="35"/>
  <c r="L47" i="35"/>
  <c r="I51" i="35"/>
  <c r="M49" i="35"/>
  <c r="K49" i="35"/>
  <c r="N51" i="36"/>
  <c r="M51" i="36"/>
  <c r="L51" i="36"/>
  <c r="K51" i="36"/>
  <c r="M44" i="36"/>
  <c r="L44" i="36"/>
  <c r="K44" i="36"/>
  <c r="N44" i="36"/>
  <c r="N52" i="36"/>
  <c r="M52" i="36"/>
  <c r="L52" i="36"/>
  <c r="K52" i="36"/>
  <c r="M47" i="35"/>
  <c r="J44" i="35"/>
  <c r="M37" i="35"/>
  <c r="N38" i="35"/>
  <c r="N47" i="35"/>
  <c r="N50" i="35"/>
  <c r="J52" i="35"/>
  <c r="N27" i="35"/>
  <c r="H51" i="35"/>
  <c r="K37" i="35"/>
  <c r="K38" i="35"/>
  <c r="M38" i="35"/>
  <c r="K40" i="35"/>
  <c r="G51" i="35"/>
  <c r="G52" i="35"/>
  <c r="K46" i="35"/>
  <c r="M27" i="35"/>
  <c r="L43" i="35"/>
  <c r="N43" i="35"/>
  <c r="M41" i="35"/>
  <c r="K41" i="35"/>
  <c r="L41" i="35"/>
  <c r="M44" i="35"/>
  <c r="L44" i="35"/>
  <c r="K44" i="35"/>
  <c r="N44" i="35"/>
  <c r="F51" i="35"/>
  <c r="H52" i="35"/>
  <c r="K20" i="35"/>
  <c r="K27" i="35"/>
  <c r="N37" i="35"/>
  <c r="L40" i="35"/>
  <c r="L20" i="35"/>
  <c r="F28" i="35"/>
  <c r="M40" i="35"/>
  <c r="K43" i="35"/>
  <c r="L49" i="35"/>
  <c r="L38" i="35"/>
  <c r="K47" i="35"/>
  <c r="F52" i="35"/>
  <c r="L37" i="35"/>
  <c r="N40" i="35"/>
  <c r="M50" i="35"/>
  <c r="H27" i="35"/>
  <c r="L27" i="35" s="1"/>
  <c r="X52" i="34"/>
  <c r="X51" i="34"/>
  <c r="J20" i="34"/>
  <c r="G20" i="34"/>
  <c r="F20" i="34"/>
  <c r="S26" i="34"/>
  <c r="S26" i="35" s="1"/>
  <c r="S25" i="34"/>
  <c r="S25" i="35" s="1"/>
  <c r="S25" i="36" s="1"/>
  <c r="S25" i="37" s="1"/>
  <c r="S25" i="38" s="1"/>
  <c r="S25" i="40" s="1"/>
  <c r="S25" i="41" s="1"/>
  <c r="S25" i="43" s="1"/>
  <c r="S25" i="44" s="1"/>
  <c r="R26" i="34"/>
  <c r="R26" i="35" s="1"/>
  <c r="R25" i="34"/>
  <c r="R25" i="35" s="1"/>
  <c r="R25" i="36" s="1"/>
  <c r="R25" i="37" s="1"/>
  <c r="R25" i="38" s="1"/>
  <c r="R25" i="40" s="1"/>
  <c r="R25" i="41" s="1"/>
  <c r="R25" i="43" s="1"/>
  <c r="R25" i="44" s="1"/>
  <c r="Q26" i="34"/>
  <c r="Q26" i="35" s="1"/>
  <c r="Q25" i="34"/>
  <c r="Q25" i="35" s="1"/>
  <c r="Q25" i="36" s="1"/>
  <c r="Q25" i="37" s="1"/>
  <c r="Q25" i="38" s="1"/>
  <c r="Q25" i="40" s="1"/>
  <c r="Q25" i="41" s="1"/>
  <c r="Q25" i="43" s="1"/>
  <c r="Q25" i="44" s="1"/>
  <c r="Q23" i="34"/>
  <c r="Q23" i="35" s="1"/>
  <c r="Q23" i="36" s="1"/>
  <c r="Q23" i="37" s="1"/>
  <c r="Q23" i="38" s="1"/>
  <c r="Q23" i="40" s="1"/>
  <c r="Q23" i="41" s="1"/>
  <c r="Q23" i="43" s="1"/>
  <c r="Q23" i="44" s="1"/>
  <c r="Q22" i="34"/>
  <c r="Q22" i="35" s="1"/>
  <c r="Q22" i="36" s="1"/>
  <c r="Q22" i="37" s="1"/>
  <c r="Q22" i="38" s="1"/>
  <c r="Q22" i="40" s="1"/>
  <c r="Q22" i="41" s="1"/>
  <c r="Q22" i="43" s="1"/>
  <c r="Q22" i="44" s="1"/>
  <c r="P26" i="34"/>
  <c r="P26" i="35" s="1"/>
  <c r="P25" i="34"/>
  <c r="P25" i="35" s="1"/>
  <c r="P25" i="36" s="1"/>
  <c r="P25" i="37" s="1"/>
  <c r="P25" i="38" s="1"/>
  <c r="P25" i="40" s="1"/>
  <c r="P25" i="41" s="1"/>
  <c r="P25" i="43" s="1"/>
  <c r="P25" i="44" s="1"/>
  <c r="O25" i="34"/>
  <c r="O26" i="44" l="1"/>
  <c r="V26" i="35"/>
  <c r="R26" i="36"/>
  <c r="Q26" i="36"/>
  <c r="U26" i="35"/>
  <c r="P26" i="36"/>
  <c r="T26" i="35"/>
  <c r="S26" i="36"/>
  <c r="W26" i="35"/>
  <c r="O25" i="35"/>
  <c r="O25" i="36" s="1"/>
  <c r="O25" i="37" s="1"/>
  <c r="O25" i="38" s="1"/>
  <c r="L28" i="35"/>
  <c r="K28" i="35"/>
  <c r="N28" i="35"/>
  <c r="M28" i="35"/>
  <c r="K52" i="35"/>
  <c r="N52" i="35"/>
  <c r="M52" i="35"/>
  <c r="L52" i="35"/>
  <c r="N51" i="35"/>
  <c r="L51" i="35"/>
  <c r="K51" i="35"/>
  <c r="M51" i="35"/>
  <c r="Z52" i="34"/>
  <c r="Y52" i="34"/>
  <c r="AA51" i="34"/>
  <c r="Z51" i="34"/>
  <c r="Y51" i="34"/>
  <c r="J50" i="34"/>
  <c r="S50" i="34" s="1"/>
  <c r="S50" i="35" s="1"/>
  <c r="S50" i="36" s="1"/>
  <c r="S50" i="37" s="1"/>
  <c r="S50" i="38" s="1"/>
  <c r="S50" i="40" s="1"/>
  <c r="S50" i="41" s="1"/>
  <c r="S50" i="43" s="1"/>
  <c r="S50" i="44" s="1"/>
  <c r="I50" i="34"/>
  <c r="R50" i="34" s="1"/>
  <c r="R50" i="35" s="1"/>
  <c r="R50" i="36" s="1"/>
  <c r="R50" i="37" s="1"/>
  <c r="R50" i="38" s="1"/>
  <c r="R50" i="40" s="1"/>
  <c r="R50" i="41" s="1"/>
  <c r="R50" i="43" s="1"/>
  <c r="R50" i="44" s="1"/>
  <c r="H50" i="34"/>
  <c r="Q50" i="34" s="1"/>
  <c r="Q50" i="35" s="1"/>
  <c r="Q50" i="36" s="1"/>
  <c r="Q50" i="37" s="1"/>
  <c r="Q50" i="38" s="1"/>
  <c r="Q50" i="40" s="1"/>
  <c r="Q50" i="41" s="1"/>
  <c r="Q50" i="43" s="1"/>
  <c r="Q50" i="44" s="1"/>
  <c r="T50" i="45" s="1"/>
  <c r="G50" i="34"/>
  <c r="P50" i="34" s="1"/>
  <c r="P50" i="35" s="1"/>
  <c r="P50" i="36" s="1"/>
  <c r="P50" i="37" s="1"/>
  <c r="P50" i="38" s="1"/>
  <c r="P50" i="40" s="1"/>
  <c r="P50" i="41" s="1"/>
  <c r="P50" i="43" s="1"/>
  <c r="P50" i="44" s="1"/>
  <c r="F50" i="34"/>
  <c r="O50" i="34" s="1"/>
  <c r="J49" i="34"/>
  <c r="S49" i="34" s="1"/>
  <c r="S49" i="35" s="1"/>
  <c r="S49" i="36" s="1"/>
  <c r="S49" i="37" s="1"/>
  <c r="S49" i="38" s="1"/>
  <c r="S49" i="40" s="1"/>
  <c r="S49" i="41" s="1"/>
  <c r="S49" i="43" s="1"/>
  <c r="S49" i="44" s="1"/>
  <c r="I49" i="34"/>
  <c r="R49" i="34" s="1"/>
  <c r="R49" i="35" s="1"/>
  <c r="R49" i="36" s="1"/>
  <c r="R49" i="37" s="1"/>
  <c r="R49" i="38" s="1"/>
  <c r="R49" i="40" s="1"/>
  <c r="R49" i="41" s="1"/>
  <c r="R49" i="43" s="1"/>
  <c r="R49" i="44" s="1"/>
  <c r="H49" i="34"/>
  <c r="Q49" i="34" s="1"/>
  <c r="Q49" i="35" s="1"/>
  <c r="Q49" i="36" s="1"/>
  <c r="Q49" i="37" s="1"/>
  <c r="Q49" i="38" s="1"/>
  <c r="Q49" i="40" s="1"/>
  <c r="Q49" i="41" s="1"/>
  <c r="Q49" i="43" s="1"/>
  <c r="Q49" i="44" s="1"/>
  <c r="T49" i="45" s="1"/>
  <c r="G49" i="34"/>
  <c r="P49" i="34" s="1"/>
  <c r="P49" i="35" s="1"/>
  <c r="P49" i="36" s="1"/>
  <c r="P49" i="37" s="1"/>
  <c r="P49" i="38" s="1"/>
  <c r="P49" i="40" s="1"/>
  <c r="P49" i="41" s="1"/>
  <c r="P49" i="43" s="1"/>
  <c r="P49" i="44" s="1"/>
  <c r="F49" i="34"/>
  <c r="O49" i="34" s="1"/>
  <c r="G47" i="34"/>
  <c r="P47" i="34" s="1"/>
  <c r="P47" i="35" s="1"/>
  <c r="P47" i="36" s="1"/>
  <c r="P47" i="37" s="1"/>
  <c r="P47" i="38" s="1"/>
  <c r="P47" i="40" s="1"/>
  <c r="P47" i="41" s="1"/>
  <c r="P47" i="43" s="1"/>
  <c r="P47" i="44" s="1"/>
  <c r="F33" i="34"/>
  <c r="Y28" i="34"/>
  <c r="X28" i="34"/>
  <c r="Z27" i="34"/>
  <c r="Y27" i="34"/>
  <c r="X27" i="34"/>
  <c r="AA28" i="34"/>
  <c r="Z28" i="34"/>
  <c r="W26" i="34"/>
  <c r="V26" i="34"/>
  <c r="U26" i="34"/>
  <c r="T26" i="34"/>
  <c r="N26" i="34"/>
  <c r="M26" i="34"/>
  <c r="L26" i="34"/>
  <c r="K26" i="34"/>
  <c r="AA27" i="34"/>
  <c r="W25" i="34"/>
  <c r="V25" i="34"/>
  <c r="U25" i="34"/>
  <c r="T25" i="34"/>
  <c r="N25" i="34"/>
  <c r="M25" i="34"/>
  <c r="L25" i="34"/>
  <c r="K25" i="34"/>
  <c r="J47" i="34"/>
  <c r="S47" i="34" s="1"/>
  <c r="S47" i="35" s="1"/>
  <c r="S47" i="36" s="1"/>
  <c r="S47" i="37" s="1"/>
  <c r="S47" i="38" s="1"/>
  <c r="S47" i="40" s="1"/>
  <c r="S47" i="41" s="1"/>
  <c r="S47" i="43" s="1"/>
  <c r="S47" i="44" s="1"/>
  <c r="I47" i="34"/>
  <c r="R47" i="34" s="1"/>
  <c r="R47" i="35" s="1"/>
  <c r="R47" i="36" s="1"/>
  <c r="R47" i="37" s="1"/>
  <c r="R47" i="38" s="1"/>
  <c r="R47" i="40" s="1"/>
  <c r="H47" i="34"/>
  <c r="Q47" i="34" s="1"/>
  <c r="Q47" i="35" s="1"/>
  <c r="Q47" i="36" s="1"/>
  <c r="Q47" i="37" s="1"/>
  <c r="Q47" i="38" s="1"/>
  <c r="Q47" i="40" s="1"/>
  <c r="Q47" i="41" s="1"/>
  <c r="Q47" i="43" s="1"/>
  <c r="Q47" i="44" s="1"/>
  <c r="J46" i="34"/>
  <c r="S46" i="34" s="1"/>
  <c r="S46" i="35" s="1"/>
  <c r="I46" i="34"/>
  <c r="R46" i="34" s="1"/>
  <c r="R46" i="35" s="1"/>
  <c r="R46" i="36" s="1"/>
  <c r="R46" i="37" s="1"/>
  <c r="R46" i="38" s="1"/>
  <c r="R46" i="40" s="1"/>
  <c r="R46" i="41" s="1"/>
  <c r="R46" i="43" s="1"/>
  <c r="R46" i="44" s="1"/>
  <c r="H46" i="34"/>
  <c r="Q46" i="34" s="1"/>
  <c r="Q46" i="35" s="1"/>
  <c r="G46" i="34"/>
  <c r="P46" i="34" s="1"/>
  <c r="P46" i="35" s="1"/>
  <c r="P46" i="36" s="1"/>
  <c r="P46" i="37" s="1"/>
  <c r="P46" i="38" s="1"/>
  <c r="P46" i="40" s="1"/>
  <c r="J44" i="34"/>
  <c r="S44" i="34" s="1"/>
  <c r="S44" i="35" s="1"/>
  <c r="S44" i="36" s="1"/>
  <c r="S44" i="37" s="1"/>
  <c r="S44" i="38" s="1"/>
  <c r="S44" i="40" s="1"/>
  <c r="S44" i="41" s="1"/>
  <c r="S44" i="43" s="1"/>
  <c r="S44" i="44" s="1"/>
  <c r="I44" i="34"/>
  <c r="R44" i="34" s="1"/>
  <c r="R44" i="35" s="1"/>
  <c r="R44" i="36" s="1"/>
  <c r="R44" i="37" s="1"/>
  <c r="R44" i="38" s="1"/>
  <c r="R44" i="40" s="1"/>
  <c r="R44" i="41" s="1"/>
  <c r="R44" i="43" s="1"/>
  <c r="R44" i="44" s="1"/>
  <c r="H44" i="34"/>
  <c r="Q44" i="34" s="1"/>
  <c r="Q44" i="35" s="1"/>
  <c r="Q44" i="36" s="1"/>
  <c r="Q44" i="37" s="1"/>
  <c r="Q44" i="38" s="1"/>
  <c r="Q44" i="40" s="1"/>
  <c r="Q44" i="41" s="1"/>
  <c r="Q44" i="43" s="1"/>
  <c r="Q44" i="44" s="1"/>
  <c r="G44" i="34"/>
  <c r="P44" i="34" s="1"/>
  <c r="P44" i="35" s="1"/>
  <c r="P44" i="36" s="1"/>
  <c r="P44" i="37" s="1"/>
  <c r="P44" i="38" s="1"/>
  <c r="P44" i="40" s="1"/>
  <c r="P44" i="41" s="1"/>
  <c r="P44" i="43" s="1"/>
  <c r="P44" i="44" s="1"/>
  <c r="K20" i="34"/>
  <c r="J43" i="34"/>
  <c r="S43" i="34" s="1"/>
  <c r="S43" i="35" s="1"/>
  <c r="S43" i="36" s="1"/>
  <c r="S43" i="37" s="1"/>
  <c r="S43" i="38" s="1"/>
  <c r="S43" i="40" s="1"/>
  <c r="S43" i="41" s="1"/>
  <c r="S43" i="43" s="1"/>
  <c r="S43" i="44" s="1"/>
  <c r="I43" i="34"/>
  <c r="R43" i="34" s="1"/>
  <c r="R43" i="35" s="1"/>
  <c r="R43" i="36" s="1"/>
  <c r="R43" i="37" s="1"/>
  <c r="R43" i="38" s="1"/>
  <c r="R43" i="40" s="1"/>
  <c r="R43" i="41" s="1"/>
  <c r="R43" i="43" s="1"/>
  <c r="R43" i="44" s="1"/>
  <c r="H43" i="34"/>
  <c r="Q43" i="34" s="1"/>
  <c r="Q43" i="35" s="1"/>
  <c r="Q43" i="36" s="1"/>
  <c r="Q43" i="37" s="1"/>
  <c r="Q43" i="38" s="1"/>
  <c r="Q43" i="40" s="1"/>
  <c r="Q43" i="41" s="1"/>
  <c r="Q43" i="43" s="1"/>
  <c r="Q43" i="44" s="1"/>
  <c r="G43" i="34"/>
  <c r="P43" i="34" s="1"/>
  <c r="P43" i="35" s="1"/>
  <c r="P43" i="36" s="1"/>
  <c r="P43" i="37" s="1"/>
  <c r="P43" i="38" s="1"/>
  <c r="P43" i="40" s="1"/>
  <c r="P43" i="41" s="1"/>
  <c r="P43" i="43" s="1"/>
  <c r="P43" i="44" s="1"/>
  <c r="N19" i="34"/>
  <c r="L17" i="34"/>
  <c r="J41" i="34"/>
  <c r="S41" i="34" s="1"/>
  <c r="S41" i="35" s="1"/>
  <c r="S41" i="36" s="1"/>
  <c r="S41" i="37" s="1"/>
  <c r="S41" i="38" s="1"/>
  <c r="S41" i="40" s="1"/>
  <c r="S41" i="41" s="1"/>
  <c r="S41" i="43" s="1"/>
  <c r="S41" i="44" s="1"/>
  <c r="I41" i="34"/>
  <c r="R41" i="34" s="1"/>
  <c r="R41" i="35" s="1"/>
  <c r="R41" i="36" s="1"/>
  <c r="R41" i="37" s="1"/>
  <c r="R41" i="38" s="1"/>
  <c r="R41" i="40" s="1"/>
  <c r="R41" i="41" s="1"/>
  <c r="R41" i="43" s="1"/>
  <c r="R41" i="44" s="1"/>
  <c r="H41" i="34"/>
  <c r="Q41" i="34" s="1"/>
  <c r="Q41" i="35" s="1"/>
  <c r="Q41" i="36" s="1"/>
  <c r="Q41" i="37" s="1"/>
  <c r="Q41" i="38" s="1"/>
  <c r="Q41" i="40" s="1"/>
  <c r="Q41" i="41" s="1"/>
  <c r="Q41" i="43" s="1"/>
  <c r="Q41" i="44" s="1"/>
  <c r="J40" i="34"/>
  <c r="S40" i="34" s="1"/>
  <c r="S40" i="35" s="1"/>
  <c r="I40" i="34"/>
  <c r="R40" i="34" s="1"/>
  <c r="R40" i="35" s="1"/>
  <c r="R40" i="36" s="1"/>
  <c r="R40" i="37" s="1"/>
  <c r="R40" i="38" s="1"/>
  <c r="R40" i="40" s="1"/>
  <c r="R40" i="41" s="1"/>
  <c r="R40" i="43" s="1"/>
  <c r="R40" i="44" s="1"/>
  <c r="H40" i="34"/>
  <c r="Q40" i="34" s="1"/>
  <c r="G40" i="34"/>
  <c r="P40" i="34" s="1"/>
  <c r="P40" i="35" s="1"/>
  <c r="P40" i="36" s="1"/>
  <c r="P40" i="37" s="1"/>
  <c r="P40" i="38" s="1"/>
  <c r="P40" i="40" s="1"/>
  <c r="P40" i="41" s="1"/>
  <c r="P40" i="43" s="1"/>
  <c r="P40" i="44" s="1"/>
  <c r="L14" i="34"/>
  <c r="G38" i="34"/>
  <c r="P38" i="34" s="1"/>
  <c r="P38" i="35" s="1"/>
  <c r="N14" i="34"/>
  <c r="M13" i="34"/>
  <c r="J37" i="34"/>
  <c r="S37" i="34" s="1"/>
  <c r="S37" i="35" s="1"/>
  <c r="I37" i="34"/>
  <c r="R37" i="34" s="1"/>
  <c r="R37" i="35" s="1"/>
  <c r="G37" i="34"/>
  <c r="P37" i="34" s="1"/>
  <c r="P37" i="35" s="1"/>
  <c r="Q44" i="33"/>
  <c r="AA52" i="33"/>
  <c r="Z52" i="33"/>
  <c r="Y52" i="33"/>
  <c r="AA51" i="33"/>
  <c r="Z51" i="33"/>
  <c r="Y51" i="33"/>
  <c r="R20" i="34"/>
  <c r="R20" i="35" s="1"/>
  <c r="R20" i="36" s="1"/>
  <c r="R20" i="37" s="1"/>
  <c r="R20" i="38" s="1"/>
  <c r="R20" i="40" s="1"/>
  <c r="R19" i="34"/>
  <c r="R19" i="35" s="1"/>
  <c r="R19" i="36" s="1"/>
  <c r="R19" i="37" s="1"/>
  <c r="R19" i="38" s="1"/>
  <c r="R19" i="40" s="1"/>
  <c r="R19" i="41" s="1"/>
  <c r="R19" i="43" s="1"/>
  <c r="R19" i="44" s="1"/>
  <c r="R17" i="34"/>
  <c r="R17" i="35" s="1"/>
  <c r="R17" i="36" s="1"/>
  <c r="R17" i="37" s="1"/>
  <c r="R17" i="38" s="1"/>
  <c r="R17" i="40" s="1"/>
  <c r="R17" i="41" s="1"/>
  <c r="R17" i="43" s="1"/>
  <c r="R17" i="44" s="1"/>
  <c r="R16" i="34"/>
  <c r="R16" i="35" s="1"/>
  <c r="R16" i="36" s="1"/>
  <c r="R16" i="37" s="1"/>
  <c r="R16" i="38" s="1"/>
  <c r="R16" i="40" s="1"/>
  <c r="R16" i="41" s="1"/>
  <c r="R16" i="43" s="1"/>
  <c r="R16" i="44" s="1"/>
  <c r="R14" i="34"/>
  <c r="R14" i="35" s="1"/>
  <c r="R13" i="34"/>
  <c r="R13" i="35" s="1"/>
  <c r="O25" i="40" l="1"/>
  <c r="V25" i="38"/>
  <c r="W25" i="38"/>
  <c r="U25" i="38"/>
  <c r="T25" i="38"/>
  <c r="R20" i="41"/>
  <c r="R20" i="43" s="1"/>
  <c r="R20" i="44" s="1"/>
  <c r="R47" i="41"/>
  <c r="R47" i="43" s="1"/>
  <c r="R47" i="44" s="1"/>
  <c r="P46" i="41"/>
  <c r="P46" i="43" s="1"/>
  <c r="P46" i="44" s="1"/>
  <c r="W26" i="36"/>
  <c r="S26" i="37"/>
  <c r="T26" i="36"/>
  <c r="P26" i="37"/>
  <c r="U26" i="36"/>
  <c r="Q26" i="37"/>
  <c r="V26" i="36"/>
  <c r="R26" i="37"/>
  <c r="U25" i="37"/>
  <c r="V25" i="37"/>
  <c r="W25" i="37"/>
  <c r="T25" i="37"/>
  <c r="S46" i="36"/>
  <c r="S46" i="37" s="1"/>
  <c r="S46" i="38" s="1"/>
  <c r="S46" i="40" s="1"/>
  <c r="S46" i="41" s="1"/>
  <c r="S46" i="43" s="1"/>
  <c r="S46" i="44" s="1"/>
  <c r="V50" i="34"/>
  <c r="U50" i="34"/>
  <c r="W50" i="34"/>
  <c r="T50" i="34"/>
  <c r="O50" i="35"/>
  <c r="S37" i="36"/>
  <c r="S37" i="37" s="1"/>
  <c r="S37" i="38" s="1"/>
  <c r="S51" i="35"/>
  <c r="Q46" i="36"/>
  <c r="Q46" i="37" s="1"/>
  <c r="Q46" i="38" s="1"/>
  <c r="Q46" i="40" s="1"/>
  <c r="Q46" i="41" s="1"/>
  <c r="Q46" i="43" s="1"/>
  <c r="Q46" i="44" s="1"/>
  <c r="W49" i="34"/>
  <c r="V49" i="34"/>
  <c r="U49" i="34"/>
  <c r="T49" i="34"/>
  <c r="O49" i="35"/>
  <c r="P38" i="36"/>
  <c r="P38" i="37" s="1"/>
  <c r="P38" i="38" s="1"/>
  <c r="S40" i="36"/>
  <c r="S40" i="37" s="1"/>
  <c r="S40" i="38" s="1"/>
  <c r="S40" i="40" s="1"/>
  <c r="S40" i="41" s="1"/>
  <c r="S40" i="43" s="1"/>
  <c r="S40" i="44" s="1"/>
  <c r="P37" i="36"/>
  <c r="P51" i="35"/>
  <c r="R37" i="36"/>
  <c r="R51" i="35"/>
  <c r="R13" i="36"/>
  <c r="R13" i="37" s="1"/>
  <c r="R13" i="38" s="1"/>
  <c r="R14" i="36"/>
  <c r="R14" i="37" s="1"/>
  <c r="R14" i="38" s="1"/>
  <c r="Q40" i="35"/>
  <c r="U25" i="36"/>
  <c r="T25" i="36"/>
  <c r="W25" i="36"/>
  <c r="V25" i="36"/>
  <c r="V25" i="35"/>
  <c r="U25" i="35"/>
  <c r="W25" i="35"/>
  <c r="T25" i="35"/>
  <c r="K50" i="34"/>
  <c r="M49" i="34"/>
  <c r="H27" i="34"/>
  <c r="L23" i="34"/>
  <c r="L49" i="34"/>
  <c r="M50" i="34"/>
  <c r="M16" i="34"/>
  <c r="M23" i="34"/>
  <c r="AA52" i="34"/>
  <c r="M22" i="34"/>
  <c r="G51" i="34"/>
  <c r="G27" i="34"/>
  <c r="K14" i="34"/>
  <c r="M17" i="34"/>
  <c r="H37" i="34"/>
  <c r="I28" i="34"/>
  <c r="J28" i="34"/>
  <c r="F27" i="34"/>
  <c r="I51" i="34"/>
  <c r="K17" i="34"/>
  <c r="N20" i="34"/>
  <c r="F28" i="34"/>
  <c r="G28" i="34"/>
  <c r="M19" i="34"/>
  <c r="R51" i="34"/>
  <c r="K49" i="34"/>
  <c r="S51" i="34"/>
  <c r="L50" i="34"/>
  <c r="J51" i="34"/>
  <c r="N16" i="34"/>
  <c r="N22" i="34"/>
  <c r="K13" i="34"/>
  <c r="I27" i="34"/>
  <c r="K19" i="34"/>
  <c r="N23" i="34"/>
  <c r="J27" i="34"/>
  <c r="L13" i="34"/>
  <c r="N17" i="34"/>
  <c r="L19" i="34"/>
  <c r="F37" i="34"/>
  <c r="O37" i="34" s="1"/>
  <c r="F38" i="34"/>
  <c r="O38" i="34" s="1"/>
  <c r="F40" i="34"/>
  <c r="O40" i="34" s="1"/>
  <c r="U40" i="34" s="1"/>
  <c r="F41" i="34"/>
  <c r="O41" i="34" s="1"/>
  <c r="F43" i="34"/>
  <c r="O43" i="34" s="1"/>
  <c r="F44" i="34"/>
  <c r="O44" i="34" s="1"/>
  <c r="F46" i="34"/>
  <c r="O46" i="34" s="1"/>
  <c r="F47" i="34"/>
  <c r="O47" i="34" s="1"/>
  <c r="N49" i="34"/>
  <c r="N50" i="34"/>
  <c r="G41" i="34"/>
  <c r="N13" i="34"/>
  <c r="L20" i="34"/>
  <c r="M14" i="34"/>
  <c r="K16" i="34"/>
  <c r="M20" i="34"/>
  <c r="K22" i="34"/>
  <c r="H28" i="34"/>
  <c r="I38" i="34"/>
  <c r="H38" i="34"/>
  <c r="P51" i="34"/>
  <c r="L16" i="34"/>
  <c r="L22" i="34"/>
  <c r="K23" i="34"/>
  <c r="J38" i="34"/>
  <c r="Y28" i="33"/>
  <c r="Z27" i="33"/>
  <c r="Y27" i="33"/>
  <c r="X28" i="33"/>
  <c r="X27" i="33"/>
  <c r="I38" i="33"/>
  <c r="G38" i="33"/>
  <c r="G37" i="33"/>
  <c r="F33" i="33"/>
  <c r="AA28" i="33"/>
  <c r="Z28" i="33"/>
  <c r="I50" i="33"/>
  <c r="AA27" i="33"/>
  <c r="H47" i="33"/>
  <c r="I43" i="33"/>
  <c r="I41" i="33"/>
  <c r="I40" i="33"/>
  <c r="U26" i="37" l="1"/>
  <c r="Q26" i="38"/>
  <c r="O25" i="41"/>
  <c r="T25" i="40"/>
  <c r="U25" i="40"/>
  <c r="V25" i="40"/>
  <c r="W25" i="40"/>
  <c r="T26" i="37"/>
  <c r="P26" i="38"/>
  <c r="S37" i="40"/>
  <c r="S51" i="38"/>
  <c r="P38" i="40"/>
  <c r="R14" i="40"/>
  <c r="W26" i="37"/>
  <c r="S26" i="38"/>
  <c r="R13" i="40"/>
  <c r="V26" i="37"/>
  <c r="R26" i="38"/>
  <c r="R51" i="36"/>
  <c r="R37" i="37"/>
  <c r="P51" i="36"/>
  <c r="P37" i="37"/>
  <c r="S51" i="37"/>
  <c r="S51" i="36"/>
  <c r="V37" i="34"/>
  <c r="W37" i="34"/>
  <c r="T37" i="34"/>
  <c r="O37" i="35"/>
  <c r="O51" i="35" s="1"/>
  <c r="O51" i="34"/>
  <c r="W51" i="34" s="1"/>
  <c r="O49" i="36"/>
  <c r="O49" i="37" s="1"/>
  <c r="O49" i="38" s="1"/>
  <c r="W49" i="35"/>
  <c r="V49" i="35"/>
  <c r="T49" i="35"/>
  <c r="U49" i="35"/>
  <c r="O50" i="36"/>
  <c r="O50" i="37" s="1"/>
  <c r="O50" i="38" s="1"/>
  <c r="V50" i="35"/>
  <c r="W50" i="35"/>
  <c r="U50" i="35"/>
  <c r="T50" i="35"/>
  <c r="W46" i="34"/>
  <c r="V46" i="34"/>
  <c r="U46" i="34"/>
  <c r="O46" i="35"/>
  <c r="T46" i="34"/>
  <c r="H51" i="34"/>
  <c r="Q37" i="34"/>
  <c r="O44" i="35"/>
  <c r="W44" i="34"/>
  <c r="V44" i="34"/>
  <c r="U44" i="34"/>
  <c r="T44" i="34"/>
  <c r="T51" i="34"/>
  <c r="W43" i="34"/>
  <c r="V43" i="34"/>
  <c r="U43" i="34"/>
  <c r="O43" i="35"/>
  <c r="T43" i="34"/>
  <c r="H52" i="34"/>
  <c r="Q38" i="34"/>
  <c r="O41" i="35"/>
  <c r="U41" i="34"/>
  <c r="W41" i="34"/>
  <c r="V41" i="34"/>
  <c r="I52" i="34"/>
  <c r="R38" i="34"/>
  <c r="G52" i="34"/>
  <c r="P41" i="34"/>
  <c r="W40" i="34"/>
  <c r="V40" i="34"/>
  <c r="O40" i="35"/>
  <c r="U40" i="35" s="1"/>
  <c r="T40" i="34"/>
  <c r="J52" i="34"/>
  <c r="S38" i="34"/>
  <c r="W38" i="34"/>
  <c r="V38" i="34"/>
  <c r="U38" i="34"/>
  <c r="O38" i="35"/>
  <c r="T38" i="34"/>
  <c r="Q40" i="36"/>
  <c r="Q40" i="37" s="1"/>
  <c r="Q40" i="38" s="1"/>
  <c r="U47" i="34"/>
  <c r="V47" i="34"/>
  <c r="O47" i="35"/>
  <c r="W47" i="34"/>
  <c r="T47" i="34"/>
  <c r="O52" i="34"/>
  <c r="M28" i="34"/>
  <c r="L27" i="34"/>
  <c r="M27" i="34"/>
  <c r="N27" i="34"/>
  <c r="K28" i="34"/>
  <c r="N28" i="34"/>
  <c r="L28" i="34"/>
  <c r="K27" i="34"/>
  <c r="L43" i="34"/>
  <c r="K43" i="34"/>
  <c r="N43" i="34"/>
  <c r="M43" i="34"/>
  <c r="L41" i="34"/>
  <c r="K41" i="34"/>
  <c r="N41" i="34"/>
  <c r="M41" i="34"/>
  <c r="L40" i="34"/>
  <c r="K40" i="34"/>
  <c r="N40" i="34"/>
  <c r="M40" i="34"/>
  <c r="L38" i="34"/>
  <c r="K38" i="34"/>
  <c r="F52" i="34"/>
  <c r="N38" i="34"/>
  <c r="M38" i="34"/>
  <c r="L37" i="34"/>
  <c r="K37" i="34"/>
  <c r="N37" i="34"/>
  <c r="M37" i="34"/>
  <c r="F51" i="34"/>
  <c r="L47" i="34"/>
  <c r="K47" i="34"/>
  <c r="N47" i="34"/>
  <c r="M47" i="34"/>
  <c r="L46" i="34"/>
  <c r="K46" i="34"/>
  <c r="N46" i="34"/>
  <c r="M46" i="34"/>
  <c r="L44" i="34"/>
  <c r="K44" i="34"/>
  <c r="N44" i="34"/>
  <c r="M44" i="34"/>
  <c r="H46" i="33"/>
  <c r="I37" i="33"/>
  <c r="I44" i="33"/>
  <c r="I49" i="33"/>
  <c r="H37" i="33"/>
  <c r="H38" i="33"/>
  <c r="P51" i="37" l="1"/>
  <c r="P37" i="38"/>
  <c r="R26" i="40"/>
  <c r="V26" i="38"/>
  <c r="P26" i="40"/>
  <c r="T26" i="38"/>
  <c r="R14" i="41"/>
  <c r="R51" i="37"/>
  <c r="R37" i="38"/>
  <c r="P38" i="41"/>
  <c r="O25" i="43"/>
  <c r="T25" i="41"/>
  <c r="W25" i="41"/>
  <c r="U25" i="41"/>
  <c r="V25" i="41"/>
  <c r="O49" i="40"/>
  <c r="T49" i="38"/>
  <c r="W49" i="38"/>
  <c r="U49" i="38"/>
  <c r="V49" i="38"/>
  <c r="O50" i="40"/>
  <c r="T50" i="38"/>
  <c r="U50" i="38"/>
  <c r="W50" i="38"/>
  <c r="V50" i="38"/>
  <c r="R13" i="41"/>
  <c r="S37" i="41"/>
  <c r="S51" i="40"/>
  <c r="Q26" i="40"/>
  <c r="U26" i="38"/>
  <c r="S26" i="40"/>
  <c r="W26" i="38"/>
  <c r="Q40" i="40"/>
  <c r="U49" i="37"/>
  <c r="T49" i="37"/>
  <c r="W49" i="37"/>
  <c r="V49" i="37"/>
  <c r="W50" i="37"/>
  <c r="V50" i="37"/>
  <c r="U50" i="37"/>
  <c r="T50" i="37"/>
  <c r="O41" i="36"/>
  <c r="O41" i="37" s="1"/>
  <c r="O41" i="38" s="1"/>
  <c r="W41" i="35"/>
  <c r="U41" i="35"/>
  <c r="V41" i="35"/>
  <c r="T41" i="35"/>
  <c r="Q37" i="35"/>
  <c r="Q51" i="34"/>
  <c r="U51" i="34" s="1"/>
  <c r="O46" i="36"/>
  <c r="O46" i="37" s="1"/>
  <c r="O46" i="38" s="1"/>
  <c r="V46" i="35"/>
  <c r="T46" i="35"/>
  <c r="W46" i="35"/>
  <c r="U46" i="35"/>
  <c r="W50" i="36"/>
  <c r="T50" i="36"/>
  <c r="U50" i="36"/>
  <c r="V50" i="36"/>
  <c r="U37" i="35"/>
  <c r="O37" i="36"/>
  <c r="O37" i="37" s="1"/>
  <c r="O37" i="38" s="1"/>
  <c r="V37" i="35"/>
  <c r="W37" i="35"/>
  <c r="T37" i="35"/>
  <c r="T49" i="36"/>
  <c r="W49" i="36"/>
  <c r="V49" i="36"/>
  <c r="U49" i="36"/>
  <c r="P41" i="35"/>
  <c r="P52" i="34"/>
  <c r="V51" i="35"/>
  <c r="W51" i="35"/>
  <c r="T51" i="35"/>
  <c r="S38" i="35"/>
  <c r="S52" i="34"/>
  <c r="W52" i="34" s="1"/>
  <c r="Q38" i="35"/>
  <c r="U38" i="35" s="1"/>
  <c r="Q52" i="34"/>
  <c r="U52" i="34" s="1"/>
  <c r="V51" i="34"/>
  <c r="T41" i="34"/>
  <c r="U37" i="34"/>
  <c r="R38" i="35"/>
  <c r="R52" i="34"/>
  <c r="V52" i="34" s="1"/>
  <c r="V40" i="35"/>
  <c r="O40" i="36"/>
  <c r="O40" i="37" s="1"/>
  <c r="T40" i="35"/>
  <c r="W40" i="35"/>
  <c r="O43" i="36"/>
  <c r="O43" i="37" s="1"/>
  <c r="O43" i="38" s="1"/>
  <c r="W43" i="35"/>
  <c r="U43" i="35"/>
  <c r="V43" i="35"/>
  <c r="T43" i="35"/>
  <c r="O38" i="36"/>
  <c r="O38" i="37" s="1"/>
  <c r="O38" i="38" s="1"/>
  <c r="T38" i="35"/>
  <c r="O44" i="36"/>
  <c r="O44" i="37" s="1"/>
  <c r="O44" i="38" s="1"/>
  <c r="T44" i="35"/>
  <c r="V44" i="35"/>
  <c r="W44" i="35"/>
  <c r="U44" i="35"/>
  <c r="W47" i="35"/>
  <c r="O47" i="36"/>
  <c r="O47" i="37" s="1"/>
  <c r="O47" i="38" s="1"/>
  <c r="O47" i="40" s="1"/>
  <c r="T47" i="35"/>
  <c r="U47" i="35"/>
  <c r="V47" i="35"/>
  <c r="O52" i="35"/>
  <c r="T52" i="34"/>
  <c r="K51" i="34"/>
  <c r="L51" i="34"/>
  <c r="M51" i="34"/>
  <c r="N51" i="34"/>
  <c r="N52" i="34"/>
  <c r="L52" i="34"/>
  <c r="M52" i="34"/>
  <c r="K52" i="34"/>
  <c r="V25" i="43" l="1"/>
  <c r="O25" i="44"/>
  <c r="U25" i="43"/>
  <c r="W25" i="43"/>
  <c r="T25" i="43"/>
  <c r="R14" i="43"/>
  <c r="S37" i="43"/>
  <c r="S51" i="41"/>
  <c r="R13" i="43"/>
  <c r="P26" i="41"/>
  <c r="T26" i="40"/>
  <c r="O47" i="41"/>
  <c r="T47" i="40"/>
  <c r="V47" i="40"/>
  <c r="U47" i="40"/>
  <c r="W47" i="40"/>
  <c r="O49" i="41"/>
  <c r="V49" i="40"/>
  <c r="W49" i="40"/>
  <c r="U49" i="40"/>
  <c r="T49" i="40"/>
  <c r="O46" i="40"/>
  <c r="V46" i="38"/>
  <c r="U46" i="38"/>
  <c r="T46" i="38"/>
  <c r="W46" i="38"/>
  <c r="O44" i="40"/>
  <c r="W44" i="38"/>
  <c r="U44" i="38"/>
  <c r="T44" i="38"/>
  <c r="V44" i="38"/>
  <c r="P38" i="43"/>
  <c r="R26" i="41"/>
  <c r="V26" i="40"/>
  <c r="O38" i="40"/>
  <c r="T38" i="38"/>
  <c r="O43" i="40"/>
  <c r="W43" i="38"/>
  <c r="U43" i="38"/>
  <c r="T43" i="38"/>
  <c r="V43" i="38"/>
  <c r="S26" i="41"/>
  <c r="W26" i="40"/>
  <c r="O37" i="40"/>
  <c r="O51" i="38"/>
  <c r="V37" i="38"/>
  <c r="W37" i="38"/>
  <c r="T37" i="38"/>
  <c r="Q26" i="41"/>
  <c r="U26" i="40"/>
  <c r="R37" i="40"/>
  <c r="R51" i="38"/>
  <c r="P37" i="40"/>
  <c r="P51" i="38"/>
  <c r="U40" i="37"/>
  <c r="O40" i="38"/>
  <c r="O41" i="40"/>
  <c r="V41" i="38"/>
  <c r="W41" i="38"/>
  <c r="U41" i="38"/>
  <c r="O50" i="41"/>
  <c r="T50" i="40"/>
  <c r="U50" i="40"/>
  <c r="W50" i="40"/>
  <c r="V50" i="40"/>
  <c r="Q40" i="41"/>
  <c r="V47" i="38"/>
  <c r="U47" i="38"/>
  <c r="W47" i="38"/>
  <c r="T47" i="38"/>
  <c r="O52" i="38"/>
  <c r="U44" i="37"/>
  <c r="T44" i="37"/>
  <c r="V44" i="37"/>
  <c r="W44" i="37"/>
  <c r="W37" i="37"/>
  <c r="T37" i="37"/>
  <c r="O51" i="37"/>
  <c r="V37" i="37"/>
  <c r="T43" i="37"/>
  <c r="V43" i="37"/>
  <c r="W43" i="37"/>
  <c r="U43" i="37"/>
  <c r="O52" i="37"/>
  <c r="T38" i="37"/>
  <c r="T40" i="37"/>
  <c r="V40" i="37"/>
  <c r="W40" i="37"/>
  <c r="V41" i="37"/>
  <c r="U41" i="37"/>
  <c r="W41" i="37"/>
  <c r="U46" i="37"/>
  <c r="T46" i="37"/>
  <c r="V46" i="37"/>
  <c r="W46" i="37"/>
  <c r="W47" i="37"/>
  <c r="V47" i="37"/>
  <c r="U47" i="37"/>
  <c r="T47" i="37"/>
  <c r="U40" i="36"/>
  <c r="R38" i="36"/>
  <c r="R52" i="35"/>
  <c r="V52" i="35" s="1"/>
  <c r="S38" i="36"/>
  <c r="S52" i="35"/>
  <c r="W52" i="35" s="1"/>
  <c r="Q37" i="36"/>
  <c r="Q51" i="35"/>
  <c r="U51" i="35" s="1"/>
  <c r="T44" i="36"/>
  <c r="U44" i="36"/>
  <c r="V44" i="36"/>
  <c r="W44" i="36"/>
  <c r="W46" i="36"/>
  <c r="U46" i="36"/>
  <c r="T46" i="36"/>
  <c r="V46" i="36"/>
  <c r="V38" i="35"/>
  <c r="W43" i="36"/>
  <c r="V43" i="36"/>
  <c r="U43" i="36"/>
  <c r="T43" i="36"/>
  <c r="W38" i="35"/>
  <c r="T38" i="36"/>
  <c r="U38" i="36"/>
  <c r="W40" i="36"/>
  <c r="V40" i="36"/>
  <c r="T40" i="36"/>
  <c r="P41" i="36"/>
  <c r="P52" i="35"/>
  <c r="T52" i="35" s="1"/>
  <c r="V37" i="36"/>
  <c r="W37" i="36"/>
  <c r="T37" i="36"/>
  <c r="O51" i="36"/>
  <c r="Q38" i="36"/>
  <c r="Q52" i="35"/>
  <c r="U52" i="35" s="1"/>
  <c r="W41" i="36"/>
  <c r="V41" i="36"/>
  <c r="U41" i="36"/>
  <c r="V47" i="36"/>
  <c r="T47" i="36"/>
  <c r="U47" i="36"/>
  <c r="W47" i="36"/>
  <c r="O52" i="36"/>
  <c r="J53" i="32"/>
  <c r="J52" i="32"/>
  <c r="H53" i="32"/>
  <c r="G53" i="32"/>
  <c r="I53" i="32"/>
  <c r="F52" i="32"/>
  <c r="I49" i="32"/>
  <c r="G50" i="32"/>
  <c r="G49" i="32"/>
  <c r="F50" i="32"/>
  <c r="J47" i="32"/>
  <c r="I47" i="32"/>
  <c r="H47" i="32"/>
  <c r="H46" i="32"/>
  <c r="G47" i="32"/>
  <c r="G46" i="32"/>
  <c r="H41" i="32"/>
  <c r="H40" i="32"/>
  <c r="I43" i="32"/>
  <c r="G44" i="32"/>
  <c r="G43" i="32"/>
  <c r="F41" i="32"/>
  <c r="F40" i="32"/>
  <c r="Z58" i="32"/>
  <c r="Y58" i="32"/>
  <c r="AA57" i="32"/>
  <c r="Z57" i="32"/>
  <c r="Y57" i="32"/>
  <c r="AA56" i="32"/>
  <c r="J56" i="32"/>
  <c r="I56" i="32"/>
  <c r="H56" i="32"/>
  <c r="G56" i="32"/>
  <c r="J55" i="32"/>
  <c r="I55" i="32"/>
  <c r="H55" i="32"/>
  <c r="G55" i="32"/>
  <c r="AA47" i="32"/>
  <c r="H44" i="32"/>
  <c r="F36" i="32"/>
  <c r="Y31" i="32"/>
  <c r="X31" i="32"/>
  <c r="Z30" i="32"/>
  <c r="Y30" i="32"/>
  <c r="X30" i="32"/>
  <c r="AA29" i="32"/>
  <c r="AA31" i="32" s="1"/>
  <c r="Z29" i="32"/>
  <c r="Z31" i="32" s="1"/>
  <c r="AA28" i="32"/>
  <c r="AA30" i="32" s="1"/>
  <c r="F29" i="31"/>
  <c r="F20" i="31"/>
  <c r="Y58" i="30"/>
  <c r="Y57" i="30"/>
  <c r="O41" i="41" l="1"/>
  <c r="W41" i="40"/>
  <c r="V41" i="40"/>
  <c r="U41" i="40"/>
  <c r="Q26" i="43"/>
  <c r="U26" i="41"/>
  <c r="O40" i="40"/>
  <c r="T40" i="38"/>
  <c r="W40" i="38"/>
  <c r="V40" i="38"/>
  <c r="U40" i="38"/>
  <c r="O38" i="41"/>
  <c r="T38" i="40"/>
  <c r="O52" i="40"/>
  <c r="O47" i="43"/>
  <c r="V47" i="41"/>
  <c r="U47" i="41"/>
  <c r="T47" i="41"/>
  <c r="W47" i="41"/>
  <c r="R14" i="44"/>
  <c r="O50" i="43"/>
  <c r="W50" i="41"/>
  <c r="U50" i="41"/>
  <c r="T50" i="41"/>
  <c r="V50" i="41"/>
  <c r="O44" i="41"/>
  <c r="U44" i="40"/>
  <c r="V44" i="40"/>
  <c r="W44" i="40"/>
  <c r="T44" i="40"/>
  <c r="S26" i="43"/>
  <c r="W26" i="41"/>
  <c r="P37" i="41"/>
  <c r="P51" i="40"/>
  <c r="R26" i="43"/>
  <c r="V26" i="41"/>
  <c r="P26" i="43"/>
  <c r="T26" i="41"/>
  <c r="T51" i="38"/>
  <c r="W51" i="38"/>
  <c r="V51" i="38"/>
  <c r="O43" i="41"/>
  <c r="V43" i="40"/>
  <c r="U43" i="40"/>
  <c r="T43" i="40"/>
  <c r="W43" i="40"/>
  <c r="O49" i="43"/>
  <c r="V49" i="41"/>
  <c r="U49" i="41"/>
  <c r="T49" i="41"/>
  <c r="W49" i="41"/>
  <c r="O46" i="41"/>
  <c r="W46" i="40"/>
  <c r="V46" i="40"/>
  <c r="U46" i="40"/>
  <c r="T46" i="40"/>
  <c r="R37" i="41"/>
  <c r="R51" i="40"/>
  <c r="O37" i="41"/>
  <c r="V37" i="40"/>
  <c r="W37" i="40"/>
  <c r="T37" i="40"/>
  <c r="P38" i="44"/>
  <c r="R13" i="44"/>
  <c r="U25" i="44"/>
  <c r="V25" i="44"/>
  <c r="T25" i="44"/>
  <c r="W25" i="44"/>
  <c r="S37" i="44"/>
  <c r="S51" i="43"/>
  <c r="N20" i="32"/>
  <c r="Q40" i="43"/>
  <c r="Q51" i="36"/>
  <c r="U51" i="36" s="1"/>
  <c r="Q37" i="37"/>
  <c r="Q37" i="38" s="1"/>
  <c r="P52" i="36"/>
  <c r="T52" i="36" s="1"/>
  <c r="P41" i="37"/>
  <c r="P41" i="38" s="1"/>
  <c r="S52" i="36"/>
  <c r="W52" i="36" s="1"/>
  <c r="S38" i="37"/>
  <c r="S38" i="38" s="1"/>
  <c r="W51" i="37"/>
  <c r="T51" i="37"/>
  <c r="V51" i="37"/>
  <c r="R52" i="36"/>
  <c r="R38" i="37"/>
  <c r="R38" i="38" s="1"/>
  <c r="Q52" i="36"/>
  <c r="U52" i="36" s="1"/>
  <c r="Q38" i="37"/>
  <c r="Q38" i="38" s="1"/>
  <c r="V38" i="36"/>
  <c r="T41" i="36"/>
  <c r="W38" i="36"/>
  <c r="M22" i="32"/>
  <c r="K23" i="32"/>
  <c r="M23" i="32"/>
  <c r="AA58" i="32"/>
  <c r="U37" i="36"/>
  <c r="W51" i="36"/>
  <c r="V51" i="36"/>
  <c r="T51" i="36"/>
  <c r="M25" i="32"/>
  <c r="L25" i="32"/>
  <c r="V52" i="36"/>
  <c r="N25" i="32"/>
  <c r="H52" i="32"/>
  <c r="L52" i="32" s="1"/>
  <c r="K22" i="32"/>
  <c r="F49" i="32"/>
  <c r="M49" i="32" s="1"/>
  <c r="K19" i="32"/>
  <c r="F46" i="32"/>
  <c r="K46" i="32" s="1"/>
  <c r="K25" i="32"/>
  <c r="M19" i="32"/>
  <c r="G52" i="32"/>
  <c r="K52" i="32" s="1"/>
  <c r="N19" i="32"/>
  <c r="H50" i="32"/>
  <c r="L50" i="32" s="1"/>
  <c r="L19" i="32"/>
  <c r="J49" i="32"/>
  <c r="J46" i="32"/>
  <c r="N46" i="32" s="1"/>
  <c r="N22" i="32"/>
  <c r="G30" i="32"/>
  <c r="N23" i="32"/>
  <c r="I30" i="32"/>
  <c r="J30" i="32"/>
  <c r="J40" i="32"/>
  <c r="N40" i="32" s="1"/>
  <c r="I41" i="32"/>
  <c r="M41" i="32" s="1"/>
  <c r="J50" i="32"/>
  <c r="N50" i="32" s="1"/>
  <c r="H43" i="32"/>
  <c r="H49" i="32"/>
  <c r="M13" i="32"/>
  <c r="I46" i="32"/>
  <c r="L23" i="32"/>
  <c r="F47" i="32"/>
  <c r="M47" i="32" s="1"/>
  <c r="J44" i="32"/>
  <c r="J41" i="32"/>
  <c r="N41" i="32" s="1"/>
  <c r="M14" i="32"/>
  <c r="N13" i="32"/>
  <c r="N14" i="32"/>
  <c r="H30" i="32"/>
  <c r="I40" i="32"/>
  <c r="M40" i="32" s="1"/>
  <c r="L13" i="32"/>
  <c r="K26" i="32"/>
  <c r="I52" i="32"/>
  <c r="M52" i="32" s="1"/>
  <c r="N26" i="32"/>
  <c r="L26" i="32"/>
  <c r="F53" i="32"/>
  <c r="M53" i="32" s="1"/>
  <c r="M26" i="32"/>
  <c r="I50" i="32"/>
  <c r="M50" i="32" s="1"/>
  <c r="L22" i="32"/>
  <c r="I31" i="32"/>
  <c r="J31" i="32"/>
  <c r="L14" i="32"/>
  <c r="H31" i="32"/>
  <c r="J43" i="32"/>
  <c r="I44" i="32"/>
  <c r="L17" i="32"/>
  <c r="K17" i="32"/>
  <c r="M17" i="32"/>
  <c r="F44" i="32"/>
  <c r="K44" i="32" s="1"/>
  <c r="N17" i="32"/>
  <c r="K16" i="32"/>
  <c r="F43" i="32"/>
  <c r="M43" i="32" s="1"/>
  <c r="N16" i="32"/>
  <c r="L16" i="32"/>
  <c r="M16" i="32"/>
  <c r="G41" i="32"/>
  <c r="G58" i="32" s="1"/>
  <c r="G31" i="32"/>
  <c r="K14" i="32"/>
  <c r="G40" i="32"/>
  <c r="K13" i="32"/>
  <c r="K20" i="32"/>
  <c r="L20" i="32"/>
  <c r="M20" i="32"/>
  <c r="L40" i="32"/>
  <c r="L41" i="32"/>
  <c r="K50" i="32"/>
  <c r="N52" i="32"/>
  <c r="F29" i="30"/>
  <c r="O37" i="43" l="1"/>
  <c r="V37" i="41"/>
  <c r="T37" i="41"/>
  <c r="W37" i="41"/>
  <c r="S51" i="44"/>
  <c r="R37" i="43"/>
  <c r="R51" i="41"/>
  <c r="P37" i="43"/>
  <c r="P51" i="41"/>
  <c r="Q26" i="44"/>
  <c r="U26" i="44" s="1"/>
  <c r="U26" i="43"/>
  <c r="O44" i="43"/>
  <c r="V44" i="41"/>
  <c r="T44" i="41"/>
  <c r="U44" i="41"/>
  <c r="W44" i="41"/>
  <c r="O38" i="43"/>
  <c r="T38" i="41"/>
  <c r="O52" i="41"/>
  <c r="O40" i="41"/>
  <c r="T40" i="40"/>
  <c r="V40" i="40"/>
  <c r="W40" i="40"/>
  <c r="U40" i="40"/>
  <c r="S52" i="38"/>
  <c r="W52" i="38" s="1"/>
  <c r="S38" i="40"/>
  <c r="W38" i="38"/>
  <c r="Q52" i="38"/>
  <c r="U52" i="38" s="1"/>
  <c r="Q38" i="40"/>
  <c r="U38" i="38"/>
  <c r="U49" i="43"/>
  <c r="T49" i="43"/>
  <c r="V49" i="43"/>
  <c r="O49" i="44"/>
  <c r="W49" i="43"/>
  <c r="S26" i="44"/>
  <c r="W26" i="44" s="1"/>
  <c r="W26" i="43"/>
  <c r="O43" i="43"/>
  <c r="V43" i="41"/>
  <c r="U43" i="41"/>
  <c r="T43" i="41"/>
  <c r="W43" i="41"/>
  <c r="P41" i="40"/>
  <c r="P52" i="38"/>
  <c r="T52" i="38" s="1"/>
  <c r="T41" i="38"/>
  <c r="O51" i="40"/>
  <c r="O47" i="44"/>
  <c r="W47" i="43"/>
  <c r="T47" i="43"/>
  <c r="V47" i="43"/>
  <c r="U47" i="43"/>
  <c r="P26" i="44"/>
  <c r="T26" i="44" s="1"/>
  <c r="T26" i="43"/>
  <c r="O50" i="44"/>
  <c r="W50" i="43"/>
  <c r="V50" i="43"/>
  <c r="T50" i="43"/>
  <c r="U50" i="43"/>
  <c r="R26" i="44"/>
  <c r="V26" i="44" s="1"/>
  <c r="V26" i="43"/>
  <c r="R38" i="40"/>
  <c r="R52" i="38"/>
  <c r="V52" i="38" s="1"/>
  <c r="V38" i="38"/>
  <c r="Q37" i="40"/>
  <c r="Q51" i="38"/>
  <c r="U51" i="38" s="1"/>
  <c r="U37" i="38"/>
  <c r="O46" i="43"/>
  <c r="T46" i="41"/>
  <c r="W46" i="41"/>
  <c r="V46" i="41"/>
  <c r="U46" i="41"/>
  <c r="O41" i="43"/>
  <c r="W41" i="41"/>
  <c r="V41" i="41"/>
  <c r="U41" i="41"/>
  <c r="Q40" i="44"/>
  <c r="T40" i="45" s="1"/>
  <c r="T40" i="46" s="1"/>
  <c r="T40" i="47" s="1"/>
  <c r="T51" i="47" s="1"/>
  <c r="P52" i="37"/>
  <c r="T52" i="37" s="1"/>
  <c r="T41" i="37"/>
  <c r="R52" i="37"/>
  <c r="V52" i="37" s="1"/>
  <c r="V38" i="37"/>
  <c r="S52" i="37"/>
  <c r="W52" i="37" s="1"/>
  <c r="W38" i="37"/>
  <c r="Q51" i="37"/>
  <c r="U51" i="37" s="1"/>
  <c r="U37" i="37"/>
  <c r="Q52" i="37"/>
  <c r="U52" i="37" s="1"/>
  <c r="U38" i="37"/>
  <c r="G57" i="32"/>
  <c r="K47" i="32"/>
  <c r="K43" i="32"/>
  <c r="N49" i="32"/>
  <c r="L49" i="32"/>
  <c r="K49" i="32"/>
  <c r="L46" i="32"/>
  <c r="H58" i="32"/>
  <c r="K53" i="32"/>
  <c r="J57" i="32"/>
  <c r="N47" i="32"/>
  <c r="L47" i="32"/>
  <c r="H57" i="32"/>
  <c r="K41" i="32"/>
  <c r="I57" i="32"/>
  <c r="K40" i="32"/>
  <c r="J58" i="32"/>
  <c r="M46" i="32"/>
  <c r="N43" i="32"/>
  <c r="L43" i="32"/>
  <c r="I58" i="32"/>
  <c r="L53" i="32"/>
  <c r="N53" i="32"/>
  <c r="M44" i="32"/>
  <c r="L44" i="32"/>
  <c r="N44" i="32"/>
  <c r="F28" i="30"/>
  <c r="Y58" i="31"/>
  <c r="Y57" i="31"/>
  <c r="Z58" i="31"/>
  <c r="AA57" i="31"/>
  <c r="Z57" i="31"/>
  <c r="AA56" i="31"/>
  <c r="J56" i="31"/>
  <c r="I56" i="31"/>
  <c r="H56" i="31"/>
  <c r="G56" i="31"/>
  <c r="J55" i="31"/>
  <c r="I55" i="31"/>
  <c r="H55" i="31"/>
  <c r="G55" i="31"/>
  <c r="J53" i="31"/>
  <c r="I53" i="31"/>
  <c r="H53" i="31"/>
  <c r="G53" i="31"/>
  <c r="F53" i="31"/>
  <c r="M53" i="31" s="1"/>
  <c r="J52" i="31"/>
  <c r="I52" i="31"/>
  <c r="M52" i="31" s="1"/>
  <c r="H52" i="31"/>
  <c r="G52" i="31"/>
  <c r="F52" i="31"/>
  <c r="J50" i="31"/>
  <c r="I50" i="31"/>
  <c r="H50" i="31"/>
  <c r="G50" i="31"/>
  <c r="F50" i="31"/>
  <c r="J49" i="31"/>
  <c r="I49" i="31"/>
  <c r="H49" i="31"/>
  <c r="G49" i="31"/>
  <c r="F49" i="31"/>
  <c r="AA47" i="31"/>
  <c r="AA58" i="31" s="1"/>
  <c r="J47" i="31"/>
  <c r="I47" i="31"/>
  <c r="H47" i="31"/>
  <c r="G47" i="31"/>
  <c r="F47" i="31"/>
  <c r="J46" i="31"/>
  <c r="I46" i="31"/>
  <c r="H46" i="31"/>
  <c r="G46" i="31"/>
  <c r="F46" i="31"/>
  <c r="J44" i="31"/>
  <c r="I44" i="31"/>
  <c r="H44" i="31"/>
  <c r="G44" i="31"/>
  <c r="F44" i="31"/>
  <c r="J43" i="31"/>
  <c r="I43" i="31"/>
  <c r="H43" i="31"/>
  <c r="G43" i="31"/>
  <c r="F43" i="31"/>
  <c r="J41" i="31"/>
  <c r="I41" i="31"/>
  <c r="H41" i="31"/>
  <c r="G41" i="31"/>
  <c r="F41" i="31"/>
  <c r="J40" i="31"/>
  <c r="I40" i="31"/>
  <c r="H40" i="31"/>
  <c r="G40" i="31"/>
  <c r="F40" i="31"/>
  <c r="F36" i="31"/>
  <c r="Y31" i="31"/>
  <c r="X31" i="31"/>
  <c r="J31" i="31"/>
  <c r="I31" i="31"/>
  <c r="H31" i="31"/>
  <c r="G31" i="31"/>
  <c r="Z30" i="31"/>
  <c r="Y30" i="31"/>
  <c r="X30" i="31"/>
  <c r="J30" i="31"/>
  <c r="I30" i="31"/>
  <c r="H30" i="31"/>
  <c r="G30" i="31"/>
  <c r="AA29" i="31"/>
  <c r="AA31" i="31" s="1"/>
  <c r="Z29" i="31"/>
  <c r="Z31" i="31" s="1"/>
  <c r="N29" i="31"/>
  <c r="L29" i="31"/>
  <c r="M29" i="31"/>
  <c r="AA28" i="31"/>
  <c r="AA30" i="31" s="1"/>
  <c r="N28" i="31"/>
  <c r="M28" i="31"/>
  <c r="K28" i="31"/>
  <c r="L28" i="31"/>
  <c r="N26" i="31"/>
  <c r="M26" i="31"/>
  <c r="L26" i="31"/>
  <c r="K26" i="31"/>
  <c r="N25" i="31"/>
  <c r="M25" i="31"/>
  <c r="L25" i="31"/>
  <c r="K25" i="31"/>
  <c r="N23" i="31"/>
  <c r="M23" i="31"/>
  <c r="L23" i="31"/>
  <c r="K23" i="31"/>
  <c r="N22" i="31"/>
  <c r="M22" i="31"/>
  <c r="L22" i="31"/>
  <c r="K22" i="31"/>
  <c r="N20" i="31"/>
  <c r="M20" i="31"/>
  <c r="L20" i="31"/>
  <c r="K20" i="31"/>
  <c r="N19" i="31"/>
  <c r="M19" i="31"/>
  <c r="L19" i="31"/>
  <c r="K19" i="31"/>
  <c r="N17" i="31"/>
  <c r="M17" i="31"/>
  <c r="L17" i="31"/>
  <c r="K17" i="31"/>
  <c r="N16" i="31"/>
  <c r="M16" i="31"/>
  <c r="L16" i="31"/>
  <c r="K16" i="31"/>
  <c r="N14" i="31"/>
  <c r="M14" i="31"/>
  <c r="L14" i="31"/>
  <c r="K14" i="31"/>
  <c r="N13" i="31"/>
  <c r="M13" i="31"/>
  <c r="L13" i="31"/>
  <c r="K13" i="31"/>
  <c r="O43" i="44" l="1"/>
  <c r="U43" i="43"/>
  <c r="W43" i="43"/>
  <c r="V43" i="43"/>
  <c r="T43" i="43"/>
  <c r="V51" i="46"/>
  <c r="V51" i="45"/>
  <c r="R38" i="41"/>
  <c r="R52" i="40"/>
  <c r="V52" i="40" s="1"/>
  <c r="V38" i="40"/>
  <c r="Q38" i="41"/>
  <c r="Q52" i="40"/>
  <c r="U52" i="40" s="1"/>
  <c r="U38" i="40"/>
  <c r="R50" i="45"/>
  <c r="V50" i="44"/>
  <c r="U50" i="44"/>
  <c r="T50" i="44"/>
  <c r="W50" i="44"/>
  <c r="V51" i="40"/>
  <c r="T51" i="40"/>
  <c r="W51" i="40"/>
  <c r="O38" i="44"/>
  <c r="O52" i="43"/>
  <c r="T38" i="43"/>
  <c r="O41" i="44"/>
  <c r="V41" i="43"/>
  <c r="U41" i="43"/>
  <c r="W41" i="43"/>
  <c r="O40" i="43"/>
  <c r="T40" i="41"/>
  <c r="V40" i="41"/>
  <c r="W40" i="41"/>
  <c r="U40" i="41"/>
  <c r="P37" i="44"/>
  <c r="P51" i="43"/>
  <c r="O46" i="44"/>
  <c r="W46" i="43"/>
  <c r="V46" i="43"/>
  <c r="U46" i="43"/>
  <c r="T46" i="43"/>
  <c r="P41" i="41"/>
  <c r="P52" i="40"/>
  <c r="T52" i="40" s="1"/>
  <c r="T41" i="40"/>
  <c r="O51" i="41"/>
  <c r="R49" i="45"/>
  <c r="V49" i="44"/>
  <c r="U49" i="44"/>
  <c r="W49" i="44"/>
  <c r="T49" i="44"/>
  <c r="S38" i="41"/>
  <c r="S52" i="40"/>
  <c r="W52" i="40" s="1"/>
  <c r="W38" i="40"/>
  <c r="R37" i="44"/>
  <c r="R51" i="43"/>
  <c r="O44" i="44"/>
  <c r="W44" i="43"/>
  <c r="U44" i="43"/>
  <c r="V44" i="43"/>
  <c r="T44" i="43"/>
  <c r="Q37" i="41"/>
  <c r="Q51" i="40"/>
  <c r="U51" i="40" s="1"/>
  <c r="U37" i="40"/>
  <c r="R47" i="45"/>
  <c r="U47" i="44"/>
  <c r="T47" i="44"/>
  <c r="W47" i="44"/>
  <c r="V47" i="44"/>
  <c r="O37" i="44"/>
  <c r="O51" i="43"/>
  <c r="W37" i="43"/>
  <c r="V37" i="43"/>
  <c r="T37" i="43"/>
  <c r="L50" i="31"/>
  <c r="M49" i="31"/>
  <c r="L41" i="31"/>
  <c r="L53" i="31"/>
  <c r="L52" i="31"/>
  <c r="M50" i="31"/>
  <c r="L49" i="31"/>
  <c r="K40" i="31"/>
  <c r="M40" i="31"/>
  <c r="L44" i="31"/>
  <c r="K52" i="31"/>
  <c r="I57" i="31"/>
  <c r="L43" i="31"/>
  <c r="L47" i="31"/>
  <c r="L40" i="31"/>
  <c r="L46" i="31"/>
  <c r="H58" i="31"/>
  <c r="G58" i="31"/>
  <c r="K49" i="31"/>
  <c r="K50" i="31"/>
  <c r="G57" i="31"/>
  <c r="H57" i="31"/>
  <c r="I58" i="31"/>
  <c r="K53" i="31"/>
  <c r="J58" i="31"/>
  <c r="J57" i="31"/>
  <c r="K41" i="31"/>
  <c r="K43" i="31"/>
  <c r="K44" i="31"/>
  <c r="K46" i="31"/>
  <c r="K47" i="31"/>
  <c r="M41" i="31"/>
  <c r="M43" i="31"/>
  <c r="M44" i="31"/>
  <c r="M46" i="31"/>
  <c r="M47" i="31"/>
  <c r="N40" i="31"/>
  <c r="N41" i="31"/>
  <c r="N43" i="31"/>
  <c r="N44" i="31"/>
  <c r="N46" i="31"/>
  <c r="N47" i="31"/>
  <c r="F31" i="31"/>
  <c r="N49" i="31"/>
  <c r="N50" i="31"/>
  <c r="N52" i="31"/>
  <c r="N53" i="31"/>
  <c r="F55" i="31"/>
  <c r="F56" i="31"/>
  <c r="F30" i="31"/>
  <c r="K29" i="31"/>
  <c r="O28" i="30"/>
  <c r="O28" i="31" s="1"/>
  <c r="O29" i="30"/>
  <c r="S29" i="30"/>
  <c r="S29" i="31" s="1"/>
  <c r="S29" i="32" s="1"/>
  <c r="R29" i="30"/>
  <c r="Q29" i="30"/>
  <c r="Q29" i="31" s="1"/>
  <c r="P29" i="30"/>
  <c r="S28" i="30"/>
  <c r="S28" i="31" s="1"/>
  <c r="S28" i="32" s="1"/>
  <c r="R28" i="30"/>
  <c r="R28" i="31" s="1"/>
  <c r="Q28" i="30"/>
  <c r="Q28" i="31" s="1"/>
  <c r="P28" i="30"/>
  <c r="S26" i="30"/>
  <c r="S26" i="31" s="1"/>
  <c r="S26" i="32" s="1"/>
  <c r="R26" i="30"/>
  <c r="Q26" i="30"/>
  <c r="Q26" i="31" s="1"/>
  <c r="P26" i="30"/>
  <c r="P26" i="31" s="1"/>
  <c r="S25" i="30"/>
  <c r="S25" i="31" s="1"/>
  <c r="S25" i="32" s="1"/>
  <c r="R25" i="30"/>
  <c r="R25" i="31" s="1"/>
  <c r="Q25" i="30"/>
  <c r="Q25" i="31" s="1"/>
  <c r="P25" i="30"/>
  <c r="S23" i="30"/>
  <c r="S23" i="31" s="1"/>
  <c r="S23" i="32" s="1"/>
  <c r="R23" i="30"/>
  <c r="Q23" i="30"/>
  <c r="P23" i="30"/>
  <c r="S22" i="30"/>
  <c r="S22" i="31" s="1"/>
  <c r="S22" i="32" s="1"/>
  <c r="R22" i="30"/>
  <c r="R22" i="31" s="1"/>
  <c r="Q22" i="30"/>
  <c r="Q22" i="31" s="1"/>
  <c r="P22" i="30"/>
  <c r="P22" i="31" s="1"/>
  <c r="P22" i="32" s="1"/>
  <c r="S20" i="30"/>
  <c r="S20" i="31" s="1"/>
  <c r="S20" i="32" s="1"/>
  <c r="R20" i="30"/>
  <c r="Q20" i="30"/>
  <c r="Q20" i="31" s="1"/>
  <c r="P20" i="30"/>
  <c r="S19" i="30"/>
  <c r="S19" i="31" s="1"/>
  <c r="S19" i="32" s="1"/>
  <c r="R19" i="30"/>
  <c r="R19" i="31" s="1"/>
  <c r="Q19" i="30"/>
  <c r="Q19" i="31" s="1"/>
  <c r="P19" i="30"/>
  <c r="S17" i="30"/>
  <c r="S17" i="31" s="1"/>
  <c r="S17" i="32" s="1"/>
  <c r="R17" i="30"/>
  <c r="R17" i="31" s="1"/>
  <c r="Q17" i="30"/>
  <c r="Q17" i="31" s="1"/>
  <c r="P17" i="30"/>
  <c r="S16" i="30"/>
  <c r="S16" i="31" s="1"/>
  <c r="S16" i="32" s="1"/>
  <c r="R16" i="30"/>
  <c r="R16" i="31" s="1"/>
  <c r="Q16" i="30"/>
  <c r="Q16" i="31" s="1"/>
  <c r="Q16" i="32" s="1"/>
  <c r="P16" i="30"/>
  <c r="P16" i="31" s="1"/>
  <c r="S14" i="30"/>
  <c r="S14" i="31" s="1"/>
  <c r="R14" i="30"/>
  <c r="Q14" i="30"/>
  <c r="Q14" i="31" s="1"/>
  <c r="Q14" i="32" s="1"/>
  <c r="P14" i="30"/>
  <c r="S13" i="30"/>
  <c r="S13" i="31" s="1"/>
  <c r="S13" i="32" s="1"/>
  <c r="R13" i="30"/>
  <c r="R13" i="31" s="1"/>
  <c r="Q13" i="30"/>
  <c r="Q13" i="31" s="1"/>
  <c r="Q13" i="32" s="1"/>
  <c r="P13" i="30"/>
  <c r="P13" i="31" s="1"/>
  <c r="O26" i="30"/>
  <c r="O26" i="31" s="1"/>
  <c r="T26" i="31" s="1"/>
  <c r="O25" i="30"/>
  <c r="O23" i="30"/>
  <c r="O23" i="31" s="1"/>
  <c r="O22" i="30"/>
  <c r="O20" i="30"/>
  <c r="O19" i="30"/>
  <c r="O17" i="30"/>
  <c r="O16" i="30"/>
  <c r="O14" i="30"/>
  <c r="O13" i="30"/>
  <c r="K28" i="30"/>
  <c r="K26" i="30"/>
  <c r="K25" i="30"/>
  <c r="K23" i="30"/>
  <c r="K22" i="30"/>
  <c r="K20" i="30"/>
  <c r="K19" i="30"/>
  <c r="K17" i="30"/>
  <c r="K16" i="30"/>
  <c r="K14" i="30"/>
  <c r="K13" i="30"/>
  <c r="Y31" i="30"/>
  <c r="Y30" i="30"/>
  <c r="G56" i="30"/>
  <c r="G55" i="30"/>
  <c r="G53" i="30"/>
  <c r="G52" i="30"/>
  <c r="G50" i="30"/>
  <c r="G49" i="30"/>
  <c r="G47" i="30"/>
  <c r="G46" i="30"/>
  <c r="G44" i="30"/>
  <c r="G43" i="30"/>
  <c r="G41" i="30"/>
  <c r="G40" i="30"/>
  <c r="G31" i="30"/>
  <c r="G30" i="30"/>
  <c r="Z58" i="30"/>
  <c r="AA57" i="30"/>
  <c r="Z57" i="30"/>
  <c r="AA56" i="30"/>
  <c r="J56" i="30"/>
  <c r="I56" i="30"/>
  <c r="H56" i="30"/>
  <c r="J55" i="30"/>
  <c r="I55" i="30"/>
  <c r="H55" i="30"/>
  <c r="J53" i="30"/>
  <c r="I53" i="30"/>
  <c r="H53" i="30"/>
  <c r="F53" i="30"/>
  <c r="J52" i="30"/>
  <c r="I52" i="30"/>
  <c r="H52" i="30"/>
  <c r="F52" i="30"/>
  <c r="J50" i="30"/>
  <c r="I50" i="30"/>
  <c r="H50" i="30"/>
  <c r="F50" i="30"/>
  <c r="J49" i="30"/>
  <c r="I49" i="30"/>
  <c r="H49" i="30"/>
  <c r="F49" i="30"/>
  <c r="K49" i="30" s="1"/>
  <c r="AA47" i="30"/>
  <c r="J47" i="30"/>
  <c r="I47" i="30"/>
  <c r="H47" i="30"/>
  <c r="F47" i="30"/>
  <c r="J46" i="30"/>
  <c r="I46" i="30"/>
  <c r="H46" i="30"/>
  <c r="F46" i="30"/>
  <c r="K46" i="30" s="1"/>
  <c r="J44" i="30"/>
  <c r="I44" i="30"/>
  <c r="H44" i="30"/>
  <c r="F44" i="30"/>
  <c r="J43" i="30"/>
  <c r="I43" i="30"/>
  <c r="H43" i="30"/>
  <c r="F43" i="30"/>
  <c r="J41" i="30"/>
  <c r="I41" i="30"/>
  <c r="H41" i="30"/>
  <c r="J40" i="30"/>
  <c r="I40" i="30"/>
  <c r="H40" i="30"/>
  <c r="F40" i="30"/>
  <c r="M40" i="30" s="1"/>
  <c r="F36" i="30"/>
  <c r="X31" i="30"/>
  <c r="J31" i="30"/>
  <c r="I31" i="30"/>
  <c r="H31" i="30"/>
  <c r="Z30" i="30"/>
  <c r="X30" i="30"/>
  <c r="J30" i="30"/>
  <c r="I30" i="30"/>
  <c r="H30" i="30"/>
  <c r="AA29" i="30"/>
  <c r="AA31" i="30" s="1"/>
  <c r="Z29" i="30"/>
  <c r="Z31" i="30" s="1"/>
  <c r="AA28" i="30"/>
  <c r="AA30" i="30" s="1"/>
  <c r="N26" i="30"/>
  <c r="M26" i="30"/>
  <c r="L26" i="30"/>
  <c r="N25" i="30"/>
  <c r="M25" i="30"/>
  <c r="L25" i="30"/>
  <c r="N23" i="30"/>
  <c r="M23" i="30"/>
  <c r="L23" i="30"/>
  <c r="N22" i="30"/>
  <c r="M22" i="30"/>
  <c r="L22" i="30"/>
  <c r="N20" i="30"/>
  <c r="M20" i="30"/>
  <c r="L20" i="30"/>
  <c r="N19" i="30"/>
  <c r="M19" i="30"/>
  <c r="L19" i="30"/>
  <c r="N17" i="30"/>
  <c r="M17" i="30"/>
  <c r="L17" i="30"/>
  <c r="N16" i="30"/>
  <c r="M16" i="30"/>
  <c r="L16" i="30"/>
  <c r="L14" i="30"/>
  <c r="N13" i="30"/>
  <c r="M13" i="30"/>
  <c r="L13" i="30"/>
  <c r="F29" i="27"/>
  <c r="F14" i="29"/>
  <c r="S30" i="31" l="1"/>
  <c r="R37" i="45"/>
  <c r="R37" i="46" s="1"/>
  <c r="R37" i="47" s="1"/>
  <c r="V37" i="44"/>
  <c r="T37" i="44"/>
  <c r="W37" i="44"/>
  <c r="R44" i="45"/>
  <c r="T44" i="44"/>
  <c r="W44" i="44"/>
  <c r="V44" i="44"/>
  <c r="U44" i="44"/>
  <c r="P51" i="44"/>
  <c r="R38" i="45"/>
  <c r="T38" i="44"/>
  <c r="O52" i="44"/>
  <c r="R50" i="46"/>
  <c r="AA50" i="45"/>
  <c r="X50" i="45"/>
  <c r="Z50" i="45"/>
  <c r="Y50" i="45"/>
  <c r="R51" i="44"/>
  <c r="R49" i="46"/>
  <c r="Z49" i="45"/>
  <c r="Y49" i="45"/>
  <c r="X49" i="45"/>
  <c r="AA49" i="45"/>
  <c r="P41" i="43"/>
  <c r="P52" i="41"/>
  <c r="T52" i="41" s="1"/>
  <c r="T41" i="41"/>
  <c r="Q37" i="43"/>
  <c r="Q51" i="41"/>
  <c r="U51" i="41" s="1"/>
  <c r="U37" i="41"/>
  <c r="T51" i="41"/>
  <c r="W51" i="41"/>
  <c r="V51" i="41"/>
  <c r="R41" i="45"/>
  <c r="W41" i="44"/>
  <c r="V41" i="44"/>
  <c r="U41" i="44"/>
  <c r="Q38" i="43"/>
  <c r="Q52" i="41"/>
  <c r="U52" i="41" s="1"/>
  <c r="U38" i="41"/>
  <c r="R47" i="46"/>
  <c r="Y47" i="45"/>
  <c r="X47" i="45"/>
  <c r="AA47" i="45"/>
  <c r="Z47" i="45"/>
  <c r="S38" i="43"/>
  <c r="S52" i="41"/>
  <c r="W52" i="41" s="1"/>
  <c r="W38" i="41"/>
  <c r="O40" i="44"/>
  <c r="O51" i="44" s="1"/>
  <c r="T40" i="43"/>
  <c r="W40" i="43"/>
  <c r="V40" i="43"/>
  <c r="U40" i="43"/>
  <c r="W51" i="43"/>
  <c r="T51" i="43"/>
  <c r="V51" i="43"/>
  <c r="R46" i="45"/>
  <c r="U46" i="44"/>
  <c r="T46" i="44"/>
  <c r="W46" i="44"/>
  <c r="V46" i="44"/>
  <c r="R38" i="43"/>
  <c r="R52" i="41"/>
  <c r="V52" i="41" s="1"/>
  <c r="V38" i="41"/>
  <c r="R43" i="45"/>
  <c r="W43" i="44"/>
  <c r="V43" i="44"/>
  <c r="U43" i="44"/>
  <c r="T43" i="44"/>
  <c r="S30" i="32"/>
  <c r="O16" i="31"/>
  <c r="P28" i="31"/>
  <c r="K53" i="30"/>
  <c r="O17" i="31"/>
  <c r="Q19" i="32"/>
  <c r="Q22" i="32"/>
  <c r="Q25" i="32"/>
  <c r="Q28" i="32"/>
  <c r="O29" i="31"/>
  <c r="U26" i="31"/>
  <c r="W26" i="31"/>
  <c r="P16" i="32"/>
  <c r="O19" i="31"/>
  <c r="R13" i="32"/>
  <c r="R16" i="32"/>
  <c r="R19" i="32"/>
  <c r="R22" i="32"/>
  <c r="R25" i="32"/>
  <c r="R28" i="32"/>
  <c r="W23" i="31"/>
  <c r="O20" i="31"/>
  <c r="P19" i="31"/>
  <c r="O22" i="31"/>
  <c r="P14" i="31"/>
  <c r="P17" i="31"/>
  <c r="P20" i="31"/>
  <c r="P23" i="31"/>
  <c r="T23" i="31" s="1"/>
  <c r="P26" i="32"/>
  <c r="P29" i="31"/>
  <c r="P25" i="31"/>
  <c r="O23" i="32"/>
  <c r="Q17" i="32"/>
  <c r="Q20" i="32"/>
  <c r="Q23" i="31"/>
  <c r="Q26" i="32"/>
  <c r="Q29" i="32"/>
  <c r="T13" i="30"/>
  <c r="O13" i="31"/>
  <c r="O25" i="31"/>
  <c r="R14" i="31"/>
  <c r="R17" i="32"/>
  <c r="R20" i="31"/>
  <c r="R23" i="31"/>
  <c r="V23" i="31" s="1"/>
  <c r="R26" i="31"/>
  <c r="V26" i="31" s="1"/>
  <c r="R29" i="31"/>
  <c r="P13" i="32"/>
  <c r="O14" i="31"/>
  <c r="O26" i="32"/>
  <c r="S14" i="32"/>
  <c r="S31" i="32" s="1"/>
  <c r="S31" i="31"/>
  <c r="R30" i="31"/>
  <c r="Q30" i="31"/>
  <c r="N30" i="31"/>
  <c r="M30" i="31"/>
  <c r="L30" i="31"/>
  <c r="K30" i="31"/>
  <c r="K55" i="31"/>
  <c r="F57" i="31"/>
  <c r="N55" i="31"/>
  <c r="L55" i="31"/>
  <c r="M55" i="31"/>
  <c r="K31" i="31"/>
  <c r="N31" i="31"/>
  <c r="L31" i="31"/>
  <c r="M31" i="31"/>
  <c r="W28" i="31"/>
  <c r="U28" i="31"/>
  <c r="V28" i="31"/>
  <c r="K56" i="31"/>
  <c r="F58" i="31"/>
  <c r="N56" i="31"/>
  <c r="L56" i="31"/>
  <c r="M56" i="31"/>
  <c r="F56" i="30"/>
  <c r="L56" i="30" s="1"/>
  <c r="K29" i="30"/>
  <c r="T28" i="30"/>
  <c r="K52" i="30"/>
  <c r="K50" i="30"/>
  <c r="K47" i="30"/>
  <c r="K44" i="30"/>
  <c r="K43" i="30"/>
  <c r="K40" i="30"/>
  <c r="P31" i="30"/>
  <c r="V23" i="30"/>
  <c r="T20" i="30"/>
  <c r="W26" i="30"/>
  <c r="T29" i="30"/>
  <c r="T25" i="30"/>
  <c r="T23" i="30"/>
  <c r="T19" i="30"/>
  <c r="T14" i="30"/>
  <c r="T26" i="30"/>
  <c r="T22" i="30"/>
  <c r="P30" i="30"/>
  <c r="T16" i="30"/>
  <c r="T17" i="30"/>
  <c r="G57" i="30"/>
  <c r="G58" i="30"/>
  <c r="L53" i="30"/>
  <c r="H58" i="30"/>
  <c r="L44" i="30"/>
  <c r="M46" i="30"/>
  <c r="N52" i="30"/>
  <c r="L50" i="30"/>
  <c r="M44" i="30"/>
  <c r="N29" i="30"/>
  <c r="N47" i="30"/>
  <c r="U23" i="30"/>
  <c r="L52" i="30"/>
  <c r="W23" i="30"/>
  <c r="AA58" i="30"/>
  <c r="U17" i="30"/>
  <c r="J57" i="30"/>
  <c r="V26" i="30"/>
  <c r="N46" i="30"/>
  <c r="W13" i="30"/>
  <c r="W25" i="30"/>
  <c r="V20" i="30"/>
  <c r="N43" i="30"/>
  <c r="L40" i="30"/>
  <c r="M47" i="30"/>
  <c r="V13" i="30"/>
  <c r="W17" i="30"/>
  <c r="U19" i="30"/>
  <c r="W20" i="30"/>
  <c r="U25" i="30"/>
  <c r="N40" i="30"/>
  <c r="M14" i="30"/>
  <c r="N28" i="30"/>
  <c r="S30" i="30"/>
  <c r="N14" i="30"/>
  <c r="H57" i="30"/>
  <c r="I58" i="30"/>
  <c r="L46" i="30"/>
  <c r="M50" i="30"/>
  <c r="M52" i="30"/>
  <c r="O31" i="30"/>
  <c r="U22" i="30"/>
  <c r="I57" i="30"/>
  <c r="J58" i="30"/>
  <c r="N44" i="30"/>
  <c r="N49" i="30"/>
  <c r="N50" i="30"/>
  <c r="W28" i="30"/>
  <c r="V28" i="30"/>
  <c r="U28" i="30"/>
  <c r="R31" i="30"/>
  <c r="U16" i="30"/>
  <c r="V16" i="30"/>
  <c r="V22" i="30"/>
  <c r="O30" i="30"/>
  <c r="T30" i="30" s="1"/>
  <c r="M53" i="30"/>
  <c r="W16" i="30"/>
  <c r="W22" i="30"/>
  <c r="L28" i="30"/>
  <c r="F30" i="30"/>
  <c r="K30" i="30" s="1"/>
  <c r="Q30" i="30"/>
  <c r="N53" i="30"/>
  <c r="F55" i="30"/>
  <c r="F57" i="30" s="1"/>
  <c r="U13" i="30"/>
  <c r="V17" i="30"/>
  <c r="M28" i="30"/>
  <c r="R30" i="30"/>
  <c r="F31" i="30"/>
  <c r="K31" i="30" s="1"/>
  <c r="Q31" i="30"/>
  <c r="F41" i="30"/>
  <c r="K41" i="30" s="1"/>
  <c r="V19" i="30"/>
  <c r="V25" i="30"/>
  <c r="U29" i="30"/>
  <c r="S31" i="30"/>
  <c r="L43" i="30"/>
  <c r="W19" i="30"/>
  <c r="U20" i="30"/>
  <c r="U26" i="30"/>
  <c r="L29" i="30"/>
  <c r="V29" i="30"/>
  <c r="M43" i="30"/>
  <c r="L49" i="30"/>
  <c r="M29" i="30"/>
  <c r="W29" i="30"/>
  <c r="L47" i="30"/>
  <c r="M49" i="30"/>
  <c r="F28" i="27"/>
  <c r="F29" i="28"/>
  <c r="F28" i="28"/>
  <c r="W51" i="44" l="1"/>
  <c r="V51" i="44"/>
  <c r="T51" i="44"/>
  <c r="R52" i="43"/>
  <c r="V52" i="43" s="1"/>
  <c r="R38" i="44"/>
  <c r="V38" i="43"/>
  <c r="S52" i="43"/>
  <c r="W52" i="43" s="1"/>
  <c r="S38" i="44"/>
  <c r="W38" i="43"/>
  <c r="Q52" i="43"/>
  <c r="U52" i="43" s="1"/>
  <c r="Q38" i="44"/>
  <c r="U38" i="43"/>
  <c r="U51" i="46"/>
  <c r="U51" i="45"/>
  <c r="R38" i="46"/>
  <c r="X38" i="45"/>
  <c r="R52" i="45"/>
  <c r="O30" i="31"/>
  <c r="R43" i="46"/>
  <c r="Z43" i="45"/>
  <c r="Y43" i="45"/>
  <c r="AA43" i="45"/>
  <c r="X43" i="45"/>
  <c r="R46" i="46"/>
  <c r="Z46" i="45"/>
  <c r="Y46" i="45"/>
  <c r="X46" i="45"/>
  <c r="AA46" i="45"/>
  <c r="Q37" i="44"/>
  <c r="Q51" i="43"/>
  <c r="U51" i="43" s="1"/>
  <c r="U37" i="43"/>
  <c r="R49" i="47"/>
  <c r="Z49" i="46"/>
  <c r="AA49" i="46"/>
  <c r="X49" i="46"/>
  <c r="Y49" i="46"/>
  <c r="R50" i="47"/>
  <c r="AA50" i="46"/>
  <c r="Y50" i="46"/>
  <c r="Z50" i="46"/>
  <c r="X50" i="46"/>
  <c r="P41" i="44"/>
  <c r="P52" i="43"/>
  <c r="T52" i="43" s="1"/>
  <c r="T41" i="43"/>
  <c r="R40" i="45"/>
  <c r="R51" i="45" s="1"/>
  <c r="V40" i="44"/>
  <c r="W40" i="44"/>
  <c r="T40" i="44"/>
  <c r="U40" i="44"/>
  <c r="R47" i="47"/>
  <c r="X47" i="46"/>
  <c r="AA47" i="46"/>
  <c r="Z47" i="46"/>
  <c r="Y47" i="46"/>
  <c r="S51" i="46"/>
  <c r="S51" i="45"/>
  <c r="Z37" i="45"/>
  <c r="X37" i="45"/>
  <c r="AA37" i="45"/>
  <c r="R41" i="46"/>
  <c r="AA41" i="45"/>
  <c r="Z41" i="45"/>
  <c r="Y41" i="45"/>
  <c r="R44" i="46"/>
  <c r="AA44" i="45"/>
  <c r="Y44" i="45"/>
  <c r="Z44" i="45"/>
  <c r="X44" i="45"/>
  <c r="R20" i="32"/>
  <c r="O13" i="32"/>
  <c r="V13" i="31"/>
  <c r="W13" i="31"/>
  <c r="T13" i="31"/>
  <c r="U13" i="31"/>
  <c r="Q23" i="32"/>
  <c r="U23" i="32" s="1"/>
  <c r="P29" i="32"/>
  <c r="P17" i="32"/>
  <c r="U29" i="31"/>
  <c r="V29" i="31"/>
  <c r="T29" i="31"/>
  <c r="W29" i="31"/>
  <c r="P28" i="32"/>
  <c r="T28" i="31"/>
  <c r="T26" i="32"/>
  <c r="W26" i="32"/>
  <c r="U26" i="32"/>
  <c r="R29" i="32"/>
  <c r="P14" i="32"/>
  <c r="P31" i="31"/>
  <c r="O20" i="32"/>
  <c r="U20" i="31"/>
  <c r="V20" i="31"/>
  <c r="W20" i="31"/>
  <c r="T20" i="31"/>
  <c r="R30" i="32"/>
  <c r="O14" i="32"/>
  <c r="V14" i="31"/>
  <c r="T14" i="31"/>
  <c r="U14" i="31"/>
  <c r="O31" i="31"/>
  <c r="W14" i="31"/>
  <c r="O19" i="32"/>
  <c r="W19" i="31"/>
  <c r="V19" i="31"/>
  <c r="U19" i="31"/>
  <c r="T19" i="31"/>
  <c r="O16" i="32"/>
  <c r="U16" i="31"/>
  <c r="V16" i="31"/>
  <c r="W16" i="31"/>
  <c r="T16" i="31"/>
  <c r="P19" i="32"/>
  <c r="Q31" i="31"/>
  <c r="R26" i="32"/>
  <c r="V26" i="32" s="1"/>
  <c r="R14" i="32"/>
  <c r="R31" i="31"/>
  <c r="P25" i="32"/>
  <c r="P23" i="32"/>
  <c r="O22" i="32"/>
  <c r="W22" i="31"/>
  <c r="U22" i="31"/>
  <c r="T22" i="31"/>
  <c r="V22" i="31"/>
  <c r="Q30" i="32"/>
  <c r="U23" i="31"/>
  <c r="P30" i="31"/>
  <c r="T30" i="31" s="1"/>
  <c r="W23" i="32"/>
  <c r="R23" i="32"/>
  <c r="O25" i="32"/>
  <c r="V25" i="31"/>
  <c r="U25" i="31"/>
  <c r="W25" i="31"/>
  <c r="T25" i="31"/>
  <c r="P20" i="32"/>
  <c r="O17" i="32"/>
  <c r="W17" i="31"/>
  <c r="V17" i="31"/>
  <c r="U17" i="31"/>
  <c r="T17" i="31"/>
  <c r="N58" i="31"/>
  <c r="M58" i="31"/>
  <c r="K58" i="31"/>
  <c r="L58" i="31"/>
  <c r="W30" i="31"/>
  <c r="V30" i="31"/>
  <c r="U30" i="31"/>
  <c r="N57" i="31"/>
  <c r="M57" i="31"/>
  <c r="K57" i="31"/>
  <c r="L57" i="31"/>
  <c r="N56" i="30"/>
  <c r="M56" i="30"/>
  <c r="K56" i="30"/>
  <c r="K55" i="30"/>
  <c r="T31" i="30"/>
  <c r="K57" i="30"/>
  <c r="U14" i="30"/>
  <c r="V14" i="30"/>
  <c r="W14" i="30"/>
  <c r="N57" i="30"/>
  <c r="M57" i="30"/>
  <c r="L57" i="30"/>
  <c r="W30" i="30"/>
  <c r="V30" i="30"/>
  <c r="U30" i="30"/>
  <c r="N30" i="30"/>
  <c r="M30" i="30"/>
  <c r="L30" i="30"/>
  <c r="F58" i="30"/>
  <c r="K58" i="30" s="1"/>
  <c r="M41" i="30"/>
  <c r="L41" i="30"/>
  <c r="N41" i="30"/>
  <c r="W31" i="30"/>
  <c r="V31" i="30"/>
  <c r="U31" i="30"/>
  <c r="N55" i="30"/>
  <c r="M55" i="30"/>
  <c r="L55" i="30"/>
  <c r="M31" i="30"/>
  <c r="L31" i="30"/>
  <c r="N31" i="30"/>
  <c r="F29" i="29"/>
  <c r="F28" i="29"/>
  <c r="P52" i="44" l="1"/>
  <c r="T52" i="44" s="1"/>
  <c r="T41" i="44"/>
  <c r="Q52" i="44"/>
  <c r="U52" i="44" s="1"/>
  <c r="U38" i="44"/>
  <c r="Y47" i="47"/>
  <c r="AA47" i="47"/>
  <c r="Z47" i="47"/>
  <c r="X47" i="47"/>
  <c r="Q51" i="44"/>
  <c r="U51" i="44" s="1"/>
  <c r="U37" i="44"/>
  <c r="R43" i="47"/>
  <c r="X43" i="46"/>
  <c r="AA43" i="46"/>
  <c r="Z43" i="46"/>
  <c r="Y43" i="46"/>
  <c r="R38" i="47"/>
  <c r="R52" i="46"/>
  <c r="X38" i="46"/>
  <c r="R52" i="44"/>
  <c r="V52" i="44" s="1"/>
  <c r="V38" i="44"/>
  <c r="R41" i="47"/>
  <c r="AA41" i="46"/>
  <c r="Z41" i="46"/>
  <c r="Y41" i="46"/>
  <c r="AA49" i="47"/>
  <c r="Y49" i="47"/>
  <c r="X49" i="47"/>
  <c r="Z49" i="47"/>
  <c r="S52" i="44"/>
  <c r="W52" i="44" s="1"/>
  <c r="W38" i="44"/>
  <c r="R46" i="47"/>
  <c r="AA46" i="46"/>
  <c r="Z46" i="46"/>
  <c r="Y46" i="46"/>
  <c r="X46" i="46"/>
  <c r="R44" i="47"/>
  <c r="AA44" i="46"/>
  <c r="Y44" i="46"/>
  <c r="X44" i="46"/>
  <c r="Z44" i="46"/>
  <c r="AA51" i="45"/>
  <c r="X51" i="45"/>
  <c r="Z51" i="45"/>
  <c r="R40" i="46"/>
  <c r="R51" i="46" s="1"/>
  <c r="X40" i="45"/>
  <c r="AA40" i="45"/>
  <c r="Z40" i="45"/>
  <c r="Y40" i="45"/>
  <c r="AA50" i="47"/>
  <c r="Y50" i="47"/>
  <c r="Z50" i="47"/>
  <c r="X50" i="47"/>
  <c r="X37" i="46"/>
  <c r="Z37" i="46"/>
  <c r="AA37" i="46"/>
  <c r="R31" i="32"/>
  <c r="T19" i="32"/>
  <c r="U19" i="32"/>
  <c r="W19" i="32"/>
  <c r="V19" i="32"/>
  <c r="W20" i="32"/>
  <c r="T20" i="32"/>
  <c r="U20" i="32"/>
  <c r="V20" i="32"/>
  <c r="V22" i="32"/>
  <c r="W22" i="32"/>
  <c r="U22" i="32"/>
  <c r="T22" i="32"/>
  <c r="W25" i="32"/>
  <c r="U25" i="32"/>
  <c r="T25" i="32"/>
  <c r="V25" i="32"/>
  <c r="U16" i="32"/>
  <c r="W16" i="32"/>
  <c r="V16" i="32"/>
  <c r="T16" i="32"/>
  <c r="W14" i="32"/>
  <c r="T14" i="32"/>
  <c r="U14" i="32"/>
  <c r="V14" i="32"/>
  <c r="T23" i="32"/>
  <c r="P31" i="32"/>
  <c r="V23" i="32"/>
  <c r="P30" i="32"/>
  <c r="W13" i="32"/>
  <c r="U13" i="32"/>
  <c r="V13" i="32"/>
  <c r="T13" i="32"/>
  <c r="W17" i="32"/>
  <c r="U17" i="32"/>
  <c r="V17" i="32"/>
  <c r="T17" i="32"/>
  <c r="W31" i="31"/>
  <c r="V31" i="31"/>
  <c r="T31" i="31"/>
  <c r="U31" i="31"/>
  <c r="Q31" i="32"/>
  <c r="N58" i="30"/>
  <c r="M58" i="30"/>
  <c r="L58" i="30"/>
  <c r="I56" i="29"/>
  <c r="Z51" i="46" l="1"/>
  <c r="X51" i="46"/>
  <c r="AA51" i="46"/>
  <c r="U52" i="45"/>
  <c r="Z52" i="45" s="1"/>
  <c r="Z38" i="45"/>
  <c r="T51" i="45"/>
  <c r="Y51" i="45" s="1"/>
  <c r="Y37" i="45"/>
  <c r="AA46" i="47"/>
  <c r="Y46" i="47"/>
  <c r="X46" i="47"/>
  <c r="Z46" i="47"/>
  <c r="R40" i="47"/>
  <c r="X40" i="46"/>
  <c r="Z40" i="46"/>
  <c r="AA40" i="46"/>
  <c r="Y40" i="46"/>
  <c r="V52" i="45"/>
  <c r="AA52" i="45" s="1"/>
  <c r="AA38" i="45"/>
  <c r="S52" i="45"/>
  <c r="X52" i="45" s="1"/>
  <c r="X41" i="45"/>
  <c r="AA44" i="47"/>
  <c r="Y44" i="47"/>
  <c r="X44" i="47"/>
  <c r="Z44" i="47"/>
  <c r="Z41" i="47"/>
  <c r="AA41" i="47"/>
  <c r="X41" i="47"/>
  <c r="Y41" i="47"/>
  <c r="Z43" i="47"/>
  <c r="Y43" i="47"/>
  <c r="X43" i="47"/>
  <c r="AA43" i="47"/>
  <c r="Y37" i="47"/>
  <c r="X37" i="47"/>
  <c r="Z37" i="47"/>
  <c r="AA37" i="47"/>
  <c r="AA38" i="47"/>
  <c r="Z38" i="47"/>
  <c r="Y38" i="47"/>
  <c r="R52" i="47"/>
  <c r="X38" i="47"/>
  <c r="T52" i="45"/>
  <c r="Y52" i="45" s="1"/>
  <c r="Y38" i="45"/>
  <c r="F56" i="29"/>
  <c r="U58" i="29"/>
  <c r="T58" i="29"/>
  <c r="V57" i="29"/>
  <c r="U57" i="29"/>
  <c r="T57" i="29"/>
  <c r="V56" i="29"/>
  <c r="H56" i="29"/>
  <c r="G56" i="29"/>
  <c r="I55" i="29"/>
  <c r="H55" i="29"/>
  <c r="G55" i="29"/>
  <c r="F55" i="29"/>
  <c r="I53" i="29"/>
  <c r="H53" i="29"/>
  <c r="G53" i="29"/>
  <c r="F53" i="29"/>
  <c r="I52" i="29"/>
  <c r="H52" i="29"/>
  <c r="G52" i="29"/>
  <c r="F52" i="29"/>
  <c r="I50" i="29"/>
  <c r="H50" i="29"/>
  <c r="G50" i="29"/>
  <c r="F50" i="29"/>
  <c r="I49" i="29"/>
  <c r="H49" i="29"/>
  <c r="G49" i="29"/>
  <c r="F49" i="29"/>
  <c r="V47" i="29"/>
  <c r="V58" i="29" s="1"/>
  <c r="I47" i="29"/>
  <c r="H47" i="29"/>
  <c r="G47" i="29"/>
  <c r="F47" i="29"/>
  <c r="I46" i="29"/>
  <c r="H46" i="29"/>
  <c r="G46" i="29"/>
  <c r="F46" i="29"/>
  <c r="I44" i="29"/>
  <c r="H44" i="29"/>
  <c r="G44" i="29"/>
  <c r="F44" i="29"/>
  <c r="I43" i="29"/>
  <c r="H43" i="29"/>
  <c r="G43" i="29"/>
  <c r="F43" i="29"/>
  <c r="I41" i="29"/>
  <c r="H41" i="29"/>
  <c r="G41" i="29"/>
  <c r="F41" i="29"/>
  <c r="H40" i="29"/>
  <c r="G40" i="29"/>
  <c r="F40" i="29"/>
  <c r="F36" i="29"/>
  <c r="T31" i="29"/>
  <c r="I31" i="29"/>
  <c r="H31" i="29"/>
  <c r="G31" i="29"/>
  <c r="F31" i="29"/>
  <c r="U30" i="29"/>
  <c r="T30" i="29"/>
  <c r="H30" i="29"/>
  <c r="G30" i="29"/>
  <c r="F30" i="29"/>
  <c r="K30" i="29" s="1"/>
  <c r="V29" i="29"/>
  <c r="V31" i="29" s="1"/>
  <c r="U29" i="29"/>
  <c r="U31" i="29" s="1"/>
  <c r="V28" i="29"/>
  <c r="V30" i="29" s="1"/>
  <c r="L28" i="29"/>
  <c r="K28" i="29"/>
  <c r="J28" i="29"/>
  <c r="L26" i="29"/>
  <c r="K26" i="29"/>
  <c r="J26" i="29"/>
  <c r="L25" i="29"/>
  <c r="K25" i="29"/>
  <c r="J25" i="29"/>
  <c r="L23" i="29"/>
  <c r="K23" i="29"/>
  <c r="J23" i="29"/>
  <c r="L22" i="29"/>
  <c r="K22" i="29"/>
  <c r="J22" i="29"/>
  <c r="K20" i="29"/>
  <c r="J20" i="29"/>
  <c r="L19" i="29"/>
  <c r="K19" i="29"/>
  <c r="J19" i="29"/>
  <c r="L17" i="29"/>
  <c r="K17" i="29"/>
  <c r="J17" i="29"/>
  <c r="L16" i="29"/>
  <c r="K16" i="29"/>
  <c r="J16" i="29"/>
  <c r="L14" i="29"/>
  <c r="K14" i="29"/>
  <c r="J14" i="29"/>
  <c r="K13" i="29"/>
  <c r="J13" i="29"/>
  <c r="G30" i="28"/>
  <c r="S52" i="46" l="1"/>
  <c r="X52" i="46" s="1"/>
  <c r="X41" i="46"/>
  <c r="V52" i="46"/>
  <c r="AA52" i="46" s="1"/>
  <c r="AA38" i="46"/>
  <c r="AA40" i="47"/>
  <c r="Z40" i="47"/>
  <c r="X40" i="47"/>
  <c r="Y40" i="47"/>
  <c r="R51" i="47"/>
  <c r="U52" i="46"/>
  <c r="Z52" i="46" s="1"/>
  <c r="Z38" i="46"/>
  <c r="T52" i="46"/>
  <c r="Y52" i="46" s="1"/>
  <c r="Y38" i="46"/>
  <c r="AA52" i="47"/>
  <c r="Z52" i="47"/>
  <c r="Y52" i="47"/>
  <c r="X52" i="47"/>
  <c r="T51" i="46"/>
  <c r="Y51" i="46" s="1"/>
  <c r="Y37" i="46"/>
  <c r="L46" i="29"/>
  <c r="K44" i="29"/>
  <c r="K50" i="29"/>
  <c r="J52" i="29"/>
  <c r="K52" i="29"/>
  <c r="L52" i="29"/>
  <c r="L44" i="29"/>
  <c r="K55" i="29"/>
  <c r="L55" i="29"/>
  <c r="J40" i="29"/>
  <c r="K53" i="29"/>
  <c r="J46" i="29"/>
  <c r="J44" i="29"/>
  <c r="F57" i="29"/>
  <c r="J53" i="29"/>
  <c r="K49" i="29"/>
  <c r="L49" i="29"/>
  <c r="J30" i="29"/>
  <c r="I58" i="29"/>
  <c r="K47" i="29"/>
  <c r="J55" i="29"/>
  <c r="K46" i="29"/>
  <c r="H58" i="29"/>
  <c r="L50" i="29"/>
  <c r="G57" i="29"/>
  <c r="G58" i="29"/>
  <c r="K31" i="29"/>
  <c r="L43" i="29"/>
  <c r="J49" i="29"/>
  <c r="L53" i="29"/>
  <c r="H57" i="29"/>
  <c r="L56" i="29"/>
  <c r="K56" i="29"/>
  <c r="J56" i="29"/>
  <c r="F58" i="29"/>
  <c r="L31" i="29"/>
  <c r="L41" i="29"/>
  <c r="L47" i="29"/>
  <c r="L20" i="29"/>
  <c r="K40" i="29"/>
  <c r="J50" i="29"/>
  <c r="J43" i="29"/>
  <c r="J29" i="29"/>
  <c r="K43" i="29"/>
  <c r="J31" i="29"/>
  <c r="J41" i="29"/>
  <c r="J47" i="29"/>
  <c r="K29" i="29"/>
  <c r="L29" i="29"/>
  <c r="K41" i="29"/>
  <c r="F20" i="28"/>
  <c r="U58" i="28"/>
  <c r="T58" i="28"/>
  <c r="V57" i="28"/>
  <c r="U57" i="28"/>
  <c r="T57" i="28"/>
  <c r="T31" i="28"/>
  <c r="I31" i="28"/>
  <c r="H31" i="28"/>
  <c r="G31" i="28"/>
  <c r="F31" i="28"/>
  <c r="U30" i="28"/>
  <c r="T30" i="28"/>
  <c r="I30" i="28"/>
  <c r="H30" i="28"/>
  <c r="F30" i="28"/>
  <c r="U58" i="27"/>
  <c r="T58" i="27"/>
  <c r="V57" i="27"/>
  <c r="U57" i="27"/>
  <c r="T57" i="27"/>
  <c r="T31" i="27"/>
  <c r="I31" i="27"/>
  <c r="H31" i="27"/>
  <c r="G31" i="27"/>
  <c r="U30" i="27"/>
  <c r="T30" i="27"/>
  <c r="I30" i="27"/>
  <c r="H30" i="27"/>
  <c r="G30" i="27"/>
  <c r="F30" i="27"/>
  <c r="AA51" i="47" l="1"/>
  <c r="Y51" i="47"/>
  <c r="Z51" i="47"/>
  <c r="X51" i="47"/>
  <c r="K57" i="29"/>
  <c r="J57" i="29"/>
  <c r="L58" i="29"/>
  <c r="K58" i="29"/>
  <c r="J58" i="29"/>
  <c r="V56" i="28"/>
  <c r="I56" i="28"/>
  <c r="H56" i="28"/>
  <c r="G56" i="28"/>
  <c r="F56" i="28"/>
  <c r="I55" i="28"/>
  <c r="H55" i="28"/>
  <c r="G55" i="28"/>
  <c r="F55" i="28"/>
  <c r="I53" i="28"/>
  <c r="H53" i="28"/>
  <c r="G53" i="28"/>
  <c r="F53" i="28"/>
  <c r="I52" i="28"/>
  <c r="H52" i="28"/>
  <c r="G52" i="28"/>
  <c r="F52" i="28"/>
  <c r="I50" i="28"/>
  <c r="H50" i="28"/>
  <c r="G50" i="28"/>
  <c r="F50" i="28"/>
  <c r="I49" i="28"/>
  <c r="H49" i="28"/>
  <c r="G49" i="28"/>
  <c r="F49" i="28"/>
  <c r="V47" i="28"/>
  <c r="I47" i="28"/>
  <c r="H47" i="28"/>
  <c r="G47" i="28"/>
  <c r="I46" i="28"/>
  <c r="H46" i="28"/>
  <c r="G46" i="28"/>
  <c r="F46" i="28"/>
  <c r="I44" i="28"/>
  <c r="H44" i="28"/>
  <c r="G44" i="28"/>
  <c r="F44" i="28"/>
  <c r="I43" i="28"/>
  <c r="H43" i="28"/>
  <c r="G43" i="28"/>
  <c r="F43" i="28"/>
  <c r="I41" i="28"/>
  <c r="H41" i="28"/>
  <c r="G41" i="28"/>
  <c r="F41" i="28"/>
  <c r="I40" i="28"/>
  <c r="I57" i="28" s="1"/>
  <c r="H40" i="28"/>
  <c r="H57" i="28" s="1"/>
  <c r="G40" i="28"/>
  <c r="F40" i="28"/>
  <c r="F57" i="28" s="1"/>
  <c r="F36" i="28"/>
  <c r="V29" i="28"/>
  <c r="V31" i="28" s="1"/>
  <c r="U29" i="28"/>
  <c r="U31" i="28" s="1"/>
  <c r="L29" i="28"/>
  <c r="K29" i="28"/>
  <c r="V28" i="28"/>
  <c r="V30" i="28" s="1"/>
  <c r="L28" i="28"/>
  <c r="K28" i="28"/>
  <c r="J28" i="28"/>
  <c r="L26" i="28"/>
  <c r="K26" i="28"/>
  <c r="J26" i="28"/>
  <c r="L25" i="28"/>
  <c r="K25" i="28"/>
  <c r="J25" i="28"/>
  <c r="L23" i="28"/>
  <c r="K23" i="28"/>
  <c r="J23" i="28"/>
  <c r="L22" i="28"/>
  <c r="K22" i="28"/>
  <c r="J22" i="28"/>
  <c r="L20" i="28"/>
  <c r="K20" i="28"/>
  <c r="J20" i="28"/>
  <c r="F47" i="28"/>
  <c r="L19" i="28"/>
  <c r="K19" i="28"/>
  <c r="J19" i="28"/>
  <c r="L17" i="28"/>
  <c r="K17" i="28"/>
  <c r="J17" i="28"/>
  <c r="L16" i="28"/>
  <c r="K16" i="28"/>
  <c r="J16" i="28"/>
  <c r="L14" i="28"/>
  <c r="K14" i="28"/>
  <c r="J14" i="28"/>
  <c r="L13" i="28"/>
  <c r="K13" i="28"/>
  <c r="J13" i="28"/>
  <c r="F56" i="27"/>
  <c r="F26" i="19"/>
  <c r="F26" i="20"/>
  <c r="F29" i="22"/>
  <c r="F20" i="22"/>
  <c r="F20" i="27"/>
  <c r="F31" i="27" s="1"/>
  <c r="V56" i="27"/>
  <c r="I56" i="27"/>
  <c r="H56" i="27"/>
  <c r="G56" i="27"/>
  <c r="I55" i="27"/>
  <c r="H55" i="27"/>
  <c r="G55" i="27"/>
  <c r="F55" i="27"/>
  <c r="I53" i="27"/>
  <c r="H53" i="27"/>
  <c r="G53" i="27"/>
  <c r="F53" i="27"/>
  <c r="I52" i="27"/>
  <c r="H52" i="27"/>
  <c r="H57" i="27" s="1"/>
  <c r="G52" i="27"/>
  <c r="F52" i="27"/>
  <c r="I50" i="27"/>
  <c r="G50" i="27"/>
  <c r="F50" i="27"/>
  <c r="L50" i="27" s="1"/>
  <c r="I49" i="27"/>
  <c r="G49" i="27"/>
  <c r="F49" i="27"/>
  <c r="V47" i="27"/>
  <c r="I47" i="27"/>
  <c r="G47" i="27"/>
  <c r="I46" i="27"/>
  <c r="G46" i="27"/>
  <c r="F46" i="27"/>
  <c r="I44" i="27"/>
  <c r="G44" i="27"/>
  <c r="F44" i="27"/>
  <c r="I43" i="27"/>
  <c r="G43" i="27"/>
  <c r="F43" i="27"/>
  <c r="I41" i="27"/>
  <c r="G41" i="27"/>
  <c r="F41" i="27"/>
  <c r="I40" i="27"/>
  <c r="G40" i="27"/>
  <c r="F40" i="27"/>
  <c r="F36" i="27"/>
  <c r="V29" i="27"/>
  <c r="V31" i="27" s="1"/>
  <c r="U29" i="27"/>
  <c r="U31" i="27" s="1"/>
  <c r="V28" i="27"/>
  <c r="V30" i="27" s="1"/>
  <c r="L28" i="27"/>
  <c r="K28" i="27"/>
  <c r="J28" i="27"/>
  <c r="L26" i="27"/>
  <c r="K26" i="27"/>
  <c r="J26" i="27"/>
  <c r="L25" i="27"/>
  <c r="K25" i="27"/>
  <c r="J25" i="27"/>
  <c r="L23" i="27"/>
  <c r="K23" i="27"/>
  <c r="J23" i="27"/>
  <c r="L22" i="27"/>
  <c r="K22" i="27"/>
  <c r="J22" i="27"/>
  <c r="L19" i="27"/>
  <c r="K19" i="27"/>
  <c r="J19" i="27"/>
  <c r="L17" i="27"/>
  <c r="K17" i="27"/>
  <c r="J17" i="27"/>
  <c r="L16" i="27"/>
  <c r="K16" i="27"/>
  <c r="J16" i="27"/>
  <c r="L14" i="27"/>
  <c r="K14" i="27"/>
  <c r="J14" i="27"/>
  <c r="L13" i="27"/>
  <c r="K13" i="27"/>
  <c r="J13" i="27"/>
  <c r="F20" i="26"/>
  <c r="F29" i="26"/>
  <c r="I58" i="28" l="1"/>
  <c r="V58" i="28"/>
  <c r="H58" i="27"/>
  <c r="G57" i="27"/>
  <c r="V58" i="27"/>
  <c r="I57" i="27"/>
  <c r="G58" i="27"/>
  <c r="I58" i="27"/>
  <c r="L46" i="27"/>
  <c r="F57" i="27"/>
  <c r="F58" i="28"/>
  <c r="G57" i="28"/>
  <c r="G58" i="28"/>
  <c r="H58" i="28"/>
  <c r="L43" i="28"/>
  <c r="K46" i="28"/>
  <c r="K49" i="28"/>
  <c r="K52" i="28"/>
  <c r="J49" i="27"/>
  <c r="J44" i="27"/>
  <c r="J20" i="27"/>
  <c r="J55" i="27"/>
  <c r="K53" i="27"/>
  <c r="K44" i="27"/>
  <c r="L43" i="27"/>
  <c r="L52" i="27"/>
  <c r="K30" i="27"/>
  <c r="K41" i="27"/>
  <c r="L55" i="28"/>
  <c r="L53" i="28"/>
  <c r="L56" i="28"/>
  <c r="L30" i="28"/>
  <c r="J40" i="28"/>
  <c r="J41" i="28"/>
  <c r="L44" i="28"/>
  <c r="J46" i="28"/>
  <c r="J53" i="28"/>
  <c r="K53" i="28"/>
  <c r="L46" i="28"/>
  <c r="K41" i="28"/>
  <c r="K44" i="28"/>
  <c r="L49" i="28"/>
  <c r="L52" i="28"/>
  <c r="K55" i="28"/>
  <c r="L41" i="28"/>
  <c r="L50" i="28"/>
  <c r="K30" i="28"/>
  <c r="K40" i="28"/>
  <c r="J47" i="28"/>
  <c r="L47" i="28"/>
  <c r="K47" i="28"/>
  <c r="J52" i="28"/>
  <c r="L40" i="28"/>
  <c r="J44" i="28"/>
  <c r="J50" i="28"/>
  <c r="J56" i="28"/>
  <c r="J43" i="28"/>
  <c r="K50" i="28"/>
  <c r="K56" i="28"/>
  <c r="J29" i="28"/>
  <c r="J30" i="28"/>
  <c r="K43" i="28"/>
  <c r="J49" i="28"/>
  <c r="J55" i="28"/>
  <c r="K29" i="27"/>
  <c r="L56" i="27"/>
  <c r="J29" i="27"/>
  <c r="L29" i="27"/>
  <c r="J53" i="27"/>
  <c r="J30" i="27"/>
  <c r="L30" i="27"/>
  <c r="L44" i="27"/>
  <c r="L55" i="27"/>
  <c r="K40" i="27"/>
  <c r="K46" i="27"/>
  <c r="L53" i="27"/>
  <c r="J46" i="27"/>
  <c r="L49" i="27"/>
  <c r="J40" i="27"/>
  <c r="K56" i="27"/>
  <c r="K50" i="27"/>
  <c r="K55" i="27"/>
  <c r="L41" i="27"/>
  <c r="J41" i="27"/>
  <c r="K49" i="27"/>
  <c r="K20" i="27"/>
  <c r="J52" i="27"/>
  <c r="L20" i="27"/>
  <c r="L40" i="27"/>
  <c r="F47" i="27"/>
  <c r="F58" i="27" s="1"/>
  <c r="K52" i="27"/>
  <c r="J50" i="27"/>
  <c r="J56" i="27"/>
  <c r="J43" i="27"/>
  <c r="K43" i="27"/>
  <c r="U58" i="26"/>
  <c r="T58" i="26"/>
  <c r="V57" i="26"/>
  <c r="U57" i="26"/>
  <c r="T57" i="26"/>
  <c r="V56" i="26"/>
  <c r="H56" i="26"/>
  <c r="G56" i="26"/>
  <c r="I55" i="26"/>
  <c r="H55" i="26"/>
  <c r="G55" i="26"/>
  <c r="F55" i="26"/>
  <c r="I53" i="26"/>
  <c r="H53" i="26"/>
  <c r="G53" i="26"/>
  <c r="F53" i="26"/>
  <c r="I52" i="26"/>
  <c r="H52" i="26"/>
  <c r="G52" i="26"/>
  <c r="F52" i="26"/>
  <c r="I50" i="26"/>
  <c r="H50" i="26"/>
  <c r="G50" i="26"/>
  <c r="F50" i="26"/>
  <c r="I49" i="26"/>
  <c r="H49" i="26"/>
  <c r="G49" i="26"/>
  <c r="F49" i="26"/>
  <c r="V47" i="26"/>
  <c r="H47" i="26"/>
  <c r="G47" i="26"/>
  <c r="I46" i="26"/>
  <c r="H46" i="26"/>
  <c r="G46" i="26"/>
  <c r="F46" i="26"/>
  <c r="I44" i="26"/>
  <c r="H44" i="26"/>
  <c r="G44" i="26"/>
  <c r="F44" i="26"/>
  <c r="I43" i="26"/>
  <c r="H43" i="26"/>
  <c r="G43" i="26"/>
  <c r="F43" i="26"/>
  <c r="I41" i="26"/>
  <c r="H41" i="26"/>
  <c r="G41" i="26"/>
  <c r="F41" i="26"/>
  <c r="I40" i="26"/>
  <c r="H40" i="26"/>
  <c r="G40" i="26"/>
  <c r="F40" i="26"/>
  <c r="F36" i="26"/>
  <c r="T31" i="26"/>
  <c r="H31" i="26"/>
  <c r="G31" i="26"/>
  <c r="U30" i="26"/>
  <c r="T30" i="26"/>
  <c r="I30" i="26"/>
  <c r="H30" i="26"/>
  <c r="G30" i="26"/>
  <c r="F30" i="26"/>
  <c r="V29" i="26"/>
  <c r="V31" i="26" s="1"/>
  <c r="U29" i="26"/>
  <c r="U31" i="26" s="1"/>
  <c r="K29" i="26"/>
  <c r="J29" i="26"/>
  <c r="I56" i="26"/>
  <c r="F56" i="26"/>
  <c r="V28" i="26"/>
  <c r="V30" i="26" s="1"/>
  <c r="L28" i="26"/>
  <c r="K28" i="26"/>
  <c r="J28" i="26"/>
  <c r="L26" i="26"/>
  <c r="K26" i="26"/>
  <c r="J26" i="26"/>
  <c r="L25" i="26"/>
  <c r="K25" i="26"/>
  <c r="J25" i="26"/>
  <c r="L23" i="26"/>
  <c r="K23" i="26"/>
  <c r="J23" i="26"/>
  <c r="L22" i="26"/>
  <c r="K22" i="26"/>
  <c r="J22" i="26"/>
  <c r="L20" i="26"/>
  <c r="J20" i="26"/>
  <c r="I47" i="26"/>
  <c r="K20" i="26"/>
  <c r="L19" i="26"/>
  <c r="K19" i="26"/>
  <c r="J19" i="26"/>
  <c r="L17" i="26"/>
  <c r="K17" i="26"/>
  <c r="J17" i="26"/>
  <c r="L16" i="26"/>
  <c r="K16" i="26"/>
  <c r="J16" i="26"/>
  <c r="L14" i="26"/>
  <c r="K14" i="26"/>
  <c r="J14" i="26"/>
  <c r="L13" i="26"/>
  <c r="K13" i="26"/>
  <c r="J13" i="26"/>
  <c r="V58" i="26" l="1"/>
  <c r="L57" i="27"/>
  <c r="G57" i="26"/>
  <c r="L46" i="26"/>
  <c r="J57" i="28"/>
  <c r="L57" i="28"/>
  <c r="K57" i="28"/>
  <c r="L58" i="28"/>
  <c r="K58" i="28"/>
  <c r="J58" i="28"/>
  <c r="J31" i="28"/>
  <c r="L31" i="28"/>
  <c r="K31" i="28"/>
  <c r="J57" i="27"/>
  <c r="K57" i="27"/>
  <c r="K31" i="27"/>
  <c r="J31" i="27"/>
  <c r="L31" i="27"/>
  <c r="K47" i="27"/>
  <c r="J47" i="27"/>
  <c r="L47" i="27"/>
  <c r="L50" i="26"/>
  <c r="J50" i="26"/>
  <c r="L49" i="26"/>
  <c r="L41" i="26"/>
  <c r="L44" i="26"/>
  <c r="J53" i="26"/>
  <c r="L53" i="26"/>
  <c r="K53" i="26"/>
  <c r="J49" i="26"/>
  <c r="K49" i="26"/>
  <c r="J30" i="26"/>
  <c r="H57" i="26"/>
  <c r="H58" i="26"/>
  <c r="L40" i="26"/>
  <c r="L55" i="26"/>
  <c r="K40" i="26"/>
  <c r="I58" i="26"/>
  <c r="K46" i="26"/>
  <c r="K50" i="26"/>
  <c r="L30" i="26"/>
  <c r="I57" i="26"/>
  <c r="J41" i="26"/>
  <c r="J40" i="26"/>
  <c r="J46" i="26"/>
  <c r="F57" i="26"/>
  <c r="J55" i="26"/>
  <c r="L52" i="26"/>
  <c r="K55" i="26"/>
  <c r="K30" i="26"/>
  <c r="L56" i="26"/>
  <c r="K56" i="26"/>
  <c r="J56" i="26"/>
  <c r="G58" i="26"/>
  <c r="J52" i="26"/>
  <c r="F31" i="26"/>
  <c r="J44" i="26"/>
  <c r="F47" i="26"/>
  <c r="K52" i="26"/>
  <c r="K44" i="26"/>
  <c r="J43" i="26"/>
  <c r="I31" i="26"/>
  <c r="K43" i="26"/>
  <c r="L43" i="26"/>
  <c r="L29" i="26"/>
  <c r="K41" i="26"/>
  <c r="F36" i="22"/>
  <c r="I29" i="22"/>
  <c r="K29" i="22"/>
  <c r="F47" i="22"/>
  <c r="I20" i="22"/>
  <c r="F29" i="21"/>
  <c r="F20" i="21"/>
  <c r="I20" i="21"/>
  <c r="I29" i="21"/>
  <c r="F36" i="21"/>
  <c r="U58" i="22"/>
  <c r="T58" i="22"/>
  <c r="V57" i="22"/>
  <c r="U57" i="22"/>
  <c r="T57" i="22"/>
  <c r="V56" i="22"/>
  <c r="H56" i="22"/>
  <c r="G56" i="22"/>
  <c r="I55" i="22"/>
  <c r="H55" i="22"/>
  <c r="G55" i="22"/>
  <c r="F55" i="22"/>
  <c r="I53" i="22"/>
  <c r="H53" i="22"/>
  <c r="G53" i="22"/>
  <c r="F53" i="22"/>
  <c r="I52" i="22"/>
  <c r="H52" i="22"/>
  <c r="G52" i="22"/>
  <c r="F52" i="22"/>
  <c r="I50" i="22"/>
  <c r="H50" i="22"/>
  <c r="G50" i="22"/>
  <c r="F50" i="22"/>
  <c r="I49" i="22"/>
  <c r="H49" i="22"/>
  <c r="G49" i="22"/>
  <c r="F49" i="22"/>
  <c r="V47" i="22"/>
  <c r="H47" i="22"/>
  <c r="G47" i="22"/>
  <c r="I46" i="22"/>
  <c r="H46" i="22"/>
  <c r="G46" i="22"/>
  <c r="F46" i="22"/>
  <c r="I44" i="22"/>
  <c r="H44" i="22"/>
  <c r="G44" i="22"/>
  <c r="F44" i="22"/>
  <c r="I43" i="22"/>
  <c r="H43" i="22"/>
  <c r="G43" i="22"/>
  <c r="F43" i="22"/>
  <c r="I41" i="22"/>
  <c r="H41" i="22"/>
  <c r="G41" i="22"/>
  <c r="F41" i="22"/>
  <c r="I40" i="22"/>
  <c r="H40" i="22"/>
  <c r="G40" i="22"/>
  <c r="F40" i="22"/>
  <c r="T31" i="22"/>
  <c r="H31" i="22"/>
  <c r="G31" i="22"/>
  <c r="U30" i="22"/>
  <c r="T30" i="22"/>
  <c r="I30" i="22"/>
  <c r="H30" i="22"/>
  <c r="G30" i="22"/>
  <c r="F30" i="22"/>
  <c r="V29" i="22"/>
  <c r="V31" i="22" s="1"/>
  <c r="U29" i="22"/>
  <c r="U31" i="22" s="1"/>
  <c r="V28" i="22"/>
  <c r="V30" i="22" s="1"/>
  <c r="L28" i="22"/>
  <c r="K28" i="22"/>
  <c r="J28" i="22"/>
  <c r="L26" i="22"/>
  <c r="K26" i="22"/>
  <c r="J26" i="22"/>
  <c r="L25" i="22"/>
  <c r="K25" i="22"/>
  <c r="J25" i="22"/>
  <c r="L23" i="22"/>
  <c r="K23" i="22"/>
  <c r="J23" i="22"/>
  <c r="L22" i="22"/>
  <c r="K22" i="22"/>
  <c r="J22" i="22"/>
  <c r="L19" i="22"/>
  <c r="K19" i="22"/>
  <c r="J19" i="22"/>
  <c r="L17" i="22"/>
  <c r="K17" i="22"/>
  <c r="J17" i="22"/>
  <c r="L16" i="22"/>
  <c r="K16" i="22"/>
  <c r="J16" i="22"/>
  <c r="L14" i="22"/>
  <c r="K14" i="22"/>
  <c r="J14" i="22"/>
  <c r="L13" i="22"/>
  <c r="K13" i="22"/>
  <c r="J13" i="22"/>
  <c r="V58" i="22" l="1"/>
  <c r="K49" i="22"/>
  <c r="K40" i="22"/>
  <c r="L58" i="27"/>
  <c r="K58" i="27"/>
  <c r="J58" i="27"/>
  <c r="L57" i="26"/>
  <c r="J57" i="26"/>
  <c r="K57" i="26"/>
  <c r="K47" i="26"/>
  <c r="J47" i="26"/>
  <c r="L47" i="26"/>
  <c r="K31" i="26"/>
  <c r="J31" i="26"/>
  <c r="L31" i="26"/>
  <c r="F58" i="26"/>
  <c r="K43" i="22"/>
  <c r="J41" i="22"/>
  <c r="L49" i="22"/>
  <c r="F56" i="22"/>
  <c r="K56" i="22" s="1"/>
  <c r="I31" i="22"/>
  <c r="L55" i="22"/>
  <c r="J29" i="22"/>
  <c r="K55" i="22"/>
  <c r="K53" i="22"/>
  <c r="J53" i="22"/>
  <c r="L50" i="22"/>
  <c r="J49" i="22"/>
  <c r="L46" i="22"/>
  <c r="J46" i="22"/>
  <c r="K46" i="22"/>
  <c r="L43" i="22"/>
  <c r="H58" i="22"/>
  <c r="L30" i="22"/>
  <c r="K30" i="22"/>
  <c r="I47" i="22"/>
  <c r="L47" i="22" s="1"/>
  <c r="G57" i="22"/>
  <c r="H57" i="22"/>
  <c r="K52" i="22"/>
  <c r="J55" i="22"/>
  <c r="L53" i="22"/>
  <c r="L40" i="22"/>
  <c r="K41" i="22"/>
  <c r="J43" i="22"/>
  <c r="L44" i="22"/>
  <c r="K50" i="22"/>
  <c r="G58" i="22"/>
  <c r="J30" i="22"/>
  <c r="K47" i="22"/>
  <c r="J47" i="22"/>
  <c r="K20" i="22"/>
  <c r="L29" i="22"/>
  <c r="J40" i="22"/>
  <c r="L41" i="22"/>
  <c r="L20" i="22"/>
  <c r="J52" i="22"/>
  <c r="I57" i="22"/>
  <c r="J20" i="22"/>
  <c r="J44" i="22"/>
  <c r="F57" i="22"/>
  <c r="F31" i="22"/>
  <c r="K44" i="22"/>
  <c r="J50" i="22"/>
  <c r="L52" i="22"/>
  <c r="I56" i="22"/>
  <c r="V56" i="21"/>
  <c r="V47" i="21"/>
  <c r="F58" i="22" l="1"/>
  <c r="L56" i="22"/>
  <c r="J56" i="22"/>
  <c r="L58" i="26"/>
  <c r="K58" i="26"/>
  <c r="J58" i="26"/>
  <c r="I58" i="22"/>
  <c r="L58" i="22" s="1"/>
  <c r="J31" i="22"/>
  <c r="L31" i="22"/>
  <c r="K31" i="22"/>
  <c r="L57" i="22"/>
  <c r="J57" i="22"/>
  <c r="K57" i="22"/>
  <c r="K58" i="22"/>
  <c r="J58" i="22"/>
  <c r="H56" i="21"/>
  <c r="G56" i="21"/>
  <c r="I55" i="21"/>
  <c r="H55" i="21"/>
  <c r="G55" i="21"/>
  <c r="F55" i="21"/>
  <c r="I53" i="21"/>
  <c r="H53" i="21"/>
  <c r="G53" i="21"/>
  <c r="F53" i="21"/>
  <c r="I52" i="21"/>
  <c r="H52" i="21"/>
  <c r="G52" i="21"/>
  <c r="F52" i="21"/>
  <c r="I50" i="21"/>
  <c r="H50" i="21"/>
  <c r="G50" i="21"/>
  <c r="F50" i="21"/>
  <c r="I49" i="21"/>
  <c r="H49" i="21"/>
  <c r="G49" i="21"/>
  <c r="F49" i="21"/>
  <c r="H47" i="21"/>
  <c r="G47" i="21"/>
  <c r="I46" i="21"/>
  <c r="H46" i="21"/>
  <c r="G46" i="21"/>
  <c r="F46" i="21"/>
  <c r="I44" i="21"/>
  <c r="H44" i="21"/>
  <c r="G44" i="21"/>
  <c r="F44" i="21"/>
  <c r="I43" i="21"/>
  <c r="H43" i="21"/>
  <c r="G43" i="21"/>
  <c r="F43" i="21"/>
  <c r="I41" i="21"/>
  <c r="H41" i="21"/>
  <c r="G41" i="21"/>
  <c r="F41" i="21"/>
  <c r="I40" i="21"/>
  <c r="H40" i="21"/>
  <c r="G40" i="21"/>
  <c r="F40" i="21"/>
  <c r="U58" i="21"/>
  <c r="T58" i="21"/>
  <c r="U57" i="21"/>
  <c r="T57" i="21"/>
  <c r="V58" i="21"/>
  <c r="V57" i="21"/>
  <c r="I56" i="21"/>
  <c r="I47" i="21"/>
  <c r="F56" i="21"/>
  <c r="F47" i="21"/>
  <c r="L46" i="21" l="1"/>
  <c r="L50" i="21"/>
  <c r="J52" i="21"/>
  <c r="K49" i="21"/>
  <c r="H58" i="21"/>
  <c r="J49" i="21"/>
  <c r="J55" i="21"/>
  <c r="K55" i="21"/>
  <c r="L52" i="21"/>
  <c r="K46" i="21"/>
  <c r="L43" i="21"/>
  <c r="L56" i="21"/>
  <c r="G57" i="21"/>
  <c r="F57" i="21"/>
  <c r="J57" i="21" s="1"/>
  <c r="K52" i="21"/>
  <c r="L55" i="21"/>
  <c r="L41" i="21"/>
  <c r="I57" i="21"/>
  <c r="K43" i="21"/>
  <c r="J46" i="21"/>
  <c r="J50" i="21"/>
  <c r="J44" i="21"/>
  <c r="J53" i="21"/>
  <c r="J41" i="21"/>
  <c r="K50" i="21"/>
  <c r="K44" i="21"/>
  <c r="K53" i="21"/>
  <c r="K41" i="21"/>
  <c r="L44" i="21"/>
  <c r="L53" i="21"/>
  <c r="H57" i="21"/>
  <c r="L49" i="21"/>
  <c r="J43" i="21"/>
  <c r="G58" i="21"/>
  <c r="I58" i="21"/>
  <c r="K40" i="21"/>
  <c r="J40" i="21"/>
  <c r="L40" i="21"/>
  <c r="L47" i="21"/>
  <c r="J56" i="21"/>
  <c r="K56" i="21"/>
  <c r="F58" i="21"/>
  <c r="J47" i="21"/>
  <c r="K47" i="21"/>
  <c r="L57" i="21" l="1"/>
  <c r="K57" i="21"/>
  <c r="L58" i="21"/>
  <c r="K58" i="21"/>
  <c r="J58" i="21"/>
  <c r="T30" i="21" l="1"/>
  <c r="T31" i="21"/>
  <c r="H31" i="21"/>
  <c r="G31" i="21"/>
  <c r="U30" i="21"/>
  <c r="I30" i="21"/>
  <c r="H30" i="21"/>
  <c r="G30" i="21"/>
  <c r="F30" i="21"/>
  <c r="V29" i="21"/>
  <c r="V31" i="21" s="1"/>
  <c r="U29" i="21"/>
  <c r="U31" i="21" s="1"/>
  <c r="V28" i="21"/>
  <c r="V30" i="21" s="1"/>
  <c r="L28" i="21"/>
  <c r="K28" i="21"/>
  <c r="J28" i="21"/>
  <c r="L26" i="21"/>
  <c r="K26" i="21"/>
  <c r="J26" i="21"/>
  <c r="L25" i="21"/>
  <c r="K25" i="21"/>
  <c r="J25" i="21"/>
  <c r="L23" i="21"/>
  <c r="K23" i="21"/>
  <c r="J23" i="21"/>
  <c r="L22" i="21"/>
  <c r="K22" i="21"/>
  <c r="J22" i="21"/>
  <c r="I31" i="21"/>
  <c r="F31" i="21"/>
  <c r="L19" i="21"/>
  <c r="K19" i="21"/>
  <c r="J19" i="21"/>
  <c r="L17" i="21"/>
  <c r="K17" i="21"/>
  <c r="J17" i="21"/>
  <c r="L16" i="21"/>
  <c r="K16" i="21"/>
  <c r="J16" i="21"/>
  <c r="L14" i="21"/>
  <c r="K14" i="21"/>
  <c r="J14" i="21"/>
  <c r="L13" i="21"/>
  <c r="K13" i="21"/>
  <c r="J13" i="21"/>
  <c r="I26" i="20"/>
  <c r="I17" i="20"/>
  <c r="F17" i="20"/>
  <c r="K31" i="21" l="1"/>
  <c r="L29" i="21"/>
  <c r="K30" i="21"/>
  <c r="J20" i="21"/>
  <c r="K20" i="21"/>
  <c r="L30" i="21"/>
  <c r="L20" i="21"/>
  <c r="L31" i="21"/>
  <c r="J29" i="21"/>
  <c r="J30" i="21"/>
  <c r="K29" i="21"/>
  <c r="J31" i="21"/>
  <c r="T28" i="20"/>
  <c r="I28" i="20"/>
  <c r="H28" i="20"/>
  <c r="G28" i="20"/>
  <c r="F28" i="20"/>
  <c r="U27" i="20"/>
  <c r="T27" i="20"/>
  <c r="I27" i="20"/>
  <c r="H27" i="20"/>
  <c r="G27" i="20"/>
  <c r="F27" i="20"/>
  <c r="V26" i="20"/>
  <c r="V28" i="20" s="1"/>
  <c r="U26" i="20"/>
  <c r="U28" i="20" s="1"/>
  <c r="L26" i="20"/>
  <c r="K26" i="20"/>
  <c r="J26" i="20"/>
  <c r="V25" i="20"/>
  <c r="V27" i="20" s="1"/>
  <c r="L25" i="20"/>
  <c r="K25" i="20"/>
  <c r="J25" i="20"/>
  <c r="L23" i="20"/>
  <c r="K23" i="20"/>
  <c r="J23" i="20"/>
  <c r="L22" i="20"/>
  <c r="K22" i="20"/>
  <c r="J22" i="20"/>
  <c r="L20" i="20"/>
  <c r="K20" i="20"/>
  <c r="J20" i="20"/>
  <c r="L19" i="20"/>
  <c r="K19" i="20"/>
  <c r="J19" i="20"/>
  <c r="L17" i="20"/>
  <c r="K17" i="20"/>
  <c r="J17" i="20"/>
  <c r="L16" i="20"/>
  <c r="K16" i="20"/>
  <c r="J16" i="20"/>
  <c r="L14" i="20"/>
  <c r="K14" i="20"/>
  <c r="J14" i="20"/>
  <c r="L13" i="20"/>
  <c r="K13" i="20"/>
  <c r="J13" i="20"/>
  <c r="L11" i="20"/>
  <c r="K11" i="20"/>
  <c r="J11" i="20"/>
  <c r="L10" i="20"/>
  <c r="K10" i="20"/>
  <c r="J10" i="20"/>
  <c r="K28" i="14"/>
  <c r="L27" i="14"/>
  <c r="K27" i="14"/>
  <c r="F26" i="18"/>
  <c r="M26" i="17"/>
  <c r="F26" i="17"/>
  <c r="J27" i="20" l="1"/>
  <c r="L27" i="20"/>
  <c r="J28" i="20"/>
  <c r="L28" i="20"/>
  <c r="K27" i="20"/>
  <c r="K28" i="20"/>
  <c r="J26" i="19"/>
  <c r="T28" i="19"/>
  <c r="H28" i="19"/>
  <c r="G28" i="19"/>
  <c r="U27" i="19"/>
  <c r="T27" i="19"/>
  <c r="I27" i="19"/>
  <c r="H27" i="19"/>
  <c r="G27" i="19"/>
  <c r="F27" i="19"/>
  <c r="V26" i="19"/>
  <c r="V28" i="19" s="1"/>
  <c r="U26" i="19"/>
  <c r="U28" i="19" s="1"/>
  <c r="V25" i="19"/>
  <c r="V27" i="19" s="1"/>
  <c r="L25" i="19"/>
  <c r="K25" i="19"/>
  <c r="J25" i="19"/>
  <c r="L23" i="19"/>
  <c r="K23" i="19"/>
  <c r="J23" i="19"/>
  <c r="L22" i="19"/>
  <c r="K22" i="19"/>
  <c r="J22" i="19"/>
  <c r="L20" i="19"/>
  <c r="K20" i="19"/>
  <c r="J20" i="19"/>
  <c r="L19" i="19"/>
  <c r="K19" i="19"/>
  <c r="J19" i="19"/>
  <c r="L17" i="19"/>
  <c r="K17" i="19"/>
  <c r="L16" i="19"/>
  <c r="K16" i="19"/>
  <c r="J16" i="19"/>
  <c r="L14" i="19"/>
  <c r="K14" i="19"/>
  <c r="J14" i="19"/>
  <c r="L13" i="19"/>
  <c r="K13" i="19"/>
  <c r="J13" i="19"/>
  <c r="L11" i="19"/>
  <c r="K11" i="19"/>
  <c r="J11" i="19"/>
  <c r="L10" i="19"/>
  <c r="K10" i="19"/>
  <c r="J10" i="19"/>
  <c r="P26" i="18"/>
  <c r="P26" i="19" s="1"/>
  <c r="P26" i="20" s="1"/>
  <c r="P29" i="21" s="1"/>
  <c r="O26" i="18"/>
  <c r="O26" i="19" s="1"/>
  <c r="O26" i="20" s="1"/>
  <c r="O29" i="21" s="1"/>
  <c r="N26" i="18"/>
  <c r="N26" i="19" s="1"/>
  <c r="N26" i="20" s="1"/>
  <c r="N29" i="21" s="1"/>
  <c r="M26" i="18"/>
  <c r="P25" i="18"/>
  <c r="P25" i="19" s="1"/>
  <c r="P25" i="20" s="1"/>
  <c r="P28" i="21" s="1"/>
  <c r="O25" i="18"/>
  <c r="O25" i="19" s="1"/>
  <c r="O25" i="20" s="1"/>
  <c r="O28" i="21" s="1"/>
  <c r="N25" i="18"/>
  <c r="N25" i="19" s="1"/>
  <c r="N25" i="20" s="1"/>
  <c r="N28" i="21" s="1"/>
  <c r="M25" i="18"/>
  <c r="P23" i="18"/>
  <c r="P23" i="19" s="1"/>
  <c r="O23" i="18"/>
  <c r="O23" i="19" s="1"/>
  <c r="O23" i="20" s="1"/>
  <c r="O26" i="21" s="1"/>
  <c r="N23" i="18"/>
  <c r="N23" i="19" s="1"/>
  <c r="M23" i="18"/>
  <c r="M23" i="19" s="1"/>
  <c r="M23" i="20" s="1"/>
  <c r="P22" i="18"/>
  <c r="P22" i="19" s="1"/>
  <c r="P22" i="20" s="1"/>
  <c r="P25" i="21" s="1"/>
  <c r="O22" i="18"/>
  <c r="O22" i="19" s="1"/>
  <c r="O22" i="20" s="1"/>
  <c r="O25" i="21" s="1"/>
  <c r="N22" i="18"/>
  <c r="N22" i="19" s="1"/>
  <c r="N22" i="20" s="1"/>
  <c r="N25" i="21" s="1"/>
  <c r="M22" i="18"/>
  <c r="P20" i="18"/>
  <c r="P20" i="19" s="1"/>
  <c r="P20" i="20" s="1"/>
  <c r="P23" i="21" s="1"/>
  <c r="O20" i="18"/>
  <c r="O20" i="19" s="1"/>
  <c r="O20" i="20" s="1"/>
  <c r="O23" i="21" s="1"/>
  <c r="N20" i="18"/>
  <c r="N20" i="19" s="1"/>
  <c r="N20" i="20" s="1"/>
  <c r="N23" i="21" s="1"/>
  <c r="M20" i="18"/>
  <c r="M20" i="19" s="1"/>
  <c r="M20" i="20" s="1"/>
  <c r="P19" i="18"/>
  <c r="P19" i="19" s="1"/>
  <c r="P19" i="20" s="1"/>
  <c r="P22" i="21" s="1"/>
  <c r="O19" i="18"/>
  <c r="O19" i="19" s="1"/>
  <c r="O19" i="20" s="1"/>
  <c r="O22" i="21" s="1"/>
  <c r="N19" i="18"/>
  <c r="N19" i="19" s="1"/>
  <c r="N19" i="20" s="1"/>
  <c r="N22" i="21" s="1"/>
  <c r="M19" i="18"/>
  <c r="P17" i="18"/>
  <c r="P17" i="19" s="1"/>
  <c r="P17" i="20" s="1"/>
  <c r="P20" i="21" s="1"/>
  <c r="O17" i="18"/>
  <c r="O17" i="19" s="1"/>
  <c r="O17" i="20" s="1"/>
  <c r="O20" i="21" s="1"/>
  <c r="N17" i="18"/>
  <c r="N17" i="19" s="1"/>
  <c r="N17" i="20" s="1"/>
  <c r="N20" i="21" s="1"/>
  <c r="M17" i="18"/>
  <c r="M17" i="19" s="1"/>
  <c r="M17" i="20" s="1"/>
  <c r="M20" i="21" s="1"/>
  <c r="P16" i="18"/>
  <c r="P16" i="19" s="1"/>
  <c r="P16" i="20" s="1"/>
  <c r="P19" i="21" s="1"/>
  <c r="O16" i="18"/>
  <c r="O16" i="19" s="1"/>
  <c r="O16" i="20" s="1"/>
  <c r="O19" i="21" s="1"/>
  <c r="N16" i="18"/>
  <c r="N16" i="19" s="1"/>
  <c r="N16" i="20" s="1"/>
  <c r="N19" i="21" s="1"/>
  <c r="M16" i="18"/>
  <c r="P14" i="18"/>
  <c r="P14" i="19" s="1"/>
  <c r="P14" i="20" s="1"/>
  <c r="P17" i="21" s="1"/>
  <c r="O14" i="18"/>
  <c r="O14" i="19" s="1"/>
  <c r="O14" i="20" s="1"/>
  <c r="O17" i="21" s="1"/>
  <c r="N14" i="18"/>
  <c r="N14" i="19" s="1"/>
  <c r="N14" i="20" s="1"/>
  <c r="M14" i="18"/>
  <c r="M14" i="19" s="1"/>
  <c r="M14" i="20" s="1"/>
  <c r="M17" i="21" s="1"/>
  <c r="P13" i="18"/>
  <c r="P13" i="19" s="1"/>
  <c r="P13" i="20" s="1"/>
  <c r="P16" i="21" s="1"/>
  <c r="O13" i="18"/>
  <c r="O13" i="19" s="1"/>
  <c r="O13" i="20" s="1"/>
  <c r="O16" i="21" s="1"/>
  <c r="N13" i="18"/>
  <c r="N13" i="19" s="1"/>
  <c r="N13" i="20" s="1"/>
  <c r="N16" i="21" s="1"/>
  <c r="M13" i="18"/>
  <c r="P11" i="18"/>
  <c r="P11" i="19" s="1"/>
  <c r="P11" i="20" s="1"/>
  <c r="O11" i="18"/>
  <c r="O11" i="19" s="1"/>
  <c r="O11" i="20" s="1"/>
  <c r="O14" i="21" s="1"/>
  <c r="N11" i="18"/>
  <c r="N11" i="19" s="1"/>
  <c r="N11" i="20" s="1"/>
  <c r="N14" i="21" s="1"/>
  <c r="M11" i="18"/>
  <c r="M11" i="19" s="1"/>
  <c r="M11" i="20" s="1"/>
  <c r="M14" i="21" s="1"/>
  <c r="P10" i="18"/>
  <c r="P10" i="19" s="1"/>
  <c r="P10" i="20" s="1"/>
  <c r="P13" i="21" s="1"/>
  <c r="O10" i="18"/>
  <c r="O10" i="19" s="1"/>
  <c r="O10" i="20" s="1"/>
  <c r="O13" i="21" s="1"/>
  <c r="N10" i="18"/>
  <c r="N27" i="18" s="1"/>
  <c r="M10" i="18"/>
  <c r="M10" i="19" s="1"/>
  <c r="M10" i="20" s="1"/>
  <c r="T28" i="18"/>
  <c r="I28" i="18"/>
  <c r="H28" i="18"/>
  <c r="G28" i="18"/>
  <c r="F28" i="18"/>
  <c r="U27" i="18"/>
  <c r="T27" i="18"/>
  <c r="I27" i="18"/>
  <c r="H27" i="18"/>
  <c r="G27" i="18"/>
  <c r="F27" i="18"/>
  <c r="V26" i="18"/>
  <c r="V28" i="18" s="1"/>
  <c r="U26" i="18"/>
  <c r="U28" i="18" s="1"/>
  <c r="L26" i="18"/>
  <c r="K26" i="18"/>
  <c r="J26" i="18"/>
  <c r="V25" i="18"/>
  <c r="V27" i="18" s="1"/>
  <c r="L25" i="18"/>
  <c r="K25" i="18"/>
  <c r="J25" i="18"/>
  <c r="L23" i="18"/>
  <c r="K23" i="18"/>
  <c r="J23" i="18"/>
  <c r="L22" i="18"/>
  <c r="K22" i="18"/>
  <c r="J22" i="18"/>
  <c r="L20" i="18"/>
  <c r="K20" i="18"/>
  <c r="J20" i="18"/>
  <c r="L19" i="18"/>
  <c r="K19" i="18"/>
  <c r="J19" i="18"/>
  <c r="L17" i="18"/>
  <c r="K17" i="18"/>
  <c r="J17" i="18"/>
  <c r="L16" i="18"/>
  <c r="K16" i="18"/>
  <c r="J16" i="18"/>
  <c r="L14" i="18"/>
  <c r="K14" i="18"/>
  <c r="J14" i="18"/>
  <c r="L13" i="18"/>
  <c r="K13" i="18"/>
  <c r="J13" i="18"/>
  <c r="L11" i="18"/>
  <c r="K11" i="18"/>
  <c r="J11" i="18"/>
  <c r="L10" i="18"/>
  <c r="K10" i="18"/>
  <c r="J10" i="18"/>
  <c r="T28" i="17"/>
  <c r="H28" i="17"/>
  <c r="U27" i="17"/>
  <c r="T27" i="17"/>
  <c r="H27" i="17"/>
  <c r="V26" i="17"/>
  <c r="V28" i="17" s="1"/>
  <c r="U26" i="17"/>
  <c r="U28" i="17" s="1"/>
  <c r="V25" i="17"/>
  <c r="V27" i="17" s="1"/>
  <c r="T28" i="16"/>
  <c r="H28" i="16"/>
  <c r="U27" i="16"/>
  <c r="T27" i="16"/>
  <c r="H27" i="16"/>
  <c r="V26" i="16"/>
  <c r="V28" i="16" s="1"/>
  <c r="U26" i="16"/>
  <c r="U28" i="16" s="1"/>
  <c r="V25" i="16"/>
  <c r="V27" i="16" s="1"/>
  <c r="T28" i="15"/>
  <c r="T27" i="15"/>
  <c r="U27" i="15"/>
  <c r="V26" i="15"/>
  <c r="V28" i="15" s="1"/>
  <c r="U26" i="15"/>
  <c r="U28" i="15" s="1"/>
  <c r="V25" i="15"/>
  <c r="V27" i="15" s="1"/>
  <c r="P26" i="14"/>
  <c r="L26" i="14"/>
  <c r="L28" i="14" s="1"/>
  <c r="M26" i="14"/>
  <c r="M28" i="14" s="1"/>
  <c r="Q26" i="14"/>
  <c r="Q25" i="14"/>
  <c r="M25" i="14"/>
  <c r="H23" i="14"/>
  <c r="H22" i="14"/>
  <c r="H20" i="14"/>
  <c r="H19" i="14"/>
  <c r="H17" i="14"/>
  <c r="H16" i="14"/>
  <c r="H14" i="14"/>
  <c r="H13" i="14"/>
  <c r="S13" i="18" l="1"/>
  <c r="S16" i="18"/>
  <c r="R19" i="18"/>
  <c r="J27" i="18"/>
  <c r="S17" i="20"/>
  <c r="M13" i="21"/>
  <c r="S10" i="20"/>
  <c r="R10" i="20"/>
  <c r="N16" i="22"/>
  <c r="N43" i="21"/>
  <c r="N19" i="22"/>
  <c r="N46" i="21"/>
  <c r="P14" i="21"/>
  <c r="S11" i="20"/>
  <c r="O19" i="22"/>
  <c r="O46" i="21"/>
  <c r="O22" i="22"/>
  <c r="O49" i="21"/>
  <c r="O25" i="22"/>
  <c r="O52" i="21"/>
  <c r="O28" i="22"/>
  <c r="O55" i="21"/>
  <c r="P22" i="22"/>
  <c r="P49" i="21"/>
  <c r="P28" i="22"/>
  <c r="P55" i="21"/>
  <c r="M23" i="21"/>
  <c r="Q20" i="20"/>
  <c r="S20" i="20"/>
  <c r="R20" i="20"/>
  <c r="M26" i="21"/>
  <c r="R23" i="20"/>
  <c r="N25" i="22"/>
  <c r="N52" i="21"/>
  <c r="P17" i="22"/>
  <c r="P44" i="21"/>
  <c r="P20" i="22"/>
  <c r="P47" i="21"/>
  <c r="P23" i="22"/>
  <c r="P50" i="21"/>
  <c r="S23" i="19"/>
  <c r="P23" i="20"/>
  <c r="P26" i="21" s="1"/>
  <c r="P29" i="22"/>
  <c r="P56" i="21"/>
  <c r="Q17" i="20"/>
  <c r="N22" i="22"/>
  <c r="N49" i="21"/>
  <c r="Q22" i="18"/>
  <c r="Q25" i="18"/>
  <c r="M13" i="19"/>
  <c r="M13" i="20" s="1"/>
  <c r="Q11" i="20"/>
  <c r="R14" i="20"/>
  <c r="H25" i="14"/>
  <c r="M27" i="14"/>
  <c r="O13" i="22"/>
  <c r="O13" i="26" s="1"/>
  <c r="O40" i="21"/>
  <c r="O30" i="21"/>
  <c r="O16" i="22"/>
  <c r="O43" i="21"/>
  <c r="M16" i="19"/>
  <c r="M16" i="20" s="1"/>
  <c r="S16" i="20" s="1"/>
  <c r="O27" i="20"/>
  <c r="N28" i="22"/>
  <c r="N55" i="21"/>
  <c r="P13" i="22"/>
  <c r="P13" i="26" s="1"/>
  <c r="P40" i="21"/>
  <c r="P30" i="21"/>
  <c r="P16" i="22"/>
  <c r="P43" i="21"/>
  <c r="P19" i="22"/>
  <c r="P46" i="21"/>
  <c r="R17" i="20"/>
  <c r="O28" i="20"/>
  <c r="M14" i="22"/>
  <c r="M14" i="26" s="1"/>
  <c r="M41" i="21"/>
  <c r="Q14" i="21"/>
  <c r="R14" i="21"/>
  <c r="S14" i="21"/>
  <c r="M17" i="22"/>
  <c r="M17" i="26" s="1"/>
  <c r="M44" i="21"/>
  <c r="R17" i="21"/>
  <c r="S17" i="21"/>
  <c r="M20" i="22"/>
  <c r="M20" i="26" s="1"/>
  <c r="M47" i="21"/>
  <c r="R20" i="21"/>
  <c r="R11" i="20"/>
  <c r="S14" i="20"/>
  <c r="Q20" i="21"/>
  <c r="N14" i="22"/>
  <c r="N14" i="26" s="1"/>
  <c r="N41" i="21"/>
  <c r="Q14" i="20"/>
  <c r="N17" i="21"/>
  <c r="N20" i="22"/>
  <c r="N47" i="21"/>
  <c r="N23" i="22"/>
  <c r="N50" i="21"/>
  <c r="Q23" i="19"/>
  <c r="N23" i="20"/>
  <c r="N26" i="21" s="1"/>
  <c r="N29" i="22"/>
  <c r="N56" i="21"/>
  <c r="P27" i="20"/>
  <c r="S20" i="21"/>
  <c r="P25" i="22"/>
  <c r="P52" i="21"/>
  <c r="O14" i="22"/>
  <c r="O14" i="26" s="1"/>
  <c r="O41" i="21"/>
  <c r="O31" i="21"/>
  <c r="O17" i="22"/>
  <c r="O44" i="21"/>
  <c r="O20" i="22"/>
  <c r="O47" i="21"/>
  <c r="O23" i="22"/>
  <c r="O50" i="21"/>
  <c r="O26" i="22"/>
  <c r="O53" i="21"/>
  <c r="O29" i="22"/>
  <c r="O56" i="21"/>
  <c r="N10" i="19"/>
  <c r="N10" i="20" s="1"/>
  <c r="Q10" i="20" s="1"/>
  <c r="Q16" i="20"/>
  <c r="R16" i="20"/>
  <c r="S11" i="19"/>
  <c r="M19" i="19"/>
  <c r="M19" i="20" s="1"/>
  <c r="M22" i="19"/>
  <c r="M25" i="19"/>
  <c r="M25" i="20" s="1"/>
  <c r="R23" i="19"/>
  <c r="M26" i="19"/>
  <c r="L26" i="19"/>
  <c r="K26" i="19"/>
  <c r="I28" i="19"/>
  <c r="F28" i="19"/>
  <c r="J17" i="19"/>
  <c r="S25" i="19"/>
  <c r="Q25" i="19"/>
  <c r="Q20" i="19"/>
  <c r="R20" i="19"/>
  <c r="S20" i="19"/>
  <c r="Q17" i="19"/>
  <c r="R17" i="19"/>
  <c r="S17" i="19"/>
  <c r="S16" i="19"/>
  <c r="P27" i="19"/>
  <c r="Q14" i="19"/>
  <c r="R14" i="19"/>
  <c r="S14" i="19"/>
  <c r="R13" i="19"/>
  <c r="S10" i="19"/>
  <c r="R19" i="19"/>
  <c r="O27" i="19"/>
  <c r="P28" i="19"/>
  <c r="Q13" i="19"/>
  <c r="L27" i="19"/>
  <c r="R11" i="19"/>
  <c r="Q11" i="19"/>
  <c r="O28" i="19"/>
  <c r="N28" i="19"/>
  <c r="S13" i="19"/>
  <c r="R10" i="19"/>
  <c r="R16" i="19"/>
  <c r="R22" i="19"/>
  <c r="K27" i="19"/>
  <c r="Q16" i="19"/>
  <c r="Q22" i="19"/>
  <c r="J27" i="19"/>
  <c r="O28" i="18"/>
  <c r="M28" i="18"/>
  <c r="L28" i="18"/>
  <c r="Q26" i="18"/>
  <c r="R25" i="18"/>
  <c r="R26" i="18"/>
  <c r="S26" i="18"/>
  <c r="Q14" i="18"/>
  <c r="Q17" i="18"/>
  <c r="Q20" i="18"/>
  <c r="Q23" i="18"/>
  <c r="R14" i="18"/>
  <c r="R17" i="18"/>
  <c r="R20" i="18"/>
  <c r="R23" i="18"/>
  <c r="S14" i="18"/>
  <c r="S17" i="18"/>
  <c r="S20" i="18"/>
  <c r="S23" i="18"/>
  <c r="R11" i="18"/>
  <c r="S25" i="18"/>
  <c r="N28" i="18"/>
  <c r="L27" i="18"/>
  <c r="P27" i="18"/>
  <c r="R22" i="18"/>
  <c r="S22" i="18"/>
  <c r="O27" i="18"/>
  <c r="S19" i="18"/>
  <c r="Q19" i="18"/>
  <c r="M27" i="18"/>
  <c r="Q16" i="18"/>
  <c r="P28" i="18"/>
  <c r="R16" i="18"/>
  <c r="Q13" i="18"/>
  <c r="R13" i="18"/>
  <c r="Q11" i="18"/>
  <c r="S11" i="18"/>
  <c r="Q10" i="18"/>
  <c r="R10" i="18"/>
  <c r="S10" i="18"/>
  <c r="K27" i="18"/>
  <c r="J28" i="18"/>
  <c r="K28" i="18"/>
  <c r="R22" i="17"/>
  <c r="R23" i="17"/>
  <c r="K16" i="17"/>
  <c r="S16" i="17"/>
  <c r="O27" i="17"/>
  <c r="O28" i="17"/>
  <c r="J13" i="17"/>
  <c r="K20" i="17"/>
  <c r="K11" i="17"/>
  <c r="K23" i="17"/>
  <c r="L10" i="17"/>
  <c r="K17" i="17"/>
  <c r="L20" i="17"/>
  <c r="L17" i="17"/>
  <c r="L22" i="17"/>
  <c r="S11" i="17"/>
  <c r="J20" i="17"/>
  <c r="Q10" i="17"/>
  <c r="R13" i="17"/>
  <c r="R11" i="17"/>
  <c r="R20" i="17"/>
  <c r="K13" i="17"/>
  <c r="S20" i="17"/>
  <c r="L13" i="17"/>
  <c r="J16" i="17"/>
  <c r="Q20" i="17"/>
  <c r="Q11" i="17"/>
  <c r="S14" i="17"/>
  <c r="R14" i="17"/>
  <c r="Q14" i="17"/>
  <c r="S17" i="17"/>
  <c r="J11" i="17"/>
  <c r="L16" i="17"/>
  <c r="J19" i="17"/>
  <c r="L11" i="17"/>
  <c r="J14" i="17"/>
  <c r="K19" i="17"/>
  <c r="L23" i="17"/>
  <c r="J23" i="17"/>
  <c r="J10" i="17"/>
  <c r="L19" i="17"/>
  <c r="K10" i="17"/>
  <c r="J17" i="17"/>
  <c r="R17" i="17"/>
  <c r="K22" i="17"/>
  <c r="K14" i="17"/>
  <c r="Q17" i="17"/>
  <c r="J22" i="17"/>
  <c r="L14" i="17"/>
  <c r="O28" i="16"/>
  <c r="O27" i="16"/>
  <c r="O27" i="15"/>
  <c r="O28" i="15"/>
  <c r="H27" i="15"/>
  <c r="H28" i="15"/>
  <c r="H26" i="14"/>
  <c r="G11" i="14"/>
  <c r="G10" i="14"/>
  <c r="G14" i="14"/>
  <c r="G13" i="14"/>
  <c r="G17" i="14"/>
  <c r="G16" i="14"/>
  <c r="G20" i="14"/>
  <c r="G19" i="14"/>
  <c r="G26" i="14"/>
  <c r="G25" i="14"/>
  <c r="G23" i="14"/>
  <c r="G22" i="14"/>
  <c r="Q28" i="14"/>
  <c r="P28" i="14"/>
  <c r="Q27" i="14"/>
  <c r="P27" i="14"/>
  <c r="F17" i="1"/>
  <c r="Q28" i="18" l="1"/>
  <c r="R25" i="19"/>
  <c r="M27" i="19"/>
  <c r="S23" i="20"/>
  <c r="O41" i="26"/>
  <c r="O14" i="27"/>
  <c r="N14" i="27"/>
  <c r="N41" i="26"/>
  <c r="P13" i="27"/>
  <c r="P40" i="26"/>
  <c r="O57" i="21"/>
  <c r="P55" i="22"/>
  <c r="P28" i="26"/>
  <c r="O49" i="22"/>
  <c r="O22" i="26"/>
  <c r="N43" i="22"/>
  <c r="N16" i="26"/>
  <c r="O53" i="22"/>
  <c r="O26" i="26"/>
  <c r="N52" i="22"/>
  <c r="N25" i="26"/>
  <c r="O50" i="22"/>
  <c r="O23" i="26"/>
  <c r="O13" i="27"/>
  <c r="O40" i="26"/>
  <c r="P50" i="22"/>
  <c r="P23" i="26"/>
  <c r="P52" i="22"/>
  <c r="P25" i="26"/>
  <c r="N50" i="22"/>
  <c r="N23" i="26"/>
  <c r="M44" i="26"/>
  <c r="M17" i="27"/>
  <c r="N55" i="22"/>
  <c r="N28" i="26"/>
  <c r="N49" i="22"/>
  <c r="N22" i="26"/>
  <c r="P49" i="22"/>
  <c r="P22" i="26"/>
  <c r="O46" i="22"/>
  <c r="O19" i="26"/>
  <c r="O47" i="22"/>
  <c r="O20" i="26"/>
  <c r="P46" i="22"/>
  <c r="P19" i="26"/>
  <c r="P47" i="22"/>
  <c r="P20" i="26"/>
  <c r="N47" i="22"/>
  <c r="N20" i="26"/>
  <c r="Q20" i="26" s="1"/>
  <c r="O55" i="22"/>
  <c r="O28" i="26"/>
  <c r="O56" i="22"/>
  <c r="O29" i="26"/>
  <c r="O44" i="22"/>
  <c r="O17" i="26"/>
  <c r="R17" i="26" s="1"/>
  <c r="P43" i="22"/>
  <c r="P16" i="26"/>
  <c r="P56" i="22"/>
  <c r="P29" i="26"/>
  <c r="P44" i="22"/>
  <c r="P17" i="26"/>
  <c r="S17" i="26" s="1"/>
  <c r="M14" i="27"/>
  <c r="Q14" i="26"/>
  <c r="R14" i="26"/>
  <c r="M41" i="26"/>
  <c r="N56" i="22"/>
  <c r="N29" i="26"/>
  <c r="O43" i="22"/>
  <c r="O16" i="26"/>
  <c r="O52" i="22"/>
  <c r="O25" i="26"/>
  <c r="O30" i="26" s="1"/>
  <c r="N46" i="22"/>
  <c r="N19" i="26"/>
  <c r="M20" i="27"/>
  <c r="M20" i="28" s="1"/>
  <c r="M20" i="29" s="1"/>
  <c r="R20" i="26"/>
  <c r="M47" i="26"/>
  <c r="S19" i="19"/>
  <c r="S17" i="22"/>
  <c r="R17" i="22"/>
  <c r="M44" i="22"/>
  <c r="O40" i="22"/>
  <c r="O30" i="22"/>
  <c r="P30" i="22"/>
  <c r="P40" i="22"/>
  <c r="N27" i="19"/>
  <c r="R26" i="19"/>
  <c r="M26" i="20"/>
  <c r="N17" i="22"/>
  <c r="N44" i="21"/>
  <c r="Q44" i="21" s="1"/>
  <c r="Q23" i="20"/>
  <c r="S47" i="21"/>
  <c r="R47" i="21"/>
  <c r="Q47" i="21"/>
  <c r="M26" i="22"/>
  <c r="M26" i="26" s="1"/>
  <c r="M53" i="21"/>
  <c r="S26" i="21"/>
  <c r="R26" i="21"/>
  <c r="Q26" i="21"/>
  <c r="M28" i="21"/>
  <c r="Q25" i="20"/>
  <c r="R25" i="20"/>
  <c r="S25" i="20"/>
  <c r="O58" i="21"/>
  <c r="N26" i="22"/>
  <c r="N53" i="21"/>
  <c r="N31" i="21"/>
  <c r="Q20" i="22"/>
  <c r="M47" i="22"/>
  <c r="R20" i="22"/>
  <c r="S20" i="22"/>
  <c r="M19" i="21"/>
  <c r="Q19" i="19"/>
  <c r="S22" i="19"/>
  <c r="M22" i="20"/>
  <c r="O41" i="22"/>
  <c r="O31" i="22"/>
  <c r="Q41" i="21"/>
  <c r="R41" i="21"/>
  <c r="Q10" i="19"/>
  <c r="M22" i="21"/>
  <c r="R19" i="20"/>
  <c r="S19" i="20"/>
  <c r="Q19" i="20"/>
  <c r="N41" i="22"/>
  <c r="Q17" i="21"/>
  <c r="Q14" i="22"/>
  <c r="R14" i="22"/>
  <c r="M41" i="22"/>
  <c r="M16" i="21"/>
  <c r="R13" i="20"/>
  <c r="Q13" i="20"/>
  <c r="S13" i="20"/>
  <c r="P26" i="22"/>
  <c r="P53" i="21"/>
  <c r="P28" i="20"/>
  <c r="N13" i="21"/>
  <c r="Q13" i="21" s="1"/>
  <c r="N27" i="20"/>
  <c r="S44" i="21"/>
  <c r="R44" i="21"/>
  <c r="N28" i="20"/>
  <c r="P57" i="21"/>
  <c r="M23" i="22"/>
  <c r="M23" i="26" s="1"/>
  <c r="M50" i="21"/>
  <c r="S23" i="21"/>
  <c r="R23" i="21"/>
  <c r="Q23" i="21"/>
  <c r="P14" i="22"/>
  <c r="P41" i="21"/>
  <c r="S41" i="21" s="1"/>
  <c r="P31" i="21"/>
  <c r="M13" i="22"/>
  <c r="M13" i="26" s="1"/>
  <c r="M40" i="21"/>
  <c r="S13" i="21"/>
  <c r="R13" i="21"/>
  <c r="S28" i="18"/>
  <c r="L28" i="19"/>
  <c r="Q26" i="19"/>
  <c r="S26" i="19"/>
  <c r="M28" i="19"/>
  <c r="Q28" i="19" s="1"/>
  <c r="K28" i="19"/>
  <c r="J28" i="19"/>
  <c r="S27" i="19"/>
  <c r="R27" i="19"/>
  <c r="Q27" i="19"/>
  <c r="R28" i="18"/>
  <c r="S27" i="18"/>
  <c r="Q27" i="18"/>
  <c r="R27" i="18"/>
  <c r="N28" i="17"/>
  <c r="S23" i="17"/>
  <c r="Q23" i="17"/>
  <c r="N27" i="17"/>
  <c r="S22" i="17"/>
  <c r="Q22" i="17"/>
  <c r="S13" i="17"/>
  <c r="Q16" i="17"/>
  <c r="P28" i="17"/>
  <c r="P27" i="17"/>
  <c r="F28" i="17"/>
  <c r="K28" i="17" s="1"/>
  <c r="R10" i="17"/>
  <c r="S10" i="17"/>
  <c r="Q13" i="17"/>
  <c r="G27" i="17"/>
  <c r="R16" i="17"/>
  <c r="I27" i="17"/>
  <c r="I28" i="17"/>
  <c r="J25" i="17"/>
  <c r="K25" i="17"/>
  <c r="L25" i="17"/>
  <c r="L26" i="17"/>
  <c r="J26" i="17"/>
  <c r="K26" i="17"/>
  <c r="Q19" i="17"/>
  <c r="S19" i="17"/>
  <c r="R19" i="17"/>
  <c r="G28" i="17"/>
  <c r="F27" i="17"/>
  <c r="G27" i="14"/>
  <c r="G28" i="14"/>
  <c r="I25" i="1"/>
  <c r="I23" i="1"/>
  <c r="I22" i="1"/>
  <c r="I20" i="1"/>
  <c r="I19" i="1"/>
  <c r="I16" i="1"/>
  <c r="I14" i="1"/>
  <c r="I13" i="1"/>
  <c r="I11" i="1"/>
  <c r="I10" i="1"/>
  <c r="I26" i="9"/>
  <c r="I25" i="9"/>
  <c r="I23" i="9"/>
  <c r="I22" i="9"/>
  <c r="I20" i="9"/>
  <c r="I19" i="9"/>
  <c r="I17" i="9"/>
  <c r="I16" i="9"/>
  <c r="I14" i="9"/>
  <c r="I13" i="9"/>
  <c r="I11" i="9"/>
  <c r="I10" i="9"/>
  <c r="I25" i="10"/>
  <c r="I23" i="10"/>
  <c r="I22" i="10"/>
  <c r="I20" i="10"/>
  <c r="I19" i="10"/>
  <c r="I16" i="10"/>
  <c r="I14" i="10"/>
  <c r="I13" i="10"/>
  <c r="I11" i="10"/>
  <c r="I10" i="10"/>
  <c r="Q53" i="21" l="1"/>
  <c r="O57" i="22"/>
  <c r="O56" i="26"/>
  <c r="O29" i="27"/>
  <c r="N58" i="21"/>
  <c r="N56" i="26"/>
  <c r="N29" i="27"/>
  <c r="N50" i="26"/>
  <c r="N23" i="27"/>
  <c r="O40" i="27"/>
  <c r="O13" i="28"/>
  <c r="P40" i="27"/>
  <c r="P13" i="28"/>
  <c r="P53" i="22"/>
  <c r="P26" i="26"/>
  <c r="S26" i="26" s="1"/>
  <c r="N53" i="22"/>
  <c r="N58" i="22" s="1"/>
  <c r="N26" i="26"/>
  <c r="N44" i="22"/>
  <c r="N17" i="26"/>
  <c r="P47" i="30"/>
  <c r="P47" i="31"/>
  <c r="P47" i="32"/>
  <c r="P29" i="27"/>
  <c r="P56" i="26"/>
  <c r="O28" i="27"/>
  <c r="O55" i="26"/>
  <c r="O47" i="26"/>
  <c r="O20" i="27"/>
  <c r="N55" i="26"/>
  <c r="N28" i="27"/>
  <c r="O50" i="26"/>
  <c r="O23" i="27"/>
  <c r="O22" i="27"/>
  <c r="O49" i="26"/>
  <c r="S14" i="22"/>
  <c r="P14" i="26"/>
  <c r="N46" i="26"/>
  <c r="N19" i="27"/>
  <c r="R41" i="26"/>
  <c r="Q41" i="26"/>
  <c r="P25" i="27"/>
  <c r="P52" i="26"/>
  <c r="M40" i="26"/>
  <c r="M13" i="27"/>
  <c r="R13" i="26"/>
  <c r="S13" i="26"/>
  <c r="N31" i="22"/>
  <c r="M26" i="27"/>
  <c r="M53" i="26"/>
  <c r="R26" i="26"/>
  <c r="Q26" i="26"/>
  <c r="P16" i="27"/>
  <c r="P43" i="26"/>
  <c r="N20" i="27"/>
  <c r="N47" i="26"/>
  <c r="Q47" i="26" s="1"/>
  <c r="O19" i="27"/>
  <c r="O46" i="26"/>
  <c r="N25" i="27"/>
  <c r="N52" i="26"/>
  <c r="P28" i="27"/>
  <c r="P55" i="26"/>
  <c r="N41" i="27"/>
  <c r="N14" i="28"/>
  <c r="P19" i="27"/>
  <c r="P46" i="26"/>
  <c r="O52" i="26"/>
  <c r="O25" i="27"/>
  <c r="P23" i="27"/>
  <c r="P50" i="26"/>
  <c r="O31" i="26"/>
  <c r="M50" i="26"/>
  <c r="M23" i="27"/>
  <c r="R23" i="26"/>
  <c r="Q23" i="26"/>
  <c r="S23" i="26"/>
  <c r="P17" i="27"/>
  <c r="P44" i="26"/>
  <c r="S44" i="26" s="1"/>
  <c r="N43" i="26"/>
  <c r="N16" i="27"/>
  <c r="P57" i="22"/>
  <c r="O44" i="26"/>
  <c r="R44" i="26" s="1"/>
  <c r="O17" i="27"/>
  <c r="P20" i="27"/>
  <c r="P47" i="26"/>
  <c r="P22" i="27"/>
  <c r="P49" i="26"/>
  <c r="O53" i="26"/>
  <c r="O26" i="27"/>
  <c r="O14" i="28"/>
  <c r="O41" i="27"/>
  <c r="N49" i="26"/>
  <c r="N22" i="27"/>
  <c r="O58" i="22"/>
  <c r="S20" i="26"/>
  <c r="O16" i="27"/>
  <c r="O30" i="27" s="1"/>
  <c r="O43" i="26"/>
  <c r="Q14" i="27"/>
  <c r="M41" i="27"/>
  <c r="M14" i="28"/>
  <c r="R14" i="27"/>
  <c r="M17" i="28"/>
  <c r="R17" i="27"/>
  <c r="M44" i="27"/>
  <c r="O57" i="26"/>
  <c r="P30" i="26"/>
  <c r="M47" i="29"/>
  <c r="M47" i="28"/>
  <c r="R47" i="26"/>
  <c r="S20" i="27"/>
  <c r="R20" i="27"/>
  <c r="M47" i="27"/>
  <c r="M16" i="22"/>
  <c r="M16" i="26" s="1"/>
  <c r="S16" i="21"/>
  <c r="M43" i="21"/>
  <c r="R16" i="21"/>
  <c r="Q16" i="21"/>
  <c r="M19" i="22"/>
  <c r="M19" i="26" s="1"/>
  <c r="S19" i="21"/>
  <c r="Q19" i="21"/>
  <c r="R19" i="21"/>
  <c r="Q17" i="22"/>
  <c r="S40" i="21"/>
  <c r="R40" i="21"/>
  <c r="S50" i="21"/>
  <c r="R50" i="21"/>
  <c r="Q50" i="21"/>
  <c r="N13" i="22"/>
  <c r="N13" i="26" s="1"/>
  <c r="N40" i="21"/>
  <c r="N57" i="21" s="1"/>
  <c r="N30" i="21"/>
  <c r="M46" i="21"/>
  <c r="S53" i="21"/>
  <c r="R53" i="21"/>
  <c r="M29" i="21"/>
  <c r="Q26" i="20"/>
  <c r="S26" i="20"/>
  <c r="R26" i="20"/>
  <c r="M28" i="20"/>
  <c r="R44" i="22"/>
  <c r="S44" i="22"/>
  <c r="Q44" i="22"/>
  <c r="R13" i="22"/>
  <c r="S13" i="22"/>
  <c r="Q13" i="22"/>
  <c r="M40" i="22"/>
  <c r="M50" i="22"/>
  <c r="R23" i="22"/>
  <c r="Q23" i="22"/>
  <c r="S23" i="22"/>
  <c r="R41" i="22"/>
  <c r="Q41" i="22"/>
  <c r="M53" i="22"/>
  <c r="S26" i="22"/>
  <c r="Q26" i="22"/>
  <c r="R26" i="22"/>
  <c r="P58" i="21"/>
  <c r="M22" i="22"/>
  <c r="M22" i="26" s="1"/>
  <c r="M49" i="21"/>
  <c r="S22" i="21"/>
  <c r="Q22" i="21"/>
  <c r="R22" i="21"/>
  <c r="S47" i="22"/>
  <c r="Q47" i="22"/>
  <c r="R47" i="22"/>
  <c r="P31" i="22"/>
  <c r="P41" i="22"/>
  <c r="P58" i="22" s="1"/>
  <c r="M25" i="21"/>
  <c r="M30" i="21" s="1"/>
  <c r="R22" i="20"/>
  <c r="Q22" i="20"/>
  <c r="S22" i="20"/>
  <c r="M28" i="22"/>
  <c r="M28" i="26" s="1"/>
  <c r="M55" i="21"/>
  <c r="R28" i="21"/>
  <c r="S28" i="21"/>
  <c r="Q28" i="21"/>
  <c r="M27" i="20"/>
  <c r="S28" i="19"/>
  <c r="R28" i="19"/>
  <c r="L28" i="17"/>
  <c r="J28" i="17"/>
  <c r="R26" i="17"/>
  <c r="S26" i="17"/>
  <c r="Q26" i="17"/>
  <c r="M28" i="17"/>
  <c r="L27" i="17"/>
  <c r="K27" i="17"/>
  <c r="J27" i="17"/>
  <c r="R25" i="17"/>
  <c r="Q25" i="17"/>
  <c r="S25" i="17"/>
  <c r="M27" i="17"/>
  <c r="P27" i="1"/>
  <c r="P28" i="1"/>
  <c r="O31" i="27" l="1"/>
  <c r="P57" i="26"/>
  <c r="O58" i="26"/>
  <c r="N40" i="26"/>
  <c r="N57" i="26" s="1"/>
  <c r="N13" i="27"/>
  <c r="N30" i="26"/>
  <c r="M14" i="29"/>
  <c r="M41" i="28"/>
  <c r="Q14" i="28"/>
  <c r="R14" i="28"/>
  <c r="N22" i="28"/>
  <c r="N49" i="27"/>
  <c r="P22" i="28"/>
  <c r="P49" i="27"/>
  <c r="P57" i="27" s="1"/>
  <c r="M53" i="27"/>
  <c r="M26" i="28"/>
  <c r="R26" i="27"/>
  <c r="P29" i="28"/>
  <c r="P56" i="27"/>
  <c r="P26" i="27"/>
  <c r="P53" i="26"/>
  <c r="S53" i="26" s="1"/>
  <c r="N23" i="28"/>
  <c r="N50" i="27"/>
  <c r="O46" i="27"/>
  <c r="O57" i="27" s="1"/>
  <c r="O19" i="28"/>
  <c r="Q41" i="27"/>
  <c r="R41" i="27"/>
  <c r="P17" i="28"/>
  <c r="P44" i="27"/>
  <c r="S44" i="27" s="1"/>
  <c r="P23" i="28"/>
  <c r="P50" i="27"/>
  <c r="N20" i="28"/>
  <c r="N47" i="27"/>
  <c r="P25" i="28"/>
  <c r="P52" i="27"/>
  <c r="N28" i="28"/>
  <c r="N55" i="27"/>
  <c r="P20" i="28"/>
  <c r="P47" i="27"/>
  <c r="S47" i="27" s="1"/>
  <c r="O52" i="27"/>
  <c r="O25" i="28"/>
  <c r="P40" i="28"/>
  <c r="N29" i="28"/>
  <c r="N56" i="27"/>
  <c r="M43" i="26"/>
  <c r="M16" i="27"/>
  <c r="S16" i="26"/>
  <c r="Q16" i="26"/>
  <c r="R16" i="26"/>
  <c r="P14" i="27"/>
  <c r="P41" i="26"/>
  <c r="S41" i="26" s="1"/>
  <c r="P31" i="26"/>
  <c r="S14" i="26"/>
  <c r="M49" i="26"/>
  <c r="M22" i="27"/>
  <c r="R22" i="26"/>
  <c r="S22" i="26"/>
  <c r="Q22" i="26"/>
  <c r="Q20" i="27"/>
  <c r="S17" i="27"/>
  <c r="O14" i="29"/>
  <c r="O41" i="28"/>
  <c r="O44" i="27"/>
  <c r="R44" i="27" s="1"/>
  <c r="O17" i="28"/>
  <c r="P28" i="28"/>
  <c r="P55" i="27"/>
  <c r="P16" i="28"/>
  <c r="P43" i="27"/>
  <c r="O47" i="27"/>
  <c r="O20" i="28"/>
  <c r="S40" i="26"/>
  <c r="R40" i="26"/>
  <c r="Q40" i="26"/>
  <c r="N44" i="26"/>
  <c r="N17" i="27"/>
  <c r="Q17" i="26"/>
  <c r="N31" i="26"/>
  <c r="P30" i="27"/>
  <c r="N14" i="29"/>
  <c r="N41" i="28"/>
  <c r="O50" i="27"/>
  <c r="O23" i="28"/>
  <c r="Q28" i="26"/>
  <c r="M28" i="27"/>
  <c r="R28" i="26"/>
  <c r="M55" i="26"/>
  <c r="S28" i="26"/>
  <c r="O16" i="28"/>
  <c r="O43" i="27"/>
  <c r="O53" i="27"/>
  <c r="O26" i="28"/>
  <c r="M50" i="27"/>
  <c r="S23" i="27"/>
  <c r="M23" i="28"/>
  <c r="Q23" i="27"/>
  <c r="R23" i="27"/>
  <c r="N52" i="27"/>
  <c r="N25" i="28"/>
  <c r="Q13" i="26"/>
  <c r="N19" i="28"/>
  <c r="N46" i="27"/>
  <c r="O13" i="29"/>
  <c r="O40" i="28"/>
  <c r="O29" i="28"/>
  <c r="O56" i="27"/>
  <c r="S47" i="26"/>
  <c r="M44" i="28"/>
  <c r="M17" i="29"/>
  <c r="S17" i="28"/>
  <c r="N43" i="27"/>
  <c r="N16" i="28"/>
  <c r="S50" i="26"/>
  <c r="R50" i="26"/>
  <c r="Q50" i="26"/>
  <c r="P19" i="28"/>
  <c r="P46" i="27"/>
  <c r="R53" i="26"/>
  <c r="S13" i="27"/>
  <c r="R13" i="27"/>
  <c r="Q13" i="27"/>
  <c r="M13" i="28"/>
  <c r="M40" i="27"/>
  <c r="O49" i="27"/>
  <c r="O22" i="28"/>
  <c r="O55" i="27"/>
  <c r="O28" i="28"/>
  <c r="N26" i="27"/>
  <c r="Q26" i="27" s="1"/>
  <c r="N53" i="26"/>
  <c r="Q53" i="26" s="1"/>
  <c r="Q47" i="27"/>
  <c r="R47" i="27"/>
  <c r="M46" i="26"/>
  <c r="M19" i="27"/>
  <c r="R19" i="26"/>
  <c r="S19" i="26"/>
  <c r="M30" i="26"/>
  <c r="Q19" i="26"/>
  <c r="Q30" i="21"/>
  <c r="S30" i="21"/>
  <c r="R30" i="21"/>
  <c r="S46" i="21"/>
  <c r="R46" i="21"/>
  <c r="Q46" i="21"/>
  <c r="R27" i="20"/>
  <c r="S27" i="20"/>
  <c r="Q27" i="20"/>
  <c r="R53" i="22"/>
  <c r="Q53" i="22"/>
  <c r="S53" i="22"/>
  <c r="S40" i="22"/>
  <c r="R40" i="22"/>
  <c r="S28" i="20"/>
  <c r="Q28" i="20"/>
  <c r="R28" i="20"/>
  <c r="S41" i="22"/>
  <c r="Q40" i="21"/>
  <c r="S50" i="22"/>
  <c r="Q50" i="22"/>
  <c r="R50" i="22"/>
  <c r="Q49" i="21"/>
  <c r="S49" i="21"/>
  <c r="R49" i="21"/>
  <c r="N40" i="22"/>
  <c r="N57" i="22" s="1"/>
  <c r="N30" i="22"/>
  <c r="S43" i="21"/>
  <c r="R43" i="21"/>
  <c r="Q43" i="21"/>
  <c r="Q19" i="22"/>
  <c r="R19" i="22"/>
  <c r="M46" i="22"/>
  <c r="S19" i="22"/>
  <c r="M25" i="22"/>
  <c r="M25" i="26" s="1"/>
  <c r="M52" i="21"/>
  <c r="R25" i="21"/>
  <c r="Q25" i="21"/>
  <c r="S25" i="21"/>
  <c r="R55" i="21"/>
  <c r="Q55" i="21"/>
  <c r="S55" i="21"/>
  <c r="M49" i="22"/>
  <c r="R22" i="22"/>
  <c r="S22" i="22"/>
  <c r="Q22" i="22"/>
  <c r="M55" i="22"/>
  <c r="S28" i="22"/>
  <c r="R28" i="22"/>
  <c r="Q28" i="22"/>
  <c r="M30" i="22"/>
  <c r="M29" i="22"/>
  <c r="M29" i="26" s="1"/>
  <c r="M56" i="21"/>
  <c r="S29" i="21"/>
  <c r="R29" i="21"/>
  <c r="Q29" i="21"/>
  <c r="M31" i="21"/>
  <c r="M43" i="22"/>
  <c r="S16" i="22"/>
  <c r="R16" i="22"/>
  <c r="Q16" i="22"/>
  <c r="S28" i="17"/>
  <c r="Q28" i="17"/>
  <c r="R28" i="17"/>
  <c r="R27" i="17"/>
  <c r="S27" i="17"/>
  <c r="Q27" i="17"/>
  <c r="O10" i="9"/>
  <c r="J10" i="9"/>
  <c r="O26" i="10"/>
  <c r="M28" i="10"/>
  <c r="H28" i="10"/>
  <c r="I17" i="10"/>
  <c r="P28" i="10"/>
  <c r="L28" i="10"/>
  <c r="G28" i="10"/>
  <c r="Q27" i="10"/>
  <c r="P27" i="10"/>
  <c r="M27" i="10"/>
  <c r="L27" i="10"/>
  <c r="K27" i="10"/>
  <c r="H27" i="10"/>
  <c r="G27" i="10"/>
  <c r="F27" i="10"/>
  <c r="N26" i="10"/>
  <c r="O25" i="10"/>
  <c r="N25" i="10"/>
  <c r="J25" i="10"/>
  <c r="O23" i="10"/>
  <c r="N23" i="10"/>
  <c r="J23" i="10"/>
  <c r="O22" i="10"/>
  <c r="N22" i="10"/>
  <c r="J22" i="10"/>
  <c r="O20" i="10"/>
  <c r="N20" i="10"/>
  <c r="J20" i="10"/>
  <c r="O19" i="10"/>
  <c r="N19" i="10"/>
  <c r="J19" i="10"/>
  <c r="Q28" i="10"/>
  <c r="J17" i="10"/>
  <c r="O16" i="10"/>
  <c r="N16" i="10"/>
  <c r="J16" i="10"/>
  <c r="O14" i="10"/>
  <c r="N14" i="10"/>
  <c r="J14" i="10"/>
  <c r="O13" i="10"/>
  <c r="N13" i="10"/>
  <c r="J13" i="10"/>
  <c r="O11" i="10"/>
  <c r="N11" i="10"/>
  <c r="J11" i="10"/>
  <c r="O10" i="10"/>
  <c r="N10" i="10"/>
  <c r="J10" i="10"/>
  <c r="Q40" i="22" l="1"/>
  <c r="O58" i="27"/>
  <c r="P43" i="28"/>
  <c r="P16" i="29"/>
  <c r="P44" i="30"/>
  <c r="P44" i="31"/>
  <c r="P44" i="32"/>
  <c r="M44" i="29"/>
  <c r="N56" i="28"/>
  <c r="N29" i="29"/>
  <c r="N55" i="28"/>
  <c r="N28" i="29"/>
  <c r="P17" i="29"/>
  <c r="P44" i="28"/>
  <c r="S44" i="28" s="1"/>
  <c r="N50" i="28"/>
  <c r="N23" i="29"/>
  <c r="M40" i="28"/>
  <c r="M13" i="29"/>
  <c r="R13" i="28"/>
  <c r="S13" i="28"/>
  <c r="N26" i="28"/>
  <c r="Q26" i="28" s="1"/>
  <c r="N53" i="27"/>
  <c r="Q53" i="27" s="1"/>
  <c r="N46" i="28"/>
  <c r="N19" i="29"/>
  <c r="S50" i="27"/>
  <c r="R50" i="27"/>
  <c r="Q50" i="27"/>
  <c r="Q28" i="27"/>
  <c r="R28" i="27"/>
  <c r="M55" i="27"/>
  <c r="S28" i="27"/>
  <c r="M28" i="28"/>
  <c r="P55" i="28"/>
  <c r="P28" i="29"/>
  <c r="P31" i="27"/>
  <c r="P14" i="28"/>
  <c r="P41" i="27"/>
  <c r="S14" i="27"/>
  <c r="P47" i="28"/>
  <c r="S47" i="28" s="1"/>
  <c r="P20" i="29"/>
  <c r="S20" i="28"/>
  <c r="P58" i="26"/>
  <c r="R53" i="27"/>
  <c r="O40" i="29"/>
  <c r="R40" i="32"/>
  <c r="R40" i="30"/>
  <c r="R40" i="31"/>
  <c r="M26" i="29"/>
  <c r="R26" i="28"/>
  <c r="M53" i="28"/>
  <c r="O55" i="28"/>
  <c r="O28" i="29"/>
  <c r="O53" i="28"/>
  <c r="O26" i="29"/>
  <c r="O44" i="28"/>
  <c r="R44" i="28" s="1"/>
  <c r="O17" i="29"/>
  <c r="R17" i="29" s="1"/>
  <c r="P30" i="28"/>
  <c r="P52" i="28"/>
  <c r="P25" i="29"/>
  <c r="P26" i="28"/>
  <c r="P53" i="27"/>
  <c r="S53" i="27" s="1"/>
  <c r="R41" i="28"/>
  <c r="Q41" i="28"/>
  <c r="M50" i="28"/>
  <c r="M23" i="29"/>
  <c r="Q23" i="28"/>
  <c r="S23" i="28"/>
  <c r="R23" i="28"/>
  <c r="N43" i="28"/>
  <c r="N16" i="29"/>
  <c r="N52" i="28"/>
  <c r="N25" i="29"/>
  <c r="O50" i="28"/>
  <c r="O23" i="29"/>
  <c r="N17" i="28"/>
  <c r="N44" i="27"/>
  <c r="Q17" i="27"/>
  <c r="N31" i="27"/>
  <c r="P41" i="30"/>
  <c r="P41" i="31"/>
  <c r="P41" i="32"/>
  <c r="R14" i="29"/>
  <c r="Q14" i="29"/>
  <c r="M41" i="29"/>
  <c r="M52" i="26"/>
  <c r="M25" i="27"/>
  <c r="M30" i="27" s="1"/>
  <c r="S25" i="26"/>
  <c r="Q25" i="26"/>
  <c r="R25" i="26"/>
  <c r="O49" i="28"/>
  <c r="O22" i="29"/>
  <c r="O56" i="28"/>
  <c r="O29" i="29"/>
  <c r="N58" i="26"/>
  <c r="Q44" i="26"/>
  <c r="O47" i="28"/>
  <c r="R47" i="28" s="1"/>
  <c r="O20" i="29"/>
  <c r="R20" i="28"/>
  <c r="M49" i="27"/>
  <c r="Q22" i="27"/>
  <c r="M22" i="28"/>
  <c r="S22" i="27"/>
  <c r="R22" i="27"/>
  <c r="N47" i="28"/>
  <c r="Q47" i="28" s="1"/>
  <c r="N20" i="29"/>
  <c r="Q20" i="28"/>
  <c r="P56" i="28"/>
  <c r="P29" i="29"/>
  <c r="P49" i="28"/>
  <c r="P22" i="29"/>
  <c r="P46" i="28"/>
  <c r="P19" i="29"/>
  <c r="R17" i="28"/>
  <c r="O30" i="28"/>
  <c r="O43" i="28"/>
  <c r="O16" i="29"/>
  <c r="O31" i="28"/>
  <c r="Q49" i="26"/>
  <c r="R49" i="26"/>
  <c r="S49" i="26"/>
  <c r="Q16" i="27"/>
  <c r="R16" i="27"/>
  <c r="M16" i="28"/>
  <c r="M43" i="27"/>
  <c r="S16" i="27"/>
  <c r="O46" i="28"/>
  <c r="O19" i="29"/>
  <c r="N30" i="27"/>
  <c r="N40" i="27"/>
  <c r="N57" i="27" s="1"/>
  <c r="N13" i="28"/>
  <c r="Q13" i="28" s="1"/>
  <c r="S55" i="26"/>
  <c r="R55" i="26"/>
  <c r="Q55" i="26"/>
  <c r="R40" i="27"/>
  <c r="S40" i="27"/>
  <c r="Q41" i="30"/>
  <c r="Q41" i="31"/>
  <c r="Q41" i="32"/>
  <c r="N41" i="29"/>
  <c r="R41" i="30"/>
  <c r="R41" i="32"/>
  <c r="R41" i="31"/>
  <c r="O41" i="29"/>
  <c r="S43" i="26"/>
  <c r="R43" i="26"/>
  <c r="Q43" i="26"/>
  <c r="O52" i="28"/>
  <c r="O25" i="29"/>
  <c r="P50" i="28"/>
  <c r="P23" i="29"/>
  <c r="S26" i="27"/>
  <c r="N49" i="28"/>
  <c r="N22" i="29"/>
  <c r="M19" i="28"/>
  <c r="M56" i="26"/>
  <c r="M29" i="27"/>
  <c r="M31" i="27" s="1"/>
  <c r="R29" i="26"/>
  <c r="Q29" i="26"/>
  <c r="S29" i="26"/>
  <c r="M31" i="26"/>
  <c r="R30" i="26"/>
  <c r="S30" i="26"/>
  <c r="Q30" i="26"/>
  <c r="S19" i="27"/>
  <c r="R19" i="27"/>
  <c r="Q19" i="27"/>
  <c r="M46" i="27"/>
  <c r="Q46" i="26"/>
  <c r="S46" i="26"/>
  <c r="R46" i="26"/>
  <c r="M57" i="26"/>
  <c r="S56" i="21"/>
  <c r="R56" i="21"/>
  <c r="Q56" i="21"/>
  <c r="M58" i="21"/>
  <c r="M31" i="22"/>
  <c r="Q29" i="22"/>
  <c r="M56" i="22"/>
  <c r="S29" i="22"/>
  <c r="R29" i="22"/>
  <c r="S52" i="21"/>
  <c r="R52" i="21"/>
  <c r="Q52" i="21"/>
  <c r="M57" i="21"/>
  <c r="Q30" i="22"/>
  <c r="S30" i="22"/>
  <c r="R30" i="22"/>
  <c r="Q49" i="22"/>
  <c r="S49" i="22"/>
  <c r="R49" i="22"/>
  <c r="M52" i="22"/>
  <c r="S25" i="22"/>
  <c r="Q25" i="22"/>
  <c r="R25" i="22"/>
  <c r="Q43" i="22"/>
  <c r="S43" i="22"/>
  <c r="R43" i="22"/>
  <c r="R31" i="21"/>
  <c r="Q31" i="21"/>
  <c r="S31" i="21"/>
  <c r="S46" i="22"/>
  <c r="R46" i="22"/>
  <c r="Q46" i="22"/>
  <c r="S55" i="22"/>
  <c r="R55" i="22"/>
  <c r="Q55" i="22"/>
  <c r="J26" i="10"/>
  <c r="I26" i="10"/>
  <c r="O17" i="10"/>
  <c r="N27" i="10"/>
  <c r="F28" i="10"/>
  <c r="I28" i="10" s="1"/>
  <c r="O27" i="10"/>
  <c r="I27" i="10"/>
  <c r="J27" i="10"/>
  <c r="K28" i="10"/>
  <c r="N17" i="10"/>
  <c r="O58" i="28" l="1"/>
  <c r="O57" i="28"/>
  <c r="O30" i="29"/>
  <c r="P57" i="28"/>
  <c r="R52" i="30"/>
  <c r="R52" i="31"/>
  <c r="R52" i="32"/>
  <c r="O52" i="29"/>
  <c r="N47" i="29"/>
  <c r="Q47" i="29" s="1"/>
  <c r="Q47" i="30"/>
  <c r="U47" i="30" s="1"/>
  <c r="Q47" i="31"/>
  <c r="U47" i="31" s="1"/>
  <c r="Q47" i="32"/>
  <c r="U47" i="32" s="1"/>
  <c r="Q20" i="29"/>
  <c r="Q44" i="27"/>
  <c r="N58" i="27"/>
  <c r="N53" i="28"/>
  <c r="Q53" i="28" s="1"/>
  <c r="N26" i="29"/>
  <c r="Q26" i="29" s="1"/>
  <c r="O53" i="29"/>
  <c r="R53" i="30"/>
  <c r="R53" i="31"/>
  <c r="R53" i="32"/>
  <c r="O46" i="29"/>
  <c r="R46" i="30"/>
  <c r="R46" i="31"/>
  <c r="R46" i="32"/>
  <c r="P46" i="29"/>
  <c r="S46" i="30"/>
  <c r="S46" i="31"/>
  <c r="S46" i="32"/>
  <c r="R47" i="30"/>
  <c r="V47" i="30" s="1"/>
  <c r="R47" i="31"/>
  <c r="V47" i="31" s="1"/>
  <c r="R47" i="32"/>
  <c r="V47" i="32" s="1"/>
  <c r="O47" i="29"/>
  <c r="R47" i="29" s="1"/>
  <c r="R20" i="29"/>
  <c r="N17" i="29"/>
  <c r="N44" i="28"/>
  <c r="Q17" i="28"/>
  <c r="N31" i="28"/>
  <c r="P53" i="28"/>
  <c r="P26" i="29"/>
  <c r="S26" i="29" s="1"/>
  <c r="O55" i="29"/>
  <c r="R55" i="30"/>
  <c r="R55" i="31"/>
  <c r="R55" i="32"/>
  <c r="S55" i="31"/>
  <c r="S55" i="30"/>
  <c r="S55" i="32"/>
  <c r="P55" i="29"/>
  <c r="S44" i="30"/>
  <c r="W44" i="30" s="1"/>
  <c r="S44" i="31"/>
  <c r="S44" i="32"/>
  <c r="W44" i="32" s="1"/>
  <c r="P44" i="29"/>
  <c r="S44" i="29"/>
  <c r="R41" i="29"/>
  <c r="Q41" i="29"/>
  <c r="M19" i="29"/>
  <c r="Q40" i="27"/>
  <c r="O50" i="29"/>
  <c r="R50" i="30"/>
  <c r="R50" i="31"/>
  <c r="R50" i="32"/>
  <c r="S52" i="30"/>
  <c r="S52" i="31"/>
  <c r="S52" i="32"/>
  <c r="P52" i="29"/>
  <c r="P47" i="29"/>
  <c r="S47" i="29" s="1"/>
  <c r="S47" i="30"/>
  <c r="W47" i="30" s="1"/>
  <c r="S47" i="31"/>
  <c r="W47" i="31" s="1"/>
  <c r="S47" i="32"/>
  <c r="W47" i="32" s="1"/>
  <c r="S20" i="29"/>
  <c r="Q55" i="30"/>
  <c r="Q55" i="31"/>
  <c r="Q55" i="32"/>
  <c r="N55" i="29"/>
  <c r="R49" i="30"/>
  <c r="R49" i="31"/>
  <c r="R49" i="32"/>
  <c r="O49" i="29"/>
  <c r="S49" i="30"/>
  <c r="S49" i="31"/>
  <c r="S49" i="32"/>
  <c r="P49" i="29"/>
  <c r="V41" i="32"/>
  <c r="U41" i="32"/>
  <c r="M50" i="29"/>
  <c r="P50" i="31"/>
  <c r="P50" i="30"/>
  <c r="P50" i="32"/>
  <c r="R23" i="29"/>
  <c r="Q23" i="29"/>
  <c r="R53" i="28"/>
  <c r="S53" i="28"/>
  <c r="M28" i="29"/>
  <c r="Q28" i="28"/>
  <c r="S28" i="28"/>
  <c r="R28" i="28"/>
  <c r="M55" i="28"/>
  <c r="N46" i="29"/>
  <c r="Q46" i="30"/>
  <c r="Q46" i="31"/>
  <c r="Q46" i="32"/>
  <c r="V44" i="31"/>
  <c r="W44" i="31"/>
  <c r="Q43" i="27"/>
  <c r="R43" i="27"/>
  <c r="S43" i="27"/>
  <c r="S22" i="28"/>
  <c r="M22" i="29"/>
  <c r="Q22" i="28"/>
  <c r="R22" i="28"/>
  <c r="M49" i="28"/>
  <c r="V41" i="31"/>
  <c r="U41" i="31"/>
  <c r="Q52" i="30"/>
  <c r="Q52" i="31"/>
  <c r="Q52" i="32"/>
  <c r="N52" i="29"/>
  <c r="S50" i="28"/>
  <c r="R50" i="28"/>
  <c r="Q50" i="28"/>
  <c r="R13" i="29"/>
  <c r="P40" i="30"/>
  <c r="P40" i="31"/>
  <c r="P40" i="32"/>
  <c r="M40" i="29"/>
  <c r="Q56" i="30"/>
  <c r="Q56" i="31"/>
  <c r="Q56" i="32"/>
  <c r="N56" i="29"/>
  <c r="P31" i="28"/>
  <c r="P14" i="29"/>
  <c r="P41" i="28"/>
  <c r="S14" i="28"/>
  <c r="M43" i="28"/>
  <c r="M16" i="29"/>
  <c r="S16" i="28"/>
  <c r="R16" i="28"/>
  <c r="Q16" i="28"/>
  <c r="O43" i="29"/>
  <c r="R43" i="30"/>
  <c r="R43" i="32"/>
  <c r="R43" i="31"/>
  <c r="S56" i="30"/>
  <c r="S56" i="31"/>
  <c r="S56" i="32"/>
  <c r="P56" i="29"/>
  <c r="O56" i="29"/>
  <c r="R56" i="30"/>
  <c r="R56" i="31"/>
  <c r="R56" i="32"/>
  <c r="S25" i="27"/>
  <c r="Q25" i="27"/>
  <c r="R25" i="27"/>
  <c r="M52" i="27"/>
  <c r="M57" i="27" s="1"/>
  <c r="M25" i="28"/>
  <c r="V41" i="30"/>
  <c r="U41" i="30"/>
  <c r="O44" i="29"/>
  <c r="O58" i="29" s="1"/>
  <c r="R44" i="30"/>
  <c r="R44" i="31"/>
  <c r="R44" i="32"/>
  <c r="V44" i="32" s="1"/>
  <c r="S26" i="28"/>
  <c r="S55" i="27"/>
  <c r="R55" i="27"/>
  <c r="Q55" i="27"/>
  <c r="Q40" i="28"/>
  <c r="S40" i="28"/>
  <c r="R40" i="28"/>
  <c r="P43" i="29"/>
  <c r="S43" i="30"/>
  <c r="S43" i="31"/>
  <c r="S43" i="32"/>
  <c r="Q49" i="30"/>
  <c r="Q49" i="32"/>
  <c r="Q49" i="31"/>
  <c r="N49" i="29"/>
  <c r="S23" i="29"/>
  <c r="S50" i="30"/>
  <c r="S50" i="31"/>
  <c r="S50" i="32"/>
  <c r="P50" i="29"/>
  <c r="O31" i="29"/>
  <c r="N40" i="28"/>
  <c r="N57" i="28" s="1"/>
  <c r="N13" i="29"/>
  <c r="Q13" i="29" s="1"/>
  <c r="N30" i="28"/>
  <c r="Q49" i="27"/>
  <c r="S49" i="27"/>
  <c r="R49" i="27"/>
  <c r="S52" i="26"/>
  <c r="R52" i="26"/>
  <c r="Q52" i="26"/>
  <c r="N43" i="29"/>
  <c r="Q43" i="31"/>
  <c r="Q43" i="30"/>
  <c r="Q43" i="32"/>
  <c r="P53" i="31"/>
  <c r="P53" i="30"/>
  <c r="P53" i="32"/>
  <c r="R26" i="29"/>
  <c r="M53" i="29"/>
  <c r="P58" i="27"/>
  <c r="S41" i="27"/>
  <c r="N50" i="29"/>
  <c r="Q50" i="30"/>
  <c r="Q50" i="31"/>
  <c r="Q50" i="32"/>
  <c r="S17" i="29"/>
  <c r="S19" i="28"/>
  <c r="M46" i="28"/>
  <c r="Q19" i="28"/>
  <c r="R19" i="28"/>
  <c r="M29" i="28"/>
  <c r="M29" i="29" s="1"/>
  <c r="S31" i="26"/>
  <c r="Q31" i="26"/>
  <c r="R31" i="26"/>
  <c r="M56" i="27"/>
  <c r="M58" i="27" s="1"/>
  <c r="R29" i="27"/>
  <c r="S29" i="27"/>
  <c r="Q29" i="27"/>
  <c r="S56" i="26"/>
  <c r="R56" i="26"/>
  <c r="Q56" i="26"/>
  <c r="M58" i="26"/>
  <c r="Q46" i="27"/>
  <c r="R46" i="27"/>
  <c r="S46" i="27"/>
  <c r="S57" i="26"/>
  <c r="Q57" i="26"/>
  <c r="R57" i="26"/>
  <c r="S30" i="27"/>
  <c r="R30" i="27"/>
  <c r="Q30" i="27"/>
  <c r="R57" i="21"/>
  <c r="Q57" i="21"/>
  <c r="S57" i="21"/>
  <c r="R31" i="22"/>
  <c r="Q31" i="22"/>
  <c r="S31" i="22"/>
  <c r="S52" i="22"/>
  <c r="Q52" i="22"/>
  <c r="R52" i="22"/>
  <c r="S58" i="21"/>
  <c r="Q58" i="21"/>
  <c r="R58" i="21"/>
  <c r="Q56" i="22"/>
  <c r="S56" i="22"/>
  <c r="R56" i="22"/>
  <c r="M58" i="22"/>
  <c r="M57" i="22"/>
  <c r="J28" i="10"/>
  <c r="O28" i="10"/>
  <c r="N28" i="10"/>
  <c r="O57" i="29" l="1"/>
  <c r="R57" i="30"/>
  <c r="R58" i="31"/>
  <c r="R58" i="30"/>
  <c r="R57" i="32"/>
  <c r="R58" i="32"/>
  <c r="V53" i="31"/>
  <c r="P41" i="29"/>
  <c r="S41" i="30"/>
  <c r="S41" i="31"/>
  <c r="S41" i="32"/>
  <c r="P31" i="29"/>
  <c r="S14" i="29"/>
  <c r="P55" i="30"/>
  <c r="P55" i="31"/>
  <c r="M55" i="29"/>
  <c r="S28" i="29"/>
  <c r="R28" i="29"/>
  <c r="Q28" i="29"/>
  <c r="W50" i="30"/>
  <c r="V50" i="30"/>
  <c r="U50" i="30"/>
  <c r="M43" i="29"/>
  <c r="P43" i="30"/>
  <c r="P43" i="31"/>
  <c r="P43" i="32"/>
  <c r="R16" i="29"/>
  <c r="Q16" i="29"/>
  <c r="S16" i="29"/>
  <c r="W50" i="31"/>
  <c r="U50" i="31"/>
  <c r="V50" i="31"/>
  <c r="P53" i="29"/>
  <c r="S53" i="29" s="1"/>
  <c r="S53" i="30"/>
  <c r="W53" i="30" s="1"/>
  <c r="S53" i="31"/>
  <c r="W53" i="31" s="1"/>
  <c r="S53" i="32"/>
  <c r="W53" i="32" s="1"/>
  <c r="Q53" i="30"/>
  <c r="U53" i="30" s="1"/>
  <c r="Q53" i="31"/>
  <c r="U53" i="31" s="1"/>
  <c r="Q53" i="32"/>
  <c r="U53" i="32" s="1"/>
  <c r="N53" i="29"/>
  <c r="Q53" i="29" s="1"/>
  <c r="P58" i="28"/>
  <c r="S41" i="28"/>
  <c r="S43" i="28"/>
  <c r="R43" i="28"/>
  <c r="Q43" i="28"/>
  <c r="V44" i="30"/>
  <c r="R50" i="29"/>
  <c r="Q50" i="29"/>
  <c r="S50" i="29"/>
  <c r="R44" i="29"/>
  <c r="R53" i="29"/>
  <c r="R40" i="29"/>
  <c r="P49" i="30"/>
  <c r="P49" i="31"/>
  <c r="U49" i="31" s="1"/>
  <c r="P49" i="32"/>
  <c r="R22" i="29"/>
  <c r="S22" i="29"/>
  <c r="Q22" i="29"/>
  <c r="M49" i="29"/>
  <c r="V40" i="32"/>
  <c r="S49" i="28"/>
  <c r="Q49" i="28"/>
  <c r="R49" i="28"/>
  <c r="Q55" i="28"/>
  <c r="S55" i="28"/>
  <c r="R55" i="28"/>
  <c r="R57" i="31"/>
  <c r="V50" i="32"/>
  <c r="U50" i="32"/>
  <c r="W50" i="32"/>
  <c r="N40" i="29"/>
  <c r="N57" i="29" s="1"/>
  <c r="Q40" i="31"/>
  <c r="Q57" i="31" s="1"/>
  <c r="Q40" i="30"/>
  <c r="Q57" i="30" s="1"/>
  <c r="Q40" i="32"/>
  <c r="N30" i="29"/>
  <c r="S25" i="28"/>
  <c r="M25" i="29"/>
  <c r="R25" i="28"/>
  <c r="M52" i="28"/>
  <c r="Q25" i="28"/>
  <c r="V40" i="31"/>
  <c r="U40" i="31"/>
  <c r="P46" i="30"/>
  <c r="P46" i="31"/>
  <c r="P46" i="32"/>
  <c r="M46" i="29"/>
  <c r="R19" i="29"/>
  <c r="Q19" i="29"/>
  <c r="S19" i="29"/>
  <c r="Q44" i="28"/>
  <c r="N58" i="28"/>
  <c r="V53" i="30"/>
  <c r="P56" i="30"/>
  <c r="P56" i="31"/>
  <c r="V53" i="32"/>
  <c r="Q52" i="27"/>
  <c r="R52" i="27"/>
  <c r="S52" i="27"/>
  <c r="V40" i="30"/>
  <c r="U40" i="30"/>
  <c r="M30" i="28"/>
  <c r="Q44" i="30"/>
  <c r="Q44" i="31"/>
  <c r="Q44" i="32"/>
  <c r="N44" i="29"/>
  <c r="N31" i="29"/>
  <c r="Q17" i="29"/>
  <c r="Q29" i="28"/>
  <c r="M31" i="28"/>
  <c r="S31" i="28" s="1"/>
  <c r="R29" i="28"/>
  <c r="M56" i="28"/>
  <c r="M58" i="28" s="1"/>
  <c r="Q46" i="28"/>
  <c r="R46" i="28"/>
  <c r="S46" i="28"/>
  <c r="S29" i="28"/>
  <c r="R31" i="27"/>
  <c r="S31" i="27"/>
  <c r="Q31" i="27"/>
  <c r="S58" i="26"/>
  <c r="R58" i="26"/>
  <c r="Q58" i="26"/>
  <c r="R56" i="27"/>
  <c r="Q56" i="27"/>
  <c r="S56" i="27"/>
  <c r="R57" i="27"/>
  <c r="Q57" i="27"/>
  <c r="S57" i="27"/>
  <c r="Q58" i="22"/>
  <c r="R58" i="22"/>
  <c r="S58" i="22"/>
  <c r="R57" i="22"/>
  <c r="Q57" i="22"/>
  <c r="S57" i="22"/>
  <c r="P28" i="9"/>
  <c r="L28" i="9"/>
  <c r="H28" i="9"/>
  <c r="G28" i="9"/>
  <c r="F28" i="9"/>
  <c r="Q27" i="9"/>
  <c r="P27" i="9"/>
  <c r="M27" i="9"/>
  <c r="L27" i="9"/>
  <c r="K27" i="9"/>
  <c r="H27" i="9"/>
  <c r="G27" i="9"/>
  <c r="F27" i="9"/>
  <c r="O26" i="9"/>
  <c r="J26" i="9"/>
  <c r="O25" i="9"/>
  <c r="N25" i="9"/>
  <c r="J25" i="9"/>
  <c r="O23" i="9"/>
  <c r="N23" i="9"/>
  <c r="J23" i="9"/>
  <c r="O22" i="9"/>
  <c r="N22" i="9"/>
  <c r="J22" i="9"/>
  <c r="O20" i="9"/>
  <c r="N20" i="9"/>
  <c r="J20" i="9"/>
  <c r="O19" i="9"/>
  <c r="N19" i="9"/>
  <c r="J19" i="9"/>
  <c r="O17" i="9"/>
  <c r="N17" i="9"/>
  <c r="M28" i="9"/>
  <c r="J17" i="9"/>
  <c r="O16" i="9"/>
  <c r="N16" i="9"/>
  <c r="J16" i="9"/>
  <c r="O14" i="9"/>
  <c r="N14" i="9"/>
  <c r="J14" i="9"/>
  <c r="O13" i="9"/>
  <c r="N13" i="9"/>
  <c r="J13" i="9"/>
  <c r="O11" i="9"/>
  <c r="N11" i="9"/>
  <c r="J11" i="9"/>
  <c r="N10" i="9"/>
  <c r="R56" i="28" l="1"/>
  <c r="Q58" i="30"/>
  <c r="U44" i="30"/>
  <c r="U46" i="31"/>
  <c r="V46" i="31"/>
  <c r="W46" i="31"/>
  <c r="Q40" i="29"/>
  <c r="W43" i="32"/>
  <c r="U43" i="32"/>
  <c r="V43" i="32"/>
  <c r="S58" i="31"/>
  <c r="W41" i="31"/>
  <c r="S30" i="28"/>
  <c r="R30" i="28"/>
  <c r="Q30" i="28"/>
  <c r="W46" i="30"/>
  <c r="V46" i="30"/>
  <c r="U46" i="30"/>
  <c r="P52" i="30"/>
  <c r="P52" i="31"/>
  <c r="P52" i="32"/>
  <c r="S25" i="29"/>
  <c r="M52" i="29"/>
  <c r="M57" i="29" s="1"/>
  <c r="R25" i="29"/>
  <c r="Q25" i="29"/>
  <c r="U43" i="31"/>
  <c r="W43" i="31"/>
  <c r="S58" i="30"/>
  <c r="W41" i="30"/>
  <c r="Q52" i="28"/>
  <c r="R52" i="28"/>
  <c r="S52" i="28"/>
  <c r="V49" i="32"/>
  <c r="W49" i="32"/>
  <c r="U49" i="32"/>
  <c r="W43" i="30"/>
  <c r="V43" i="30"/>
  <c r="U43" i="30"/>
  <c r="R55" i="29"/>
  <c r="Q55" i="29"/>
  <c r="S55" i="29"/>
  <c r="P58" i="29"/>
  <c r="S41" i="29"/>
  <c r="P57" i="30"/>
  <c r="V49" i="31"/>
  <c r="W49" i="31"/>
  <c r="R43" i="29"/>
  <c r="Q43" i="29"/>
  <c r="S43" i="29"/>
  <c r="U55" i="31"/>
  <c r="W55" i="31"/>
  <c r="V55" i="31"/>
  <c r="V56" i="31"/>
  <c r="W56" i="31"/>
  <c r="U56" i="31"/>
  <c r="U40" i="32"/>
  <c r="Q57" i="32"/>
  <c r="W49" i="30"/>
  <c r="V49" i="30"/>
  <c r="U49" i="30"/>
  <c r="M30" i="29"/>
  <c r="W55" i="30"/>
  <c r="V55" i="30"/>
  <c r="U55" i="30"/>
  <c r="U44" i="31"/>
  <c r="Q58" i="31"/>
  <c r="S58" i="32"/>
  <c r="W41" i="32"/>
  <c r="Q44" i="29"/>
  <c r="N58" i="29"/>
  <c r="U56" i="30"/>
  <c r="V56" i="30"/>
  <c r="W56" i="30"/>
  <c r="M57" i="28"/>
  <c r="P58" i="31"/>
  <c r="V43" i="31"/>
  <c r="W46" i="32"/>
  <c r="V46" i="32"/>
  <c r="U46" i="32"/>
  <c r="U44" i="32"/>
  <c r="Q58" i="32"/>
  <c r="Q46" i="29"/>
  <c r="S46" i="29"/>
  <c r="R46" i="29"/>
  <c r="Q49" i="29"/>
  <c r="R49" i="29"/>
  <c r="S49" i="29"/>
  <c r="P58" i="30"/>
  <c r="Q56" i="28"/>
  <c r="Q31" i="28"/>
  <c r="R31" i="28"/>
  <c r="M56" i="29"/>
  <c r="S29" i="29"/>
  <c r="R29" i="29"/>
  <c r="Q29" i="29"/>
  <c r="M31" i="29"/>
  <c r="S56" i="28"/>
  <c r="S58" i="28"/>
  <c r="Q58" i="28"/>
  <c r="R58" i="28"/>
  <c r="S58" i="27"/>
  <c r="R58" i="27"/>
  <c r="Q58" i="27"/>
  <c r="J27" i="9"/>
  <c r="I27" i="9"/>
  <c r="J28" i="9"/>
  <c r="I28" i="9"/>
  <c r="Q28" i="9"/>
  <c r="O27" i="9"/>
  <c r="N27" i="9"/>
  <c r="N26" i="9"/>
  <c r="K28" i="9"/>
  <c r="Q27" i="1"/>
  <c r="I26" i="1"/>
  <c r="I17" i="1"/>
  <c r="R57" i="29" l="1"/>
  <c r="Q57" i="29"/>
  <c r="W52" i="32"/>
  <c r="V52" i="32"/>
  <c r="U52" i="32"/>
  <c r="V57" i="30"/>
  <c r="U57" i="30"/>
  <c r="V52" i="31"/>
  <c r="U52" i="31"/>
  <c r="W52" i="31"/>
  <c r="S52" i="29"/>
  <c r="R52" i="29"/>
  <c r="Q52" i="29"/>
  <c r="R30" i="29"/>
  <c r="Q30" i="29"/>
  <c r="S57" i="28"/>
  <c r="R57" i="28"/>
  <c r="Q57" i="28"/>
  <c r="U52" i="30"/>
  <c r="V52" i="30"/>
  <c r="W52" i="30"/>
  <c r="U58" i="31"/>
  <c r="W58" i="31"/>
  <c r="V58" i="31"/>
  <c r="W58" i="30"/>
  <c r="U58" i="30"/>
  <c r="V58" i="30"/>
  <c r="P57" i="31"/>
  <c r="S31" i="29"/>
  <c r="R31" i="29"/>
  <c r="Q31" i="29"/>
  <c r="S56" i="29"/>
  <c r="R56" i="29"/>
  <c r="Q56" i="29"/>
  <c r="M58" i="29"/>
  <c r="Q28" i="1"/>
  <c r="O28" i="9"/>
  <c r="N28" i="9"/>
  <c r="O26" i="1"/>
  <c r="N26" i="1"/>
  <c r="O25" i="1"/>
  <c r="N25" i="1"/>
  <c r="O23" i="1"/>
  <c r="N23" i="1"/>
  <c r="O22" i="1"/>
  <c r="N22" i="1"/>
  <c r="O20" i="1"/>
  <c r="N20" i="1"/>
  <c r="O19" i="1"/>
  <c r="N19" i="1"/>
  <c r="O17" i="1"/>
  <c r="N17" i="1"/>
  <c r="O16" i="1"/>
  <c r="N16" i="1"/>
  <c r="O14" i="1"/>
  <c r="N14" i="1"/>
  <c r="O13" i="1"/>
  <c r="N13" i="1"/>
  <c r="N11" i="1"/>
  <c r="O11" i="1"/>
  <c r="O10" i="1"/>
  <c r="N10" i="1"/>
  <c r="J10" i="1"/>
  <c r="U57" i="31" l="1"/>
  <c r="V57" i="31"/>
  <c r="R58" i="29"/>
  <c r="S58" i="29"/>
  <c r="Q58" i="29"/>
  <c r="M28" i="1"/>
  <c r="L28" i="1"/>
  <c r="K28" i="1"/>
  <c r="M27" i="1"/>
  <c r="L27" i="1"/>
  <c r="K27" i="1"/>
  <c r="H27" i="1"/>
  <c r="G27" i="1"/>
  <c r="G28" i="1"/>
  <c r="H28" i="1"/>
  <c r="F28" i="1"/>
  <c r="F27" i="1"/>
  <c r="J14" i="1"/>
  <c r="J13" i="1"/>
  <c r="I27" i="1" l="1"/>
  <c r="I28" i="1"/>
  <c r="J27" i="1"/>
  <c r="J28" i="1"/>
  <c r="O27" i="1"/>
  <c r="N27" i="1"/>
  <c r="N28" i="1"/>
  <c r="O28" i="1"/>
  <c r="J25" i="1"/>
  <c r="J16" i="1"/>
  <c r="J17" i="1"/>
  <c r="J19" i="1"/>
  <c r="J20" i="1"/>
  <c r="J22" i="1"/>
  <c r="J23" i="1"/>
  <c r="J26" i="1"/>
  <c r="J11" i="1"/>
  <c r="H11" i="14" l="1"/>
  <c r="H28" i="14" s="1"/>
  <c r="H10" i="14"/>
  <c r="H27" i="14" s="1"/>
  <c r="J25" i="14" l="1"/>
  <c r="J26" i="14" l="1"/>
  <c r="I26" i="14"/>
  <c r="I25" i="14"/>
  <c r="N25" i="14"/>
  <c r="O26" i="14"/>
  <c r="N26" i="14"/>
  <c r="O25" i="14" l="1"/>
  <c r="J14" i="14" l="1"/>
  <c r="I13" i="14"/>
  <c r="J19" i="14"/>
  <c r="I19" i="14"/>
  <c r="J20" i="14"/>
  <c r="I20" i="14"/>
  <c r="J22" i="14"/>
  <c r="I22" i="14"/>
  <c r="I16" i="14"/>
  <c r="J16" i="14"/>
  <c r="J10" i="14"/>
  <c r="I10" i="14"/>
  <c r="F27" i="14"/>
  <c r="J23" i="14"/>
  <c r="I23" i="14"/>
  <c r="J11" i="14"/>
  <c r="I11" i="14"/>
  <c r="I17" i="14"/>
  <c r="J17" i="14"/>
  <c r="F28" i="14" l="1"/>
  <c r="I28" i="14" s="1"/>
  <c r="I14" i="14"/>
  <c r="O14" i="14"/>
  <c r="J13" i="14"/>
  <c r="O17" i="14"/>
  <c r="N17" i="14"/>
  <c r="N23" i="14"/>
  <c r="O23" i="14"/>
  <c r="N16" i="14"/>
  <c r="O16" i="14"/>
  <c r="O20" i="14"/>
  <c r="N20" i="14"/>
  <c r="O11" i="14"/>
  <c r="N11" i="14"/>
  <c r="J27" i="14"/>
  <c r="I27" i="14"/>
  <c r="O22" i="14"/>
  <c r="N22" i="14"/>
  <c r="N19" i="14"/>
  <c r="O19" i="14"/>
  <c r="N10" i="14"/>
  <c r="O10" i="14"/>
  <c r="O13" i="14" l="1"/>
  <c r="N13" i="14"/>
  <c r="J28" i="14"/>
  <c r="N14" i="14"/>
  <c r="O27" i="14"/>
  <c r="N27" i="14"/>
  <c r="N28" i="14"/>
  <c r="O28" i="14"/>
  <c r="I28" i="16" l="1"/>
  <c r="F28" i="16" l="1"/>
  <c r="K22" i="15"/>
  <c r="R22" i="15"/>
  <c r="L22" i="15"/>
  <c r="L20" i="16"/>
  <c r="K20" i="16"/>
  <c r="P27" i="15"/>
  <c r="K17" i="16"/>
  <c r="L17" i="16"/>
  <c r="I27" i="15"/>
  <c r="P27" i="16"/>
  <c r="K13" i="16"/>
  <c r="L13" i="16"/>
  <c r="K17" i="15"/>
  <c r="L17" i="15"/>
  <c r="L14" i="16"/>
  <c r="K14" i="16"/>
  <c r="L13" i="15"/>
  <c r="K13" i="15"/>
  <c r="K14" i="15"/>
  <c r="L14" i="15"/>
  <c r="L19" i="15"/>
  <c r="K19" i="15"/>
  <c r="K16" i="15"/>
  <c r="L16" i="15"/>
  <c r="P28" i="15"/>
  <c r="K10" i="15"/>
  <c r="L10" i="15"/>
  <c r="F27" i="15"/>
  <c r="L19" i="16"/>
  <c r="K19" i="16"/>
  <c r="L16" i="16"/>
  <c r="K16" i="16"/>
  <c r="I28" i="15"/>
  <c r="P28" i="16"/>
  <c r="I27" i="16"/>
  <c r="L10" i="16"/>
  <c r="K10" i="16"/>
  <c r="F28" i="15"/>
  <c r="R23" i="15"/>
  <c r="K23" i="15"/>
  <c r="L23" i="15"/>
  <c r="K11" i="15"/>
  <c r="S11" i="15"/>
  <c r="L11" i="15"/>
  <c r="L22" i="16"/>
  <c r="K22" i="16"/>
  <c r="K23" i="16"/>
  <c r="L23" i="16"/>
  <c r="K20" i="15"/>
  <c r="L20" i="15"/>
  <c r="L11" i="16"/>
  <c r="K11" i="16"/>
  <c r="S22" i="15" l="1"/>
  <c r="S22" i="16"/>
  <c r="R22" i="16"/>
  <c r="R16" i="15"/>
  <c r="S16" i="15"/>
  <c r="S20" i="16"/>
  <c r="R20" i="16"/>
  <c r="R20" i="15"/>
  <c r="S20" i="15"/>
  <c r="S10" i="16"/>
  <c r="R10" i="16"/>
  <c r="R10" i="15"/>
  <c r="R14" i="16"/>
  <c r="S14" i="16"/>
  <c r="L25" i="16"/>
  <c r="K25" i="16"/>
  <c r="R19" i="15"/>
  <c r="S19" i="15"/>
  <c r="R13" i="15"/>
  <c r="S13" i="15"/>
  <c r="S10" i="15"/>
  <c r="L28" i="16"/>
  <c r="K28" i="16"/>
  <c r="S11" i="16"/>
  <c r="R11" i="16"/>
  <c r="L26" i="16"/>
  <c r="K26" i="16"/>
  <c r="K28" i="15"/>
  <c r="L28" i="15"/>
  <c r="K26" i="15"/>
  <c r="M28" i="15"/>
  <c r="R28" i="15" s="1"/>
  <c r="L26" i="15"/>
  <c r="R19" i="16"/>
  <c r="S19" i="16"/>
  <c r="R17" i="15"/>
  <c r="S17" i="15"/>
  <c r="R23" i="16"/>
  <c r="S23" i="16"/>
  <c r="R17" i="16"/>
  <c r="S17" i="16"/>
  <c r="K25" i="15"/>
  <c r="M27" i="15"/>
  <c r="L25" i="15"/>
  <c r="R11" i="15"/>
  <c r="F27" i="16"/>
  <c r="R16" i="16"/>
  <c r="S16" i="16"/>
  <c r="K27" i="15"/>
  <c r="L27" i="15"/>
  <c r="R14" i="15"/>
  <c r="S14" i="15"/>
  <c r="R13" i="16"/>
  <c r="S13" i="16"/>
  <c r="S23" i="15"/>
  <c r="R27" i="15" l="1"/>
  <c r="S27" i="15"/>
  <c r="K27" i="16"/>
  <c r="L27" i="16"/>
  <c r="S28" i="15"/>
  <c r="S26" i="16"/>
  <c r="R26" i="16"/>
  <c r="R26" i="15"/>
  <c r="S26" i="15"/>
  <c r="R25" i="16"/>
  <c r="S25" i="16"/>
  <c r="R25" i="15"/>
  <c r="S25" i="15"/>
  <c r="M28" i="16"/>
  <c r="M27" i="16"/>
  <c r="S27" i="16" l="1"/>
  <c r="R27" i="16"/>
  <c r="R28" i="16"/>
  <c r="S28" i="16"/>
  <c r="G28" i="16" l="1"/>
  <c r="J28" i="16" s="1"/>
  <c r="G27" i="16"/>
  <c r="J27" i="16" s="1"/>
  <c r="Q23" i="16"/>
  <c r="J23" i="16"/>
  <c r="Q20" i="16"/>
  <c r="J20" i="16"/>
  <c r="Q22" i="16"/>
  <c r="J22" i="16"/>
  <c r="Q14" i="15"/>
  <c r="J14" i="15"/>
  <c r="Q14" i="16"/>
  <c r="J14" i="16"/>
  <c r="Q17" i="15"/>
  <c r="J17" i="15"/>
  <c r="Q20" i="15"/>
  <c r="J20" i="15"/>
  <c r="Q13" i="15"/>
  <c r="J13" i="15"/>
  <c r="J10" i="16"/>
  <c r="J10" i="15"/>
  <c r="J11" i="15"/>
  <c r="Q16" i="15"/>
  <c r="J16" i="15"/>
  <c r="Q19" i="15"/>
  <c r="J19" i="15"/>
  <c r="Q23" i="15"/>
  <c r="J23" i="15"/>
  <c r="G27" i="15"/>
  <c r="J27" i="15" s="1"/>
  <c r="Q22" i="15"/>
  <c r="J22" i="15"/>
  <c r="Q13" i="16"/>
  <c r="J13" i="16"/>
  <c r="Q17" i="16"/>
  <c r="J17" i="16"/>
  <c r="J11" i="16"/>
  <c r="Q16" i="16"/>
  <c r="J16" i="16"/>
  <c r="Q19" i="16"/>
  <c r="J19" i="16"/>
  <c r="Q26" i="15" l="1"/>
  <c r="J26" i="15"/>
  <c r="Q10" i="15"/>
  <c r="Q25" i="16"/>
  <c r="J25" i="16"/>
  <c r="Q11" i="16"/>
  <c r="Q25" i="15"/>
  <c r="J25" i="15"/>
  <c r="Q10" i="16"/>
  <c r="G28" i="15"/>
  <c r="J28" i="15" s="1"/>
  <c r="Q26" i="16"/>
  <c r="J26" i="16"/>
  <c r="Q11" i="15"/>
  <c r="N28" i="16" l="1"/>
  <c r="Q28" i="16" s="1"/>
  <c r="N27" i="15"/>
  <c r="Q27" i="15" s="1"/>
  <c r="N28" i="15"/>
  <c r="Q28" i="15" s="1"/>
  <c r="N27" i="16"/>
  <c r="Q27" i="16" s="1"/>
  <c r="I40" i="29" l="1"/>
  <c r="I57" i="29" s="1"/>
  <c r="L57" i="29" s="1"/>
  <c r="L40" i="29"/>
  <c r="I30" i="29"/>
  <c r="L30" i="29" s="1"/>
  <c r="P13" i="29"/>
  <c r="L13" i="29"/>
  <c r="S40" i="30" l="1"/>
  <c r="S40" i="31"/>
  <c r="S40" i="32"/>
  <c r="S13" i="29"/>
  <c r="P40" i="29"/>
  <c r="P30" i="29"/>
  <c r="S30" i="29" s="1"/>
  <c r="S57" i="32" l="1"/>
  <c r="W40" i="32"/>
  <c r="S57" i="31"/>
  <c r="W57" i="31" s="1"/>
  <c r="W40" i="31"/>
  <c r="S57" i="30"/>
  <c r="W57" i="30" s="1"/>
  <c r="W40" i="30"/>
  <c r="P57" i="29"/>
  <c r="S57" i="29" s="1"/>
  <c r="S40" i="29"/>
  <c r="O13" i="34" l="1"/>
  <c r="O13" i="35" s="1"/>
  <c r="O13" i="36" l="1"/>
  <c r="O13" i="37" s="1"/>
  <c r="O13" i="38" s="1"/>
  <c r="V13" i="35"/>
  <c r="V13" i="34"/>
  <c r="F56" i="32"/>
  <c r="O29" i="32"/>
  <c r="N29" i="32"/>
  <c r="M29" i="32"/>
  <c r="L29" i="32"/>
  <c r="K29" i="32"/>
  <c r="F31" i="32"/>
  <c r="N28" i="32"/>
  <c r="O28" i="32"/>
  <c r="L28" i="32"/>
  <c r="F55" i="32"/>
  <c r="F30" i="32"/>
  <c r="K28" i="32"/>
  <c r="M28" i="32"/>
  <c r="F37" i="33"/>
  <c r="L13" i="33"/>
  <c r="K13" i="33"/>
  <c r="M13" i="33"/>
  <c r="O14" i="34"/>
  <c r="O14" i="35" s="1"/>
  <c r="O13" i="40" l="1"/>
  <c r="V13" i="38"/>
  <c r="V13" i="37"/>
  <c r="V14" i="35"/>
  <c r="O14" i="36"/>
  <c r="O14" i="37" s="1"/>
  <c r="O14" i="38" s="1"/>
  <c r="V13" i="36"/>
  <c r="V14" i="34"/>
  <c r="M30" i="32"/>
  <c r="N30" i="32"/>
  <c r="L30" i="32"/>
  <c r="K30" i="32"/>
  <c r="M31" i="32"/>
  <c r="K31" i="32"/>
  <c r="N31" i="32"/>
  <c r="L31" i="32"/>
  <c r="L55" i="32"/>
  <c r="F57" i="32"/>
  <c r="K55" i="32"/>
  <c r="M55" i="32"/>
  <c r="N55" i="32"/>
  <c r="V29" i="32"/>
  <c r="P56" i="32"/>
  <c r="O31" i="32"/>
  <c r="T29" i="32"/>
  <c r="W29" i="32"/>
  <c r="U29" i="32"/>
  <c r="V28" i="32"/>
  <c r="U28" i="32"/>
  <c r="T28" i="32"/>
  <c r="P55" i="32"/>
  <c r="W28" i="32"/>
  <c r="O30" i="32"/>
  <c r="M56" i="32"/>
  <c r="N56" i="32"/>
  <c r="L56" i="32"/>
  <c r="K56" i="32"/>
  <c r="F58" i="32"/>
  <c r="M26" i="33"/>
  <c r="F50" i="33"/>
  <c r="L14" i="33"/>
  <c r="K14" i="33"/>
  <c r="F38" i="33"/>
  <c r="M14" i="33"/>
  <c r="V13" i="33"/>
  <c r="M37" i="33"/>
  <c r="L37" i="33"/>
  <c r="K37" i="33"/>
  <c r="O14" i="40" l="1"/>
  <c r="V14" i="38"/>
  <c r="O13" i="41"/>
  <c r="V13" i="40"/>
  <c r="V14" i="37"/>
  <c r="V14" i="36"/>
  <c r="V55" i="32"/>
  <c r="U55" i="32"/>
  <c r="W55" i="32"/>
  <c r="P57" i="32"/>
  <c r="P58" i="32"/>
  <c r="W56" i="32"/>
  <c r="V56" i="32"/>
  <c r="U56" i="32"/>
  <c r="N58" i="32"/>
  <c r="K58" i="32"/>
  <c r="M58" i="32"/>
  <c r="L58" i="32"/>
  <c r="K57" i="32"/>
  <c r="M57" i="32"/>
  <c r="N57" i="32"/>
  <c r="L57" i="32"/>
  <c r="U31" i="32"/>
  <c r="W31" i="32"/>
  <c r="V31" i="32"/>
  <c r="T31" i="32"/>
  <c r="W30" i="32"/>
  <c r="V30" i="32"/>
  <c r="U30" i="32"/>
  <c r="T30" i="32"/>
  <c r="M50" i="33"/>
  <c r="V26" i="33"/>
  <c r="V14" i="33"/>
  <c r="M38" i="33"/>
  <c r="K38" i="33"/>
  <c r="L38" i="33"/>
  <c r="W37" i="33"/>
  <c r="O13" i="43" l="1"/>
  <c r="V13" i="41"/>
  <c r="O14" i="41"/>
  <c r="V14" i="40"/>
  <c r="V58" i="32"/>
  <c r="W58" i="32"/>
  <c r="U58" i="32"/>
  <c r="W57" i="32"/>
  <c r="V57" i="32"/>
  <c r="U57" i="32"/>
  <c r="W50" i="33"/>
  <c r="P52" i="33"/>
  <c r="P51" i="33"/>
  <c r="W44" i="33"/>
  <c r="W43" i="33"/>
  <c r="W41" i="33"/>
  <c r="W40" i="33"/>
  <c r="W38" i="33"/>
  <c r="O14" i="43" l="1"/>
  <c r="V14" i="41"/>
  <c r="O13" i="44"/>
  <c r="V13" i="43"/>
  <c r="V47" i="33"/>
  <c r="V46" i="33"/>
  <c r="V13" i="44" l="1"/>
  <c r="O14" i="44"/>
  <c r="V14" i="43"/>
  <c r="H49" i="33"/>
  <c r="H50" i="33"/>
  <c r="L50" i="33" s="1"/>
  <c r="L26" i="33"/>
  <c r="G50" i="33"/>
  <c r="K50" i="33" s="1"/>
  <c r="K26" i="33"/>
  <c r="G49" i="33"/>
  <c r="V14" i="44" l="1"/>
  <c r="T25" i="33"/>
  <c r="M25" i="33"/>
  <c r="F49" i="33"/>
  <c r="K25" i="33"/>
  <c r="K49" i="33"/>
  <c r="L25" i="33"/>
  <c r="V50" i="33"/>
  <c r="U26" i="33"/>
  <c r="U50" i="33"/>
  <c r="T26" i="33"/>
  <c r="U25" i="33" l="1"/>
  <c r="M49" i="33"/>
  <c r="V49" i="33"/>
  <c r="V25" i="33"/>
  <c r="L49" i="33"/>
  <c r="J49" i="33"/>
  <c r="N49" i="33" s="1"/>
  <c r="W25" i="33"/>
  <c r="N25" i="33"/>
  <c r="J50" i="33"/>
  <c r="N50" i="33" s="1"/>
  <c r="W26" i="33"/>
  <c r="N26" i="33"/>
  <c r="U47" i="33"/>
  <c r="U46" i="33"/>
  <c r="V44" i="33"/>
  <c r="V43" i="33"/>
  <c r="U44" i="33"/>
  <c r="U43" i="33"/>
  <c r="V41" i="33"/>
  <c r="V40" i="33"/>
  <c r="U41" i="33"/>
  <c r="U40" i="33"/>
  <c r="V38" i="33"/>
  <c r="V37" i="33"/>
  <c r="U38" i="33"/>
  <c r="U37" i="33"/>
  <c r="Q52" i="33" l="1"/>
  <c r="R51" i="33"/>
  <c r="V51" i="33" s="1"/>
  <c r="Q51" i="33"/>
  <c r="U51" i="33" s="1"/>
  <c r="R52" i="33"/>
  <c r="V52" i="33" s="1"/>
  <c r="W49" i="33"/>
  <c r="U49" i="33"/>
  <c r="U52" i="33"/>
  <c r="J46" i="33" l="1"/>
  <c r="J47" i="33"/>
  <c r="R28" i="33" l="1"/>
  <c r="R23" i="34"/>
  <c r="R27" i="33"/>
  <c r="R22" i="34"/>
  <c r="S52" i="33"/>
  <c r="W52" i="33" s="1"/>
  <c r="W47" i="33"/>
  <c r="I28" i="33"/>
  <c r="I47" i="33"/>
  <c r="I52" i="33" s="1"/>
  <c r="I27" i="33"/>
  <c r="I46" i="33"/>
  <c r="I51" i="33" s="1"/>
  <c r="S51" i="33"/>
  <c r="W51" i="33" s="1"/>
  <c r="W46" i="33"/>
  <c r="R27" i="34" l="1"/>
  <c r="R22" i="35"/>
  <c r="R28" i="34"/>
  <c r="R23" i="35"/>
  <c r="O16" i="34"/>
  <c r="O16" i="35" s="1"/>
  <c r="O17" i="34"/>
  <c r="O17" i="35" s="1"/>
  <c r="R23" i="36" l="1"/>
  <c r="R28" i="35"/>
  <c r="R22" i="36"/>
  <c r="R27" i="35"/>
  <c r="O16" i="36"/>
  <c r="O16" i="37" s="1"/>
  <c r="O16" i="38" s="1"/>
  <c r="V16" i="35"/>
  <c r="O17" i="36"/>
  <c r="O17" i="37" s="1"/>
  <c r="O17" i="38" s="1"/>
  <c r="V17" i="35"/>
  <c r="V16" i="34"/>
  <c r="V17" i="34"/>
  <c r="V20" i="33"/>
  <c r="O20" i="34"/>
  <c r="O20" i="35" s="1"/>
  <c r="V19" i="33"/>
  <c r="O19" i="34"/>
  <c r="O19" i="35" s="1"/>
  <c r="F41" i="33"/>
  <c r="M17" i="33"/>
  <c r="F40" i="33"/>
  <c r="M16" i="33"/>
  <c r="V16" i="33"/>
  <c r="M20" i="33"/>
  <c r="F44" i="33"/>
  <c r="M44" i="33" s="1"/>
  <c r="V17" i="33"/>
  <c r="M19" i="33"/>
  <c r="F43" i="33"/>
  <c r="M43" i="33" s="1"/>
  <c r="O17" i="40" l="1"/>
  <c r="V17" i="38"/>
  <c r="O16" i="40"/>
  <c r="V16" i="38"/>
  <c r="R27" i="36"/>
  <c r="R22" i="37"/>
  <c r="V16" i="37"/>
  <c r="V17" i="37"/>
  <c r="R28" i="36"/>
  <c r="R23" i="37"/>
  <c r="V16" i="36"/>
  <c r="O19" i="36"/>
  <c r="O19" i="37" s="1"/>
  <c r="O19" i="38" s="1"/>
  <c r="V19" i="35"/>
  <c r="V17" i="36"/>
  <c r="O20" i="36"/>
  <c r="O20" i="37" s="1"/>
  <c r="O20" i="38" s="1"/>
  <c r="V20" i="35"/>
  <c r="V20" i="34"/>
  <c r="V19" i="34"/>
  <c r="O27" i="33"/>
  <c r="V27" i="33" s="1"/>
  <c r="O22" i="34"/>
  <c r="O22" i="35" s="1"/>
  <c r="O22" i="36" s="1"/>
  <c r="O22" i="37" s="1"/>
  <c r="O22" i="38" s="1"/>
  <c r="O28" i="33"/>
  <c r="V28" i="33" s="1"/>
  <c r="O23" i="34"/>
  <c r="O23" i="35" s="1"/>
  <c r="O23" i="36" s="1"/>
  <c r="O23" i="37" s="1"/>
  <c r="O23" i="38" s="1"/>
  <c r="M40" i="33"/>
  <c r="N23" i="33"/>
  <c r="L23" i="33"/>
  <c r="F47" i="33"/>
  <c r="M23" i="33"/>
  <c r="V23" i="33"/>
  <c r="U23" i="33"/>
  <c r="F28" i="33"/>
  <c r="M28" i="33" s="1"/>
  <c r="F27" i="33"/>
  <c r="M27" i="33" s="1"/>
  <c r="M22" i="33"/>
  <c r="N22" i="33"/>
  <c r="L22" i="33"/>
  <c r="F46" i="33"/>
  <c r="F51" i="33" s="1"/>
  <c r="M51" i="33" s="1"/>
  <c r="U22" i="33"/>
  <c r="V22" i="33"/>
  <c r="M41" i="33"/>
  <c r="O16" i="41" l="1"/>
  <c r="V16" i="40"/>
  <c r="O27" i="37"/>
  <c r="V27" i="37" s="1"/>
  <c r="O23" i="40"/>
  <c r="R27" i="37"/>
  <c r="R22" i="38"/>
  <c r="O19" i="40"/>
  <c r="V19" i="38"/>
  <c r="O22" i="40"/>
  <c r="V22" i="38"/>
  <c r="U22" i="38"/>
  <c r="O27" i="38"/>
  <c r="O20" i="40"/>
  <c r="V20" i="38"/>
  <c r="R28" i="37"/>
  <c r="R23" i="38"/>
  <c r="O17" i="41"/>
  <c r="V17" i="40"/>
  <c r="O28" i="37"/>
  <c r="V28" i="37" s="1"/>
  <c r="O28" i="38"/>
  <c r="V23" i="38"/>
  <c r="U23" i="38"/>
  <c r="V20" i="37"/>
  <c r="U22" i="37"/>
  <c r="V22" i="37"/>
  <c r="V19" i="37"/>
  <c r="U23" i="37"/>
  <c r="V23" i="37"/>
  <c r="V19" i="36"/>
  <c r="V20" i="36"/>
  <c r="O27" i="36"/>
  <c r="U22" i="36"/>
  <c r="V22" i="36"/>
  <c r="V23" i="36"/>
  <c r="U23" i="36"/>
  <c r="O28" i="36"/>
  <c r="U23" i="35"/>
  <c r="V23" i="35"/>
  <c r="O28" i="35"/>
  <c r="U22" i="35"/>
  <c r="O27" i="35"/>
  <c r="V22" i="35"/>
  <c r="V22" i="34"/>
  <c r="U22" i="34"/>
  <c r="U23" i="34"/>
  <c r="V23" i="34"/>
  <c r="O28" i="34"/>
  <c r="O27" i="34"/>
  <c r="L47" i="33"/>
  <c r="N47" i="33"/>
  <c r="M47" i="33"/>
  <c r="F52" i="33"/>
  <c r="M52" i="33" s="1"/>
  <c r="N46" i="33"/>
  <c r="M46" i="33"/>
  <c r="L46" i="33"/>
  <c r="U22" i="40" l="1"/>
  <c r="O22" i="41"/>
  <c r="O23" i="41"/>
  <c r="U23" i="40"/>
  <c r="O20" i="41"/>
  <c r="V20" i="40"/>
  <c r="O17" i="43"/>
  <c r="V17" i="41"/>
  <c r="V27" i="38"/>
  <c r="O27" i="40"/>
  <c r="R23" i="40"/>
  <c r="R28" i="38"/>
  <c r="O19" i="41"/>
  <c r="V19" i="40"/>
  <c r="O28" i="40"/>
  <c r="R22" i="40"/>
  <c r="V22" i="40" s="1"/>
  <c r="R27" i="38"/>
  <c r="O16" i="43"/>
  <c r="V16" i="41"/>
  <c r="O27" i="41"/>
  <c r="V28" i="38"/>
  <c r="V27" i="36"/>
  <c r="V28" i="36"/>
  <c r="V28" i="35"/>
  <c r="V27" i="35"/>
  <c r="V27" i="34"/>
  <c r="V28" i="34"/>
  <c r="Q13" i="34"/>
  <c r="Q13" i="35" s="1"/>
  <c r="Q14" i="34"/>
  <c r="Q14" i="35" s="1"/>
  <c r="P14" i="34"/>
  <c r="P14" i="35" s="1"/>
  <c r="P13" i="34"/>
  <c r="P13" i="35" s="1"/>
  <c r="O23" i="43" l="1"/>
  <c r="U23" i="41"/>
  <c r="O17" i="44"/>
  <c r="V17" i="43"/>
  <c r="O28" i="41"/>
  <c r="O16" i="44"/>
  <c r="V16" i="43"/>
  <c r="O19" i="43"/>
  <c r="V19" i="41"/>
  <c r="O20" i="43"/>
  <c r="V20" i="41"/>
  <c r="R23" i="41"/>
  <c r="R28" i="40"/>
  <c r="V28" i="40" s="1"/>
  <c r="V23" i="40"/>
  <c r="O22" i="43"/>
  <c r="U22" i="41"/>
  <c r="R22" i="41"/>
  <c r="R27" i="40"/>
  <c r="V27" i="40" s="1"/>
  <c r="P13" i="36"/>
  <c r="P13" i="37" s="1"/>
  <c r="T13" i="35"/>
  <c r="P14" i="36"/>
  <c r="P14" i="37" s="1"/>
  <c r="T14" i="35"/>
  <c r="Q13" i="36"/>
  <c r="Q13" i="37" s="1"/>
  <c r="Q13" i="38" s="1"/>
  <c r="U13" i="35"/>
  <c r="Q14" i="36"/>
  <c r="Q14" i="37" s="1"/>
  <c r="Q14" i="38" s="1"/>
  <c r="U14" i="35"/>
  <c r="W19" i="33"/>
  <c r="S19" i="34"/>
  <c r="U14" i="34"/>
  <c r="W17" i="33"/>
  <c r="S17" i="34"/>
  <c r="T17" i="33"/>
  <c r="P17" i="34"/>
  <c r="U13" i="34"/>
  <c r="W20" i="33"/>
  <c r="S20" i="34"/>
  <c r="T20" i="33"/>
  <c r="P20" i="34"/>
  <c r="W22" i="33"/>
  <c r="S22" i="34"/>
  <c r="T14" i="34"/>
  <c r="U17" i="33"/>
  <c r="Q17" i="34"/>
  <c r="U16" i="33"/>
  <c r="Q16" i="34"/>
  <c r="U20" i="33"/>
  <c r="Q20" i="34"/>
  <c r="T22" i="33"/>
  <c r="P22" i="34"/>
  <c r="W16" i="33"/>
  <c r="S16" i="34"/>
  <c r="U19" i="33"/>
  <c r="Q19" i="34"/>
  <c r="T16" i="33"/>
  <c r="P16" i="34"/>
  <c r="T19" i="33"/>
  <c r="P19" i="34"/>
  <c r="T13" i="34"/>
  <c r="T23" i="33"/>
  <c r="P23" i="34"/>
  <c r="G27" i="33"/>
  <c r="K27" i="33" s="1"/>
  <c r="G40" i="33"/>
  <c r="K16" i="33"/>
  <c r="H28" i="33"/>
  <c r="L28" i="33" s="1"/>
  <c r="H41" i="33"/>
  <c r="L17" i="33"/>
  <c r="P27" i="33"/>
  <c r="T27" i="33" s="1"/>
  <c r="T13" i="33"/>
  <c r="S14" i="34"/>
  <c r="S14" i="35" s="1"/>
  <c r="G41" i="33"/>
  <c r="G28" i="33"/>
  <c r="K28" i="33" s="1"/>
  <c r="K17" i="33"/>
  <c r="H40" i="33"/>
  <c r="H27" i="33"/>
  <c r="L27" i="33" s="1"/>
  <c r="L16" i="33"/>
  <c r="T14" i="33"/>
  <c r="P28" i="33"/>
  <c r="T28" i="33" s="1"/>
  <c r="G43" i="33"/>
  <c r="K43" i="33" s="1"/>
  <c r="K19" i="33"/>
  <c r="J41" i="33"/>
  <c r="N41" i="33" s="1"/>
  <c r="N17" i="33"/>
  <c r="H43" i="33"/>
  <c r="L43" i="33" s="1"/>
  <c r="L19" i="33"/>
  <c r="G44" i="33"/>
  <c r="K44" i="33" s="1"/>
  <c r="K20" i="33"/>
  <c r="J43" i="33"/>
  <c r="N43" i="33" s="1"/>
  <c r="N19" i="33"/>
  <c r="J40" i="33"/>
  <c r="N40" i="33" s="1"/>
  <c r="N16" i="33"/>
  <c r="Q28" i="33"/>
  <c r="U28" i="33" s="1"/>
  <c r="U14" i="33"/>
  <c r="H44" i="33"/>
  <c r="L44" i="33" s="1"/>
  <c r="L20" i="33"/>
  <c r="S13" i="34"/>
  <c r="S13" i="35" s="1"/>
  <c r="G46" i="33"/>
  <c r="K46" i="33" s="1"/>
  <c r="K22" i="33"/>
  <c r="J44" i="33"/>
  <c r="N44" i="33" s="1"/>
  <c r="N20" i="33"/>
  <c r="U13" i="33"/>
  <c r="Q27" i="33"/>
  <c r="U27" i="33" s="1"/>
  <c r="G47" i="33"/>
  <c r="K47" i="33" s="1"/>
  <c r="K23" i="33"/>
  <c r="T14" i="37" l="1"/>
  <c r="P14" i="38"/>
  <c r="R22" i="43"/>
  <c r="R27" i="41"/>
  <c r="V27" i="41" s="1"/>
  <c r="R23" i="43"/>
  <c r="R28" i="41"/>
  <c r="V20" i="43"/>
  <c r="O20" i="44"/>
  <c r="V16" i="44"/>
  <c r="V17" i="44"/>
  <c r="T13" i="37"/>
  <c r="P13" i="38"/>
  <c r="V28" i="41"/>
  <c r="V23" i="41"/>
  <c r="Q14" i="40"/>
  <c r="U14" i="38"/>
  <c r="V22" i="41"/>
  <c r="O28" i="43"/>
  <c r="O22" i="44"/>
  <c r="U22" i="43"/>
  <c r="V22" i="43"/>
  <c r="V19" i="43"/>
  <c r="O19" i="44"/>
  <c r="O27" i="44" s="1"/>
  <c r="Q13" i="40"/>
  <c r="U13" i="38"/>
  <c r="O27" i="43"/>
  <c r="O23" i="44"/>
  <c r="U23" i="43"/>
  <c r="V23" i="43"/>
  <c r="U14" i="37"/>
  <c r="U13" i="37"/>
  <c r="U19" i="34"/>
  <c r="Q19" i="35"/>
  <c r="U16" i="34"/>
  <c r="Q16" i="35"/>
  <c r="U13" i="36"/>
  <c r="S13" i="36"/>
  <c r="S13" i="37" s="1"/>
  <c r="W13" i="35"/>
  <c r="T23" i="34"/>
  <c r="P23" i="35"/>
  <c r="W20" i="34"/>
  <c r="S20" i="35"/>
  <c r="W19" i="34"/>
  <c r="S19" i="35"/>
  <c r="W16" i="34"/>
  <c r="S16" i="35"/>
  <c r="U17" i="34"/>
  <c r="Q17" i="35"/>
  <c r="T14" i="36"/>
  <c r="T20" i="34"/>
  <c r="P20" i="35"/>
  <c r="T19" i="34"/>
  <c r="P19" i="35"/>
  <c r="T22" i="34"/>
  <c r="P22" i="35"/>
  <c r="T17" i="34"/>
  <c r="P17" i="35"/>
  <c r="W22" i="34"/>
  <c r="S22" i="35"/>
  <c r="U14" i="36"/>
  <c r="S14" i="36"/>
  <c r="S14" i="37" s="1"/>
  <c r="W14" i="35"/>
  <c r="T16" i="34"/>
  <c r="P16" i="35"/>
  <c r="U20" i="34"/>
  <c r="Q20" i="35"/>
  <c r="W17" i="34"/>
  <c r="S17" i="35"/>
  <c r="T13" i="36"/>
  <c r="S27" i="34"/>
  <c r="W27" i="34" s="1"/>
  <c r="W13" i="34"/>
  <c r="W14" i="34"/>
  <c r="P27" i="34"/>
  <c r="T27" i="34" s="1"/>
  <c r="Q28" i="34"/>
  <c r="U28" i="34" s="1"/>
  <c r="W23" i="33"/>
  <c r="S23" i="34"/>
  <c r="P28" i="34"/>
  <c r="T28" i="34" s="1"/>
  <c r="Q27" i="34"/>
  <c r="U27" i="34" s="1"/>
  <c r="H51" i="33"/>
  <c r="L51" i="33" s="1"/>
  <c r="L40" i="33"/>
  <c r="H52" i="33"/>
  <c r="L52" i="33" s="1"/>
  <c r="L41" i="33"/>
  <c r="W13" i="33"/>
  <c r="S27" i="33"/>
  <c r="W27" i="33" s="1"/>
  <c r="J37" i="33"/>
  <c r="J27" i="33"/>
  <c r="N27" i="33" s="1"/>
  <c r="N13" i="33"/>
  <c r="G52" i="33"/>
  <c r="K52" i="33" s="1"/>
  <c r="K41" i="33"/>
  <c r="W14" i="33"/>
  <c r="S28" i="33"/>
  <c r="W28" i="33" s="1"/>
  <c r="G51" i="33"/>
  <c r="K51" i="33" s="1"/>
  <c r="K40" i="33"/>
  <c r="J38" i="33"/>
  <c r="J28" i="33"/>
  <c r="N28" i="33" s="1"/>
  <c r="N14" i="33"/>
  <c r="V28" i="43" l="1"/>
  <c r="W13" i="37"/>
  <c r="S13" i="38"/>
  <c r="V19" i="44"/>
  <c r="P13" i="40"/>
  <c r="T13" i="38"/>
  <c r="R23" i="44"/>
  <c r="R28" i="44" s="1"/>
  <c r="V28" i="44" s="1"/>
  <c r="R28" i="43"/>
  <c r="U23" i="44"/>
  <c r="W14" i="37"/>
  <c r="S14" i="38"/>
  <c r="V27" i="43"/>
  <c r="Q14" i="41"/>
  <c r="U14" i="40"/>
  <c r="R22" i="44"/>
  <c r="R27" i="44" s="1"/>
  <c r="V27" i="44" s="1"/>
  <c r="R27" i="43"/>
  <c r="O28" i="44"/>
  <c r="V20" i="44"/>
  <c r="P14" i="40"/>
  <c r="T14" i="38"/>
  <c r="U22" i="44"/>
  <c r="Q13" i="41"/>
  <c r="U13" i="40"/>
  <c r="S27" i="35"/>
  <c r="W27" i="35" s="1"/>
  <c r="Q20" i="36"/>
  <c r="U20" i="35"/>
  <c r="S22" i="36"/>
  <c r="W22" i="35"/>
  <c r="P20" i="36"/>
  <c r="T20" i="35"/>
  <c r="Q16" i="36"/>
  <c r="Q16" i="37" s="1"/>
  <c r="Q16" i="38" s="1"/>
  <c r="U16" i="35"/>
  <c r="Q27" i="35"/>
  <c r="U27" i="35" s="1"/>
  <c r="S19" i="36"/>
  <c r="W19" i="35"/>
  <c r="S20" i="36"/>
  <c r="W20" i="35"/>
  <c r="W23" i="34"/>
  <c r="S23" i="35"/>
  <c r="S28" i="35" s="1"/>
  <c r="W28" i="35" s="1"/>
  <c r="P22" i="36"/>
  <c r="T22" i="35"/>
  <c r="Q17" i="36"/>
  <c r="Q17" i="37" s="1"/>
  <c r="Q17" i="38" s="1"/>
  <c r="U17" i="35"/>
  <c r="Q28" i="35"/>
  <c r="U28" i="35" s="1"/>
  <c r="P23" i="36"/>
  <c r="T23" i="35"/>
  <c r="W14" i="36"/>
  <c r="Q19" i="36"/>
  <c r="U19" i="35"/>
  <c r="W13" i="36"/>
  <c r="P16" i="36"/>
  <c r="P16" i="37" s="1"/>
  <c r="P16" i="38" s="1"/>
  <c r="T16" i="35"/>
  <c r="P27" i="35"/>
  <c r="T27" i="35" s="1"/>
  <c r="T17" i="35"/>
  <c r="P17" i="36"/>
  <c r="P17" i="37" s="1"/>
  <c r="P17" i="38" s="1"/>
  <c r="P28" i="35"/>
  <c r="T28" i="35" s="1"/>
  <c r="S17" i="36"/>
  <c r="W17" i="35"/>
  <c r="P19" i="36"/>
  <c r="T19" i="35"/>
  <c r="S16" i="36"/>
  <c r="W16" i="35"/>
  <c r="S28" i="34"/>
  <c r="W28" i="34" s="1"/>
  <c r="N37" i="33"/>
  <c r="J51" i="33"/>
  <c r="N51" i="33" s="1"/>
  <c r="N38" i="33"/>
  <c r="J52" i="33"/>
  <c r="N52" i="33" s="1"/>
  <c r="Q17" i="40" l="1"/>
  <c r="U17" i="38"/>
  <c r="S14" i="40"/>
  <c r="W14" i="38"/>
  <c r="P13" i="41"/>
  <c r="T13" i="40"/>
  <c r="P16" i="40"/>
  <c r="T16" i="38"/>
  <c r="P14" i="41"/>
  <c r="T14" i="40"/>
  <c r="V23" i="44"/>
  <c r="Q13" i="43"/>
  <c r="U13" i="41"/>
  <c r="Q14" i="43"/>
  <c r="U14" i="41"/>
  <c r="S13" i="40"/>
  <c r="W13" i="38"/>
  <c r="P17" i="40"/>
  <c r="T17" i="38"/>
  <c r="V22" i="44"/>
  <c r="Q16" i="40"/>
  <c r="U16" i="38"/>
  <c r="T20" i="36"/>
  <c r="P20" i="37"/>
  <c r="W20" i="36"/>
  <c r="S20" i="37"/>
  <c r="T19" i="36"/>
  <c r="P19" i="37"/>
  <c r="U20" i="36"/>
  <c r="Q20" i="37"/>
  <c r="T23" i="36"/>
  <c r="P23" i="37"/>
  <c r="W19" i="36"/>
  <c r="S19" i="37"/>
  <c r="U19" i="36"/>
  <c r="Q19" i="37"/>
  <c r="T22" i="36"/>
  <c r="P22" i="37"/>
  <c r="W22" i="36"/>
  <c r="S22" i="37"/>
  <c r="W17" i="36"/>
  <c r="S17" i="37"/>
  <c r="S17" i="38" s="1"/>
  <c r="W16" i="36"/>
  <c r="S16" i="37"/>
  <c r="S16" i="38" s="1"/>
  <c r="U17" i="37"/>
  <c r="Q28" i="37"/>
  <c r="U28" i="37" s="1"/>
  <c r="U16" i="37"/>
  <c r="T17" i="37"/>
  <c r="T16" i="37"/>
  <c r="T16" i="36"/>
  <c r="P27" i="36"/>
  <c r="T27" i="36" s="1"/>
  <c r="S23" i="36"/>
  <c r="S23" i="37" s="1"/>
  <c r="W23" i="35"/>
  <c r="S27" i="36"/>
  <c r="W27" i="36" s="1"/>
  <c r="U17" i="36"/>
  <c r="Q28" i="36"/>
  <c r="U28" i="36" s="1"/>
  <c r="U16" i="36"/>
  <c r="Q27" i="36"/>
  <c r="U27" i="36" s="1"/>
  <c r="T17" i="36"/>
  <c r="P28" i="36"/>
  <c r="T28" i="36" s="1"/>
  <c r="T22" i="37" l="1"/>
  <c r="P22" i="38"/>
  <c r="U20" i="37"/>
  <c r="Q20" i="38"/>
  <c r="S13" i="41"/>
  <c r="W13" i="40"/>
  <c r="P14" i="43"/>
  <c r="T14" i="41"/>
  <c r="S14" i="41"/>
  <c r="W14" i="40"/>
  <c r="T19" i="37"/>
  <c r="P19" i="38"/>
  <c r="S16" i="40"/>
  <c r="W16" i="38"/>
  <c r="Q14" i="44"/>
  <c r="U14" i="44" s="1"/>
  <c r="U14" i="43"/>
  <c r="P16" i="41"/>
  <c r="T16" i="40"/>
  <c r="S17" i="40"/>
  <c r="W17" i="38"/>
  <c r="W19" i="37"/>
  <c r="S19" i="38"/>
  <c r="W20" i="37"/>
  <c r="S20" i="38"/>
  <c r="Q17" i="41"/>
  <c r="U17" i="40"/>
  <c r="W23" i="37"/>
  <c r="S23" i="38"/>
  <c r="U19" i="37"/>
  <c r="Q19" i="38"/>
  <c r="P17" i="41"/>
  <c r="T17" i="40"/>
  <c r="Q13" i="44"/>
  <c r="U13" i="44" s="1"/>
  <c r="U13" i="43"/>
  <c r="P13" i="43"/>
  <c r="T13" i="41"/>
  <c r="W22" i="37"/>
  <c r="S22" i="38"/>
  <c r="T23" i="37"/>
  <c r="P23" i="38"/>
  <c r="T20" i="37"/>
  <c r="P20" i="38"/>
  <c r="Q16" i="41"/>
  <c r="U16" i="40"/>
  <c r="P28" i="37"/>
  <c r="T28" i="37" s="1"/>
  <c r="Q27" i="37"/>
  <c r="U27" i="37" s="1"/>
  <c r="P27" i="37"/>
  <c r="T27" i="37" s="1"/>
  <c r="W17" i="37"/>
  <c r="S28" i="37"/>
  <c r="W28" i="37" s="1"/>
  <c r="S27" i="37"/>
  <c r="W27" i="37" s="1"/>
  <c r="W16" i="37"/>
  <c r="W23" i="36"/>
  <c r="S28" i="36"/>
  <c r="W28" i="36" s="1"/>
  <c r="P23" i="40" l="1"/>
  <c r="T23" i="38"/>
  <c r="S17" i="41"/>
  <c r="W17" i="40"/>
  <c r="P19" i="40"/>
  <c r="T19" i="38"/>
  <c r="P27" i="38"/>
  <c r="T27" i="38" s="1"/>
  <c r="S13" i="43"/>
  <c r="W13" i="41"/>
  <c r="S22" i="40"/>
  <c r="W22" i="38"/>
  <c r="S20" i="40"/>
  <c r="W20" i="38"/>
  <c r="Q20" i="40"/>
  <c r="U20" i="38"/>
  <c r="Q28" i="38"/>
  <c r="U28" i="38" s="1"/>
  <c r="Q19" i="40"/>
  <c r="U19" i="38"/>
  <c r="Q27" i="38"/>
  <c r="U27" i="38" s="1"/>
  <c r="S14" i="43"/>
  <c r="W14" i="41"/>
  <c r="S19" i="40"/>
  <c r="W19" i="38"/>
  <c r="P22" i="40"/>
  <c r="T22" i="38"/>
  <c r="Q17" i="43"/>
  <c r="U17" i="41"/>
  <c r="S27" i="38"/>
  <c r="W27" i="38" s="1"/>
  <c r="P20" i="40"/>
  <c r="T20" i="38"/>
  <c r="P28" i="38"/>
  <c r="T28" i="38" s="1"/>
  <c r="P13" i="44"/>
  <c r="T13" i="43"/>
  <c r="S23" i="40"/>
  <c r="W23" i="38"/>
  <c r="P16" i="43"/>
  <c r="T16" i="41"/>
  <c r="P17" i="43"/>
  <c r="T17" i="41"/>
  <c r="S16" i="41"/>
  <c r="W16" i="40"/>
  <c r="P14" i="44"/>
  <c r="T14" i="43"/>
  <c r="S28" i="38"/>
  <c r="W28" i="38" s="1"/>
  <c r="Q16" i="43"/>
  <c r="U16" i="41"/>
  <c r="S23" i="41" l="1"/>
  <c r="W23" i="40"/>
  <c r="S28" i="40"/>
  <c r="W28" i="40" s="1"/>
  <c r="S20" i="41"/>
  <c r="W20" i="40"/>
  <c r="P19" i="41"/>
  <c r="T19" i="40"/>
  <c r="P27" i="40"/>
  <c r="T27" i="40" s="1"/>
  <c r="S16" i="43"/>
  <c r="W16" i="41"/>
  <c r="P22" i="41"/>
  <c r="T22" i="40"/>
  <c r="S22" i="41"/>
  <c r="W22" i="40"/>
  <c r="S17" i="43"/>
  <c r="W17" i="41"/>
  <c r="S14" i="44"/>
  <c r="W14" i="43"/>
  <c r="Q17" i="44"/>
  <c r="U17" i="44" s="1"/>
  <c r="U17" i="43"/>
  <c r="Q19" i="41"/>
  <c r="U19" i="40"/>
  <c r="Q27" i="40"/>
  <c r="U27" i="40" s="1"/>
  <c r="T13" i="44"/>
  <c r="P17" i="44"/>
  <c r="T17" i="44" s="1"/>
  <c r="T17" i="43"/>
  <c r="P16" i="44"/>
  <c r="T16" i="44" s="1"/>
  <c r="T16" i="43"/>
  <c r="S19" i="41"/>
  <c r="W19" i="40"/>
  <c r="S27" i="40"/>
  <c r="W27" i="40" s="1"/>
  <c r="P23" i="41"/>
  <c r="T23" i="40"/>
  <c r="T14" i="44"/>
  <c r="P20" i="41"/>
  <c r="T20" i="40"/>
  <c r="P28" i="40"/>
  <c r="T28" i="40" s="1"/>
  <c r="Q20" i="41"/>
  <c r="U20" i="40"/>
  <c r="Q28" i="40"/>
  <c r="U28" i="40" s="1"/>
  <c r="S13" i="44"/>
  <c r="W13" i="43"/>
  <c r="U16" i="43"/>
  <c r="Q16" i="44"/>
  <c r="W13" i="44" l="1"/>
  <c r="Q19" i="43"/>
  <c r="U19" i="41"/>
  <c r="Q27" i="41"/>
  <c r="U27" i="41" s="1"/>
  <c r="S17" i="44"/>
  <c r="W17" i="44" s="1"/>
  <c r="W17" i="43"/>
  <c r="S19" i="43"/>
  <c r="W19" i="41"/>
  <c r="P19" i="43"/>
  <c r="T19" i="41"/>
  <c r="P27" i="41"/>
  <c r="T27" i="41" s="1"/>
  <c r="S22" i="43"/>
  <c r="W22" i="41"/>
  <c r="P20" i="43"/>
  <c r="T20" i="41"/>
  <c r="P28" i="41"/>
  <c r="T28" i="41" s="1"/>
  <c r="P23" i="43"/>
  <c r="T23" i="41"/>
  <c r="S20" i="43"/>
  <c r="W20" i="41"/>
  <c r="S28" i="41"/>
  <c r="W28" i="41" s="1"/>
  <c r="P22" i="43"/>
  <c r="T22" i="41"/>
  <c r="S27" i="41"/>
  <c r="W27" i="41" s="1"/>
  <c r="Q20" i="43"/>
  <c r="U20" i="41"/>
  <c r="Q28" i="41"/>
  <c r="U28" i="41" s="1"/>
  <c r="W14" i="44"/>
  <c r="S16" i="44"/>
  <c r="W16" i="44" s="1"/>
  <c r="W16" i="43"/>
  <c r="S23" i="43"/>
  <c r="W23" i="41"/>
  <c r="U16" i="44"/>
  <c r="P22" i="44" l="1"/>
  <c r="T22" i="44" s="1"/>
  <c r="T22" i="43"/>
  <c r="P20" i="44"/>
  <c r="T20" i="43"/>
  <c r="P28" i="43"/>
  <c r="T28" i="43" s="1"/>
  <c r="S19" i="44"/>
  <c r="W19" i="44" s="1"/>
  <c r="W19" i="43"/>
  <c r="S27" i="43"/>
  <c r="W27" i="43" s="1"/>
  <c r="W22" i="43"/>
  <c r="S22" i="44"/>
  <c r="W22" i="44" s="1"/>
  <c r="Q20" i="44"/>
  <c r="U20" i="43"/>
  <c r="Q28" i="43"/>
  <c r="U28" i="43" s="1"/>
  <c r="S20" i="44"/>
  <c r="W20" i="43"/>
  <c r="S23" i="44"/>
  <c r="W23" i="44" s="1"/>
  <c r="W23" i="43"/>
  <c r="S28" i="43"/>
  <c r="W28" i="43" s="1"/>
  <c r="Q19" i="44"/>
  <c r="U19" i="43"/>
  <c r="Q27" i="43"/>
  <c r="U27" i="43" s="1"/>
  <c r="P23" i="44"/>
  <c r="T23" i="44" s="1"/>
  <c r="T23" i="43"/>
  <c r="P19" i="44"/>
  <c r="T19" i="43"/>
  <c r="P27" i="43"/>
  <c r="T27" i="43" s="1"/>
  <c r="T19" i="44" l="1"/>
  <c r="P27" i="44"/>
  <c r="T27" i="44" s="1"/>
  <c r="W20" i="44"/>
  <c r="S28" i="44"/>
  <c r="W28" i="44" s="1"/>
  <c r="S27" i="44"/>
  <c r="W27" i="44" s="1"/>
  <c r="U19" i="44"/>
  <c r="Q27" i="44"/>
  <c r="U27" i="44" s="1"/>
  <c r="Q28" i="44"/>
  <c r="U28" i="44" s="1"/>
  <c r="U20" i="44"/>
  <c r="T20" i="44"/>
  <c r="P28" i="44"/>
  <c r="T28" i="44" s="1"/>
  <c r="Q22" i="54" l="1"/>
  <c r="Z22" i="54" s="1"/>
  <c r="L22" i="54"/>
  <c r="N22" i="54"/>
  <c r="M22" i="54"/>
  <c r="O22" i="54"/>
  <c r="P22" i="54"/>
  <c r="F46" i="54"/>
  <c r="Q46" i="54" s="1"/>
  <c r="F27" i="54"/>
  <c r="O27" i="54" s="1"/>
  <c r="X22" i="54" l="1"/>
  <c r="M46" i="54"/>
  <c r="W46" i="54"/>
  <c r="Q51" i="54"/>
  <c r="W51" i="54" s="1"/>
  <c r="Q27" i="54"/>
  <c r="M27" i="54"/>
  <c r="L46" i="54"/>
  <c r="L27" i="54"/>
  <c r="N46" i="54"/>
  <c r="AA22" i="54"/>
  <c r="P27" i="54"/>
  <c r="W22" i="54"/>
  <c r="F51" i="54"/>
  <c r="Y22" i="54"/>
  <c r="N27" i="54"/>
  <c r="O46" i="54"/>
  <c r="P46" i="54"/>
  <c r="P51" i="54" l="1"/>
  <c r="O51" i="54"/>
  <c r="M51" i="54"/>
  <c r="N51" i="54"/>
  <c r="L51" i="54"/>
  <c r="Z27" i="54"/>
  <c r="AA27" i="54"/>
  <c r="W27" i="54"/>
  <c r="X27" i="54"/>
  <c r="Y27" i="54"/>
  <c r="Q23" i="54"/>
  <c r="W23" i="54" s="1"/>
  <c r="M23" i="54"/>
  <c r="O23" i="54"/>
  <c r="P23" i="54"/>
  <c r="L23" i="54"/>
  <c r="N23" i="54"/>
  <c r="F47" i="54"/>
  <c r="Q47" i="54" s="1"/>
  <c r="F28" i="54"/>
  <c r="L28" i="54" s="1"/>
  <c r="P28" i="54" l="1"/>
  <c r="X23" i="54"/>
  <c r="M28" i="54"/>
  <c r="L47" i="54"/>
  <c r="Z23" i="54"/>
  <c r="N28" i="54"/>
  <c r="O28" i="54"/>
  <c r="W47" i="54"/>
  <c r="Q52" i="54"/>
  <c r="W52" i="54" s="1"/>
  <c r="P47" i="54"/>
  <c r="M47" i="54"/>
  <c r="Y23" i="54"/>
  <c r="N47" i="54"/>
  <c r="Q28" i="54"/>
  <c r="AA23" i="54"/>
  <c r="F52" i="54"/>
  <c r="O47" i="54"/>
  <c r="AA28" i="54" l="1"/>
  <c r="X28" i="54"/>
  <c r="Y28" i="54"/>
  <c r="W28" i="54"/>
  <c r="Z28" i="54"/>
  <c r="M52" i="54"/>
  <c r="L52" i="54"/>
  <c r="N52" i="54"/>
  <c r="P52" i="54"/>
  <c r="O52" i="54"/>
  <c r="L23" i="55" l="1"/>
  <c r="M23" i="55"/>
  <c r="N23" i="55"/>
  <c r="O23" i="55"/>
  <c r="P23" i="55"/>
  <c r="Q23" i="55"/>
  <c r="W23" i="55" s="1"/>
  <c r="F28" i="55"/>
  <c r="N28" i="55" s="1"/>
  <c r="F47" i="55"/>
  <c r="L47" i="55" s="1"/>
  <c r="N47" i="55"/>
  <c r="O47" i="55"/>
  <c r="Q47" i="55"/>
  <c r="W47" i="55" s="1"/>
  <c r="F52" i="55"/>
  <c r="L52" i="55" s="1"/>
  <c r="M47" i="55" l="1"/>
  <c r="Q52" i="55"/>
  <c r="W52" i="55" s="1"/>
  <c r="O52" i="55"/>
  <c r="N52" i="55"/>
  <c r="AA23" i="55"/>
  <c r="M28" i="55"/>
  <c r="P52" i="55"/>
  <c r="P47" i="55"/>
  <c r="L28" i="55"/>
  <c r="M52" i="55"/>
  <c r="Q28" i="55"/>
  <c r="Z23" i="55"/>
  <c r="P28" i="55"/>
  <c r="Y23" i="55"/>
  <c r="O28" i="55"/>
  <c r="X23" i="55"/>
  <c r="AA28" i="55" l="1"/>
  <c r="W28" i="55"/>
  <c r="Y28" i="55"/>
  <c r="Z28" i="55"/>
  <c r="X28" i="55"/>
  <c r="Q56" i="55" l="1"/>
  <c r="L22" i="56" l="1"/>
  <c r="M22" i="56"/>
  <c r="N22" i="56"/>
  <c r="O22" i="56"/>
  <c r="P22" i="56"/>
  <c r="Q22" i="56"/>
  <c r="X22" i="56" s="1"/>
  <c r="W22" i="56"/>
  <c r="F27" i="56"/>
  <c r="O27" i="56" s="1"/>
  <c r="F46" i="56"/>
  <c r="L46" i="56" s="1"/>
  <c r="F51" i="56" l="1"/>
  <c r="Q46" i="56"/>
  <c r="W46" i="56" s="1"/>
  <c r="P46" i="56"/>
  <c r="N27" i="56"/>
  <c r="N46" i="56"/>
  <c r="O46" i="56"/>
  <c r="M46" i="56"/>
  <c r="Q51" i="56"/>
  <c r="W51" i="56" s="1"/>
  <c r="M27" i="56"/>
  <c r="L27" i="56"/>
  <c r="AA22" i="56"/>
  <c r="Q27" i="56"/>
  <c r="Z22" i="56"/>
  <c r="P27" i="56"/>
  <c r="Y22" i="56"/>
  <c r="L51" i="56" l="1"/>
  <c r="O51" i="56"/>
  <c r="P51" i="56"/>
  <c r="M51" i="56"/>
  <c r="N51" i="56"/>
  <c r="W27" i="56"/>
  <c r="X27" i="56"/>
  <c r="Y27" i="56"/>
  <c r="AA27" i="56"/>
  <c r="Z27" i="56"/>
  <c r="L23" i="56"/>
  <c r="M23" i="56"/>
  <c r="N23" i="56"/>
  <c r="O23" i="56"/>
  <c r="P23" i="56"/>
  <c r="Q23" i="56"/>
  <c r="W23" i="56" s="1"/>
  <c r="F28" i="56"/>
  <c r="N28" i="56" s="1"/>
  <c r="F47" i="56"/>
  <c r="L47" i="56"/>
  <c r="M47" i="56"/>
  <c r="N47" i="56"/>
  <c r="O47" i="56"/>
  <c r="P47" i="56"/>
  <c r="Q47" i="56"/>
  <c r="W47" i="56" s="1"/>
  <c r="F52" i="56"/>
  <c r="L52" i="56" s="1"/>
  <c r="N52" i="56" l="1"/>
  <c r="P52" i="56"/>
  <c r="O52" i="56"/>
  <c r="M52" i="56"/>
  <c r="M28" i="56"/>
  <c r="L28" i="56"/>
  <c r="AA23" i="56"/>
  <c r="Z23" i="56"/>
  <c r="Q28" i="56"/>
  <c r="Y23" i="56"/>
  <c r="O28" i="56"/>
  <c r="X23" i="56"/>
  <c r="Q52" i="56"/>
  <c r="P28" i="56"/>
  <c r="W52" i="56" l="1"/>
  <c r="Q56" i="56"/>
  <c r="AA28" i="56"/>
  <c r="X28" i="56"/>
  <c r="Z28" i="56"/>
  <c r="W28" i="56"/>
  <c r="Y28" i="56"/>
  <c r="S22" i="59" l="1"/>
  <c r="AB22" i="59" s="1"/>
  <c r="P22" i="59"/>
  <c r="Q22" i="59"/>
  <c r="O22" i="59"/>
  <c r="R22" i="59"/>
  <c r="M22" i="59"/>
  <c r="N22" i="59"/>
  <c r="F27" i="59"/>
  <c r="M27" i="59" s="1"/>
  <c r="F46" i="59"/>
  <c r="M46" i="59" s="1"/>
  <c r="Q46" i="59"/>
  <c r="AD22" i="59" l="1"/>
  <c r="Q27" i="59"/>
  <c r="AA22" i="59"/>
  <c r="S27" i="59"/>
  <c r="N27" i="59"/>
  <c r="AC22" i="59"/>
  <c r="F51" i="59"/>
  <c r="R27" i="59"/>
  <c r="O46" i="59"/>
  <c r="T46" i="59"/>
  <c r="R46" i="59"/>
  <c r="P46" i="59"/>
  <c r="P27" i="59"/>
  <c r="Z22" i="59"/>
  <c r="O27" i="59"/>
  <c r="AE22" i="59"/>
  <c r="N46" i="59"/>
  <c r="O51" i="59" l="1"/>
  <c r="Q51" i="59"/>
  <c r="P51" i="59"/>
  <c r="N51" i="59"/>
  <c r="M51" i="59"/>
  <c r="R51" i="59"/>
  <c r="AA27" i="59"/>
  <c r="AC27" i="59"/>
  <c r="AB27" i="59"/>
  <c r="AD27" i="59"/>
  <c r="AE27" i="59"/>
  <c r="Z27" i="59"/>
  <c r="AA46" i="59"/>
  <c r="AD46" i="59"/>
  <c r="AB46" i="59"/>
  <c r="T51" i="59"/>
  <c r="AC46" i="59"/>
  <c r="AE46" i="59"/>
  <c r="AB51" i="59" l="1"/>
  <c r="AC51" i="59"/>
  <c r="AD51" i="59"/>
  <c r="AE51" i="59"/>
  <c r="AA51" i="59"/>
  <c r="S23" i="59"/>
  <c r="AD23" i="59" s="1"/>
  <c r="F47" i="59"/>
  <c r="R47" i="59" s="1"/>
  <c r="M23" i="59"/>
  <c r="N23" i="59"/>
  <c r="P23" i="59"/>
  <c r="O23" i="59"/>
  <c r="Q23" i="59"/>
  <c r="F28" i="59"/>
  <c r="Q28" i="59" s="1"/>
  <c r="R23" i="59"/>
  <c r="AE23" i="59" l="1"/>
  <c r="S28" i="59"/>
  <c r="Z23" i="59"/>
  <c r="N28" i="59"/>
  <c r="Q47" i="59"/>
  <c r="AB23" i="59"/>
  <c r="AD28" i="59"/>
  <c r="O47" i="59"/>
  <c r="M47" i="59"/>
  <c r="P47" i="59"/>
  <c r="P28" i="59"/>
  <c r="AE28" i="59"/>
  <c r="O28" i="59"/>
  <c r="AC23" i="59"/>
  <c r="AA28" i="59"/>
  <c r="M28" i="59"/>
  <c r="T47" i="59"/>
  <c r="AA23" i="59"/>
  <c r="AC28" i="59"/>
  <c r="N47" i="59"/>
  <c r="R28" i="59"/>
  <c r="F52" i="59"/>
  <c r="Z28" i="59" l="1"/>
  <c r="AB28" i="59"/>
  <c r="AE47" i="59"/>
  <c r="T52" i="59"/>
  <c r="AA47" i="59"/>
  <c r="AC47" i="59"/>
  <c r="AD47" i="59"/>
  <c r="AB47" i="59"/>
  <c r="R52" i="59"/>
  <c r="Q52" i="59"/>
  <c r="O52" i="59"/>
  <c r="M52" i="59"/>
  <c r="P52" i="59"/>
  <c r="N52" i="59"/>
  <c r="AD52" i="59" l="1"/>
  <c r="AB52" i="59"/>
  <c r="AA52" i="59"/>
  <c r="T53" i="59"/>
  <c r="AE52" i="59"/>
  <c r="AC52" i="59"/>
  <c r="S22" i="60" l="1"/>
  <c r="AE22" i="60" s="1"/>
  <c r="P22" i="60"/>
  <c r="Q22" i="60"/>
  <c r="O22" i="60"/>
  <c r="R22" i="60"/>
  <c r="M22" i="60"/>
  <c r="N22" i="60"/>
  <c r="F46" i="60"/>
  <c r="M46" i="60" s="1"/>
  <c r="F27" i="60"/>
  <c r="R27" i="60" s="1"/>
  <c r="AB22" i="60" l="1"/>
  <c r="O27" i="60"/>
  <c r="AC22" i="60"/>
  <c r="S27" i="60"/>
  <c r="AA22" i="60"/>
  <c r="P46" i="60"/>
  <c r="M27" i="60"/>
  <c r="O46" i="60"/>
  <c r="Z22" i="60"/>
  <c r="F51" i="60"/>
  <c r="T46" i="60"/>
  <c r="P27" i="60"/>
  <c r="Q27" i="60"/>
  <c r="N46" i="60"/>
  <c r="Q46" i="60"/>
  <c r="N27" i="60"/>
  <c r="AD22" i="60"/>
  <c r="R46" i="60"/>
  <c r="Z27" i="60" l="1"/>
  <c r="AB27" i="60"/>
  <c r="AC27" i="60"/>
  <c r="AE27" i="60"/>
  <c r="AD27" i="60"/>
  <c r="AA27" i="60"/>
  <c r="AE46" i="60"/>
  <c r="AB46" i="60"/>
  <c r="AC46" i="60"/>
  <c r="AD46" i="60"/>
  <c r="T51" i="60"/>
  <c r="AA46" i="60"/>
  <c r="O51" i="60"/>
  <c r="P51" i="60"/>
  <c r="R51" i="60"/>
  <c r="Q51" i="60"/>
  <c r="M51" i="60"/>
  <c r="N51" i="60"/>
  <c r="AE51" i="60" l="1"/>
  <c r="AA51" i="60"/>
  <c r="AB51" i="60"/>
  <c r="AC51" i="60"/>
  <c r="AD51" i="60"/>
  <c r="S28" i="60"/>
  <c r="AE28" i="60" s="1"/>
  <c r="AC23" i="60"/>
  <c r="AA23" i="60"/>
  <c r="S23" i="60"/>
  <c r="AB23" i="60" s="1"/>
  <c r="N23" i="60"/>
  <c r="O23" i="60"/>
  <c r="P23" i="60"/>
  <c r="Q23" i="60"/>
  <c r="R23" i="60"/>
  <c r="M23" i="60"/>
  <c r="F47" i="60"/>
  <c r="F52" i="60" s="1"/>
  <c r="F28" i="60"/>
  <c r="O28" i="60" s="1"/>
  <c r="AA28" i="60" l="1"/>
  <c r="M28" i="60"/>
  <c r="R52" i="60"/>
  <c r="O52" i="60"/>
  <c r="Q52" i="60"/>
  <c r="N52" i="60"/>
  <c r="P52" i="60"/>
  <c r="M52" i="60"/>
  <c r="Z28" i="60"/>
  <c r="P28" i="60"/>
  <c r="P47" i="60"/>
  <c r="AE23" i="60"/>
  <c r="T47" i="60"/>
  <c r="AC28" i="60"/>
  <c r="O47" i="60"/>
  <c r="AB28" i="60"/>
  <c r="Q28" i="60"/>
  <c r="R28" i="60"/>
  <c r="Z23" i="60"/>
  <c r="AD28" i="60"/>
  <c r="N47" i="60"/>
  <c r="N28" i="60"/>
  <c r="R47" i="60"/>
  <c r="AD23" i="60"/>
  <c r="Q47" i="60"/>
  <c r="M47" i="60"/>
  <c r="AA47" i="60" l="1"/>
  <c r="AD47" i="60"/>
  <c r="AB47" i="60"/>
  <c r="AC47" i="60"/>
  <c r="T52" i="60"/>
  <c r="AE47" i="60"/>
  <c r="AD52" i="60" l="1"/>
  <c r="AB52" i="60"/>
  <c r="AE52" i="60"/>
  <c r="T53" i="60"/>
  <c r="AC52" i="60"/>
  <c r="AA52" i="60"/>
  <c r="F47" i="62" l="1"/>
  <c r="N47" i="62" s="1"/>
  <c r="N23" i="62"/>
  <c r="O23" i="62"/>
  <c r="Q23" i="62"/>
  <c r="R23" i="62"/>
  <c r="P23" i="62"/>
  <c r="M23" i="62"/>
  <c r="F28" i="62"/>
  <c r="S23" i="62"/>
  <c r="AB23" i="62" s="1"/>
  <c r="P47" i="62" l="1"/>
  <c r="AD23" i="62"/>
  <c r="AE23" i="62"/>
  <c r="P28" i="62"/>
  <c r="M47" i="62"/>
  <c r="S28" i="62"/>
  <c r="O47" i="62"/>
  <c r="Q47" i="62"/>
  <c r="R47" i="62"/>
  <c r="AC23" i="62"/>
  <c r="Z23" i="62"/>
  <c r="S47" i="62"/>
  <c r="S52" i="62" s="1"/>
  <c r="M28" i="62"/>
  <c r="Q28" i="62"/>
  <c r="N28" i="62"/>
  <c r="O28" i="62"/>
  <c r="AA23" i="62"/>
  <c r="R28" i="62"/>
  <c r="F52" i="62"/>
  <c r="AA28" i="62" l="1"/>
  <c r="AC28" i="62"/>
  <c r="AE28" i="62"/>
  <c r="AB28" i="62"/>
  <c r="Z28" i="62"/>
  <c r="AD28" i="62"/>
  <c r="O52" i="62"/>
  <c r="P52" i="62"/>
  <c r="R52" i="62"/>
  <c r="N52" i="62"/>
  <c r="M52" i="62"/>
  <c r="S54" i="62"/>
  <c r="Q52" i="62"/>
  <c r="S30" i="62"/>
  <c r="S23" i="63" l="1"/>
  <c r="AB23" i="63" s="1"/>
  <c r="O23" i="63"/>
  <c r="Q23" i="63"/>
  <c r="N23" i="63"/>
  <c r="P23" i="63"/>
  <c r="R23" i="63"/>
  <c r="M23" i="63"/>
  <c r="F47" i="63"/>
  <c r="F52" i="63" s="1"/>
  <c r="F28" i="63"/>
  <c r="R28" i="63" s="1"/>
  <c r="M28" i="63" l="1"/>
  <c r="Z23" i="63"/>
  <c r="M52" i="63"/>
  <c r="N52" i="63"/>
  <c r="O52" i="63"/>
  <c r="P52" i="63"/>
  <c r="Q52" i="63"/>
  <c r="R52" i="63"/>
  <c r="M47" i="63"/>
  <c r="AD23" i="63"/>
  <c r="S28" i="63"/>
  <c r="S30" i="63" s="1"/>
  <c r="O47" i="63"/>
  <c r="AA23" i="63"/>
  <c r="AE23" i="63"/>
  <c r="P28" i="63"/>
  <c r="O28" i="63"/>
  <c r="N47" i="63"/>
  <c r="S47" i="63"/>
  <c r="S52" i="63" s="1"/>
  <c r="S54" i="63" s="1"/>
  <c r="P47" i="63"/>
  <c r="Q28" i="63"/>
  <c r="Q47" i="63"/>
  <c r="AC23" i="63"/>
  <c r="N28" i="63"/>
  <c r="R47" i="63"/>
  <c r="AC28" i="63" l="1"/>
  <c r="AA28" i="63"/>
  <c r="AB28" i="63"/>
  <c r="AE28" i="63"/>
  <c r="AD28" i="63"/>
  <c r="Z28" i="63"/>
  <c r="S23" i="64" l="1"/>
  <c r="AB23" i="64" s="1"/>
  <c r="O23" i="64"/>
  <c r="N23" i="64"/>
  <c r="R23" i="64"/>
  <c r="Q23" i="64"/>
  <c r="P23" i="64"/>
  <c r="M23" i="64"/>
  <c r="F47" i="64"/>
  <c r="Q47" i="64" s="1"/>
  <c r="F28" i="64"/>
  <c r="M28" i="64" s="1"/>
  <c r="P28" i="64" l="1"/>
  <c r="Q28" i="64"/>
  <c r="R28" i="64"/>
  <c r="AE23" i="64"/>
  <c r="AA23" i="64"/>
  <c r="Z23" i="64"/>
  <c r="AD23" i="64"/>
  <c r="O28" i="64"/>
  <c r="F52" i="64"/>
  <c r="P47" i="64"/>
  <c r="S47" i="64"/>
  <c r="O47" i="64"/>
  <c r="N47" i="64"/>
  <c r="N28" i="64"/>
  <c r="R47" i="64"/>
  <c r="S28" i="64"/>
  <c r="M47" i="64"/>
  <c r="AC23" i="64"/>
  <c r="N52" i="64" l="1"/>
  <c r="M52" i="64"/>
  <c r="O52" i="64"/>
  <c r="Q52" i="64"/>
  <c r="R52" i="64"/>
  <c r="P52" i="64"/>
  <c r="AC28" i="64"/>
  <c r="AB28" i="64"/>
  <c r="AD28" i="64"/>
  <c r="Z28" i="64"/>
  <c r="AE28" i="64"/>
  <c r="AA28" i="64"/>
  <c r="S30" i="64"/>
  <c r="AA47" i="64"/>
  <c r="AD47" i="64"/>
  <c r="AE47" i="64"/>
  <c r="AB47" i="64"/>
  <c r="AC47" i="64"/>
  <c r="S52" i="64"/>
  <c r="Z47" i="64"/>
  <c r="AE52" i="64" l="1"/>
  <c r="AD52" i="64"/>
  <c r="AC52" i="64"/>
  <c r="Z52" i="64"/>
  <c r="AB52" i="64"/>
  <c r="AA52" i="64"/>
  <c r="S54" i="64"/>
  <c r="AD23" i="66" l="1"/>
  <c r="F47" i="66"/>
  <c r="N47" i="66" s="1"/>
  <c r="P23" i="66"/>
  <c r="Q23" i="66"/>
  <c r="R23" i="66"/>
  <c r="N23" i="66"/>
  <c r="O23" i="66"/>
  <c r="M23" i="66"/>
  <c r="F28" i="66"/>
  <c r="R28" i="66" s="1"/>
  <c r="M47" i="66" l="1"/>
  <c r="R47" i="66"/>
  <c r="Q47" i="66"/>
  <c r="Z23" i="66"/>
  <c r="F52" i="66"/>
  <c r="P52" i="66" s="1"/>
  <c r="S28" i="66"/>
  <c r="N28" i="66"/>
  <c r="AC23" i="66"/>
  <c r="Q28" i="66"/>
  <c r="O28" i="66"/>
  <c r="AB23" i="66"/>
  <c r="P28" i="66"/>
  <c r="M28" i="66"/>
  <c r="P47" i="66"/>
  <c r="AA23" i="66"/>
  <c r="O47" i="66"/>
  <c r="AE23" i="66"/>
  <c r="M52" i="66" l="1"/>
  <c r="Q52" i="66"/>
  <c r="O52" i="66"/>
  <c r="R52" i="66"/>
  <c r="N52" i="66"/>
  <c r="AD47" i="66"/>
  <c r="AA47" i="66"/>
  <c r="AE47" i="66"/>
  <c r="AB47" i="66"/>
  <c r="AC47" i="66"/>
  <c r="Z47" i="66"/>
  <c r="S52" i="66"/>
  <c r="AB28" i="66"/>
  <c r="AC28" i="66"/>
  <c r="AD28" i="66"/>
  <c r="AA28" i="66"/>
  <c r="AE28" i="66"/>
  <c r="Z28" i="66"/>
  <c r="AB52" i="66" l="1"/>
  <c r="AC52" i="66"/>
  <c r="AD52" i="66"/>
  <c r="AE52" i="66"/>
  <c r="Z52" i="66"/>
  <c r="AA52" i="66"/>
  <c r="U57" i="70" l="1"/>
  <c r="S23" i="71" l="1"/>
  <c r="R23" i="71"/>
  <c r="P23" i="71"/>
  <c r="Q23" i="71"/>
  <c r="N23" i="71"/>
  <c r="O23" i="71"/>
  <c r="T23" i="71"/>
  <c r="AF23" i="71"/>
  <c r="V57" i="71" l="1"/>
  <c r="AH52" i="71"/>
  <c r="AE52" i="71"/>
  <c r="AD52" i="71"/>
  <c r="AG52" i="71"/>
  <c r="AF52" i="71"/>
  <c r="AI52" i="71"/>
  <c r="P52" i="71"/>
  <c r="AG23" i="71"/>
  <c r="S52" i="71"/>
  <c r="AC23" i="71"/>
  <c r="R52" i="71"/>
  <c r="O52" i="71"/>
  <c r="N52" i="71"/>
  <c r="AD23" i="71"/>
  <c r="AH23" i="71"/>
  <c r="AE23" i="71"/>
  <c r="Q52" i="71"/>
  <c r="AI23" i="71"/>
  <c r="T52" i="71"/>
  <c r="F57" i="71"/>
  <c r="F62" i="71" s="1"/>
  <c r="R57" i="71" l="1"/>
  <c r="Q57" i="71"/>
  <c r="T57" i="71"/>
  <c r="P57" i="71"/>
  <c r="O57" i="71"/>
  <c r="N57" i="71"/>
  <c r="S57" i="71"/>
  <c r="AF57" i="71"/>
  <c r="AH57" i="71"/>
  <c r="AE57" i="71"/>
  <c r="AI57" i="71"/>
  <c r="AG57" i="71"/>
  <c r="AD57" i="71"/>
  <c r="F28" i="73"/>
  <c r="F52" i="73"/>
  <c r="O52" i="73" s="1"/>
  <c r="Q23" i="73"/>
  <c r="P23" i="73"/>
  <c r="O23" i="73"/>
  <c r="N23" i="73"/>
  <c r="T23" i="73"/>
  <c r="AE23" i="73"/>
  <c r="R23" i="73"/>
  <c r="S23" i="73"/>
  <c r="Q52" i="73"/>
  <c r="R52" i="73"/>
  <c r="P52" i="73"/>
  <c r="N52" i="73"/>
  <c r="T52" i="73"/>
  <c r="S52" i="73"/>
  <c r="U28" i="73"/>
  <c r="F57" i="73"/>
  <c r="N28" i="73" l="1"/>
  <c r="P28" i="73"/>
  <c r="Q28" i="73"/>
  <c r="O28" i="73"/>
  <c r="T28" i="73"/>
  <c r="R28" i="73"/>
  <c r="S28" i="73"/>
  <c r="Q57" i="73"/>
  <c r="S57" i="73"/>
  <c r="V57" i="73"/>
  <c r="N57" i="73"/>
  <c r="O57" i="73"/>
  <c r="AH23" i="73"/>
  <c r="AC23" i="73"/>
  <c r="AF23" i="73"/>
  <c r="AI23" i="73"/>
  <c r="AD23" i="73"/>
  <c r="AG23" i="73"/>
  <c r="AE28" i="73"/>
  <c r="AF28" i="73"/>
  <c r="AI28" i="73"/>
  <c r="AC28" i="73"/>
  <c r="AG28" i="73"/>
  <c r="AD28" i="73"/>
  <c r="AH28" i="73"/>
  <c r="T57" i="73"/>
  <c r="P57" i="73"/>
  <c r="R57" i="73"/>
  <c r="AE57" i="73" l="1"/>
  <c r="AH57" i="73"/>
  <c r="AG57" i="73"/>
  <c r="AI57" i="73"/>
  <c r="AF57" i="73"/>
  <c r="AD57" i="73"/>
  <c r="F33" i="73"/>
  <c r="F60" i="73"/>
  <c r="F62" i="73" s="1"/>
  <c r="U33" i="7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tc={EB20F34A-B1CA-4390-9F24-C60481D66B6C}</author>
  </authors>
  <commentList>
    <comment ref="F28" authorId="0" shapeId="0" xr:uid="{00000000-0006-0000-0900-000001000000}">
      <text>
        <t>[Yorum yazışması]
Excel sürümünüz bu yorum yazışmasını okumanıza izin veriyor, ancak dosya daha yeni bir Excel sürümünde açılırsa, yapılan düzenlemeler kaldırılır. Daha fazla bilgi: https://go.microsoft.com/fwlink/?linkid=870924.
Açıklama:
    Las Palmas and Alicante is included</t>
      </text>
    </comment>
  </commentList>
</comments>
</file>

<file path=xl/sharedStrings.xml><?xml version="1.0" encoding="utf-8"?>
<sst xmlns="http://schemas.openxmlformats.org/spreadsheetml/2006/main" count="4065" uniqueCount="174">
  <si>
    <t>Global Ports Holding Plc.</t>
  </si>
  <si>
    <t>Date:</t>
  </si>
  <si>
    <t>Cruise Port Traffic Statistics</t>
  </si>
  <si>
    <t>Disclaimer</t>
  </si>
  <si>
    <t>Notes</t>
  </si>
  <si>
    <t>Calls</t>
  </si>
  <si>
    <t>Monthly Traffic Statistics GPH</t>
  </si>
  <si>
    <t>Period</t>
  </si>
  <si>
    <t xml:space="preserve">January to October </t>
  </si>
  <si>
    <t>Full Calendar Year</t>
  </si>
  <si>
    <t>Nassau</t>
  </si>
  <si>
    <t>Passenger Movements</t>
  </si>
  <si>
    <t>Total Calls</t>
  </si>
  <si>
    <t>Total Passenger Movements</t>
  </si>
  <si>
    <t>Antigua</t>
  </si>
  <si>
    <t>Ege Port</t>
  </si>
  <si>
    <t>Valletta</t>
  </si>
  <si>
    <t>Other Cruise</t>
  </si>
  <si>
    <t>2021/19 Chg %</t>
  </si>
  <si>
    <t>2021/20 Chg %</t>
  </si>
  <si>
    <t>Creuers</t>
  </si>
  <si>
    <t>September 2021</t>
  </si>
  <si>
    <t>September</t>
  </si>
  <si>
    <t xml:space="preserve">January to September </t>
  </si>
  <si>
    <t>October</t>
  </si>
  <si>
    <t>October 2021</t>
  </si>
  <si>
    <t>November 2021</t>
  </si>
  <si>
    <t>November</t>
  </si>
  <si>
    <t xml:space="preserve">January to November </t>
  </si>
  <si>
    <t>Cruise Port</t>
  </si>
  <si>
    <t>December 2021</t>
  </si>
  <si>
    <t>December</t>
  </si>
  <si>
    <t>January to December</t>
  </si>
  <si>
    <t>January</t>
  </si>
  <si>
    <t>2022/20 Chg %</t>
  </si>
  <si>
    <t>2022/19 Chg %</t>
  </si>
  <si>
    <t>2022/21 Chg %</t>
  </si>
  <si>
    <t>January 2022</t>
  </si>
  <si>
    <t>January to February</t>
  </si>
  <si>
    <t>February</t>
  </si>
  <si>
    <t>February 2022</t>
  </si>
  <si>
    <t>March</t>
  </si>
  <si>
    <t>March 2022</t>
  </si>
  <si>
    <t>January to March</t>
  </si>
  <si>
    <t>April 2022</t>
  </si>
  <si>
    <t>April</t>
  </si>
  <si>
    <t>January to April</t>
  </si>
  <si>
    <t>May</t>
  </si>
  <si>
    <t>May 2022</t>
  </si>
  <si>
    <t>January to May</t>
  </si>
  <si>
    <t>June 2022</t>
  </si>
  <si>
    <t>June</t>
  </si>
  <si>
    <t>January to June</t>
  </si>
  <si>
    <t>FY 2023</t>
  </si>
  <si>
    <t>FY 2022</t>
  </si>
  <si>
    <t>July</t>
  </si>
  <si>
    <t>July 2022</t>
  </si>
  <si>
    <t>Calendar Year</t>
  </si>
  <si>
    <t>Fiscal Year</t>
  </si>
  <si>
    <t>FY 2021</t>
  </si>
  <si>
    <t>January to July (YTD)</t>
  </si>
  <si>
    <t>April to July (YTD)</t>
  </si>
  <si>
    <t>Calendar Year Presentation</t>
  </si>
  <si>
    <t>GPH Fiscal Year Presentation (period ending 31 March)</t>
  </si>
  <si>
    <t>FY 2020</t>
  </si>
  <si>
    <t>FY 2021
15 Months</t>
  </si>
  <si>
    <t>2023/22 Chg %</t>
  </si>
  <si>
    <t>2023/21 Chg %</t>
  </si>
  <si>
    <t>2023/20 Chg %</t>
  </si>
  <si>
    <t>August</t>
  </si>
  <si>
    <t>April to August (YTD)</t>
  </si>
  <si>
    <t>January to August (YTD)</t>
  </si>
  <si>
    <t>August 2022</t>
  </si>
  <si>
    <t>31 March 2020 End, 12 Months</t>
  </si>
  <si>
    <t>BPI</t>
  </si>
  <si>
    <t>Jan</t>
  </si>
  <si>
    <t>Feb</t>
  </si>
  <si>
    <t>Mar</t>
  </si>
  <si>
    <t>Aug</t>
  </si>
  <si>
    <t>Sep</t>
  </si>
  <si>
    <t>Oct</t>
  </si>
  <si>
    <t>Nov</t>
  </si>
  <si>
    <t>Dec</t>
  </si>
  <si>
    <t>Volume-weighted Consolidated Cruise Occupancy Ratio</t>
  </si>
  <si>
    <t>See following sheets</t>
  </si>
  <si>
    <t>September 2022</t>
  </si>
  <si>
    <t>January to September (YTD)</t>
  </si>
  <si>
    <t>April to September (YTD)</t>
  </si>
  <si>
    <t>October 2022</t>
  </si>
  <si>
    <t>January to October (YTD)</t>
  </si>
  <si>
    <t>April to October (YTD)</t>
  </si>
  <si>
    <t>November 2022</t>
  </si>
  <si>
    <t>January to November (YTD)</t>
  </si>
  <si>
    <t>April to November (YTD)</t>
  </si>
  <si>
    <t>December 2022</t>
  </si>
  <si>
    <t>January to December (YTD)</t>
  </si>
  <si>
    <t>April to December (YTD)</t>
  </si>
  <si>
    <t xml:space="preserve">Notes: </t>
  </si>
  <si>
    <t>January 2023</t>
  </si>
  <si>
    <t>April to January (YTD)</t>
  </si>
  <si>
    <t>2023/19 Chg %</t>
  </si>
  <si>
    <t>February 2023</t>
  </si>
  <si>
    <t>April to February (YTD)</t>
  </si>
  <si>
    <t>Occupancy Ratios</t>
  </si>
  <si>
    <t>Year</t>
  </si>
  <si>
    <t>March 2023</t>
  </si>
  <si>
    <t>April to March (YTD)</t>
  </si>
  <si>
    <t>Americas</t>
  </si>
  <si>
    <t>Central Med</t>
  </si>
  <si>
    <t>East Med</t>
  </si>
  <si>
    <t>West Med &amp; Atlantic</t>
  </si>
  <si>
    <t>Other</t>
  </si>
  <si>
    <t>April 2023</t>
  </si>
  <si>
    <t>April (YTD)</t>
  </si>
  <si>
    <t>FY 2024</t>
  </si>
  <si>
    <t>2024/23 Chg %</t>
  </si>
  <si>
    <t>2024/22 Chg %</t>
  </si>
  <si>
    <t>2024/21 Chg %</t>
  </si>
  <si>
    <t>2024/20 Chg %</t>
  </si>
  <si>
    <t>April to May (YTD)</t>
  </si>
  <si>
    <t>Apr</t>
  </si>
  <si>
    <t>May 2023</t>
  </si>
  <si>
    <t>June 2023</t>
  </si>
  <si>
    <t>April to June (YTD)</t>
  </si>
  <si>
    <t>July 2023</t>
  </si>
  <si>
    <t>January to July</t>
  </si>
  <si>
    <t>2024</t>
  </si>
  <si>
    <t>April  (YTD)</t>
  </si>
  <si>
    <t>FY 2025</t>
  </si>
  <si>
    <t>2025/24 Chg %</t>
  </si>
  <si>
    <t>Northern Europe &amp; Central Med</t>
  </si>
  <si>
    <t>Apr to May  (YTD)</t>
  </si>
  <si>
    <t>Apr to June  (YTD)</t>
  </si>
  <si>
    <t>Central Med &amp; Northern Europe</t>
  </si>
  <si>
    <t>Apr to July  (YTD)</t>
  </si>
  <si>
    <t>Apr to Aug  (YTD)</t>
  </si>
  <si>
    <t>Apr to Oct  (YTD)</t>
  </si>
  <si>
    <t>Apr to Nov  (YTD)</t>
  </si>
  <si>
    <t>Apr to Dec  (YTD)</t>
  </si>
  <si>
    <t>2025</t>
  </si>
  <si>
    <t>2025/23 Chg %</t>
  </si>
  <si>
    <t>2025/22 Chg %</t>
  </si>
  <si>
    <t>2025/21 Chg %</t>
  </si>
  <si>
    <t>2025/20 Chg %</t>
  </si>
  <si>
    <t>2025/19 Chg %</t>
  </si>
  <si>
    <t>FY 2026</t>
  </si>
  <si>
    <t>2026/25 Chg %</t>
  </si>
  <si>
    <t>2026/24 Chg %</t>
  </si>
  <si>
    <t>2026/23 Chg %</t>
  </si>
  <si>
    <t>2026/22 Chg %</t>
  </si>
  <si>
    <t>2026/21 Chg %</t>
  </si>
  <si>
    <t>2026/20 Chg %</t>
  </si>
  <si>
    <t>Occupancy ratios will lag one month due to availability of detailed data</t>
  </si>
  <si>
    <t>Jul</t>
  </si>
  <si>
    <t>Jun</t>
  </si>
  <si>
    <t>Monthly Cruise Occupany Ratio GPH for 2022-2026</t>
  </si>
  <si>
    <t>2026</t>
  </si>
  <si>
    <t>2026/19 Chg %</t>
  </si>
  <si>
    <t>Total Calls (consolidated)</t>
  </si>
  <si>
    <t>Total Passenger Movements (consolidated)</t>
  </si>
  <si>
    <t>Total Calls (entire GPH Portfolio)</t>
  </si>
  <si>
    <t>Total Passenger Movements (Portfolio)</t>
  </si>
  <si>
    <t xml:space="preserve">Non-Consolidated Ports </t>
  </si>
  <si>
    <t>Central Med, Northern Europe and North Africa</t>
  </si>
  <si>
    <t>East Med &amp; Adriatic</t>
  </si>
  <si>
    <t>April 2026</t>
  </si>
  <si>
    <t>FY 2027</t>
  </si>
  <si>
    <t>2027/25 Chg %</t>
  </si>
  <si>
    <t>2027/24 Chg %</t>
  </si>
  <si>
    <t>2027/23 Chg %</t>
  </si>
  <si>
    <t>2027/22 Chg %</t>
  </si>
  <si>
    <t>2027/21 Chg %</t>
  </si>
  <si>
    <t>2027/20 Chg %</t>
  </si>
  <si>
    <t>2027/26 Chg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</si>
</sst>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_-;* \(#,##0\)_-;_-* &quot;-&quot;??_-;_-@_-"/>
    <numFmt numFmtId="166" formatCode="[$-409]d\-mmm\-yyyy;@"/>
    <numFmt numFmtId="167" formatCode="[$-409]dd\-mmm\-yy;@"/>
    <numFmt numFmtId="168" formatCode="yyyy\-mm\-dd;@"/>
    <numFmt numFmtId="169" formatCode="_-* #,##0_-;\-* #,##0_-;_-* &quot;-&quot;??_-;_-@_-"/>
    <numFmt numFmtId="170" formatCode="0%;\(0%\)"/>
    <numFmt numFmtId="171" formatCode="#,##0;\(#,##0\);\-\-"/>
    <numFmt numFmtId="172" formatCode="#,##0_ ;[Black]\(#,##0\);_-\-\-\ "/>
    <numFmt numFmtId="173" formatCode="0%;\-0%;\ "/>
  </numFmts>
  <fonts count="38">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8"/>
      <color theme="1"/>
      <name val="Book Antiqua"/>
      <family val="1"/>
      <charset val="162"/>
    </font>
    <font>
      <sz val="8"/>
      <color rgb="FFFF0000"/>
      <name val="Calibri "/>
    </font>
    <font>
      <i/>
      <sz val="8"/>
      <color theme="1"/>
      <name val="Calibri "/>
    </font>
    <font>
      <b/>
      <sz val="11"/>
      <color rgb="FFFF0000"/>
      <name val="Calibri "/>
    </font>
    <font>
      <b/>
      <sz val="10"/>
      <color rgb="FF586577"/>
      <name val="Calibri "/>
    </font>
    <font>
      <b/>
      <sz val="10"/>
      <color theme="0"/>
      <name val="Calibri "/>
    </font>
    <font>
      <sz val="9"/>
      <color theme="1"/>
      <name val="Calibri"/>
      <family val="2"/>
      <scheme val="minor"/>
    </font>
    <font>
      <sz val="8"/>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b/>
      <sz val="8"/>
      <color rgb="FFFF0000"/>
      <name val="Calibri "/>
    </font>
  </fonts>
  <fills count="8">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s>
  <borders count="25">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right style="thin">
        <color theme="0"/>
      </right>
      <top/>
      <bottom/>
      <diagonal/>
    </border>
    <border>
      <left/>
      <right/>
      <top/>
      <bottom style="double">
        <color auto="1"/>
      </bottom>
      <diagonal/>
    </border>
    <border>
      <left/>
      <right style="thin">
        <color indexed="64"/>
      </right>
      <top/>
      <bottom style="double">
        <color auto="1"/>
      </bottom>
      <diagonal/>
    </border>
    <border>
      <left/>
      <right style="thin">
        <color indexed="64"/>
      </right>
      <top/>
      <bottom style="thin">
        <color auto="1"/>
      </bottom>
      <diagonal/>
    </border>
    <border>
      <left style="thin">
        <color indexed="64"/>
      </left>
      <right/>
      <top/>
      <bottom style="thin">
        <color indexed="64"/>
      </bottom>
      <diagonal/>
    </border>
  </borders>
  <cellStyleXfs count="10">
    <xf numFmtId="0" fontId="0" fillId="0" borderId="0"/>
    <xf numFmtId="0" fontId="1" fillId="2" borderId="0" applyNumberFormat="0" applyAlignment="0"/>
    <xf numFmtId="165" fontId="3" fillId="0" borderId="0"/>
    <xf numFmtId="0" fontId="10" fillId="4"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184">
    <xf numFmtId="0" fontId="0" fillId="0" borderId="0" xfId="0"/>
    <xf numFmtId="0" fontId="2" fillId="3" borderId="0" xfId="1" applyFont="1" applyFill="1" applyAlignment="1">
      <alignment horizontal="left"/>
    </xf>
    <xf numFmtId="165" fontId="4" fillId="0" borderId="0" xfId="2" applyFont="1"/>
    <xf numFmtId="165" fontId="5" fillId="3" borderId="1" xfId="2" applyFont="1" applyFill="1" applyBorder="1"/>
    <xf numFmtId="165" fontId="4" fillId="0" borderId="1" xfId="2" applyFont="1" applyBorder="1"/>
    <xf numFmtId="165" fontId="6" fillId="0" borderId="0" xfId="2" applyFont="1"/>
    <xf numFmtId="165" fontId="7" fillId="0" borderId="0" xfId="2" applyFont="1"/>
    <xf numFmtId="165" fontId="8" fillId="0" borderId="0" xfId="2" applyFont="1"/>
    <xf numFmtId="165" fontId="9" fillId="3" borderId="1" xfId="2" applyFont="1" applyFill="1" applyBorder="1"/>
    <xf numFmtId="0" fontId="0" fillId="3" borderId="0" xfId="0" applyFill="1"/>
    <xf numFmtId="165" fontId="4" fillId="3" borderId="0" xfId="2" applyFont="1" applyFill="1"/>
    <xf numFmtId="165" fontId="6" fillId="3" borderId="0" xfId="2" applyFont="1" applyFill="1"/>
    <xf numFmtId="0" fontId="4" fillId="3" borderId="0" xfId="0" applyFont="1" applyFill="1"/>
    <xf numFmtId="165" fontId="4" fillId="0" borderId="0" xfId="2" applyFont="1" applyProtection="1">
      <protection locked="0"/>
    </xf>
    <xf numFmtId="0" fontId="2" fillId="3" borderId="0" xfId="1" applyFont="1" applyFill="1" applyAlignment="1" applyProtection="1">
      <alignment horizontal="left"/>
      <protection locked="0"/>
    </xf>
    <xf numFmtId="165" fontId="5" fillId="3" borderId="1" xfId="2" applyFont="1" applyFill="1" applyBorder="1" applyProtection="1">
      <protection locked="0"/>
    </xf>
    <xf numFmtId="165" fontId="4" fillId="0" borderId="1" xfId="2" applyFont="1" applyBorder="1" applyProtection="1">
      <protection locked="0"/>
    </xf>
    <xf numFmtId="165"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5" fontId="17" fillId="3" borderId="1" xfId="2" applyFont="1" applyFill="1" applyBorder="1"/>
    <xf numFmtId="165" fontId="17" fillId="3" borderId="0" xfId="2" applyFont="1" applyFill="1"/>
    <xf numFmtId="167"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4" borderId="7" xfId="3" applyFont="1" applyBorder="1"/>
    <xf numFmtId="0" fontId="19" fillId="4"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5" borderId="8" xfId="6" applyFont="1" applyFill="1" applyBorder="1"/>
    <xf numFmtId="0" fontId="18" fillId="5" borderId="2" xfId="6" applyFont="1" applyFill="1"/>
    <xf numFmtId="0" fontId="23" fillId="5" borderId="4" xfId="6" applyFont="1" applyFill="1" applyBorder="1"/>
    <xf numFmtId="0" fontId="18" fillId="5" borderId="12" xfId="6" applyFont="1" applyFill="1" applyBorder="1"/>
    <xf numFmtId="0" fontId="18" fillId="5" borderId="10" xfId="6" applyFont="1" applyFill="1" applyBorder="1"/>
    <xf numFmtId="0" fontId="23" fillId="5" borderId="11" xfId="6" applyFont="1" applyFill="1" applyBorder="1"/>
    <xf numFmtId="169" fontId="0" fillId="3" borderId="0" xfId="0" applyNumberFormat="1" applyFill="1"/>
    <xf numFmtId="0" fontId="24" fillId="0" borderId="0" xfId="0" applyFont="1"/>
    <xf numFmtId="169"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9" fontId="18" fillId="5" borderId="2" xfId="7" applyNumberFormat="1" applyFont="1" applyFill="1" applyBorder="1" applyAlignment="1" applyProtection="1">
      <alignment horizontal="right" indent="1"/>
    </xf>
    <xf numFmtId="169" fontId="18" fillId="5"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5" borderId="0" xfId="4" applyFont="1" applyFill="1" applyAlignment="1" applyProtection="1">
      <alignment vertical="center"/>
    </xf>
    <xf numFmtId="0" fontId="20" fillId="5" borderId="0" xfId="0" applyFont="1" applyFill="1" applyAlignment="1">
      <alignment vertical="center"/>
    </xf>
    <xf numFmtId="0" fontId="20" fillId="5" borderId="0" xfId="0" applyFont="1" applyFill="1" applyAlignment="1">
      <alignment horizontal="center" vertical="center"/>
    </xf>
    <xf numFmtId="0" fontId="20" fillId="5" borderId="0" xfId="0" applyFont="1" applyFill="1" applyAlignment="1">
      <alignment horizontal="center" vertical="center" wrapText="1"/>
    </xf>
    <xf numFmtId="0" fontId="0" fillId="0" borderId="0" xfId="0" applyAlignment="1">
      <alignment vertical="center"/>
    </xf>
    <xf numFmtId="0" fontId="20" fillId="5" borderId="7" xfId="0" applyFont="1" applyFill="1" applyBorder="1" applyAlignment="1">
      <alignment horizontal="center" vertical="center"/>
    </xf>
    <xf numFmtId="0" fontId="19" fillId="4" borderId="3" xfId="3" applyFont="1" applyBorder="1"/>
    <xf numFmtId="0" fontId="20" fillId="5" borderId="3" xfId="0" applyFont="1" applyFill="1" applyBorder="1" applyAlignment="1">
      <alignment horizontal="center" vertical="center" wrapText="1"/>
    </xf>
    <xf numFmtId="168" fontId="17" fillId="6" borderId="0" xfId="2" quotePrefix="1" applyNumberFormat="1" applyFont="1" applyFill="1"/>
    <xf numFmtId="0" fontId="18" fillId="5" borderId="7" xfId="0" applyFont="1" applyFill="1" applyBorder="1" applyAlignment="1">
      <alignment vertical="center"/>
    </xf>
    <xf numFmtId="170" fontId="17" fillId="3" borderId="3" xfId="8" applyNumberFormat="1" applyFont="1" applyFill="1" applyBorder="1" applyAlignment="1" applyProtection="1">
      <alignment horizontal="right" indent="1"/>
    </xf>
    <xf numFmtId="170" fontId="17" fillId="3" borderId="3" xfId="0" applyNumberFormat="1" applyFont="1" applyFill="1" applyBorder="1" applyAlignment="1">
      <alignment horizontal="right" indent="1"/>
    </xf>
    <xf numFmtId="170" fontId="20" fillId="5" borderId="4" xfId="8" applyNumberFormat="1" applyFont="1" applyFill="1" applyBorder="1" applyAlignment="1" applyProtection="1">
      <alignment horizontal="right" indent="1"/>
    </xf>
    <xf numFmtId="170" fontId="20" fillId="5" borderId="11" xfId="8" applyNumberFormat="1" applyFont="1" applyFill="1" applyBorder="1" applyAlignment="1" applyProtection="1">
      <alignment horizontal="right" indent="1"/>
    </xf>
    <xf numFmtId="170" fontId="17" fillId="3" borderId="0" xfId="8" applyNumberFormat="1" applyFont="1" applyFill="1" applyBorder="1" applyAlignment="1" applyProtection="1">
      <alignment horizontal="right" indent="1"/>
    </xf>
    <xf numFmtId="170" fontId="17" fillId="3" borderId="0" xfId="0" applyNumberFormat="1" applyFont="1" applyFill="1" applyAlignment="1">
      <alignment horizontal="right" indent="1"/>
    </xf>
    <xf numFmtId="170" fontId="20" fillId="5" borderId="2" xfId="8" applyNumberFormat="1" applyFont="1" applyFill="1" applyBorder="1" applyAlignment="1" applyProtection="1">
      <alignment horizontal="right" indent="1"/>
    </xf>
    <xf numFmtId="170" fontId="20" fillId="5" borderId="10" xfId="8" applyNumberFormat="1" applyFont="1" applyFill="1" applyBorder="1" applyAlignment="1" applyProtection="1">
      <alignment horizontal="right" indent="1"/>
    </xf>
    <xf numFmtId="169" fontId="17" fillId="7" borderId="0" xfId="7" applyNumberFormat="1" applyFont="1" applyFill="1" applyBorder="1" applyAlignment="1" applyProtection="1">
      <alignment horizontal="right" indent="1"/>
    </xf>
    <xf numFmtId="169" fontId="17" fillId="7" borderId="0" xfId="7" applyNumberFormat="1" applyFont="1" applyFill="1" applyBorder="1" applyAlignment="1" applyProtection="1">
      <alignment horizontal="right"/>
    </xf>
    <xf numFmtId="3" fontId="17" fillId="7" borderId="0" xfId="0" applyNumberFormat="1" applyFont="1" applyFill="1" applyAlignment="1">
      <alignment horizontal="right" indent="1"/>
    </xf>
    <xf numFmtId="169" fontId="17" fillId="7" borderId="0" xfId="7" applyNumberFormat="1" applyFont="1" applyFill="1" applyBorder="1" applyAlignment="1" applyProtection="1"/>
    <xf numFmtId="169" fontId="17" fillId="3" borderId="0" xfId="7" applyNumberFormat="1" applyFont="1" applyFill="1" applyBorder="1" applyAlignment="1" applyProtection="1"/>
    <xf numFmtId="172" fontId="17" fillId="7" borderId="0" xfId="7" applyNumberFormat="1" applyFont="1" applyFill="1" applyBorder="1" applyAlignment="1" applyProtection="1"/>
    <xf numFmtId="171" fontId="17" fillId="7" borderId="0" xfId="7" applyNumberFormat="1" applyFont="1" applyFill="1" applyBorder="1" applyAlignment="1" applyProtection="1"/>
    <xf numFmtId="169" fontId="18" fillId="5" borderId="2" xfId="7" applyNumberFormat="1" applyFont="1" applyFill="1" applyBorder="1" applyAlignment="1" applyProtection="1">
      <alignment horizontal="right"/>
    </xf>
    <xf numFmtId="169" fontId="18" fillId="5" borderId="10" xfId="7" applyNumberFormat="1" applyFont="1" applyFill="1" applyBorder="1" applyAlignment="1" applyProtection="1">
      <alignment horizontal="right"/>
    </xf>
    <xf numFmtId="0" fontId="20" fillId="5" borderId="3" xfId="0" applyFont="1" applyFill="1" applyBorder="1" applyAlignment="1">
      <alignment horizontal="center" vertical="center"/>
    </xf>
    <xf numFmtId="3" fontId="17" fillId="7" borderId="3" xfId="0" applyNumberFormat="1" applyFont="1" applyFill="1" applyBorder="1" applyAlignment="1">
      <alignment horizontal="right" indent="1"/>
    </xf>
    <xf numFmtId="3" fontId="17" fillId="3" borderId="3" xfId="0" applyNumberFormat="1" applyFont="1" applyFill="1" applyBorder="1" applyAlignment="1">
      <alignment horizontal="right" indent="1"/>
    </xf>
    <xf numFmtId="169" fontId="18" fillId="5" borderId="4" xfId="7" applyNumberFormat="1" applyFont="1" applyFill="1" applyBorder="1" applyAlignment="1" applyProtection="1">
      <alignment horizontal="right" indent="1"/>
    </xf>
    <xf numFmtId="169" fontId="18" fillId="5" borderId="11" xfId="7" applyNumberFormat="1" applyFont="1" applyFill="1" applyBorder="1" applyAlignment="1" applyProtection="1">
      <alignment horizontal="right" indent="1"/>
    </xf>
    <xf numFmtId="171" fontId="17" fillId="7" borderId="0" xfId="7" applyNumberFormat="1" applyFont="1" applyFill="1" applyBorder="1" applyAlignment="1" applyProtection="1">
      <alignment horizontal="right" indent="1"/>
    </xf>
    <xf numFmtId="0" fontId="25" fillId="3" borderId="0" xfId="0" applyFont="1" applyFill="1"/>
    <xf numFmtId="171" fontId="17" fillId="7" borderId="0" xfId="0" applyNumberFormat="1" applyFont="1" applyFill="1" applyAlignment="1">
      <alignment horizontal="right" indent="1"/>
    </xf>
    <xf numFmtId="0" fontId="27" fillId="3" borderId="3" xfId="0" applyFont="1" applyFill="1" applyBorder="1" applyAlignment="1">
      <alignment horizontal="center"/>
    </xf>
    <xf numFmtId="165" fontId="28" fillId="3" borderId="0" xfId="2" applyFont="1" applyFill="1" applyAlignment="1">
      <alignment horizontal="left"/>
    </xf>
    <xf numFmtId="169" fontId="26" fillId="3" borderId="0" xfId="7" applyNumberFormat="1" applyFont="1" applyFill="1" applyBorder="1" applyAlignment="1" applyProtection="1">
      <alignment horizontal="right" indent="1"/>
    </xf>
    <xf numFmtId="0" fontId="27" fillId="3" borderId="0" xfId="0" applyFont="1" applyFill="1" applyAlignment="1">
      <alignment horizontal="center"/>
    </xf>
    <xf numFmtId="3" fontId="17" fillId="7" borderId="0" xfId="7" applyNumberFormat="1" applyFont="1" applyFill="1" applyBorder="1" applyAlignment="1" applyProtection="1">
      <alignment horizontal="right" indent="1"/>
    </xf>
    <xf numFmtId="3" fontId="17" fillId="3" borderId="0" xfId="7" applyNumberFormat="1" applyFont="1" applyFill="1" applyBorder="1" applyAlignment="1" applyProtection="1">
      <alignment horizontal="right" indent="1"/>
    </xf>
    <xf numFmtId="0" fontId="0" fillId="3" borderId="0" xfId="0" applyFill="1" applyAlignment="1">
      <alignment horizontal="right"/>
    </xf>
    <xf numFmtId="165" fontId="17" fillId="3" borderId="1" xfId="2" applyFont="1" applyFill="1" applyBorder="1" applyAlignment="1">
      <alignment horizontal="right"/>
    </xf>
    <xf numFmtId="165" fontId="17" fillId="3" borderId="0" xfId="2" applyFont="1" applyFill="1" applyAlignment="1">
      <alignment horizontal="right"/>
    </xf>
    <xf numFmtId="0" fontId="0" fillId="0" borderId="0" xfId="0" applyAlignment="1">
      <alignment horizontal="right"/>
    </xf>
    <xf numFmtId="169" fontId="17" fillId="3" borderId="0" xfId="2" applyNumberFormat="1" applyFont="1" applyFill="1"/>
    <xf numFmtId="3" fontId="17" fillId="7"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73" fontId="29" fillId="3" borderId="0" xfId="8" applyNumberFormat="1" applyFont="1" applyFill="1" applyBorder="1" applyAlignment="1" applyProtection="1">
      <alignment horizontal="right" vertical="center"/>
    </xf>
    <xf numFmtId="0" fontId="31" fillId="0" borderId="0" xfId="0" applyFont="1"/>
    <xf numFmtId="172" fontId="30" fillId="2" borderId="6" xfId="1" applyNumberFormat="1" applyFont="1" applyBorder="1" applyAlignment="1">
      <alignment horizontal="right"/>
    </xf>
    <xf numFmtId="0" fontId="29" fillId="3" borderId="0" xfId="3" applyFont="1" applyFill="1"/>
    <xf numFmtId="0" fontId="19" fillId="3" borderId="0" xfId="3" applyFont="1" applyFill="1"/>
    <xf numFmtId="9" fontId="29" fillId="3" borderId="0" xfId="8" applyFont="1" applyFill="1" applyBorder="1" applyAlignment="1" applyProtection="1">
      <alignment horizontal="right" vertical="center"/>
    </xf>
    <xf numFmtId="0" fontId="18" fillId="2" borderId="16" xfId="1" applyFont="1" applyBorder="1"/>
    <xf numFmtId="0" fontId="18" fillId="2" borderId="17" xfId="1" applyFont="1" applyBorder="1"/>
    <xf numFmtId="0" fontId="18" fillId="2" borderId="18" xfId="1" applyFont="1" applyBorder="1"/>
    <xf numFmtId="3" fontId="17" fillId="0" borderId="0" xfId="0" applyNumberFormat="1" applyFont="1" applyAlignment="1">
      <alignment horizontal="right" indent="1"/>
    </xf>
    <xf numFmtId="171" fontId="17" fillId="0" borderId="0" xfId="7" applyNumberFormat="1" applyFont="1" applyFill="1" applyBorder="1" applyAlignment="1" applyProtection="1">
      <alignment horizontal="right" indent="1"/>
    </xf>
    <xf numFmtId="169" fontId="26" fillId="0" borderId="0" xfId="7" applyNumberFormat="1" applyFont="1" applyFill="1" applyBorder="1" applyAlignment="1" applyProtection="1">
      <alignment horizontal="right" indent="1"/>
    </xf>
    <xf numFmtId="169" fontId="0" fillId="0" borderId="0" xfId="0" applyNumberFormat="1"/>
    <xf numFmtId="1" fontId="21" fillId="3" borderId="0" xfId="2" applyNumberFormat="1" applyFont="1" applyFill="1" applyAlignment="1">
      <alignment horizontal="right"/>
    </xf>
    <xf numFmtId="172" fontId="30" fillId="2" borderId="0" xfId="1" applyNumberFormat="1" applyFont="1" applyAlignment="1">
      <alignment horizontal="right"/>
    </xf>
    <xf numFmtId="0" fontId="29" fillId="4" borderId="16" xfId="3" applyFont="1" applyBorder="1"/>
    <xf numFmtId="9" fontId="29" fillId="4" borderId="16" xfId="8" applyFont="1" applyFill="1" applyBorder="1" applyAlignment="1" applyProtection="1">
      <alignment horizontal="right" vertical="center"/>
    </xf>
    <xf numFmtId="9" fontId="29" fillId="4" borderId="17" xfId="8" applyFont="1" applyFill="1" applyBorder="1" applyAlignment="1" applyProtection="1">
      <alignment horizontal="right" vertical="center"/>
    </xf>
    <xf numFmtId="170" fontId="20" fillId="5" borderId="21" xfId="8" applyNumberFormat="1" applyFont="1" applyFill="1" applyBorder="1" applyAlignment="1" applyProtection="1">
      <alignment horizontal="right" indent="1"/>
    </xf>
    <xf numFmtId="170" fontId="20" fillId="5" borderId="22" xfId="8" applyNumberFormat="1" applyFont="1" applyFill="1" applyBorder="1" applyAlignment="1" applyProtection="1">
      <alignment horizontal="right" indent="1"/>
    </xf>
    <xf numFmtId="170" fontId="17" fillId="7" borderId="0" xfId="8" applyNumberFormat="1" applyFont="1" applyFill="1" applyBorder="1" applyAlignment="1" applyProtection="1">
      <alignment horizontal="right" indent="1"/>
    </xf>
    <xf numFmtId="170" fontId="17" fillId="7" borderId="3" xfId="8" applyNumberFormat="1" applyFont="1" applyFill="1" applyBorder="1" applyAlignment="1" applyProtection="1">
      <alignment horizontal="right" indent="1"/>
    </xf>
    <xf numFmtId="166" fontId="8" fillId="0" borderId="0" xfId="2" applyNumberFormat="1" applyFont="1"/>
    <xf numFmtId="0" fontId="33" fillId="3" borderId="0" xfId="0" applyFont="1" applyFill="1"/>
    <xf numFmtId="0" fontId="33" fillId="0" borderId="0" xfId="0" applyFont="1"/>
    <xf numFmtId="0" fontId="34" fillId="3" borderId="0" xfId="3" applyFont="1" applyFill="1"/>
    <xf numFmtId="0" fontId="33" fillId="3" borderId="0" xfId="0" applyFont="1" applyFill="1" applyAlignment="1">
      <alignment vertical="center"/>
    </xf>
    <xf numFmtId="0" fontId="35" fillId="3" borderId="0" xfId="0" applyFont="1" applyFill="1" applyAlignment="1">
      <alignment vertical="center"/>
    </xf>
    <xf numFmtId="0" fontId="36" fillId="3" borderId="0" xfId="0" applyFont="1" applyFill="1"/>
    <xf numFmtId="169" fontId="33" fillId="3" borderId="0" xfId="0" applyNumberFormat="1" applyFont="1" applyFill="1"/>
    <xf numFmtId="165" fontId="36" fillId="3" borderId="0" xfId="2" applyFont="1" applyFill="1"/>
    <xf numFmtId="165" fontId="37" fillId="3" borderId="0" xfId="2" applyFont="1" applyFill="1" applyAlignment="1">
      <alignment horizontal="left"/>
    </xf>
    <xf numFmtId="169" fontId="33" fillId="0" borderId="0" xfId="0" applyNumberFormat="1" applyFont="1"/>
    <xf numFmtId="173" fontId="29" fillId="4" borderId="17" xfId="8" applyNumberFormat="1" applyFont="1" applyFill="1" applyBorder="1" applyAlignment="1" applyProtection="1">
      <alignment horizontal="right" vertical="center"/>
    </xf>
    <xf numFmtId="49" fontId="17" fillId="3" borderId="0" xfId="2" quotePrefix="1" applyNumberFormat="1" applyFont="1" applyFill="1"/>
    <xf numFmtId="169" fontId="17" fillId="7" borderId="3" xfId="7" applyNumberFormat="1" applyFont="1" applyFill="1" applyBorder="1" applyAlignment="1" applyProtection="1">
      <alignment horizontal="right" indent="1"/>
    </xf>
    <xf numFmtId="169" fontId="17" fillId="3" borderId="3" xfId="7" applyNumberFormat="1" applyFont="1" applyFill="1" applyBorder="1" applyAlignment="1" applyProtection="1">
      <alignment horizontal="right" indent="1"/>
    </xf>
    <xf numFmtId="169" fontId="17" fillId="7" borderId="23" xfId="7" applyNumberFormat="1" applyFont="1" applyFill="1" applyBorder="1" applyAlignment="1" applyProtection="1">
      <alignment horizontal="right" indent="1"/>
    </xf>
    <xf numFmtId="0" fontId="20" fillId="5" borderId="7" xfId="0" applyFont="1" applyFill="1" applyBorder="1" applyAlignment="1">
      <alignment horizontal="center" vertical="center" wrapText="1"/>
    </xf>
    <xf numFmtId="169" fontId="17" fillId="7" borderId="7" xfId="7" applyNumberFormat="1" applyFont="1" applyFill="1" applyBorder="1" applyAlignment="1" applyProtection="1">
      <alignment horizontal="right" indent="1"/>
    </xf>
    <xf numFmtId="169" fontId="17" fillId="3" borderId="7" xfId="7" applyNumberFormat="1" applyFont="1" applyFill="1" applyBorder="1" applyAlignment="1" applyProtection="1">
      <alignment horizontal="right" indent="1"/>
    </xf>
    <xf numFmtId="169" fontId="17" fillId="7" borderId="24" xfId="7" applyNumberFormat="1" applyFont="1" applyFill="1" applyBorder="1" applyAlignment="1" applyProtection="1">
      <alignment horizontal="right" indent="1"/>
    </xf>
    <xf numFmtId="169" fontId="17" fillId="7" borderId="9" xfId="7" applyNumberFormat="1" applyFont="1" applyFill="1" applyBorder="1" applyAlignment="1" applyProtection="1">
      <alignment horizontal="right" indent="1"/>
    </xf>
    <xf numFmtId="0" fontId="19" fillId="4" borderId="7" xfId="3" applyFont="1" applyBorder="1" applyAlignment="1"/>
    <xf numFmtId="0" fontId="19" fillId="4" borderId="0" xfId="3" applyFont="1" applyAlignment="1"/>
    <xf numFmtId="0" fontId="19" fillId="4" borderId="3" xfId="3" applyFont="1" applyBorder="1" applyAlignment="1"/>
    <xf numFmtId="0" fontId="20" fillId="0" borderId="0" xfId="0" applyFont="1" applyAlignment="1">
      <alignment horizontal="center" vertical="center" wrapText="1"/>
    </xf>
    <xf numFmtId="0" fontId="17" fillId="0" borderId="0" xfId="0" applyFont="1"/>
    <xf numFmtId="170" fontId="17" fillId="0" borderId="0" xfId="8" applyNumberFormat="1" applyFont="1" applyFill="1" applyBorder="1" applyAlignment="1" applyProtection="1">
      <alignment horizontal="right" indent="1"/>
    </xf>
    <xf numFmtId="170" fontId="17" fillId="0" borderId="0" xfId="0" applyNumberFormat="1" applyFont="1" applyAlignment="1">
      <alignment horizontal="right" indent="1"/>
    </xf>
    <xf numFmtId="4" fontId="33" fillId="0" borderId="0" xfId="0" applyNumberFormat="1" applyFont="1"/>
    <xf numFmtId="164" fontId="0" fillId="0" borderId="0" xfId="0" applyNumberFormat="1"/>
    <xf numFmtId="165" fontId="17" fillId="3" borderId="0" xfId="2" applyFont="1" applyFill="1" applyAlignment="1">
      <alignment horizontal="left"/>
    </xf>
    <xf numFmtId="0" fontId="19" fillId="4" borderId="0" xfId="3" applyFont="1" applyAlignment="1">
      <alignment horizontal="center"/>
    </xf>
    <xf numFmtId="4" fontId="0" fillId="0" borderId="0" xfId="0" applyNumberFormat="1"/>
    <xf numFmtId="3" fontId="17" fillId="7" borderId="0" xfId="8" applyNumberFormat="1" applyFont="1" applyFill="1" applyBorder="1" applyAlignment="1" applyProtection="1">
      <alignment horizontal="right" indent="1"/>
    </xf>
    <xf numFmtId="3" fontId="17" fillId="3" borderId="0" xfId="8" applyNumberFormat="1" applyFont="1" applyFill="1" applyBorder="1" applyAlignment="1" applyProtection="1">
      <alignment horizontal="right" indent="1"/>
    </xf>
    <xf numFmtId="0" fontId="19" fillId="4" borderId="17" xfId="3" applyFont="1" applyBorder="1" applyAlignment="1">
      <alignment horizontal="left"/>
    </xf>
    <xf numFmtId="171" fontId="17" fillId="3" borderId="0" xfId="0" applyNumberFormat="1" applyFont="1" applyFill="1"/>
    <xf numFmtId="170" fontId="17" fillId="0" borderId="3" xfId="8" applyNumberFormat="1" applyFont="1" applyFill="1" applyBorder="1" applyAlignment="1" applyProtection="1">
      <alignment horizontal="right" indent="1"/>
    </xf>
    <xf numFmtId="170" fontId="17" fillId="0" borderId="3" xfId="0" applyNumberFormat="1" applyFont="1" applyBorder="1" applyAlignment="1">
      <alignment horizontal="right" indent="1"/>
    </xf>
    <xf numFmtId="169" fontId="17" fillId="0" borderId="0" xfId="7" applyNumberFormat="1" applyFont="1" applyFill="1" applyBorder="1" applyAlignment="1" applyProtection="1"/>
    <xf numFmtId="0" fontId="17" fillId="0" borderId="3" xfId="0" applyFont="1" applyBorder="1"/>
    <xf numFmtId="171" fontId="17" fillId="0" borderId="0" xfId="7" applyNumberFormat="1" applyFont="1" applyFill="1" applyBorder="1" applyAlignment="1" applyProtection="1"/>
    <xf numFmtId="3" fontId="17" fillId="0" borderId="0" xfId="8" applyNumberFormat="1" applyFont="1" applyFill="1" applyBorder="1" applyAlignment="1" applyProtection="1">
      <alignment horizontal="right" indent="1"/>
    </xf>
    <xf numFmtId="0" fontId="19" fillId="4" borderId="7" xfId="3" applyFont="1" applyBorder="1" applyAlignment="1"/>
    <xf numFmtId="0" fontId="19" fillId="4" borderId="0" xfId="3" applyFont="1" applyAlignment="1"/>
    <xf numFmtId="0" fontId="19" fillId="4" borderId="3" xfId="3" applyFont="1" applyBorder="1" applyAlignment="1"/>
    <xf numFmtId="165" fontId="18" fillId="2" borderId="6" xfId="1" applyNumberFormat="1" applyFont="1" applyBorder="1" applyAlignment="1">
      <alignment horizontal="center"/>
    </xf>
    <xf numFmtId="165" fontId="18" fillId="2" borderId="14" xfId="1" applyNumberFormat="1" applyFont="1" applyBorder="1" applyAlignment="1">
      <alignment horizontal="center"/>
    </xf>
    <xf numFmtId="0" fontId="18" fillId="2" borderId="13" xfId="1" applyFont="1" applyBorder="1" applyAlignment="1">
      <alignment horizontal="center"/>
    </xf>
    <xf numFmtId="0" fontId="18" fillId="2" borderId="6" xfId="1" applyFont="1" applyBorder="1" applyAlignment="1">
      <alignment horizontal="center"/>
    </xf>
    <xf numFmtId="0" fontId="18" fillId="2" borderId="14" xfId="1" applyFont="1" applyBorder="1" applyAlignment="1">
      <alignment horizontal="center"/>
    </xf>
    <xf numFmtId="0" fontId="18" fillId="2" borderId="15" xfId="1" applyFont="1" applyBorder="1" applyAlignment="1">
      <alignment horizontal="center"/>
    </xf>
    <xf numFmtId="0" fontId="19" fillId="4" borderId="0" xfId="3" applyFont="1" applyAlignment="1">
      <alignment horizontal="center"/>
    </xf>
    <xf numFmtId="0" fontId="19" fillId="4" borderId="3" xfId="3" applyFont="1" applyBorder="1" applyAlignment="1">
      <alignment horizontal="center"/>
    </xf>
    <xf numFmtId="0" fontId="19" fillId="4" borderId="7" xfId="3" applyFont="1" applyBorder="1" applyAlignment="1">
      <alignment horizontal="center"/>
    </xf>
    <xf numFmtId="0" fontId="18" fillId="2" borderId="19" xfId="1" applyFont="1" applyBorder="1" applyAlignment="1">
      <alignment horizontal="center"/>
    </xf>
    <xf numFmtId="0" fontId="18" fillId="2" borderId="0" xfId="1" applyFont="1" applyAlignment="1">
      <alignment horizontal="center"/>
    </xf>
    <xf numFmtId="0" fontId="18" fillId="2" borderId="20" xfId="1" applyFont="1" applyBorder="1" applyAlignment="1">
      <alignment horizontal="center"/>
    </xf>
    <xf numFmtId="0" fontId="18" fillId="2" borderId="3" xfId="1" applyFont="1" applyBorder="1" applyAlignment="1">
      <alignment horizontal="center"/>
    </xf>
    <xf numFmtId="0" fontId="18" fillId="2" borderId="5"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0">
    <cellStyle name="Comma 2" xfId="9" xr:uid="{00000000-0005-0000-0000-000001000000}"/>
    <cellStyle name="Header1" xfId="4" xr:uid="{00000000-0005-0000-0000-000002000000}"/>
    <cellStyle name="Line_ClosingBal" xfId="6" xr:uid="{00000000-0005-0000-0000-000003000000}"/>
    <cellStyle name="Normal" xfId="0" builtinId="0"/>
    <cellStyle name="Normal 2" xfId="2" xr:uid="{00000000-0005-0000-0000-000005000000}"/>
    <cellStyle name="Sheet_Header" xfId="1" xr:uid="{00000000-0005-0000-0000-000007000000}"/>
    <cellStyle name="Sheet_Header2" xfId="3" xr:uid="{00000000-0005-0000-0000-000008000000}"/>
    <cellStyle name="Unit" xfId="5" xr:uid="{00000000-0005-0000-0000-000009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59.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0.xml.rels><?xml version="1.0" encoding="UTF-8" standalone="yes"?>
<Relationships xmlns="http://schemas.openxmlformats.org/package/2006/relationships"><Relationship Id="rId1" Type="http://schemas.openxmlformats.org/officeDocument/2006/relationships/image" Target="../media/image2.png"/></Relationships>
</file>

<file path=xl/drawings/_rels/drawing61.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556039</xdr:colOff>
      <xdr:row>17</xdr:row>
      <xdr:rowOff>501</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41D6E7C8-D3C9-49FA-8A81-0BECB7753DE1}"/>
            </a:ext>
          </a:extLst>
        </xdr:cNvPr>
        <xdr:cNvPicPr>
          <a:picLocks noChangeAspect="1"/>
        </xdr:cNvPicPr>
      </xdr:nvPicPr>
      <xdr:blipFill>
        <a:blip xmlns:r="http://schemas.openxmlformats.org/officeDocument/2006/relationships" r:embed="rId1"/>
        <a:stretch>
          <a:fillRect/>
        </a:stretch>
      </xdr:blipFill>
      <xdr:spPr>
        <a:xfrm>
          <a:off x="25188091" y="0"/>
          <a:ext cx="566906" cy="5421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17FFEF78-464A-47CC-ADBB-A6F187BB7D3A}"/>
            </a:ext>
          </a:extLst>
        </xdr:cNvPr>
        <xdr:cNvPicPr>
          <a:picLocks noChangeAspect="1"/>
        </xdr:cNvPicPr>
      </xdr:nvPicPr>
      <xdr:blipFill>
        <a:blip xmlns:r="http://schemas.openxmlformats.org/officeDocument/2006/relationships" r:embed="rId1"/>
        <a:stretch>
          <a:fillRect/>
        </a:stretch>
      </xdr:blipFill>
      <xdr:spPr>
        <a:xfrm>
          <a:off x="25188091" y="0"/>
          <a:ext cx="566906" cy="5421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C0E69D64-76F0-4F17-B1ED-0A6E8D49AA32}"/>
            </a:ext>
          </a:extLst>
        </xdr:cNvPr>
        <xdr:cNvPicPr>
          <a:picLocks noChangeAspect="1"/>
        </xdr:cNvPicPr>
      </xdr:nvPicPr>
      <xdr:blipFill>
        <a:blip xmlns:r="http://schemas.openxmlformats.org/officeDocument/2006/relationships" r:embed="rId1"/>
        <a:stretch>
          <a:fillRect/>
        </a:stretch>
      </xdr:blipFill>
      <xdr:spPr>
        <a:xfrm>
          <a:off x="25188091" y="0"/>
          <a:ext cx="566906" cy="5421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3A58A539-2356-44FC-98FA-0EA0E9224258}"/>
            </a:ext>
          </a:extLst>
        </xdr:cNvPr>
        <xdr:cNvPicPr>
          <a:picLocks noChangeAspect="1"/>
        </xdr:cNvPicPr>
      </xdr:nvPicPr>
      <xdr:blipFill>
        <a:blip xmlns:r="http://schemas.openxmlformats.org/officeDocument/2006/relationships" r:embed="rId1"/>
        <a:stretch>
          <a:fillRect/>
        </a:stretch>
      </xdr:blipFill>
      <xdr:spPr>
        <a:xfrm>
          <a:off x="25188091" y="0"/>
          <a:ext cx="566906" cy="5421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4C5A0C01-ED71-4619-A7B5-716B109DB189}"/>
            </a:ext>
          </a:extLst>
        </xdr:cNvPr>
        <xdr:cNvPicPr>
          <a:picLocks noChangeAspect="1"/>
        </xdr:cNvPicPr>
      </xdr:nvPicPr>
      <xdr:blipFill>
        <a:blip xmlns:r="http://schemas.openxmlformats.org/officeDocument/2006/relationships" r:embed="rId1"/>
        <a:stretch>
          <a:fillRect/>
        </a:stretch>
      </xdr:blipFill>
      <xdr:spPr>
        <a:xfrm>
          <a:off x="25188091" y="0"/>
          <a:ext cx="566906" cy="5421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0B4E594E-58F7-4D95-87CB-8D7EEAEF2675}"/>
            </a:ext>
          </a:extLst>
        </xdr:cNvPr>
        <xdr:cNvPicPr>
          <a:picLocks noChangeAspect="1"/>
        </xdr:cNvPicPr>
      </xdr:nvPicPr>
      <xdr:blipFill>
        <a:blip xmlns:r="http://schemas.openxmlformats.org/officeDocument/2006/relationships" r:embed="rId1"/>
        <a:stretch>
          <a:fillRect/>
        </a:stretch>
      </xdr:blipFill>
      <xdr:spPr>
        <a:xfrm>
          <a:off x="25372241" y="0"/>
          <a:ext cx="566906" cy="5421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045ACC6C-9430-439D-82EF-DA5B83BD3C9B}"/>
            </a:ext>
          </a:extLst>
        </xdr:cNvPr>
        <xdr:cNvPicPr>
          <a:picLocks noChangeAspect="1"/>
        </xdr:cNvPicPr>
      </xdr:nvPicPr>
      <xdr:blipFill>
        <a:blip xmlns:r="http://schemas.openxmlformats.org/officeDocument/2006/relationships" r:embed="rId1"/>
        <a:stretch>
          <a:fillRect/>
        </a:stretch>
      </xdr:blipFill>
      <xdr:spPr>
        <a:xfrm>
          <a:off x="25321441" y="0"/>
          <a:ext cx="566906" cy="54219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C1D8D600-FE94-4DA5-8EDA-97186ECA30B5}"/>
            </a:ext>
          </a:extLst>
        </xdr:cNvPr>
        <xdr:cNvPicPr>
          <a:picLocks noChangeAspect="1"/>
        </xdr:cNvPicPr>
      </xdr:nvPicPr>
      <xdr:blipFill>
        <a:blip xmlns:r="http://schemas.openxmlformats.org/officeDocument/2006/relationships" r:embed="rId1"/>
        <a:stretch>
          <a:fillRect/>
        </a:stretch>
      </xdr:blipFill>
      <xdr:spPr>
        <a:xfrm>
          <a:off x="25080141" y="0"/>
          <a:ext cx="566906" cy="54219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A2240630-53CA-44C1-83A5-57CFBF1C8EB6}"/>
            </a:ext>
          </a:extLst>
        </xdr:cNvPr>
        <xdr:cNvPicPr>
          <a:picLocks noChangeAspect="1"/>
        </xdr:cNvPicPr>
      </xdr:nvPicPr>
      <xdr:blipFill>
        <a:blip xmlns:r="http://schemas.openxmlformats.org/officeDocument/2006/relationships" r:embed="rId1"/>
        <a:stretch>
          <a:fillRect/>
        </a:stretch>
      </xdr:blipFill>
      <xdr:spPr>
        <a:xfrm>
          <a:off x="25080141" y="0"/>
          <a:ext cx="566906" cy="5421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354687E5-CE13-4F48-9D39-D2D736AFFC5E}"/>
            </a:ext>
          </a:extLst>
        </xdr:cNvPr>
        <xdr:cNvPicPr>
          <a:picLocks noChangeAspect="1"/>
        </xdr:cNvPicPr>
      </xdr:nvPicPr>
      <xdr:blipFill>
        <a:blip xmlns:r="http://schemas.openxmlformats.org/officeDocument/2006/relationships" r:embed="rId1"/>
        <a:stretch>
          <a:fillRect/>
        </a:stretch>
      </xdr:blipFill>
      <xdr:spPr>
        <a:xfrm>
          <a:off x="25080141" y="0"/>
          <a:ext cx="566906" cy="542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400" i="1">
            <a:solidFill>
              <a:sysClr val="windowText" lastClr="000000"/>
            </a:solidFill>
            <a:effectLst/>
            <a:latin typeface="+mn-lt"/>
          </a:endParaRPr>
        </a:p>
        <a:p>
          <a:pPr rtl="0" eaLnBrk="1" latinLnBrk="0" hangingPunct="1"/>
          <a:endParaRPr lang="en-US" sz="1400">
            <a:effectLst/>
          </a:endParaRPr>
        </a:p>
        <a:p>
          <a:pPr rtl="0" eaLnBrk="1" latinLnBrk="0" hangingPunct="1"/>
          <a:r>
            <a:rPr lang="en-GB" sz="1400" i="1">
              <a:solidFill>
                <a:schemeClr val="dk1"/>
              </a:solidFill>
              <a:effectLst/>
              <a:latin typeface="+mn-lt"/>
              <a:ea typeface="+mn-ea"/>
              <a:cs typeface="+mn-cs"/>
            </a:rPr>
            <a:t>This document does not constitute an invitation and should not be taken as an inducement to engage in any investment activity and is for the purpose of providing information about Global Ports Holding Limited (the "Company"). </a:t>
          </a:r>
          <a:r>
            <a:rPr lang="en-GB" sz="1400" b="0" i="1">
              <a:solidFill>
                <a:schemeClr val="dk1"/>
              </a:solidFill>
              <a:effectLst/>
              <a:latin typeface="+mn-lt"/>
              <a:ea typeface="+mn-ea"/>
              <a:cs typeface="+mn-cs"/>
            </a:rPr>
            <a:t>This document does not constitute an offer to sell or the solicitation of an offer to buy or acquire any shares of the Company or any affiliate of the Compay in any jurisdiction or an inducement to enter into investment activity. No information set out in this document will form the basis of any contract.</a:t>
          </a:r>
          <a:endParaRPr lang="en-US" sz="1400">
            <a:effectLst/>
          </a:endParaRPr>
        </a:p>
        <a:p>
          <a:br>
            <a:rPr lang="en-GB" sz="1400" b="0" i="1">
              <a:solidFill>
                <a:schemeClr val="dk1"/>
              </a:solidFill>
              <a:effectLst/>
              <a:latin typeface="+mn-lt"/>
              <a:ea typeface="+mn-ea"/>
              <a:cs typeface="+mn-cs"/>
            </a:rPr>
          </a:br>
          <a:r>
            <a:rPr lang="en-GB" sz="1400" b="0" i="1">
              <a:solidFill>
                <a:schemeClr val="dk1"/>
              </a:solidFill>
              <a:effectLst/>
              <a:latin typeface="+mn-lt"/>
              <a:ea typeface="+mn-ea"/>
              <a:cs typeface="+mn-cs"/>
            </a:rPr>
            <a:t>The information used in preparing these materials was obtained from or through the Company or the Company’s representatives or from public sources. No reliance may be placed for any purposes whatsoever on the information contained in this document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and any such liability is expressly disclaimed. This disclaimer will not exclude any liability for, or remedy in respect of fraudulent misrepresentation by the Company.  </a:t>
          </a:r>
          <a:br>
            <a:rPr lang="en-GB" sz="1400" b="0" i="1" u="none" strike="noStrike">
              <a:solidFill>
                <a:sysClr val="windowText" lastClr="000000"/>
              </a:solidFill>
              <a:effectLst/>
              <a:latin typeface="+mn-lt"/>
              <a:ea typeface="+mn-ea"/>
              <a:cs typeface="+mn-cs"/>
            </a:rPr>
          </a:br>
          <a:endParaRPr lang="en-GB" sz="1400" b="0" i="1" u="none" strike="noStrike">
            <a:solidFill>
              <a:sysClr val="windowText" lastClr="000000"/>
            </a:solidFill>
            <a:effectLst/>
            <a:latin typeface="+mn-lt"/>
            <a:ea typeface="+mn-ea"/>
            <a:cs typeface="+mn-cs"/>
          </a:endParaRPr>
        </a:p>
        <a:p>
          <a:endParaRPr lang="en-GB" sz="1400" b="0" i="1" u="none" strike="noStrike">
            <a:solidFill>
              <a:sysClr val="windowText" lastClr="000000"/>
            </a:solidFill>
            <a:effectLst/>
            <a:latin typeface="+mn-lt"/>
            <a:ea typeface="+mn-ea"/>
            <a:cs typeface="+mn-cs"/>
          </a:endParaRPr>
        </a:p>
        <a:p>
          <a:pPr rtl="0" eaLnBrk="1" latinLnBrk="0" hangingPunct="1"/>
          <a:r>
            <a:rPr lang="en-GB" sz="1400" i="1">
              <a:solidFill>
                <a:sysClr val="windowText" lastClr="000000"/>
              </a:solidFill>
              <a:effectLst/>
              <a:latin typeface="+mn-lt"/>
              <a:ea typeface="+mn-ea"/>
              <a:cs typeface="+mn-cs"/>
            </a:rPr>
            <a:t>NOT FOR RELEASE, PUBLICATION OR DISTRIBUTION, IN WHOLE OR IN PART, IN OR INTO OR FROM ANY JURISDICTION WHERE TO DO SO WOULD CONSTITUTE A VIOLATION OF THE RELEVANT LAWS OF SUCH JURISDICTION</a:t>
          </a:r>
        </a:p>
        <a:p>
          <a:pPr rtl="0" eaLnBrk="1" latinLnBrk="0" hangingPunct="1"/>
          <a:endParaRPr lang="en-GB" sz="1400" i="1">
            <a:solidFill>
              <a:sysClr val="windowText" lastClr="000000"/>
            </a:solidFill>
            <a:effectLst/>
            <a:latin typeface="+mn-lt"/>
          </a:endParaRPr>
        </a:p>
        <a:p>
          <a:endParaRPr lang="en-GB" sz="1000" i="1">
            <a:solidFill>
              <a:sysClr val="windowText" lastClr="000000"/>
            </a:solidFill>
            <a:latin typeface="+mn-l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B28F9245-45D8-4552-9984-1273A06F4874}"/>
            </a:ext>
          </a:extLst>
        </xdr:cNvPr>
        <xdr:cNvPicPr>
          <a:picLocks noChangeAspect="1"/>
        </xdr:cNvPicPr>
      </xdr:nvPicPr>
      <xdr:blipFill>
        <a:blip xmlns:r="http://schemas.openxmlformats.org/officeDocument/2006/relationships" r:embed="rId1"/>
        <a:stretch>
          <a:fillRect/>
        </a:stretch>
      </xdr:blipFill>
      <xdr:spPr>
        <a:xfrm>
          <a:off x="20920891" y="0"/>
          <a:ext cx="566906" cy="54219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11D0EE7-2E7C-4AE6-B770-6C4CC1AB3EA9}"/>
            </a:ext>
          </a:extLst>
        </xdr:cNvPr>
        <xdr:cNvPicPr>
          <a:picLocks noChangeAspect="1"/>
        </xdr:cNvPicPr>
      </xdr:nvPicPr>
      <xdr:blipFill>
        <a:blip xmlns:r="http://schemas.openxmlformats.org/officeDocument/2006/relationships" r:embed="rId1"/>
        <a:stretch>
          <a:fillRect/>
        </a:stretch>
      </xdr:blipFill>
      <xdr:spPr>
        <a:xfrm>
          <a:off x="22025791" y="0"/>
          <a:ext cx="566906" cy="54219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89DCB68-1718-4435-A376-9AECBF9776B0}"/>
            </a:ext>
          </a:extLst>
        </xdr:cNvPr>
        <xdr:cNvPicPr>
          <a:picLocks noChangeAspect="1"/>
        </xdr:cNvPicPr>
      </xdr:nvPicPr>
      <xdr:blipFill>
        <a:blip xmlns:r="http://schemas.openxmlformats.org/officeDocument/2006/relationships" r:embed="rId1"/>
        <a:stretch>
          <a:fillRect/>
        </a:stretch>
      </xdr:blipFill>
      <xdr:spPr>
        <a:xfrm>
          <a:off x="21714641" y="0"/>
          <a:ext cx="566906" cy="54219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1714641" y="0"/>
          <a:ext cx="566906" cy="54219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720991" y="0"/>
          <a:ext cx="566906" cy="54219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622441" y="0"/>
          <a:ext cx="566906" cy="5485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0622441" y="0"/>
          <a:ext cx="566906" cy="5485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74856</xdr:colOff>
      <xdr:row>2</xdr:row>
      <xdr:rowOff>65329</xdr:rowOff>
    </xdr:from>
    <xdr:to>
      <xdr:col>17</xdr:col>
      <xdr:colOff>571500</xdr:colOff>
      <xdr:row>30</xdr:row>
      <xdr:rowOff>11206</xdr:rowOff>
    </xdr:to>
    <xdr:sp macro="" textlink="">
      <xdr:nvSpPr>
        <xdr:cNvPr id="3" name="TextBox 2">
          <a:extLst>
            <a:ext uri="{FF2B5EF4-FFF2-40B4-BE49-F238E27FC236}">
              <a16:creationId xmlns:a16="http://schemas.microsoft.com/office/drawing/2014/main" id="{2BE752AC-B3EA-46D8-AAC8-D62225A037E0}"/>
            </a:ext>
          </a:extLst>
        </xdr:cNvPr>
        <xdr:cNvSpPr txBox="1"/>
      </xdr:nvSpPr>
      <xdr:spPr>
        <a:xfrm>
          <a:off x="411032" y="715270"/>
          <a:ext cx="9965615" cy="61651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spcBef>
              <a:spcPts val="600"/>
            </a:spcBef>
          </a:pPr>
          <a:r>
            <a:rPr lang="de-DE" sz="1100" b="1" i="1" u="none" strike="noStrike">
              <a:solidFill>
                <a:schemeClr val="bg1">
                  <a:lumMod val="50000"/>
                </a:schemeClr>
              </a:solidFill>
              <a:effectLst/>
              <a:latin typeface="+mn-lt"/>
              <a:ea typeface="+mn-ea"/>
              <a:cs typeface="+mn-cs"/>
            </a:rPr>
            <a:t>Scope</a:t>
          </a:r>
          <a:r>
            <a:rPr lang="de-DE" sz="1100" b="0" i="1" u="none" strike="noStrike">
              <a:solidFill>
                <a:schemeClr val="dk1"/>
              </a:solidFill>
              <a:effectLst/>
              <a:latin typeface="+mn-lt"/>
              <a:ea typeface="+mn-ea"/>
              <a:cs typeface="+mn-cs"/>
            </a:rPr>
            <a:t> </a:t>
          </a:r>
          <a:r>
            <a:rPr lang="de-DE" sz="1100">
              <a:latin typeface="+mn-lt"/>
            </a:rPr>
            <a:t> </a:t>
          </a:r>
          <a:r>
            <a:rPr lang="de-DE" sz="1100" b="0" i="0" u="none" strike="noStrike">
              <a:solidFill>
                <a:schemeClr val="dk1"/>
              </a:solidFill>
              <a:effectLst/>
              <a:latin typeface="+mn-lt"/>
              <a:ea typeface="+mn-ea"/>
              <a:cs typeface="+mn-cs"/>
            </a:rPr>
            <a:t> </a:t>
          </a:r>
        </a:p>
        <a:p>
          <a:pPr rtl="0" eaLnBrk="1" latinLnBrk="0" hangingPunct="1">
            <a:spcBef>
              <a:spcPts val="600"/>
            </a:spcBef>
          </a:pPr>
          <a:r>
            <a:rPr lang="de-DE" sz="1100" b="0" i="0" u="none" strike="noStrike">
              <a:solidFill>
                <a:schemeClr val="dk1"/>
              </a:solidFill>
              <a:effectLst/>
              <a:latin typeface="+mn-lt"/>
              <a:ea typeface="+mn-ea"/>
              <a:cs typeface="+mn-cs"/>
            </a:rPr>
            <a:t>Traffic stats for cruise</a:t>
          </a:r>
          <a:r>
            <a:rPr lang="de-DE" sz="1100" b="0" i="0" u="none" strike="noStrike" baseline="0">
              <a:solidFill>
                <a:schemeClr val="dk1"/>
              </a:solidFill>
              <a:effectLst/>
              <a:latin typeface="+mn-lt"/>
              <a:ea typeface="+mn-ea"/>
              <a:cs typeface="+mn-cs"/>
            </a:rPr>
            <a:t> </a:t>
          </a:r>
          <a:r>
            <a:rPr lang="de-DE" sz="1100" b="0" i="0" u="none" strike="noStrike">
              <a:solidFill>
                <a:schemeClr val="dk1"/>
              </a:solidFill>
              <a:effectLst/>
              <a:latin typeface="+mn-lt"/>
              <a:ea typeface="+mn-ea"/>
              <a:cs typeface="+mn-cs"/>
            </a:rPr>
            <a:t>ports fully consolidated in the audited financial</a:t>
          </a:r>
          <a:r>
            <a:rPr lang="de-DE" sz="1100" b="0" i="0" u="none" strike="noStrike" baseline="0">
              <a:solidFill>
                <a:schemeClr val="dk1"/>
              </a:solidFill>
              <a:effectLst/>
              <a:latin typeface="+mn-lt"/>
              <a:ea typeface="+mn-ea"/>
              <a:cs typeface="+mn-cs"/>
            </a:rPr>
            <a:t> statements </a:t>
          </a:r>
          <a:r>
            <a:rPr lang="de-DE" sz="1100" b="0" i="0" u="none" strike="noStrike">
              <a:solidFill>
                <a:schemeClr val="dk1"/>
              </a:solidFill>
              <a:effectLst/>
              <a:latin typeface="+mn-lt"/>
              <a:ea typeface="+mn-ea"/>
              <a:cs typeface="+mn-cs"/>
            </a:rPr>
            <a:t>of Global Ports Holding Limited ("GPH" or "Company"). Passenger numbers refer to consolidated portfolio consolidation perimeter, hence excludes equity accounted associate ports La Goulette, Lisbon, Singapore and Venice. </a:t>
          </a:r>
          <a:r>
            <a:rPr lang="de-DE" sz="1100">
              <a:latin typeface="+mn-lt"/>
            </a:rPr>
            <a:t> </a:t>
          </a:r>
          <a:r>
            <a:rPr lang="de-DE" sz="1100" b="0" i="1" u="none" strike="noStrike">
              <a:solidFill>
                <a:schemeClr val="dk1"/>
              </a:solidFill>
              <a:effectLst/>
              <a:latin typeface="+mn-lt"/>
              <a:ea typeface="+mn-ea"/>
              <a:cs typeface="+mn-cs"/>
            </a:rPr>
            <a:t> </a:t>
          </a:r>
        </a:p>
        <a:p>
          <a:pPr marL="0" marR="0" lvl="0" indent="0" defTabSz="914400" rtl="0" eaLnBrk="1" fontAlgn="auto" latinLnBrk="0" hangingPunct="1">
            <a:lnSpc>
              <a:spcPct val="100000"/>
            </a:lnSpc>
            <a:spcBef>
              <a:spcPts val="600"/>
            </a:spcBef>
            <a:spcAft>
              <a:spcPts val="0"/>
            </a:spcAft>
            <a:buClrTx/>
            <a:buSzTx/>
            <a:buFontTx/>
            <a:buNone/>
            <a:tabLst/>
            <a:defRPr/>
          </a:pPr>
          <a:r>
            <a:rPr kumimoji="0" lang="de-DE" sz="1100" b="1" i="1" u="none" strike="noStrike" kern="0" cap="none" spc="0" normalizeH="0" baseline="0" noProof="0">
              <a:ln>
                <a:noFill/>
              </a:ln>
              <a:solidFill>
                <a:prstClr val="white">
                  <a:lumMod val="50000"/>
                </a:prstClr>
              </a:solidFill>
              <a:effectLst/>
              <a:uLnTx/>
              <a:uFillTx/>
              <a:latin typeface="+mn-lt"/>
              <a:ea typeface="+mn-ea"/>
              <a:cs typeface="+mn-cs"/>
            </a:rPr>
            <a:t>Glossary</a:t>
          </a:r>
          <a:r>
            <a:rPr kumimoji="0" lang="de-DE" sz="1100" b="0" i="1" u="none" strike="noStrike" kern="0" cap="none" spc="0" normalizeH="0" baseline="0" noProof="0">
              <a:ln>
                <a:noFill/>
              </a:ln>
              <a:solidFill>
                <a:prstClr val="white">
                  <a:lumMod val="50000"/>
                </a:prstClr>
              </a:solidFill>
              <a:effectLst/>
              <a:uLnTx/>
              <a:uFillTx/>
              <a:latin typeface="+mn-lt"/>
              <a:ea typeface="+mn-ea"/>
              <a:cs typeface="+mn-cs"/>
            </a:rPr>
            <a:t> </a:t>
          </a:r>
          <a:endParaRPr kumimoji="0" lang="de-DE" sz="1100" b="0" i="0" u="none" strike="noStrike" kern="0" cap="none" spc="0" normalizeH="0" baseline="0" noProof="0">
            <a:ln>
              <a:noFill/>
            </a:ln>
            <a:solidFill>
              <a:prstClr val="black"/>
            </a:solidFill>
            <a:effectLst/>
            <a:uLnTx/>
            <a:uFillTx/>
            <a:latin typeface="+mn-lt"/>
            <a:ea typeface="+mn-ea"/>
            <a:cs typeface="+mn-cs"/>
          </a:endParaRPr>
        </a:p>
        <a:p>
          <a:pPr rtl="0" eaLnBrk="1" latinLnBrk="0" hangingPunct="1">
            <a:spcBef>
              <a:spcPts val="600"/>
            </a:spcBef>
          </a:pPr>
          <a:r>
            <a:rPr lang="de-DE" sz="1100" b="1" i="0" u="none" strike="noStrike">
              <a:solidFill>
                <a:schemeClr val="dk1"/>
              </a:solidFill>
              <a:effectLst/>
              <a:latin typeface="+mn-lt"/>
              <a:ea typeface="+mn-ea"/>
              <a:cs typeface="+mn-cs"/>
            </a:rPr>
            <a:t>Calls		</a:t>
          </a:r>
          <a:r>
            <a:rPr lang="de-DE" sz="1100" b="0" i="0" u="none" strike="noStrike">
              <a:solidFill>
                <a:schemeClr val="dk1"/>
              </a:solidFill>
              <a:effectLst/>
              <a:latin typeface="+mn-lt"/>
              <a:ea typeface="+mn-ea"/>
              <a:cs typeface="+mn-cs"/>
            </a:rPr>
            <a:t>Cruise ship calls </a:t>
          </a:r>
          <a:r>
            <a:rPr lang="de-DE" sz="1100">
              <a:latin typeface="+mn-lt"/>
            </a:rPr>
            <a:t> </a:t>
          </a:r>
          <a:r>
            <a:rPr lang="de-DE" sz="1100" b="0" i="0" u="none" strike="noStrike">
              <a:solidFill>
                <a:schemeClr val="dk1"/>
              </a:solidFill>
              <a:effectLst/>
              <a:latin typeface="+mn-lt"/>
              <a:ea typeface="+mn-ea"/>
              <a:cs typeface="+mn-cs"/>
            </a:rPr>
            <a:t> </a:t>
          </a:r>
        </a:p>
        <a:p>
          <a:pPr rtl="0" eaLnBrk="1" latinLnBrk="0" hangingPunct="1">
            <a:spcBef>
              <a:spcPts val="600"/>
            </a:spcBef>
          </a:pPr>
          <a:r>
            <a:rPr lang="de-DE" sz="1100" b="1" i="0" u="none" strike="noStrike">
              <a:solidFill>
                <a:schemeClr val="dk1"/>
              </a:solidFill>
              <a:effectLst/>
              <a:latin typeface="+mn-lt"/>
              <a:ea typeface="+mn-ea"/>
              <a:cs typeface="+mn-cs"/>
            </a:rPr>
            <a:t>Passenger movements	</a:t>
          </a:r>
          <a:r>
            <a:rPr lang="de-DE" sz="1100" b="0" i="0" u="none" strike="noStrike">
              <a:solidFill>
                <a:schemeClr val="dk1"/>
              </a:solidFill>
              <a:effectLst/>
              <a:latin typeface="+mn-lt"/>
              <a:ea typeface="+mn-ea"/>
              <a:cs typeface="+mn-cs"/>
            </a:rPr>
            <a:t>Represents passenger movements based on passengers</a:t>
          </a:r>
          <a:r>
            <a:rPr lang="de-DE" sz="1100" b="0" i="0" u="none" strike="noStrike" baseline="0">
              <a:solidFill>
                <a:schemeClr val="dk1"/>
              </a:solidFill>
              <a:effectLst/>
              <a:latin typeface="+mn-lt"/>
              <a:ea typeface="+mn-ea"/>
              <a:cs typeface="+mn-cs"/>
            </a:rPr>
            <a:t> on board of the cruise ship, without the need for passengers to actually leave the ship</a:t>
          </a:r>
          <a:r>
            <a:rPr lang="de-DE" sz="1100" b="0" i="0" u="none" strike="noStrike">
              <a:solidFill>
                <a:schemeClr val="dk1"/>
              </a:solidFill>
              <a:effectLst/>
              <a:latin typeface="+mn-lt"/>
              <a:ea typeface="+mn-ea"/>
              <a:cs typeface="+mn-cs"/>
            </a:rPr>
            <a:t>. </a:t>
          </a:r>
        </a:p>
        <a:p>
          <a:pPr rtl="0" eaLnBrk="1" latinLnBrk="0" hangingPunct="1">
            <a:spcBef>
              <a:spcPts val="600"/>
            </a:spcBef>
          </a:pPr>
          <a:r>
            <a:rPr lang="de-DE" sz="1100" b="0" i="0" u="none" strike="noStrike">
              <a:solidFill>
                <a:schemeClr val="dk1"/>
              </a:solidFill>
              <a:effectLst/>
              <a:latin typeface="+mn-lt"/>
              <a:ea typeface="+mn-ea"/>
              <a:cs typeface="+mn-cs"/>
            </a:rPr>
            <a:t>		For homeporting or interporting calls,</a:t>
          </a:r>
          <a:r>
            <a:rPr lang="de-DE" sz="1100" b="0" i="0" u="none" strike="noStrike" baseline="0">
              <a:solidFill>
                <a:schemeClr val="dk1"/>
              </a:solidFill>
              <a:effectLst/>
              <a:latin typeface="+mn-lt"/>
              <a:ea typeface="+mn-ea"/>
              <a:cs typeface="+mn-cs"/>
            </a:rPr>
            <a:t> </a:t>
          </a:r>
          <a:r>
            <a:rPr lang="de-DE" sz="1100" b="0" i="0" u="none" strike="noStrike">
              <a:solidFill>
                <a:schemeClr val="dk1"/>
              </a:solidFill>
              <a:effectLst/>
              <a:latin typeface="+mn-lt"/>
              <a:ea typeface="+mn-ea"/>
              <a:cs typeface="+mn-cs"/>
            </a:rPr>
            <a:t>embarking and disembarking passenger movements are counted. </a:t>
          </a:r>
        </a:p>
        <a:p>
          <a:pPr rtl="0" eaLnBrk="1" latinLnBrk="0" hangingPunct="1">
            <a:spcBef>
              <a:spcPts val="600"/>
            </a:spcBef>
          </a:pPr>
          <a:r>
            <a:rPr lang="de-DE" sz="1100" b="0" i="0" u="none" strike="noStrike">
              <a:solidFill>
                <a:schemeClr val="dk1"/>
              </a:solidFill>
              <a:effectLst/>
              <a:latin typeface="+mn-lt"/>
              <a:ea typeface="+mn-ea"/>
              <a:cs typeface="+mn-cs"/>
            </a:rPr>
            <a:t>		Passengers from transit cruise calls and ferry calls are repesenting one passenger movement each. </a:t>
          </a:r>
          <a:r>
            <a:rPr lang="de-DE" sz="1100">
              <a:latin typeface="+mn-lt"/>
            </a:rPr>
            <a:t> </a:t>
          </a:r>
          <a:r>
            <a:rPr lang="de-DE" sz="1100" b="0" i="0" u="none" strike="noStrike">
              <a:solidFill>
                <a:schemeClr val="dk1"/>
              </a:solidFill>
              <a:effectLst/>
              <a:latin typeface="+mn-lt"/>
              <a:ea typeface="+mn-ea"/>
              <a:cs typeface="+mn-cs"/>
            </a:rPr>
            <a:t> </a:t>
          </a:r>
        </a:p>
        <a:p>
          <a:pPr rtl="0" eaLnBrk="1" latinLnBrk="0" hangingPunct="1">
            <a:spcBef>
              <a:spcPts val="600"/>
            </a:spcBef>
          </a:pPr>
          <a:r>
            <a:rPr lang="de-DE" sz="1100" b="1" i="0" u="none" strike="noStrike">
              <a:solidFill>
                <a:schemeClr val="dk1"/>
              </a:solidFill>
              <a:effectLst/>
              <a:latin typeface="+mn-lt"/>
              <a:ea typeface="+mn-ea"/>
              <a:cs typeface="+mn-cs"/>
            </a:rPr>
            <a:t>2019 data:</a:t>
          </a:r>
          <a:r>
            <a:rPr lang="de-DE" sz="1100" b="1" i="0" u="none" strike="noStrike" baseline="0">
              <a:solidFill>
                <a:schemeClr val="dk1"/>
              </a:solidFill>
              <a:effectLst/>
              <a:latin typeface="+mn-lt"/>
              <a:ea typeface="+mn-ea"/>
              <a:cs typeface="+mn-cs"/>
            </a:rPr>
            <a:t> 		</a:t>
          </a:r>
          <a:r>
            <a:rPr lang="de-DE" sz="1100" b="0" i="0" u="none" strike="noStrike">
              <a:solidFill>
                <a:schemeClr val="dk1"/>
              </a:solidFill>
              <a:effectLst/>
              <a:latin typeface="+mn-lt"/>
              <a:ea typeface="+mn-ea"/>
              <a:cs typeface="+mn-cs"/>
            </a:rPr>
            <a:t>Comparative information for the major ports acquired during the calendar year 2019 Antigua Cruise Port and Nassau Cruise Port do</a:t>
          </a:r>
          <a:r>
            <a:rPr lang="de-DE" sz="1100" b="0" i="0" u="none" strike="noStrike" baseline="0">
              <a:solidFill>
                <a:schemeClr val="dk1"/>
              </a:solidFill>
              <a:effectLst/>
              <a:latin typeface="+mn-lt"/>
              <a:ea typeface="+mn-ea"/>
              <a:cs typeface="+mn-cs"/>
            </a:rPr>
            <a:t> represent </a:t>
          </a:r>
          <a:r>
            <a:rPr lang="de-DE" sz="1100" b="0" i="0" u="none" strike="noStrike">
              <a:solidFill>
                <a:schemeClr val="dk1"/>
              </a:solidFill>
              <a:effectLst/>
              <a:latin typeface="+mn-lt"/>
              <a:ea typeface="+mn-ea"/>
              <a:cs typeface="+mn-cs"/>
            </a:rPr>
            <a:t>12M 		volumes</a:t>
          </a:r>
          <a:r>
            <a:rPr lang="de-DE" sz="1100" b="0" i="0" u="none" strike="noStrike" baseline="0">
              <a:solidFill>
                <a:schemeClr val="dk1"/>
              </a:solidFill>
              <a:effectLst/>
              <a:latin typeface="+mn-lt"/>
              <a:ea typeface="+mn-ea"/>
              <a:cs typeface="+mn-cs"/>
            </a:rPr>
            <a:t> of </a:t>
          </a:r>
          <a:r>
            <a:rPr lang="de-DE" sz="1100" b="0" i="0" u="none" strike="noStrike">
              <a:solidFill>
                <a:schemeClr val="dk1"/>
              </a:solidFill>
              <a:effectLst/>
              <a:latin typeface="+mn-lt"/>
              <a:ea typeface="+mn-ea"/>
              <a:cs typeface="+mn-cs"/>
            </a:rPr>
            <a:t>the</a:t>
          </a:r>
          <a:r>
            <a:rPr lang="de-DE" sz="1100" b="0" i="0" u="none" strike="noStrike" baseline="0">
              <a:solidFill>
                <a:schemeClr val="dk1"/>
              </a:solidFill>
              <a:effectLst/>
              <a:latin typeface="+mn-lt"/>
              <a:ea typeface="+mn-ea"/>
              <a:cs typeface="+mn-cs"/>
            </a:rPr>
            <a:t> </a:t>
          </a:r>
          <a:r>
            <a:rPr lang="de-DE" sz="1100" b="0" i="0" u="none" strike="noStrike">
              <a:solidFill>
                <a:schemeClr val="dk1"/>
              </a:solidFill>
              <a:effectLst/>
              <a:latin typeface="+mn-lt"/>
              <a:ea typeface="+mn-ea"/>
              <a:cs typeface="+mn-cs"/>
            </a:rPr>
            <a:t>entire</a:t>
          </a:r>
          <a:r>
            <a:rPr lang="de-DE" sz="1100" b="0" i="0" u="none" strike="noStrike" baseline="0">
              <a:solidFill>
                <a:schemeClr val="dk1"/>
              </a:solidFill>
              <a:effectLst/>
              <a:latin typeface="+mn-lt"/>
              <a:ea typeface="+mn-ea"/>
              <a:cs typeface="+mn-cs"/>
            </a:rPr>
            <a:t> calendar year </a:t>
          </a:r>
          <a:r>
            <a:rPr lang="de-DE" sz="1100" b="0" i="0" u="none" strike="noStrike">
              <a:solidFill>
                <a:schemeClr val="dk1"/>
              </a:solidFill>
              <a:effectLst/>
              <a:latin typeface="+mn-lt"/>
              <a:ea typeface="+mn-ea"/>
              <a:cs typeface="+mn-cs"/>
            </a:rPr>
            <a:t>for those ports - not the pro-rata</a:t>
          </a:r>
          <a:r>
            <a:rPr lang="de-DE" sz="1100" b="0" i="0" u="none" strike="noStrike" baseline="0">
              <a:solidFill>
                <a:schemeClr val="dk1"/>
              </a:solidFill>
              <a:effectLst/>
              <a:latin typeface="+mn-lt"/>
              <a:ea typeface="+mn-ea"/>
              <a:cs typeface="+mn-cs"/>
            </a:rPr>
            <a:t> </a:t>
          </a:r>
          <a:r>
            <a:rPr lang="de-DE" sz="1100" b="0" i="0" u="none" strike="noStrike">
              <a:solidFill>
                <a:schemeClr val="dk1"/>
              </a:solidFill>
              <a:effectLst/>
              <a:latin typeface="+mn-lt"/>
              <a:ea typeface="+mn-ea"/>
              <a:cs typeface="+mn-cs"/>
            </a:rPr>
            <a:t>period under GPH control as</a:t>
          </a:r>
          <a:r>
            <a:rPr lang="de-DE" sz="1100" b="0" i="0" u="none" strike="noStrike" baseline="0">
              <a:solidFill>
                <a:schemeClr val="dk1"/>
              </a:solidFill>
              <a:effectLst/>
              <a:latin typeface="+mn-lt"/>
              <a:ea typeface="+mn-ea"/>
              <a:cs typeface="+mn-cs"/>
            </a:rPr>
            <a:t> presented in the Company's financial statements</a:t>
          </a:r>
          <a:r>
            <a:rPr lang="de-DE" sz="1100" b="0" i="0" u="none" strike="noStrike">
              <a:solidFill>
                <a:schemeClr val="dk1"/>
              </a:solidFill>
              <a:effectLst/>
              <a:latin typeface="+mn-lt"/>
              <a:ea typeface="+mn-ea"/>
              <a:cs typeface="+mn-cs"/>
            </a:rPr>
            <a:t>. </a:t>
          </a:r>
        </a:p>
        <a:p>
          <a:pPr rtl="0" eaLnBrk="1" fontAlgn="auto" latinLnBrk="0" hangingPunct="1"/>
          <a:endParaRPr lang="de-DE" sz="1100" b="1" i="1"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100" b="1" i="1" u="none" strike="noStrike" kern="0" cap="none" spc="0" normalizeH="0" baseline="0" noProof="0">
              <a:ln>
                <a:noFill/>
              </a:ln>
              <a:solidFill>
                <a:prstClr val="black"/>
              </a:solidFill>
              <a:effectLst/>
              <a:uLnTx/>
              <a:uFillTx/>
              <a:latin typeface="+mn-lt"/>
              <a:ea typeface="+mn-ea"/>
              <a:cs typeface="+mn-cs"/>
            </a:rPr>
            <a:t>Segmental Reporting Port Breakdown as at 31 March 2025 (most recent fiscal year-end):</a:t>
          </a:r>
          <a:endParaRPr kumimoji="0" lang="en-GB"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prstClr val="black"/>
              </a:solidFill>
              <a:effectLst/>
              <a:uLnTx/>
              <a:uFillTx/>
              <a:latin typeface="+mn-lt"/>
              <a:ea typeface="+mn-ea"/>
              <a:cs typeface="+mn-cs"/>
            </a:rPr>
            <a:t>Americas: </a:t>
          </a:r>
          <a:r>
            <a:rPr kumimoji="0" lang="de-DE" sz="1100" b="0" i="0" u="none" strike="noStrike" kern="0" cap="none" spc="0" normalizeH="0" baseline="0" noProof="0">
              <a:ln>
                <a:noFill/>
              </a:ln>
              <a:solidFill>
                <a:prstClr val="black"/>
              </a:solidFill>
              <a:effectLst/>
              <a:uLnTx/>
              <a:uFillTx/>
              <a:latin typeface="+mn-lt"/>
              <a:ea typeface="+mn-ea"/>
              <a:cs typeface="+mn-cs"/>
            </a:rPr>
            <a:t>Antigua Cruise Port, Nassau Cruise Port, Prince Rupert Cruise Port, San Juan Cruise Port, Puerto Rico, </a:t>
          </a:r>
          <a:r>
            <a:rPr kumimoji="0" lang="de-DE" sz="1100" b="0" i="0" u="none" strike="noStrike" kern="0" cap="none" spc="0" normalizeH="0" baseline="0" noProof="0">
              <a:ln>
                <a:noFill/>
              </a:ln>
              <a:solidFill>
                <a:schemeClr val="tx1"/>
              </a:solidFill>
              <a:effectLst/>
              <a:uLnTx/>
              <a:uFillTx/>
              <a:latin typeface="+mn-lt"/>
              <a:ea typeface="+mn-ea"/>
              <a:cs typeface="+mn-cs"/>
            </a:rPr>
            <a:t>St. Lucia.</a:t>
          </a:r>
          <a:endParaRPr kumimoji="0" lang="en-GB" sz="11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prstClr val="black"/>
              </a:solidFill>
              <a:effectLst/>
              <a:uLnTx/>
              <a:uFillTx/>
              <a:latin typeface="+mn-lt"/>
              <a:ea typeface="+mn-ea"/>
              <a:cs typeface="+mn-cs"/>
            </a:rPr>
            <a:t>West Med &amp; Atlantic:</a:t>
          </a:r>
          <a:r>
            <a:rPr kumimoji="0" lang="de-DE" sz="1100" b="0" i="0" u="none" strike="noStrike" kern="0" cap="none" spc="0" normalizeH="0" baseline="0" noProof="0">
              <a:ln>
                <a:noFill/>
              </a:ln>
              <a:solidFill>
                <a:prstClr val="black"/>
              </a:solidFill>
              <a:effectLst/>
              <a:uLnTx/>
              <a:uFillTx/>
              <a:latin typeface="+mn-lt"/>
              <a:ea typeface="+mn-ea"/>
              <a:cs typeface="+mn-cs"/>
            </a:rPr>
            <a:t> Spanish ports (Alicante Cruise Port, Barcelona Cruise Port, Fuerteventura Cruise Port, Lanzarote Cruise Port, Las Palmas Cruise Port, Malaga Cruise Port, Tarragona Cruise Port, Sevilla Cruise Port and Ferrol Cruise Port).</a:t>
          </a:r>
          <a:endParaRPr kumimoji="0" lang="en-GB"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prstClr val="black"/>
              </a:solidFill>
              <a:effectLst/>
              <a:uLnTx/>
              <a:uFillTx/>
              <a:latin typeface="+mn-lt"/>
              <a:ea typeface="+mn-ea"/>
              <a:cs typeface="+mn-cs"/>
            </a:rPr>
            <a:t>Central Med, </a:t>
          </a:r>
          <a:r>
            <a:rPr lang="de-DE" sz="1100" b="1" i="0" baseline="0">
              <a:solidFill>
                <a:schemeClr val="dk1"/>
              </a:solidFill>
              <a:effectLst/>
              <a:latin typeface="+mn-lt"/>
              <a:ea typeface="+mn-ea"/>
              <a:cs typeface="+mn-cs"/>
            </a:rPr>
            <a:t>Northern Europe and North Africa</a:t>
          </a:r>
          <a:r>
            <a:rPr kumimoji="0" lang="de-DE" sz="1100" b="1" i="0" u="none" strike="noStrike" kern="0" cap="none" spc="0" normalizeH="0" baseline="0" noProof="0">
              <a:ln>
                <a:noFill/>
              </a:ln>
              <a:solidFill>
                <a:prstClr val="black"/>
              </a:solidFill>
              <a:effectLst/>
              <a:uLnTx/>
              <a:uFillTx/>
              <a:latin typeface="+mn-lt"/>
              <a:ea typeface="+mn-ea"/>
              <a:cs typeface="+mn-cs"/>
            </a:rPr>
            <a:t>: </a:t>
          </a:r>
          <a:r>
            <a:rPr kumimoji="0" lang="en-GB" sz="1100" b="0" i="0" u="none" strike="noStrike" kern="0" cap="none" spc="0" normalizeH="0" baseline="0" noProof="0">
              <a:ln>
                <a:noFill/>
              </a:ln>
              <a:solidFill>
                <a:prstClr val="black"/>
              </a:solidFill>
              <a:effectLst/>
              <a:uLnTx/>
              <a:uFillTx/>
              <a:latin typeface="+mn-lt"/>
              <a:ea typeface="+mn-ea"/>
              <a:cs typeface="+mn-cs"/>
            </a:rPr>
            <a:t>Italian ports (Cagliari Cruise Port, Catania Cruise Port, Crotone Cruise Port and Taranto Cruise Port) and Valletta Cruise Port, Malta as well as </a:t>
          </a:r>
          <a:r>
            <a:rPr kumimoji="0" lang="en-GB" sz="1100" b="0" i="0" u="none" strike="noStrike" kern="0" cap="none" spc="0" normalizeH="0" baseline="0" noProof="0">
              <a:ln>
                <a:noFill/>
              </a:ln>
              <a:solidFill>
                <a:schemeClr val="tx1"/>
              </a:solidFill>
              <a:effectLst/>
              <a:uLnTx/>
              <a:uFillTx/>
              <a:latin typeface="+mn-lt"/>
              <a:ea typeface="+mn-ea"/>
              <a:cs typeface="+mn-cs"/>
            </a:rPr>
            <a:t>Liverpool Cruise Port and Greenock Cruise Port, both UK, Casablanca Cruise Port, Morocco, Bremerhaven Cruise Port, Germany. </a:t>
          </a:r>
          <a:endParaRPr kumimoji="0" lang="en-GB"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prstClr val="black"/>
              </a:solidFill>
              <a:effectLst/>
              <a:uLnTx/>
              <a:uFillTx/>
              <a:latin typeface="+mn-lt"/>
              <a:ea typeface="+mn-ea"/>
              <a:cs typeface="+mn-cs"/>
            </a:rPr>
            <a:t>East Med &amp; Adriatic:</a:t>
          </a:r>
          <a:r>
            <a:rPr kumimoji="0" lang="en-GB" sz="1100" b="0" i="0" u="none" strike="noStrike" kern="0" cap="none" spc="0" normalizeH="0" baseline="0" noProof="0">
              <a:ln>
                <a:noFill/>
              </a:ln>
              <a:solidFill>
                <a:prstClr val="black"/>
              </a:solidFill>
              <a:effectLst/>
              <a:uLnTx/>
              <a:uFillTx/>
              <a:latin typeface="+mn-lt"/>
              <a:ea typeface="+mn-ea"/>
              <a:cs typeface="+mn-cs"/>
            </a:rPr>
            <a:t> Turkish Cruise Ports (Bodrum Cruise Port and Ege Cruise Port) and Zadar Cruise Port, Croatia.</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prstClr val="black"/>
              </a:solidFill>
              <a:effectLst/>
              <a:uLnTx/>
              <a:uFillTx/>
              <a:latin typeface="+mn-lt"/>
              <a:ea typeface="+mn-ea"/>
              <a:cs typeface="+mn-cs"/>
            </a:rPr>
            <a:t>Other:</a:t>
          </a:r>
          <a:r>
            <a:rPr kumimoji="0" lang="en-GB" sz="1100" b="0" i="0" u="none" strike="noStrike" kern="0" cap="none" spc="0" normalizeH="0" baseline="0" noProof="0">
              <a:ln>
                <a:noFill/>
              </a:ln>
              <a:solidFill>
                <a:prstClr val="black"/>
              </a:solidFill>
              <a:effectLst/>
              <a:uLnTx/>
              <a:uFillTx/>
              <a:latin typeface="+mn-lt"/>
              <a:ea typeface="+mn-ea"/>
              <a:cs typeface="+mn-cs"/>
            </a:rPr>
            <a:t> Port of Adria, Montenegro. </a:t>
          </a: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Non-Consolidated Ports:</a:t>
          </a:r>
          <a:r>
            <a:rPr lang="en-GB" sz="1100">
              <a:solidFill>
                <a:schemeClr val="dk1"/>
              </a:solidFill>
              <a:effectLst/>
              <a:latin typeface="+mn-lt"/>
              <a:ea typeface="+mn-ea"/>
              <a:cs typeface="+mn-cs"/>
            </a:rPr>
            <a:t> Added from January 2026. Includes the equity pick up entities Lisbon Cruise Port, Portugal; Venice Cruise Port, Italy; La Goulette, Tunisia; Singapore Cruise Port, Singapore; Vigo Cruise Port, Spain</a:t>
          </a:r>
          <a:r>
            <a:rPr lang="en-GB" sz="1100" baseline="0">
              <a:solidFill>
                <a:schemeClr val="dk1"/>
              </a:solidFill>
              <a:effectLst/>
              <a:latin typeface="+mn-lt"/>
              <a:ea typeface="+mn-ea"/>
              <a:cs typeface="+mn-cs"/>
            </a:rPr>
            <a:t>; management agreements </a:t>
          </a:r>
          <a:r>
            <a:rPr lang="en-GB" sz="1100">
              <a:solidFill>
                <a:schemeClr val="dk1"/>
              </a:solidFill>
              <a:effectLst/>
              <a:latin typeface="+mn-lt"/>
              <a:ea typeface="+mn-ea"/>
              <a:cs typeface="+mn-cs"/>
            </a:rPr>
            <a:t>Ha Long Cruise Port</a:t>
          </a:r>
          <a:r>
            <a:rPr lang="en-GB" sz="1100" baseline="0">
              <a:solidFill>
                <a:schemeClr val="dk1"/>
              </a:solidFill>
              <a:effectLst/>
              <a:latin typeface="+mn-lt"/>
              <a:ea typeface="+mn-ea"/>
              <a:cs typeface="+mn-cs"/>
            </a:rPr>
            <a:t>,</a:t>
          </a:r>
          <a:r>
            <a:rPr lang="en-GB" sz="1100">
              <a:solidFill>
                <a:schemeClr val="dk1"/>
              </a:solidFill>
              <a:effectLst/>
              <a:latin typeface="+mn-lt"/>
              <a:ea typeface="+mn-ea"/>
              <a:cs typeface="+mn-cs"/>
            </a:rPr>
            <a:t>Vietnam</a:t>
          </a:r>
          <a:r>
            <a:rPr lang="en-GB" sz="1100" baseline="0">
              <a:solidFill>
                <a:schemeClr val="dk1"/>
              </a:solidFill>
              <a:effectLst/>
              <a:latin typeface="+mn-lt"/>
              <a:ea typeface="+mn-ea"/>
              <a:cs typeface="+mn-cs"/>
            </a:rPr>
            <a:t> and</a:t>
          </a:r>
          <a:r>
            <a:rPr lang="en-GB" sz="1100">
              <a:solidFill>
                <a:schemeClr val="dk1"/>
              </a:solidFill>
              <a:effectLst/>
              <a:latin typeface="+mn-lt"/>
              <a:ea typeface="+mn-ea"/>
              <a:cs typeface="+mn-cs"/>
            </a:rPr>
            <a:t> Mindelo</a:t>
          </a:r>
          <a:r>
            <a:rPr lang="en-GB" sz="1100" b="0" i="0" baseline="0">
              <a:solidFill>
                <a:schemeClr val="dk1"/>
              </a:solidFill>
              <a:effectLst/>
              <a:latin typeface="+mn-lt"/>
              <a:ea typeface="+mn-ea"/>
              <a:cs typeface="+mn-cs"/>
            </a:rPr>
            <a:t> Cruise Port, the Republic of Cape Verde.</a:t>
          </a:r>
          <a:endParaRPr kumimoji="0" lang="en-GB" sz="1100" b="0" i="0" u="none" strike="noStrike" kern="0" cap="none" spc="0" normalizeH="0" baseline="0" noProof="0">
            <a:ln>
              <a:noFill/>
            </a:ln>
            <a:solidFill>
              <a:prstClr val="black"/>
            </a:solidFill>
            <a:effectLst/>
            <a:uLnTx/>
            <a:uFillTx/>
            <a:latin typeface="+mn-lt"/>
            <a:ea typeface="+mn-ea"/>
            <a:cs typeface="+mn-cs"/>
          </a:endParaRPr>
        </a:p>
        <a:p>
          <a:pPr marL="0" marR="0" indent="0" defTabSz="914400" rtl="0" eaLnBrk="1" fontAlgn="auto" latinLnBrk="0" hangingPunct="1">
            <a:lnSpc>
              <a:spcPct val="100000"/>
            </a:lnSpc>
            <a:spcBef>
              <a:spcPts val="600"/>
            </a:spcBef>
            <a:spcAft>
              <a:spcPts val="0"/>
            </a:spcAft>
            <a:buClrTx/>
            <a:buSzTx/>
            <a:buFontTx/>
            <a:buNone/>
            <a:tabLst/>
            <a:defRPr/>
          </a:pPr>
          <a:r>
            <a:rPr lang="en-GB" sz="1100" b="1">
              <a:solidFill>
                <a:schemeClr val="dk1"/>
              </a:solidFill>
              <a:effectLst/>
              <a:latin typeface="+mn-lt"/>
              <a:ea typeface="+mn-ea"/>
              <a:cs typeface="+mn-cs"/>
            </a:rPr>
            <a:t>Occupancy</a:t>
          </a:r>
          <a:r>
            <a:rPr lang="en-GB" sz="1100" b="1" baseline="0">
              <a:solidFill>
                <a:schemeClr val="dk1"/>
              </a:solidFill>
              <a:effectLst/>
              <a:latin typeface="+mn-lt"/>
              <a:ea typeface="+mn-ea"/>
              <a:cs typeface="+mn-cs"/>
            </a:rPr>
            <a:t> Ratio</a:t>
          </a:r>
          <a:r>
            <a:rPr lang="en-GB" sz="1100" b="0" baseline="0">
              <a:solidFill>
                <a:schemeClr val="dk1"/>
              </a:solidFill>
              <a:effectLst/>
              <a:latin typeface="+mn-lt"/>
              <a:ea typeface="+mn-ea"/>
              <a:cs typeface="+mn-cs"/>
            </a:rPr>
            <a:t>	</a:t>
          </a:r>
          <a:r>
            <a:rPr lang="en-GB" sz="1100">
              <a:solidFill>
                <a:schemeClr val="dk1"/>
              </a:solidFill>
              <a:effectLst/>
              <a:latin typeface="+mn-lt"/>
              <a:ea typeface="+mn-ea"/>
              <a:cs typeface="+mn-cs"/>
            </a:rPr>
            <a:t>Calculated as follows: [Transit pax +(Embark + Disembark pax)/2] / Ship's Capacity (lower berth); calculated for each ship and then aggregated, volume-		weighted average across the consolidated cruise ports.</a:t>
          </a:r>
          <a:endParaRPr lang="de-DE" sz="1100" b="1" i="1" u="none" strike="noStrike">
            <a:solidFill>
              <a:schemeClr val="dk1"/>
            </a:solidFill>
            <a:effectLst/>
            <a:latin typeface="+mn-lt"/>
            <a:ea typeface="+mn-ea"/>
            <a:cs typeface="+mn-cs"/>
          </a:endParaRPr>
        </a:p>
        <a:p>
          <a:pPr rtl="0" eaLnBrk="1" latinLnBrk="0" hangingPunct="1">
            <a:spcBef>
              <a:spcPts val="600"/>
            </a:spcBef>
          </a:pPr>
          <a:r>
            <a:rPr lang="de-DE" sz="1100" b="1" i="1" u="none" strike="noStrike">
              <a:solidFill>
                <a:schemeClr val="bg1">
                  <a:lumMod val="50000"/>
                </a:schemeClr>
              </a:solidFill>
              <a:effectLst/>
              <a:latin typeface="+mn-lt"/>
              <a:ea typeface="+mn-ea"/>
              <a:cs typeface="+mn-cs"/>
            </a:rPr>
            <a:t>Sources</a:t>
          </a:r>
        </a:p>
        <a:p>
          <a:pPr rtl="0" eaLnBrk="1" latinLnBrk="0" hangingPunct="1">
            <a:spcBef>
              <a:spcPts val="600"/>
            </a:spcBef>
          </a:pPr>
          <a:r>
            <a:rPr lang="de-DE" sz="1100" b="0" i="0" u="none" strike="noStrike">
              <a:solidFill>
                <a:schemeClr val="dk1"/>
              </a:solidFill>
              <a:effectLst/>
              <a:latin typeface="+mn-lt"/>
              <a:ea typeface="+mn-ea"/>
              <a:cs typeface="+mn-cs"/>
            </a:rPr>
            <a:t>Operational port statistics, minor differences possible compared to financial reporting due to overnight cruise ships or different</a:t>
          </a:r>
          <a:r>
            <a:rPr lang="de-DE" sz="1100" b="0" i="0" u="none" strike="noStrike" baseline="0">
              <a:solidFill>
                <a:schemeClr val="dk1"/>
              </a:solidFill>
              <a:effectLst/>
              <a:latin typeface="+mn-lt"/>
              <a:ea typeface="+mn-ea"/>
              <a:cs typeface="+mn-cs"/>
            </a:rPr>
            <a:t> cut-off times </a:t>
          </a:r>
          <a:r>
            <a:rPr lang="de-DE" sz="1100" b="0" i="0" u="none" strike="noStrike">
              <a:solidFill>
                <a:schemeClr val="dk1"/>
              </a:solidFill>
              <a:effectLst/>
              <a:latin typeface="+mn-lt"/>
              <a:ea typeface="+mn-ea"/>
              <a:cs typeface="+mn-cs"/>
            </a:rPr>
            <a:t>at month-end </a:t>
          </a:r>
          <a:r>
            <a:rPr lang="de-DE" sz="1100">
              <a:latin typeface="+mn-lt"/>
            </a:rPr>
            <a:t> Where identified, corrections are made to the YTD passenger data.</a:t>
          </a:r>
          <a:r>
            <a:rPr lang="de-DE" sz="1100" baseline="0">
              <a:latin typeface="+mn-lt"/>
            </a:rPr>
            <a:t> </a:t>
          </a:r>
          <a:endParaRPr lang="de-DE" sz="1100">
            <a:latin typeface="+mn-lt"/>
          </a:endParaRPr>
        </a:p>
        <a:p>
          <a:pPr rtl="0" eaLnBrk="1" latinLnBrk="0" hangingPunct="1">
            <a:spcBef>
              <a:spcPts val="600"/>
            </a:spcBef>
            <a:spcAft>
              <a:spcPts val="600"/>
            </a:spcAft>
          </a:pPr>
          <a:endParaRPr lang="de-DE" sz="1050" i="1" baseline="0">
            <a:solidFill>
              <a:sysClr val="windowText" lastClr="000000"/>
            </a:solidFill>
            <a:latin typeface="+mn-lt"/>
          </a:endParaRPr>
        </a:p>
        <a:p>
          <a:pPr rtl="0" eaLnBrk="1" latinLnBrk="0" hangingPunct="1">
            <a:spcBef>
              <a:spcPts val="600"/>
            </a:spcBef>
          </a:pPr>
          <a:endParaRPr lang="de-DE" sz="1050" i="1" baseline="0">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19993791" y="0"/>
          <a:ext cx="566906" cy="54854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19993791" y="0"/>
          <a:ext cx="566906" cy="54854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446C3065-F0E5-4C1C-AA67-14A8CC007714}"/>
            </a:ext>
          </a:extLst>
        </xdr:cNvPr>
        <xdr:cNvPicPr>
          <a:picLocks noChangeAspect="1"/>
        </xdr:cNvPicPr>
      </xdr:nvPicPr>
      <xdr:blipFill>
        <a:blip xmlns:r="http://schemas.openxmlformats.org/officeDocument/2006/relationships" r:embed="rId1"/>
        <a:stretch>
          <a:fillRect/>
        </a:stretch>
      </xdr:blipFill>
      <xdr:spPr>
        <a:xfrm>
          <a:off x="16717191" y="0"/>
          <a:ext cx="566906" cy="54854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6717191" y="0"/>
          <a:ext cx="566906" cy="54854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9EE2019D-41C8-4411-A3B5-3162AF489BEA}"/>
            </a:ext>
          </a:extLst>
        </xdr:cNvPr>
        <xdr:cNvPicPr>
          <a:picLocks noChangeAspect="1"/>
        </xdr:cNvPicPr>
      </xdr:nvPicPr>
      <xdr:blipFill>
        <a:blip xmlns:r="http://schemas.openxmlformats.org/officeDocument/2006/relationships" r:embed="rId1"/>
        <a:stretch>
          <a:fillRect/>
        </a:stretch>
      </xdr:blipFill>
      <xdr:spPr>
        <a:xfrm>
          <a:off x="16717191" y="0"/>
          <a:ext cx="566906" cy="54854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0E5E1694-B89A-4B49-8332-1A661B082F18}"/>
            </a:ext>
          </a:extLst>
        </xdr:cNvPr>
        <xdr:cNvPicPr>
          <a:picLocks noChangeAspect="1"/>
        </xdr:cNvPicPr>
      </xdr:nvPicPr>
      <xdr:blipFill>
        <a:blip xmlns:r="http://schemas.openxmlformats.org/officeDocument/2006/relationships" r:embed="rId1"/>
        <a:stretch>
          <a:fillRect/>
        </a:stretch>
      </xdr:blipFill>
      <xdr:spPr>
        <a:xfrm>
          <a:off x="16717191" y="0"/>
          <a:ext cx="566906" cy="54854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7656E5AC-33A6-4BD3-8A12-2923990F1D90}"/>
            </a:ext>
          </a:extLst>
        </xdr:cNvPr>
        <xdr:cNvPicPr>
          <a:picLocks noChangeAspect="1"/>
        </xdr:cNvPicPr>
      </xdr:nvPicPr>
      <xdr:blipFill>
        <a:blip xmlns:r="http://schemas.openxmlformats.org/officeDocument/2006/relationships" r:embed="rId1"/>
        <a:stretch>
          <a:fillRect/>
        </a:stretch>
      </xdr:blipFill>
      <xdr:spPr>
        <a:xfrm>
          <a:off x="16717191" y="0"/>
          <a:ext cx="566906" cy="54854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646FAFDB-538B-45AC-8D2F-B3D0100C0B43}"/>
            </a:ext>
          </a:extLst>
        </xdr:cNvPr>
        <xdr:cNvPicPr>
          <a:picLocks noChangeAspect="1"/>
        </xdr:cNvPicPr>
      </xdr:nvPicPr>
      <xdr:blipFill>
        <a:blip xmlns:r="http://schemas.openxmlformats.org/officeDocument/2006/relationships" r:embed="rId1"/>
        <a:stretch>
          <a:fillRect/>
        </a:stretch>
      </xdr:blipFill>
      <xdr:spPr>
        <a:xfrm>
          <a:off x="16660041" y="0"/>
          <a:ext cx="566906" cy="54854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5878991" y="0"/>
          <a:ext cx="566906" cy="5485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50</xdr:col>
      <xdr:colOff>147530</xdr:colOff>
      <xdr:row>0</xdr:row>
      <xdr:rowOff>0</xdr:rowOff>
    </xdr:from>
    <xdr:to>
      <xdr:col>51</xdr:col>
      <xdr:colOff>148165</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2297197" y="0"/>
          <a:ext cx="508635" cy="41861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5781020" y="0"/>
          <a:ext cx="566906" cy="55080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5133320" y="24765"/>
          <a:ext cx="566906" cy="54854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038070" y="24765"/>
          <a:ext cx="566906" cy="54854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038070" y="24765"/>
          <a:ext cx="566906" cy="54854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3" name="Picture 2">
          <a:extLst>
            <a:ext uri="{FF2B5EF4-FFF2-40B4-BE49-F238E27FC236}">
              <a16:creationId xmlns:a16="http://schemas.microsoft.com/office/drawing/2014/main" id="{D5534AB7-2096-4532-A6A4-0156396E9001}"/>
            </a:ext>
          </a:extLst>
        </xdr:cNvPr>
        <xdr:cNvPicPr>
          <a:picLocks noChangeAspect="1"/>
        </xdr:cNvPicPr>
      </xdr:nvPicPr>
      <xdr:blipFill>
        <a:blip xmlns:r="http://schemas.openxmlformats.org/officeDocument/2006/relationships" r:embed="rId1"/>
        <a:stretch>
          <a:fillRect/>
        </a:stretch>
      </xdr:blipFill>
      <xdr:spPr>
        <a:xfrm>
          <a:off x="14971395" y="24765"/>
          <a:ext cx="566906" cy="53901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26</xdr:col>
      <xdr:colOff>231626</xdr:colOff>
      <xdr:row>0</xdr:row>
      <xdr:rowOff>0</xdr:rowOff>
    </xdr:from>
    <xdr:to>
      <xdr:col>26</xdr:col>
      <xdr:colOff>740261</xdr:colOff>
      <xdr:row>1</xdr:row>
      <xdr:rowOff>228119</xdr:rowOff>
    </xdr:to>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3955246" y="0"/>
          <a:ext cx="508635" cy="410999"/>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33C8C8C1-12CE-4C4C-B3BF-DD912E51E5B0}"/>
            </a:ext>
          </a:extLst>
        </xdr:cNvPr>
        <xdr:cNvPicPr>
          <a:picLocks noChangeAspect="1"/>
        </xdr:cNvPicPr>
      </xdr:nvPicPr>
      <xdr:blipFill>
        <a:blip xmlns:r="http://schemas.openxmlformats.org/officeDocument/2006/relationships" r:embed="rId1"/>
        <a:stretch>
          <a:fillRect/>
        </a:stretch>
      </xdr:blipFill>
      <xdr:spPr>
        <a:xfrm>
          <a:off x="13938101" y="0"/>
          <a:ext cx="508635" cy="40909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744071</xdr:colOff>
      <xdr:row>1</xdr:row>
      <xdr:rowOff>228119</xdr:rowOff>
    </xdr:to>
    <xdr:pic>
      <xdr:nvPicPr>
        <xdr:cNvPr id="2" name="Picture 1">
          <a:extLst>
            <a:ext uri="{FF2B5EF4-FFF2-40B4-BE49-F238E27FC236}">
              <a16:creationId xmlns:a16="http://schemas.microsoft.com/office/drawing/2014/main" id="{61420032-A9BD-45DD-9753-0BC75D5BCD6D}"/>
            </a:ext>
          </a:extLst>
        </xdr:cNvPr>
        <xdr:cNvPicPr>
          <a:picLocks noChangeAspect="1"/>
        </xdr:cNvPicPr>
      </xdr:nvPicPr>
      <xdr:blipFill>
        <a:blip xmlns:r="http://schemas.openxmlformats.org/officeDocument/2006/relationships" r:embed="rId1"/>
        <a:stretch>
          <a:fillRect/>
        </a:stretch>
      </xdr:blipFill>
      <xdr:spPr>
        <a:xfrm>
          <a:off x="13938101" y="0"/>
          <a:ext cx="512445" cy="40909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299B550F-93CC-4D99-8CBC-F32434CB18ED}"/>
            </a:ext>
          </a:extLst>
        </xdr:cNvPr>
        <xdr:cNvPicPr>
          <a:picLocks noChangeAspect="1"/>
        </xdr:cNvPicPr>
      </xdr:nvPicPr>
      <xdr:blipFill>
        <a:blip xmlns:r="http://schemas.openxmlformats.org/officeDocument/2006/relationships" r:embed="rId1"/>
        <a:stretch>
          <a:fillRect/>
        </a:stretch>
      </xdr:blipFill>
      <xdr:spPr>
        <a:xfrm>
          <a:off x="13938101" y="0"/>
          <a:ext cx="512445" cy="40909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744071</xdr:colOff>
      <xdr:row>1</xdr:row>
      <xdr:rowOff>228119</xdr:rowOff>
    </xdr:to>
    <xdr:pic>
      <xdr:nvPicPr>
        <xdr:cNvPr id="2" name="Picture 1">
          <a:extLst>
            <a:ext uri="{FF2B5EF4-FFF2-40B4-BE49-F238E27FC236}">
              <a16:creationId xmlns:a16="http://schemas.microsoft.com/office/drawing/2014/main" id="{E6798B32-8837-4549-8C43-0F56FEEA167F}"/>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41</xdr:col>
      <xdr:colOff>200841</xdr:colOff>
      <xdr:row>0</xdr:row>
      <xdr:rowOff>0</xdr:rowOff>
    </xdr:from>
    <xdr:to>
      <xdr:col>41</xdr:col>
      <xdr:colOff>767747</xdr:colOff>
      <xdr:row>1</xdr:row>
      <xdr:rowOff>358040</xdr:rowOff>
    </xdr:to>
    <xdr:pic>
      <xdr:nvPicPr>
        <xdr:cNvPr id="2" name="Picture 1">
          <a:extLst>
            <a:ext uri="{FF2B5EF4-FFF2-40B4-BE49-F238E27FC236}">
              <a16:creationId xmlns:a16="http://schemas.microsoft.com/office/drawing/2014/main" id="{DF0A57E3-DEBE-46BE-BE3D-71AE7647A317}"/>
            </a:ext>
          </a:extLst>
        </xdr:cNvPr>
        <xdr:cNvPicPr>
          <a:picLocks noChangeAspect="1"/>
        </xdr:cNvPicPr>
      </xdr:nvPicPr>
      <xdr:blipFill>
        <a:blip xmlns:r="http://schemas.openxmlformats.org/officeDocument/2006/relationships" r:embed="rId1"/>
        <a:stretch>
          <a:fillRect/>
        </a:stretch>
      </xdr:blipFill>
      <xdr:spPr>
        <a:xfrm>
          <a:off x="29696591" y="0"/>
          <a:ext cx="566906" cy="54219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744071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744071</xdr:colOff>
      <xdr:row>1</xdr:row>
      <xdr:rowOff>228119</xdr:rowOff>
    </xdr:to>
    <xdr:pic>
      <xdr:nvPicPr>
        <xdr:cNvPr id="3" name="Picture 2">
          <a:extLst>
            <a:ext uri="{FF2B5EF4-FFF2-40B4-BE49-F238E27FC236}">
              <a16:creationId xmlns:a16="http://schemas.microsoft.com/office/drawing/2014/main" id="{8BE1E6AD-39D6-4C85-A812-725FC92567D3}"/>
            </a:ext>
          </a:extLst>
        </xdr:cNvPr>
        <xdr:cNvPicPr>
          <a:picLocks noChangeAspect="1"/>
        </xdr:cNvPicPr>
      </xdr:nvPicPr>
      <xdr:blipFill>
        <a:blip xmlns:r="http://schemas.openxmlformats.org/officeDocument/2006/relationships" r:embed="rId1"/>
        <a:stretch>
          <a:fillRect/>
        </a:stretch>
      </xdr:blipFill>
      <xdr:spPr>
        <a:xfrm>
          <a:off x="14048479" y="0"/>
          <a:ext cx="508635" cy="407413"/>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7B2CEB9A-E137-46BF-B0BC-EDB928B3CFB6}"/>
            </a:ext>
          </a:extLst>
        </xdr:cNvPr>
        <xdr:cNvPicPr>
          <a:picLocks noChangeAspect="1"/>
        </xdr:cNvPicPr>
      </xdr:nvPicPr>
      <xdr:blipFill>
        <a:blip xmlns:r="http://schemas.openxmlformats.org/officeDocument/2006/relationships" r:embed="rId1"/>
        <a:stretch>
          <a:fillRect/>
        </a:stretch>
      </xdr:blipFill>
      <xdr:spPr>
        <a:xfrm>
          <a:off x="14356080" y="0"/>
          <a:ext cx="3810"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7A3880E-75D2-4801-9DCE-0E1DCC1DD855}"/>
            </a:ext>
          </a:extLst>
        </xdr:cNvPr>
        <xdr:cNvPicPr>
          <a:picLocks noChangeAspect="1"/>
        </xdr:cNvPicPr>
      </xdr:nvPicPr>
      <xdr:blipFill>
        <a:blip xmlns:r="http://schemas.openxmlformats.org/officeDocument/2006/relationships" r:embed="rId1"/>
        <a:stretch>
          <a:fillRect/>
        </a:stretch>
      </xdr:blipFill>
      <xdr:spPr>
        <a:xfrm>
          <a:off x="14321790" y="0"/>
          <a:ext cx="518160" cy="40909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320040</xdr:colOff>
      <xdr:row>2</xdr:row>
      <xdr:rowOff>94769</xdr:rowOff>
    </xdr:to>
    <xdr:pic>
      <xdr:nvPicPr>
        <xdr:cNvPr id="2" name="Picture 1">
          <a:extLst>
            <a:ext uri="{FF2B5EF4-FFF2-40B4-BE49-F238E27FC236}">
              <a16:creationId xmlns:a16="http://schemas.microsoft.com/office/drawing/2014/main" id="{472D5D7D-2A44-4D99-AD6A-286B4F374CD3}"/>
            </a:ext>
          </a:extLst>
        </xdr:cNvPr>
        <xdr:cNvPicPr>
          <a:picLocks noChangeAspect="1"/>
        </xdr:cNvPicPr>
      </xdr:nvPicPr>
      <xdr:blipFill>
        <a:blip xmlns:r="http://schemas.openxmlformats.org/officeDocument/2006/relationships" r:embed="rId1"/>
        <a:stretch>
          <a:fillRect/>
        </a:stretch>
      </xdr:blipFill>
      <xdr:spPr>
        <a:xfrm>
          <a:off x="14356080" y="0"/>
          <a:ext cx="3810"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4B3CCA85-2C44-42CF-97D2-193366E26836}"/>
            </a:ext>
          </a:extLst>
        </xdr:cNvPr>
        <xdr:cNvPicPr>
          <a:picLocks noChangeAspect="1"/>
        </xdr:cNvPicPr>
      </xdr:nvPicPr>
      <xdr:blipFill>
        <a:blip xmlns:r="http://schemas.openxmlformats.org/officeDocument/2006/relationships" r:embed="rId1"/>
        <a:stretch>
          <a:fillRect/>
        </a:stretch>
      </xdr:blipFill>
      <xdr:spPr>
        <a:xfrm>
          <a:off x="14321790" y="0"/>
          <a:ext cx="518160" cy="40909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955E1A86-AB23-4764-B0D5-FE4AFD1C2ADA}"/>
            </a:ext>
          </a:extLst>
        </xdr:cNvPr>
        <xdr:cNvPicPr>
          <a:picLocks noChangeAspect="1"/>
        </xdr:cNvPicPr>
      </xdr:nvPicPr>
      <xdr:blipFill>
        <a:blip xmlns:r="http://schemas.openxmlformats.org/officeDocument/2006/relationships" r:embed="rId1"/>
        <a:stretch>
          <a:fillRect/>
        </a:stretch>
      </xdr:blipFill>
      <xdr:spPr>
        <a:xfrm>
          <a:off x="143579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942FC8B0-7980-4F83-81CF-4A3FD9DD73A4}"/>
            </a:ext>
          </a:extLst>
        </xdr:cNvPr>
        <xdr:cNvPicPr>
          <a:picLocks noChangeAspect="1"/>
        </xdr:cNvPicPr>
      </xdr:nvPicPr>
      <xdr:blipFill>
        <a:blip xmlns:r="http://schemas.openxmlformats.org/officeDocument/2006/relationships" r:embed="rId1"/>
        <a:stretch>
          <a:fillRect/>
        </a:stretch>
      </xdr:blipFill>
      <xdr:spPr>
        <a:xfrm>
          <a:off x="14329410" y="0"/>
          <a:ext cx="514350" cy="410999"/>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320040</xdr:colOff>
      <xdr:row>2</xdr:row>
      <xdr:rowOff>94769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41</xdr:col>
      <xdr:colOff>200841</xdr:colOff>
      <xdr:row>0</xdr:row>
      <xdr:rowOff>0</xdr:rowOff>
    </xdr:from>
    <xdr:to>
      <xdr:col>41</xdr:col>
      <xdr:colOff>767747</xdr:colOff>
      <xdr:row>1</xdr:row>
      <xdr:rowOff>358040</xdr:rowOff>
    </xdr:to>
    <xdr:pic>
      <xdr:nvPicPr>
        <xdr:cNvPr id="2" name="Picture 1">
          <a:extLst>
            <a:ext uri="{FF2B5EF4-FFF2-40B4-BE49-F238E27FC236}">
              <a16:creationId xmlns:a16="http://schemas.microsoft.com/office/drawing/2014/main" id="{9B961885-9A8E-483D-8BD2-40585CC3F672}"/>
            </a:ext>
          </a:extLst>
        </xdr:cNvPr>
        <xdr:cNvPicPr>
          <a:picLocks noChangeAspect="1"/>
        </xdr:cNvPicPr>
      </xdr:nvPicPr>
      <xdr:blipFill>
        <a:blip xmlns:r="http://schemas.openxmlformats.org/officeDocument/2006/relationships" r:embed="rId1"/>
        <a:stretch>
          <a:fillRect/>
        </a:stretch>
      </xdr:blipFill>
      <xdr:spPr>
        <a:xfrm>
          <a:off x="29696591" y="0"/>
          <a:ext cx="566906" cy="54219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19050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41</xdr:col>
      <xdr:colOff>200841</xdr:colOff>
      <xdr:row>0</xdr:row>
      <xdr:rowOff>0</xdr:rowOff>
    </xdr:from>
    <xdr:to>
      <xdr:col>41</xdr:col>
      <xdr:colOff>767747</xdr:colOff>
      <xdr:row>1</xdr:row>
      <xdr:rowOff>358040</xdr:rowOff>
    </xdr:to>
    <xdr:pic>
      <xdr:nvPicPr>
        <xdr:cNvPr id="2" name="Picture 1">
          <a:extLst>
            <a:ext uri="{FF2B5EF4-FFF2-40B4-BE49-F238E27FC236}">
              <a16:creationId xmlns:a16="http://schemas.microsoft.com/office/drawing/2014/main" id="{992BF501-3547-46E7-AD6E-78F67EEB6D97}"/>
            </a:ext>
          </a:extLst>
        </xdr:cNvPr>
        <xdr:cNvPicPr>
          <a:picLocks noChangeAspect="1"/>
        </xdr:cNvPicPr>
      </xdr:nvPicPr>
      <xdr:blipFill>
        <a:blip xmlns:r="http://schemas.openxmlformats.org/officeDocument/2006/relationships" r:embed="rId1"/>
        <a:stretch>
          <a:fillRect/>
        </a:stretch>
      </xdr:blipFill>
      <xdr:spPr>
        <a:xfrm>
          <a:off x="28801241" y="0"/>
          <a:ext cx="566906" cy="5421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41</xdr:col>
      <xdr:colOff>200841</xdr:colOff>
      <xdr:row>0</xdr:row>
      <xdr:rowOff>0</xdr:rowOff>
    </xdr:from>
    <xdr:to>
      <xdr:col>41</xdr:col>
      <xdr:colOff>767747</xdr:colOff>
      <xdr:row>1</xdr:row>
      <xdr:rowOff>358040</xdr:rowOff>
    </xdr:to>
    <xdr:pic>
      <xdr:nvPicPr>
        <xdr:cNvPr id="2" name="Picture 1">
          <a:extLst>
            <a:ext uri="{FF2B5EF4-FFF2-40B4-BE49-F238E27FC236}">
              <a16:creationId xmlns:a16="http://schemas.microsoft.com/office/drawing/2014/main" id="{1EF42856-132F-4B38-9B08-579D62E049A5}"/>
            </a:ext>
          </a:extLst>
        </xdr:cNvPr>
        <xdr:cNvPicPr>
          <a:picLocks noChangeAspect="1"/>
        </xdr:cNvPicPr>
      </xdr:nvPicPr>
      <xdr:blipFill>
        <a:blip xmlns:r="http://schemas.openxmlformats.org/officeDocument/2006/relationships" r:embed="rId1"/>
        <a:stretch>
          <a:fillRect/>
        </a:stretch>
      </xdr:blipFill>
      <xdr:spPr>
        <a:xfrm>
          <a:off x="25188091" y="0"/>
          <a:ext cx="566906" cy="5421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EC4D0865-9D4A-488C-B58C-0F300E76C706}"/>
            </a:ext>
          </a:extLst>
        </xdr:cNvPr>
        <xdr:cNvPicPr>
          <a:picLocks noChangeAspect="1"/>
        </xdr:cNvPicPr>
      </xdr:nvPicPr>
      <xdr:blipFill>
        <a:blip xmlns:r="http://schemas.openxmlformats.org/officeDocument/2006/relationships" r:embed="rId1"/>
        <a:stretch>
          <a:fillRect/>
        </a:stretch>
      </xdr:blipFill>
      <xdr:spPr>
        <a:xfrm>
          <a:off x="25188091" y="0"/>
          <a:ext cx="566906" cy="5421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rmak Kirilmaz" id="{F0C96493-9F20-4B79-AE3E-4D3502E9F7A6}" userId="S::gph_irmakk@globalportsholding.com::08524e7c-7be5-40a2-9e80-8d2835353686" providerId="AD"/>
</personList>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8" dT="2023-04-12T08:22:06.97" personId="{F0C96493-9F20-4B79-AE3E-4D3502E9F7A6}" id="{EB20F34A-B1CA-4390-9F24-C60481D66B6C}">
    <text>Las Palmas and Alicante is included</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3.xml"/><Relationship Id="rId4" Type="http://schemas.microsoft.com/office/2017/10/relationships/threadedComment" Target="../threadedComments/threadedComment1.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pageSetUpPr fitToPage="1"/>
  </sheetPr>
  <dimension ref="A1:Q43"/>
  <sheetViews>
    <sheetView showGridLines="0" showRowColHeaders="0" zoomScale="85" zoomScaleNormal="85" workbookViewId="0">
      <selection activeCell="I7" sqref="I7"/>
    </sheetView>
  </sheetViews>
  <sheetFormatPr defaultColWidth="0" defaultRowHeight="0" customHeight="1" zeroHeight="1"/>
  <cols>
    <col min="1" max="2" width="2.5703125" style="2" customWidth="1"/>
    <col min="3" max="3" width="9.140625" style="2" customWidth="1"/>
    <col min="4" max="4" width="10.5703125" style="2" bestFit="1" customWidth="1"/>
    <col min="5" max="8" width="9.140625" style="2" customWidth="1"/>
    <col min="9" max="9" width="14.140625" style="2" customWidth="1"/>
    <col min="10" max="10" width="5" style="2" customWidth="1"/>
    <col min="11" max="11" width="9.140625" style="2" customWidth="1"/>
    <col min="12" max="12" width="4.85546875" style="2" customWidth="1"/>
    <col min="13" max="16" width="9.140625" style="2" hidden="1" customWidth="1"/>
    <col min="17" max="17" width="3.5703125" style="2" hidden="1" customWidth="1"/>
    <col min="18" max="16384" width="10.140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121">
        <v>46154</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75" hidden="1" customHeight="1"/>
    <row r="39" ht="12.75" hidden="1" customHeight="1"/>
    <row r="40" ht="12.75" hidden="1" customHeight="1"/>
    <row r="41" ht="12.75" hidden="1" customHeight="1"/>
    <row r="42" ht="12.75" hidden="1" customHeight="1"/>
    <row r="43" ht="12.75" hidden="1" customHeight="1"/>
  </sheetData>
  <customSheetViews>
    <customSheetView guid="{5F6D01E3-9E6F-4D7F-980F-63899AF95899}" scale="85" showGridLines="0" showRowCol="0" fitToPage="1" hiddenRows="1" hiddenColumns="1">
      <pageMargins left="0.7" right="0.7" top="0.75" bottom="0.75" header="0.3" footer="0.3"/>
      <pageSetup paperSize="9" orientation="landscape" r:id="rId1"/>
    </customSheetView>
  </customSheetView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72C2-022B-4A16-82CD-DFFF9A343571}">
  <dimension ref="A1:AN66"/>
  <sheetViews>
    <sheetView showGridLines="0" topLeftCell="R8" zoomScale="85" zoomScaleNormal="85" workbookViewId="0">
      <selection activeCell="S27" sqref="S2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9.14062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40" width="0" hidden="1" customWidth="1"/>
    <col min="41"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Occupancy_2026!AY3</f>
        <v>46154</v>
      </c>
      <c r="AL3" s="25"/>
      <c r="AM3" s="9"/>
    </row>
    <row r="4" spans="1:39" ht="15.75">
      <c r="A4" s="9"/>
      <c r="B4" s="11" t="s">
        <v>7</v>
      </c>
      <c r="C4" s="26"/>
      <c r="D4" s="93" t="s">
        <v>31</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December</v>
      </c>
      <c r="G9" s="167"/>
      <c r="H9" s="167"/>
      <c r="I9" s="167"/>
      <c r="J9" s="167"/>
      <c r="K9" s="167"/>
      <c r="L9" s="167"/>
      <c r="M9" s="167"/>
      <c r="N9" s="167"/>
      <c r="O9" s="167"/>
      <c r="P9" s="167"/>
      <c r="Q9" s="167"/>
      <c r="R9" s="168"/>
      <c r="S9" s="169" t="str">
        <f xml:space="preserve"> "January to "&amp; F9</f>
        <v>January to December</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432</v>
      </c>
      <c r="G13" s="71">
        <v>390</v>
      </c>
      <c r="H13" s="73">
        <v>229</v>
      </c>
      <c r="I13" s="73">
        <v>191</v>
      </c>
      <c r="J13" s="73">
        <v>172</v>
      </c>
      <c r="K13" s="73">
        <v>0</v>
      </c>
      <c r="L13" s="73">
        <v>200</v>
      </c>
      <c r="M13" s="64">
        <f>IFERROR(F13/G13-1,"n/a")</f>
        <v>0.10769230769230775</v>
      </c>
      <c r="N13" s="64">
        <f>IFERROR(F13/H13-1,"n/a")</f>
        <v>0.88646288209606983</v>
      </c>
      <c r="O13" s="64">
        <f>IFERROR(F13/I13-1,"n/a")</f>
        <v>1.261780104712042</v>
      </c>
      <c r="P13" s="64">
        <f>IFERROR(F13/J13-1,"n/a")</f>
        <v>1.5116279069767442</v>
      </c>
      <c r="Q13" s="64" t="str">
        <f>IFERROR(F13/K13-1,"n/a")</f>
        <v>n/a</v>
      </c>
      <c r="R13" s="60">
        <f>IFERROR(F13/L13-1,"n/a")</f>
        <v>1.1600000000000001</v>
      </c>
      <c r="S13" s="68">
        <f>'Nov-25'!S13+F13</f>
        <v>2981</v>
      </c>
      <c r="T13" s="68">
        <f>'Nov-25'!T13+G13</f>
        <v>2483</v>
      </c>
      <c r="U13" s="68">
        <f>'Nov-25'!U13+H13</f>
        <v>1630</v>
      </c>
      <c r="V13" s="68">
        <f>'Nov-25'!V13+I13</f>
        <v>1486</v>
      </c>
      <c r="W13" s="68">
        <f>'Nov-25'!W13+J13+7</f>
        <v>522</v>
      </c>
      <c r="X13" s="68">
        <f>'Nov-25'!X13+K13</f>
        <v>551</v>
      </c>
      <c r="Y13" s="68">
        <f>'Nov-25'!Y13+L13+7</f>
        <v>1591</v>
      </c>
      <c r="Z13" s="64">
        <f>IFERROR(S13/T13-1,"n/a")</f>
        <v>0.20056383407168754</v>
      </c>
      <c r="AA13" s="64">
        <f>IFERROR(S13/U13-1,"n/a")</f>
        <v>0.82883435582822096</v>
      </c>
      <c r="AB13" s="64">
        <f>IFERROR(S13/V13-1,"n/a")</f>
        <v>1.006056527590848</v>
      </c>
      <c r="AC13" s="64">
        <f>IFERROR(S13/W13-1,"n/a")</f>
        <v>4.7107279693486586</v>
      </c>
      <c r="AD13" s="64">
        <f>IFERROR(S13/X13-1,"n/a")</f>
        <v>4.4101633393829403</v>
      </c>
      <c r="AE13" s="60">
        <f>IFERROR(S13/Y13-1,"n/a")</f>
        <v>0.87366436203645503</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1233239</v>
      </c>
      <c r="G14" s="71">
        <v>1045081</v>
      </c>
      <c r="H14" s="73">
        <v>666281</v>
      </c>
      <c r="I14" s="73">
        <v>518319</v>
      </c>
      <c r="J14" s="73">
        <v>253217</v>
      </c>
      <c r="K14" s="73">
        <v>0</v>
      </c>
      <c r="L14" s="73">
        <v>506611</v>
      </c>
      <c r="M14" s="64">
        <f>IFERROR(F14/G14-1,"n/a")</f>
        <v>0.18004154701884345</v>
      </c>
      <c r="N14" s="64">
        <f>IFERROR(F14/H14-1,"n/a")</f>
        <v>0.85092926257840151</v>
      </c>
      <c r="O14" s="64">
        <f>IFERROR(F14/I14-1,"n/a")</f>
        <v>1.379305022582618</v>
      </c>
      <c r="P14" s="64">
        <f>IFERROR(F14/J14-1,"n/a")</f>
        <v>3.8702851704269463</v>
      </c>
      <c r="Q14" s="64" t="str">
        <f>IFERROR(F14/K14-1,"n/a")</f>
        <v>n/a</v>
      </c>
      <c r="R14" s="60">
        <f>IFERROR(F14/L14-1,"n/a")</f>
        <v>1.4342917939010404</v>
      </c>
      <c r="S14" s="68">
        <f>'Nov-25'!S14+F14</f>
        <v>9308800</v>
      </c>
      <c r="T14" s="68">
        <f>'Nov-25'!T14+G14</f>
        <v>8019489</v>
      </c>
      <c r="U14" s="68">
        <f>'Nov-25'!U14+H14</f>
        <v>5232537</v>
      </c>
      <c r="V14" s="68">
        <f>'Nov-25'!V14+I14</f>
        <v>3592413</v>
      </c>
      <c r="W14" s="68">
        <f>'Nov-25'!W14+J14+5111</f>
        <v>768312</v>
      </c>
      <c r="X14" s="68">
        <f>'Nov-25'!X14+K14</f>
        <v>1092884</v>
      </c>
      <c r="Y14" s="68">
        <f>'Nov-25'!Y14+L14+21403</f>
        <v>4592479</v>
      </c>
      <c r="Z14" s="64">
        <f>IFERROR(S14/T14-1,"n/a")</f>
        <v>0.16077221379067907</v>
      </c>
      <c r="AA14" s="64">
        <f>IFERROR(S14/U14-1,"n/a")</f>
        <v>0.77902229836119652</v>
      </c>
      <c r="AB14" s="64">
        <f>IFERROR(S14/V14-1,"n/a")</f>
        <v>1.5912388135773923</v>
      </c>
      <c r="AC14" s="64">
        <f>IFERROR(S14/W14-1,"n/a")</f>
        <v>11.115911244390301</v>
      </c>
      <c r="AD14" s="64">
        <f>IFERROR(S14/X14-1,"n/a")</f>
        <v>7.5176468865863164</v>
      </c>
      <c r="AE14" s="60">
        <f>IFERROR(S14/Y14-1,"n/a")</f>
        <v>1.0269662637542818</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25</v>
      </c>
      <c r="G16" s="71">
        <v>17</v>
      </c>
      <c r="H16" s="73">
        <v>12</v>
      </c>
      <c r="I16" s="73">
        <v>6</v>
      </c>
      <c r="J16" s="73">
        <v>7</v>
      </c>
      <c r="K16" s="73">
        <v>6</v>
      </c>
      <c r="L16" s="73">
        <v>47</v>
      </c>
      <c r="M16" s="64">
        <f t="shared" ref="M16:M17" si="0">IFERROR(F16/G16-1,"n/a")</f>
        <v>0.47058823529411775</v>
      </c>
      <c r="N16" s="64">
        <f t="shared" ref="N16:N17" si="1">IFERROR(F16/H16-1,"n/a")</f>
        <v>1.0833333333333335</v>
      </c>
      <c r="O16" s="64">
        <f t="shared" ref="O16:O17" si="2">IFERROR(F16/I16-1,"n/a")</f>
        <v>3.166666666666667</v>
      </c>
      <c r="P16" s="64">
        <f t="shared" ref="P16:P17" si="3">IFERROR(F16/J16-1,"n/a")</f>
        <v>2.5714285714285716</v>
      </c>
      <c r="Q16" s="64">
        <f t="shared" ref="Q16:Q17" si="4">IFERROR(F16/K16-1,"n/a")</f>
        <v>3.166666666666667</v>
      </c>
      <c r="R16" s="60">
        <f t="shared" ref="R16:R17" si="5">IFERROR(F16/L16-1,"n/a")</f>
        <v>-0.46808510638297873</v>
      </c>
      <c r="S16" s="68">
        <f>'Nov-25'!S16+F16</f>
        <v>1003</v>
      </c>
      <c r="T16" s="68">
        <f>'Nov-25'!T16+G16</f>
        <v>797</v>
      </c>
      <c r="U16" s="68">
        <f>'Nov-25'!U16+H16+1</f>
        <v>575</v>
      </c>
      <c r="V16" s="68">
        <f>'Nov-25'!V16+I16</f>
        <v>573</v>
      </c>
      <c r="W16" s="68">
        <f>'Nov-25'!W16+J16-2</f>
        <v>202</v>
      </c>
      <c r="X16" s="68">
        <f>'Nov-25'!X16+K16</f>
        <v>54</v>
      </c>
      <c r="Y16" s="68">
        <f>'Nov-25'!Y16+L16-7</f>
        <v>586</v>
      </c>
      <c r="Z16" s="64">
        <f t="shared" ref="Z16:Z17" si="6">IFERROR(S16/T16-1,"n/a")</f>
        <v>0.25846925972396484</v>
      </c>
      <c r="AA16" s="64">
        <f t="shared" ref="AA16:AA17" si="7">IFERROR(S16/U16-1,"n/a")</f>
        <v>0.74434782608695649</v>
      </c>
      <c r="AB16" s="64">
        <f t="shared" ref="AB16:AB17" si="8">IFERROR(S16/V16-1,"n/a")</f>
        <v>0.75043630017452001</v>
      </c>
      <c r="AC16" s="64">
        <f t="shared" ref="AC16:AC17" si="9">IFERROR(S16/W16-1,"n/a")</f>
        <v>3.9653465346534658</v>
      </c>
      <c r="AD16" s="64">
        <f t="shared" ref="AD16:AD17" si="10">IFERROR(S16/X16-1,"n/a")</f>
        <v>17.574074074074073</v>
      </c>
      <c r="AE16" s="60">
        <f t="shared" ref="AE16:AE17" si="11">IFERROR(S16/Y16-1,"n/a")</f>
        <v>0.71160409556313997</v>
      </c>
      <c r="AF16" s="68">
        <v>797</v>
      </c>
      <c r="AG16" s="68">
        <v>575</v>
      </c>
      <c r="AH16" s="68">
        <v>572</v>
      </c>
      <c r="AI16" s="68">
        <v>202</v>
      </c>
      <c r="AJ16" s="68">
        <v>54</v>
      </c>
      <c r="AK16" s="134">
        <v>586</v>
      </c>
      <c r="AL16" s="122"/>
      <c r="AM16" s="122"/>
    </row>
    <row r="17" spans="1:39" s="123" customFormat="1" ht="12.75">
      <c r="A17" s="122"/>
      <c r="B17" s="127"/>
      <c r="C17" s="33"/>
      <c r="D17" s="26" t="s">
        <v>11</v>
      </c>
      <c r="E17" s="32"/>
      <c r="F17" s="71">
        <v>59363</v>
      </c>
      <c r="G17" s="71">
        <v>37402</v>
      </c>
      <c r="H17" s="73">
        <v>30889</v>
      </c>
      <c r="I17" s="73">
        <v>22360</v>
      </c>
      <c r="J17" s="73">
        <v>13748</v>
      </c>
      <c r="K17" s="73">
        <v>2141</v>
      </c>
      <c r="L17" s="73">
        <v>55736</v>
      </c>
      <c r="M17" s="64">
        <f t="shared" si="0"/>
        <v>0.58716111437891017</v>
      </c>
      <c r="N17" s="64">
        <f t="shared" si="1"/>
        <v>0.92181682799702158</v>
      </c>
      <c r="O17" s="64">
        <f t="shared" si="2"/>
        <v>1.6548747763864045</v>
      </c>
      <c r="P17" s="64">
        <f t="shared" si="3"/>
        <v>3.3179371544951994</v>
      </c>
      <c r="Q17" s="64">
        <f t="shared" si="4"/>
        <v>26.7267631947688</v>
      </c>
      <c r="R17" s="60">
        <f t="shared" si="5"/>
        <v>6.5074637577149375E-2</v>
      </c>
      <c r="S17" s="68">
        <f>'Nov-25'!S17+F17-578</f>
        <v>2427136</v>
      </c>
      <c r="T17" s="68">
        <f>'Nov-25'!T17+G17</f>
        <v>2060976</v>
      </c>
      <c r="U17" s="68">
        <f>'Nov-25'!U17+H17-2128</f>
        <v>1660685</v>
      </c>
      <c r="V17" s="68">
        <f>'Nov-25'!V17+I17</f>
        <v>969900</v>
      </c>
      <c r="W17" s="68">
        <f>'Nov-25'!W17+J17-1014</f>
        <v>301521</v>
      </c>
      <c r="X17" s="68">
        <f>'Nov-25'!X17+K17</f>
        <v>70675</v>
      </c>
      <c r="Y17" s="68">
        <f>'Nov-25'!Y17+L17+2399</f>
        <v>1400932</v>
      </c>
      <c r="Z17" s="64">
        <f t="shared" si="6"/>
        <v>0.17766339831225597</v>
      </c>
      <c r="AA17" s="64">
        <f t="shared" si="7"/>
        <v>0.46152702047649008</v>
      </c>
      <c r="AB17" s="64">
        <f t="shared" si="8"/>
        <v>1.50246004742757</v>
      </c>
      <c r="AC17" s="64">
        <f t="shared" si="9"/>
        <v>7.0496416501669863</v>
      </c>
      <c r="AD17" s="64">
        <f t="shared" si="10"/>
        <v>33.342214361513975</v>
      </c>
      <c r="AE17" s="60">
        <f t="shared" si="11"/>
        <v>0.73251521130219022</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6</v>
      </c>
      <c r="G19" s="71">
        <v>6</v>
      </c>
      <c r="H19" s="73">
        <v>8</v>
      </c>
      <c r="I19" s="73">
        <v>9</v>
      </c>
      <c r="J19" s="73">
        <v>3</v>
      </c>
      <c r="K19" s="73">
        <v>0</v>
      </c>
      <c r="L19" s="73">
        <v>10</v>
      </c>
      <c r="M19" s="64">
        <f t="shared" ref="M19:M20" si="12">IFERROR(F19/G19-1,"n/a")</f>
        <v>0</v>
      </c>
      <c r="N19" s="64">
        <f t="shared" ref="N19:N20" si="13">IFERROR(F19/H19-1,"n/a")</f>
        <v>-0.25</v>
      </c>
      <c r="O19" s="64">
        <f t="shared" ref="O19:O20" si="14">IFERROR(F19/I19-1,"n/a")</f>
        <v>-0.33333333333333337</v>
      </c>
      <c r="P19" s="64">
        <f t="shared" ref="P19:P20" si="15">IFERROR(F19/J19-1,"n/a")</f>
        <v>1</v>
      </c>
      <c r="Q19" s="64" t="str">
        <f t="shared" ref="Q19:Q20" si="16">IFERROR(F19/K19-1,"n/a")</f>
        <v>n/a</v>
      </c>
      <c r="R19" s="60">
        <f t="shared" ref="R19:R20" si="17">IFERROR(F19/L19-1,"n/a")</f>
        <v>-0.4</v>
      </c>
      <c r="S19" s="68">
        <f>'Nov-25'!S19+F19</f>
        <v>860</v>
      </c>
      <c r="T19" s="68">
        <f>'Nov-25'!T19+G19</f>
        <v>733</v>
      </c>
      <c r="U19" s="68">
        <f>'Nov-25'!U19+H19</f>
        <v>708</v>
      </c>
      <c r="V19" s="68">
        <f>'Nov-25'!V19+I19</f>
        <v>658</v>
      </c>
      <c r="W19" s="68">
        <f>'Nov-25'!W19+J19</f>
        <v>47</v>
      </c>
      <c r="X19" s="68">
        <f>'Nov-25'!X19+K19-1</f>
        <v>9</v>
      </c>
      <c r="Y19" s="68">
        <f>'Nov-25'!Y19+L19</f>
        <v>290</v>
      </c>
      <c r="Z19" s="64">
        <f t="shared" ref="Z19:Z20" si="18">IFERROR(S19/T19-1,"n/a")</f>
        <v>0.17326057298772168</v>
      </c>
      <c r="AA19" s="64">
        <f t="shared" ref="AA19:AA20" si="19">IFERROR(S19/U19-1,"n/a")</f>
        <v>0.21468926553672318</v>
      </c>
      <c r="AB19" s="64">
        <f t="shared" ref="AB19:AB20" si="20">IFERROR(S19/V19-1,"n/a")</f>
        <v>0.30699088145896658</v>
      </c>
      <c r="AC19" s="64">
        <f t="shared" ref="AC19:AC20" si="21">IFERROR(S19/W19-1,"n/a")</f>
        <v>17.297872340425531</v>
      </c>
      <c r="AD19" s="64">
        <f t="shared" ref="AD19:AD20" si="22">IFERROR(S19/X19-1,"n/a")</f>
        <v>94.555555555555557</v>
      </c>
      <c r="AE19" s="60">
        <f t="shared" ref="AE19:AE20" si="23">IFERROR(S19/Y19-1,"n/a")</f>
        <v>1.9655172413793105</v>
      </c>
      <c r="AF19" s="68">
        <v>733</v>
      </c>
      <c r="AG19" s="68">
        <v>708</v>
      </c>
      <c r="AH19" s="68">
        <v>658</v>
      </c>
      <c r="AI19" s="68">
        <v>47</v>
      </c>
      <c r="AJ19" s="68">
        <v>9</v>
      </c>
      <c r="AK19" s="134">
        <v>290</v>
      </c>
      <c r="AL19" s="122"/>
      <c r="AM19" s="122"/>
    </row>
    <row r="20" spans="1:39" s="123" customFormat="1" ht="12.75">
      <c r="A20" s="122"/>
      <c r="B20" s="127"/>
      <c r="C20" s="33"/>
      <c r="D20" s="26" t="s">
        <v>11</v>
      </c>
      <c r="E20" s="32"/>
      <c r="F20" s="71">
        <v>9495</v>
      </c>
      <c r="G20" s="71">
        <v>8208</v>
      </c>
      <c r="H20" s="73">
        <v>7403</v>
      </c>
      <c r="I20" s="73">
        <v>6763</v>
      </c>
      <c r="J20" s="73">
        <v>864</v>
      </c>
      <c r="K20" s="73">
        <v>0</v>
      </c>
      <c r="L20" s="73">
        <v>10787</v>
      </c>
      <c r="M20" s="64">
        <f t="shared" si="12"/>
        <v>0.1567982456140351</v>
      </c>
      <c r="N20" s="64">
        <f t="shared" si="13"/>
        <v>0.28258813994326615</v>
      </c>
      <c r="O20" s="64">
        <f t="shared" si="14"/>
        <v>0.40396273842969088</v>
      </c>
      <c r="P20" s="64">
        <f t="shared" si="15"/>
        <v>9.9895833333333339</v>
      </c>
      <c r="Q20" s="64" t="str">
        <f t="shared" si="16"/>
        <v>n/a</v>
      </c>
      <c r="R20" s="60">
        <f t="shared" si="17"/>
        <v>-0.11977380179846109</v>
      </c>
      <c r="S20" s="68">
        <f>'Nov-25'!S20+F20</f>
        <v>1728606</v>
      </c>
      <c r="T20" s="68">
        <f>'Nov-25'!T20+G20</f>
        <v>1496271.4</v>
      </c>
      <c r="U20" s="68">
        <f>'Nov-25'!U20+H20</f>
        <v>1277526</v>
      </c>
      <c r="V20" s="68">
        <f>'Nov-25'!V20+I20</f>
        <v>887495</v>
      </c>
      <c r="W20" s="68">
        <f>'Nov-25'!W20+J20</f>
        <v>17541</v>
      </c>
      <c r="X20" s="68">
        <f>'Nov-25'!X20+K20</f>
        <v>10047</v>
      </c>
      <c r="Y20" s="68">
        <f>'Nov-25'!Y20+L20</f>
        <v>585930</v>
      </c>
      <c r="Z20" s="64">
        <f t="shared" si="18"/>
        <v>0.15527570733491269</v>
      </c>
      <c r="AA20" s="64">
        <f t="shared" si="19"/>
        <v>0.35308870426120476</v>
      </c>
      <c r="AB20" s="64">
        <f t="shared" si="20"/>
        <v>0.94773604358334418</v>
      </c>
      <c r="AC20" s="64">
        <f t="shared" si="21"/>
        <v>97.546605096630756</v>
      </c>
      <c r="AD20" s="64">
        <f t="shared" si="22"/>
        <v>171.05195580770379</v>
      </c>
      <c r="AE20" s="60">
        <f t="shared" si="23"/>
        <v>1.9501920024576314</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185</v>
      </c>
      <c r="G22" s="71">
        <v>177</v>
      </c>
      <c r="H22" s="73">
        <v>128</v>
      </c>
      <c r="I22" s="73">
        <v>67</v>
      </c>
      <c r="J22" s="73">
        <v>25</v>
      </c>
      <c r="K22" s="73">
        <v>0</v>
      </c>
      <c r="L22" s="73">
        <v>20</v>
      </c>
      <c r="M22" s="64">
        <f t="shared" ref="M22:M23" si="24">IFERROR(F22/G22-1,"n/a")</f>
        <v>4.5197740112994378E-2</v>
      </c>
      <c r="N22" s="64">
        <f t="shared" ref="N22:N23" si="25">IFERROR(F22/H22-1,"n/a")</f>
        <v>0.4453125</v>
      </c>
      <c r="O22" s="64">
        <f t="shared" ref="O22:O23" si="26">IFERROR(F22/I22-1,"n/a")</f>
        <v>1.7611940298507465</v>
      </c>
      <c r="P22" s="64">
        <f t="shared" ref="P22:P23" si="27">IFERROR(F22/J22-1,"n/a")</f>
        <v>6.4</v>
      </c>
      <c r="Q22" s="64" t="str">
        <f t="shared" ref="Q22:Q23" si="28">IFERROR(F22/K22-1,"n/a")</f>
        <v>n/a</v>
      </c>
      <c r="R22" s="60">
        <f t="shared" ref="R22:R23" si="29">IFERROR(F22/L22-1,"n/a")</f>
        <v>8.25</v>
      </c>
      <c r="S22" s="68">
        <f>'Nov-25'!S22+F22</f>
        <v>1736</v>
      </c>
      <c r="T22" s="68">
        <f>'Nov-25'!T22+G22</f>
        <v>1651</v>
      </c>
      <c r="U22" s="68">
        <f>'Nov-25'!U22+H22+1</f>
        <v>1500</v>
      </c>
      <c r="V22" s="68">
        <f>'Nov-25'!V22+I22</f>
        <v>894</v>
      </c>
      <c r="W22" s="68">
        <f>'Nov-25'!W22+J22</f>
        <v>283</v>
      </c>
      <c r="X22" s="68">
        <f>'Nov-25'!X22+K22</f>
        <v>43</v>
      </c>
      <c r="Y22" s="68">
        <f>'Nov-25'!Y22+L22</f>
        <v>827</v>
      </c>
      <c r="Z22" s="64">
        <f t="shared" ref="Z22:Z23" si="30">IFERROR(S22/T22-1,"n/a")</f>
        <v>5.1483949121744477E-2</v>
      </c>
      <c r="AA22" s="64">
        <f t="shared" ref="AA22:AA23" si="31">IFERROR(S22/U22-1,"n/a")</f>
        <v>0.15733333333333333</v>
      </c>
      <c r="AB22" s="64">
        <f t="shared" ref="AB22:AB23" si="32">IFERROR(S22/V22-1,"n/a")</f>
        <v>0.94183445190156601</v>
      </c>
      <c r="AC22" s="64">
        <f t="shared" ref="AC22:AC23" si="33">IFERROR(S22/W22-1,"n/a")</f>
        <v>5.1342756183745584</v>
      </c>
      <c r="AD22" s="64">
        <f t="shared" ref="AD22:AD23" si="34">IFERROR(S22/X22-1,"n/a")</f>
        <v>39.372093023255815</v>
      </c>
      <c r="AE22" s="60">
        <f t="shared" ref="AE22:AE23" si="35">IFERROR(S22/Y22-1,"n/a")</f>
        <v>1.0991535671100361</v>
      </c>
      <c r="AF22" s="68">
        <v>1651</v>
      </c>
      <c r="AG22" s="68">
        <v>1500</v>
      </c>
      <c r="AH22" s="68">
        <v>895</v>
      </c>
      <c r="AI22" s="68">
        <v>283</v>
      </c>
      <c r="AJ22" s="68">
        <v>43</v>
      </c>
      <c r="AK22" s="134">
        <v>827</v>
      </c>
      <c r="AL22" s="122"/>
      <c r="AM22" s="122"/>
    </row>
    <row r="23" spans="1:39" s="123" customFormat="1" ht="12.75">
      <c r="A23" s="122"/>
      <c r="B23" s="127"/>
      <c r="C23" s="33"/>
      <c r="D23" s="26" t="s">
        <v>11</v>
      </c>
      <c r="E23" s="32"/>
      <c r="F23" s="71">
        <v>459583</v>
      </c>
      <c r="G23" s="71">
        <v>483121</v>
      </c>
      <c r="H23" s="73">
        <v>383396</v>
      </c>
      <c r="I23" s="73">
        <v>215490</v>
      </c>
      <c r="J23" s="73">
        <v>39214</v>
      </c>
      <c r="K23" s="73">
        <v>0</v>
      </c>
      <c r="L23" s="73">
        <v>58943</v>
      </c>
      <c r="M23" s="64">
        <f t="shared" si="24"/>
        <v>-4.8720713858433018E-2</v>
      </c>
      <c r="N23" s="64">
        <f t="shared" si="25"/>
        <v>0.19871620987177741</v>
      </c>
      <c r="O23" s="64">
        <f t="shared" si="26"/>
        <v>1.1327346976657848</v>
      </c>
      <c r="P23" s="64">
        <f t="shared" si="27"/>
        <v>10.719870454429541</v>
      </c>
      <c r="Q23" s="64" t="str">
        <f t="shared" si="28"/>
        <v>n/a</v>
      </c>
      <c r="R23" s="60">
        <f t="shared" si="29"/>
        <v>6.7970751403898682</v>
      </c>
      <c r="S23" s="68">
        <f>'Nov-25'!S23+F23-9</f>
        <v>4526183</v>
      </c>
      <c r="T23" s="68">
        <f>'Nov-25'!T23+G23</f>
        <v>5046474</v>
      </c>
      <c r="U23" s="68">
        <f>'Nov-25'!U23+H23-8959</f>
        <v>4449177</v>
      </c>
      <c r="V23" s="68">
        <f>'Nov-25'!V23+I23</f>
        <v>2161224</v>
      </c>
      <c r="W23" s="68">
        <f>'Nov-25'!W23+J23</f>
        <v>465109</v>
      </c>
      <c r="X23" s="68">
        <f>'Nov-25'!X23+K23</f>
        <v>140552</v>
      </c>
      <c r="Y23" s="68">
        <f>'Nov-25'!Y23+L23</f>
        <v>2552942</v>
      </c>
      <c r="Z23" s="64">
        <f t="shared" si="30"/>
        <v>-0.10309990698455995</v>
      </c>
      <c r="AA23" s="64">
        <f t="shared" si="31"/>
        <v>1.7307920093985851E-2</v>
      </c>
      <c r="AB23" s="64">
        <f t="shared" si="32"/>
        <v>1.0942683405329574</v>
      </c>
      <c r="AC23" s="64">
        <f t="shared" si="33"/>
        <v>8.7314457471259423</v>
      </c>
      <c r="AD23" s="64">
        <f t="shared" si="34"/>
        <v>31.202907109112644</v>
      </c>
      <c r="AE23" s="60">
        <f t="shared" si="35"/>
        <v>0.77292825297245304</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c r="G25" s="71">
        <v>0</v>
      </c>
      <c r="H25" s="73">
        <v>0</v>
      </c>
      <c r="I25" s="73">
        <v>0</v>
      </c>
      <c r="J25" s="73">
        <v>0</v>
      </c>
      <c r="K25" s="73">
        <v>0</v>
      </c>
      <c r="L25" s="73">
        <v>0</v>
      </c>
      <c r="M25" s="64" t="str">
        <f t="shared" ref="M25:M28" si="36">IFERROR(F25/G25-1,"n/a")</f>
        <v>n/a</v>
      </c>
      <c r="N25" s="64" t="str">
        <f t="shared" ref="N25:N28" si="37">IFERROR(F25/H25-1,"n/a")</f>
        <v>n/a</v>
      </c>
      <c r="O25" s="64" t="str">
        <f t="shared" ref="O25:O28" si="38">IFERROR(F25/I25-1,"n/a")</f>
        <v>n/a</v>
      </c>
      <c r="P25" s="64" t="str">
        <f t="shared" ref="P25:P28" si="39">IFERROR(F25/J25-1,"n/a")</f>
        <v>n/a</v>
      </c>
      <c r="Q25" s="64" t="str">
        <f t="shared" ref="Q25:Q28" si="40">IFERROR(F25/K25-1,"n/a")</f>
        <v>n/a</v>
      </c>
      <c r="R25" s="60" t="str">
        <f t="shared" ref="R25:R28" si="41">IFERROR(F25/L25-1,"n/a")</f>
        <v>n/a</v>
      </c>
      <c r="S25" s="68">
        <f>'Nov-25'!S25+F25</f>
        <v>23</v>
      </c>
      <c r="T25" s="68">
        <f>'Nov-25'!T25+G25</f>
        <v>14</v>
      </c>
      <c r="U25" s="68">
        <f>'Nov-25'!U25+H25</f>
        <v>21</v>
      </c>
      <c r="V25" s="68">
        <f>'Nov-25'!V25+I25</f>
        <v>9</v>
      </c>
      <c r="W25" s="68">
        <f>'Nov-25'!W25+J25</f>
        <v>0</v>
      </c>
      <c r="X25" s="68">
        <f>'Nov-25'!X25+K25</f>
        <v>0</v>
      </c>
      <c r="Y25" s="68">
        <f>'Nov-25'!Y25+L25</f>
        <v>16</v>
      </c>
      <c r="Z25" s="64">
        <f t="shared" ref="Z25:Z28" si="42">IFERROR(S25/T25-1,"n/a")</f>
        <v>0.64285714285714279</v>
      </c>
      <c r="AA25" s="64">
        <f t="shared" ref="AA25:AA28" si="43">IFERROR(S25/U25-1,"n/a")</f>
        <v>9.5238095238095344E-2</v>
      </c>
      <c r="AB25" s="64">
        <f t="shared" ref="AB25:AB28" si="44">IFERROR(S25/V25-1,"n/a")</f>
        <v>1.5555555555555554</v>
      </c>
      <c r="AC25" s="64" t="str">
        <f t="shared" ref="AC25:AC28" si="45">IFERROR(S25/W25-1,"n/a")</f>
        <v>n/a</v>
      </c>
      <c r="AD25" s="64" t="str">
        <f t="shared" ref="AD25:AD28" si="46">IFERROR(S25/X25-1,"n/a")</f>
        <v>n/a</v>
      </c>
      <c r="AE25" s="60">
        <f t="shared" ref="AE25:AE28" si="47">IFERROR(S25/Y25-1,"n/a")</f>
        <v>0.4375</v>
      </c>
      <c r="AF25" s="68">
        <v>14</v>
      </c>
      <c r="AG25" s="68">
        <v>21</v>
      </c>
      <c r="AH25" s="68">
        <v>9</v>
      </c>
      <c r="AI25" s="68">
        <v>0</v>
      </c>
      <c r="AJ25" s="68">
        <v>0</v>
      </c>
      <c r="AK25" s="134">
        <v>16</v>
      </c>
      <c r="AL25" s="122"/>
      <c r="AM25" s="122"/>
    </row>
    <row r="26" spans="1:39" s="123" customFormat="1" ht="12.75">
      <c r="A26" s="122"/>
      <c r="B26" s="127"/>
      <c r="C26" s="33"/>
      <c r="D26" s="26" t="s">
        <v>11</v>
      </c>
      <c r="E26" s="32"/>
      <c r="F26" s="71"/>
      <c r="G26" s="71">
        <v>0</v>
      </c>
      <c r="H26" s="73">
        <v>0</v>
      </c>
      <c r="I26" s="73">
        <v>0</v>
      </c>
      <c r="J26" s="73">
        <v>0</v>
      </c>
      <c r="K26" s="73">
        <v>0</v>
      </c>
      <c r="L26" s="73">
        <v>0</v>
      </c>
      <c r="M26" s="64" t="str">
        <f t="shared" si="36"/>
        <v>n/a</v>
      </c>
      <c r="N26" s="64" t="str">
        <f t="shared" si="37"/>
        <v>n/a</v>
      </c>
      <c r="O26" s="64" t="str">
        <f t="shared" si="38"/>
        <v>n/a</v>
      </c>
      <c r="P26" s="64" t="str">
        <f t="shared" si="39"/>
        <v>n/a</v>
      </c>
      <c r="Q26" s="64" t="str">
        <f t="shared" si="40"/>
        <v>n/a</v>
      </c>
      <c r="R26" s="60" t="str">
        <f t="shared" si="41"/>
        <v>n/a</v>
      </c>
      <c r="S26" s="68">
        <f>'Nov-25'!S26+F26</f>
        <v>72837</v>
      </c>
      <c r="T26" s="68">
        <f>'Nov-25'!T26+G26</f>
        <v>47798</v>
      </c>
      <c r="U26" s="68">
        <f>'Nov-25'!U26+H26</f>
        <v>38626</v>
      </c>
      <c r="V26" s="68">
        <f>'Nov-25'!V26+I26</f>
        <v>15637</v>
      </c>
      <c r="W26" s="68">
        <f>'Nov-25'!W26+J26</f>
        <v>0</v>
      </c>
      <c r="X26" s="68">
        <f>'Nov-25'!X26+K26</f>
        <v>0</v>
      </c>
      <c r="Y26" s="68">
        <f>'Nov-25'!Y26+L26</f>
        <v>20248</v>
      </c>
      <c r="Z26" s="64">
        <f t="shared" si="42"/>
        <v>0.523850370308381</v>
      </c>
      <c r="AA26" s="64">
        <f t="shared" si="43"/>
        <v>0.88569875213586702</v>
      </c>
      <c r="AB26" s="64">
        <f t="shared" si="44"/>
        <v>3.6579906631706853</v>
      </c>
      <c r="AC26" s="64" t="str">
        <f t="shared" si="45"/>
        <v>n/a</v>
      </c>
      <c r="AD26" s="64" t="str">
        <f t="shared" si="46"/>
        <v>n/a</v>
      </c>
      <c r="AE26" s="60">
        <f t="shared" si="47"/>
        <v>2.5972441722639275</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648</v>
      </c>
      <c r="G27" s="75">
        <f t="shared" si="48"/>
        <v>590</v>
      </c>
      <c r="H27" s="75">
        <f t="shared" si="48"/>
        <v>377</v>
      </c>
      <c r="I27" s="75">
        <f t="shared" si="48"/>
        <v>273</v>
      </c>
      <c r="J27" s="75">
        <f t="shared" si="48"/>
        <v>207</v>
      </c>
      <c r="K27" s="75">
        <f t="shared" si="48"/>
        <v>6</v>
      </c>
      <c r="L27" s="75">
        <f t="shared" si="48"/>
        <v>277</v>
      </c>
      <c r="M27" s="66">
        <f t="shared" si="36"/>
        <v>9.8305084745762716E-2</v>
      </c>
      <c r="N27" s="66">
        <f t="shared" si="37"/>
        <v>0.71883289124668437</v>
      </c>
      <c r="O27" s="66">
        <f t="shared" si="38"/>
        <v>1.3736263736263736</v>
      </c>
      <c r="P27" s="66">
        <f t="shared" si="39"/>
        <v>2.1304347826086958</v>
      </c>
      <c r="Q27" s="66">
        <f t="shared" si="40"/>
        <v>107</v>
      </c>
      <c r="R27" s="62">
        <f t="shared" si="41"/>
        <v>1.3393501805054151</v>
      </c>
      <c r="S27" s="75">
        <f t="shared" ref="S27:Y28" si="49">S13+S16+S19+S22+S25</f>
        <v>6603</v>
      </c>
      <c r="T27" s="75">
        <f t="shared" si="49"/>
        <v>5678</v>
      </c>
      <c r="U27" s="75">
        <f t="shared" si="49"/>
        <v>4434</v>
      </c>
      <c r="V27" s="75">
        <f t="shared" si="49"/>
        <v>3620</v>
      </c>
      <c r="W27" s="75">
        <f t="shared" si="49"/>
        <v>1054</v>
      </c>
      <c r="X27" s="75">
        <f t="shared" si="49"/>
        <v>657</v>
      </c>
      <c r="Y27" s="75">
        <f t="shared" si="49"/>
        <v>3310</v>
      </c>
      <c r="Z27" s="66">
        <f t="shared" si="42"/>
        <v>0.16290947516731236</v>
      </c>
      <c r="AA27" s="66">
        <f t="shared" si="43"/>
        <v>0.48917456021650874</v>
      </c>
      <c r="AB27" s="66">
        <f t="shared" si="44"/>
        <v>0.82403314917127068</v>
      </c>
      <c r="AC27" s="66">
        <f t="shared" si="45"/>
        <v>5.2647058823529411</v>
      </c>
      <c r="AD27" s="66">
        <f t="shared" si="46"/>
        <v>9.0502283105022823</v>
      </c>
      <c r="AE27" s="62">
        <f t="shared" si="47"/>
        <v>0.99486404833836861</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1761680</v>
      </c>
      <c r="G28" s="76">
        <f t="shared" si="48"/>
        <v>1573812</v>
      </c>
      <c r="H28" s="76">
        <f t="shared" si="48"/>
        <v>1087969</v>
      </c>
      <c r="I28" s="76">
        <f t="shared" si="48"/>
        <v>762932</v>
      </c>
      <c r="J28" s="76">
        <f t="shared" si="48"/>
        <v>307043</v>
      </c>
      <c r="K28" s="76">
        <f t="shared" si="48"/>
        <v>2141</v>
      </c>
      <c r="L28" s="76">
        <f t="shared" si="48"/>
        <v>632077</v>
      </c>
      <c r="M28" s="67">
        <f t="shared" si="36"/>
        <v>0.11937130991503442</v>
      </c>
      <c r="N28" s="67">
        <f t="shared" si="37"/>
        <v>0.61923731282784722</v>
      </c>
      <c r="O28" s="67">
        <f t="shared" si="38"/>
        <v>1.3090917670251083</v>
      </c>
      <c r="P28" s="67">
        <f t="shared" si="39"/>
        <v>4.73756770224366</v>
      </c>
      <c r="Q28" s="67">
        <f t="shared" si="40"/>
        <v>821.83045305931807</v>
      </c>
      <c r="R28" s="63">
        <f t="shared" si="41"/>
        <v>1.7871287833602554</v>
      </c>
      <c r="S28" s="76">
        <f t="shared" si="49"/>
        <v>18063562</v>
      </c>
      <c r="T28" s="76">
        <f t="shared" si="49"/>
        <v>16671008.4</v>
      </c>
      <c r="U28" s="76">
        <f t="shared" si="49"/>
        <v>12658551</v>
      </c>
      <c r="V28" s="76">
        <f t="shared" si="49"/>
        <v>7626669</v>
      </c>
      <c r="W28" s="76">
        <f t="shared" si="49"/>
        <v>1552483</v>
      </c>
      <c r="X28" s="76">
        <f t="shared" si="49"/>
        <v>1314158</v>
      </c>
      <c r="Y28" s="76">
        <f t="shared" si="49"/>
        <v>9152531</v>
      </c>
      <c r="Z28" s="67">
        <f t="shared" si="42"/>
        <v>8.3531455721658654E-2</v>
      </c>
      <c r="AA28" s="67">
        <f t="shared" si="43"/>
        <v>0.42698496850073919</v>
      </c>
      <c r="AB28" s="67">
        <f t="shared" si="44"/>
        <v>1.3684733138412066</v>
      </c>
      <c r="AC28" s="67">
        <f t="shared" si="45"/>
        <v>10.635272012640396</v>
      </c>
      <c r="AD28" s="67">
        <f t="shared" si="46"/>
        <v>12.745350254687793</v>
      </c>
      <c r="AE28" s="63">
        <f t="shared" si="47"/>
        <v>0.97361385610166185</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f>S27-F27-'Nov-25'!S27</f>
        <v>0</v>
      </c>
      <c r="T29" s="128">
        <f>T27-G27-'Nov-25'!T27</f>
        <v>0</v>
      </c>
      <c r="U29" s="128"/>
      <c r="V29" s="128">
        <f>V27-I27-'Nov-25'!V27</f>
        <v>0</v>
      </c>
      <c r="W29" s="128"/>
      <c r="X29" s="128"/>
      <c r="Y29" s="128">
        <f>Y27-L27-'Nov-25'!Y27</f>
        <v>0</v>
      </c>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S28-F28-'Nov-25'!S28+587</f>
        <v>0</v>
      </c>
      <c r="T30" s="128">
        <f>T28-G28-'Nov-25'!T28</f>
        <v>0</v>
      </c>
      <c r="U30" s="128"/>
      <c r="V30" s="128">
        <f>V28-I28-'Nov-25'!V28</f>
        <v>0</v>
      </c>
      <c r="W30" s="128"/>
      <c r="X30" s="128">
        <f>X28-K28-'Nov-25'!X28</f>
        <v>0</v>
      </c>
      <c r="Y30" s="128"/>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December</v>
      </c>
      <c r="G33" s="170"/>
      <c r="H33" s="170"/>
      <c r="I33" s="170"/>
      <c r="J33" s="170"/>
      <c r="K33" s="170"/>
      <c r="L33" s="170"/>
      <c r="M33" s="170"/>
      <c r="N33" s="170"/>
      <c r="O33" s="170"/>
      <c r="P33" s="170"/>
      <c r="Q33" s="170"/>
      <c r="R33" s="171"/>
      <c r="S33" s="176" t="str">
        <f>"April to "&amp;D4&amp;" (YTD)"</f>
        <v>April to December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3"/>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2">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3" t="s">
        <v>146</v>
      </c>
      <c r="AA35" s="53" t="s">
        <v>147</v>
      </c>
      <c r="AB35" s="53" t="s">
        <v>148</v>
      </c>
      <c r="AC35" s="53" t="s">
        <v>149</v>
      </c>
      <c r="AD35" s="53" t="s">
        <v>150</v>
      </c>
      <c r="AE35" s="57" t="s">
        <v>151</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432</v>
      </c>
      <c r="G37" s="74">
        <f t="shared" ref="G37:L38" si="51">G13</f>
        <v>390</v>
      </c>
      <c r="H37" s="74">
        <f t="shared" si="51"/>
        <v>229</v>
      </c>
      <c r="I37" s="74">
        <f t="shared" si="51"/>
        <v>191</v>
      </c>
      <c r="J37" s="74">
        <f t="shared" si="51"/>
        <v>172</v>
      </c>
      <c r="K37" s="74">
        <f t="shared" si="51"/>
        <v>0</v>
      </c>
      <c r="L37" s="74">
        <f t="shared" si="51"/>
        <v>200</v>
      </c>
      <c r="M37" s="64">
        <f t="shared" ref="M37:M38" si="52">IFERROR(F37/G37-1,"n/a")</f>
        <v>0.10769230769230775</v>
      </c>
      <c r="N37" s="64">
        <f t="shared" ref="N37:N38" si="53">IFERROR(F37/H37-1,"n/a")</f>
        <v>0.88646288209606983</v>
      </c>
      <c r="O37" s="64">
        <f t="shared" ref="O37:O38" si="54">IFERROR(F37/I37-1,"n/a")</f>
        <v>1.261780104712042</v>
      </c>
      <c r="P37" s="64">
        <f t="shared" ref="P37:P38" si="55">IFERROR(F37/J37-1,"n/a")</f>
        <v>1.5116279069767442</v>
      </c>
      <c r="Q37" s="64" t="str">
        <f t="shared" ref="Q37:Q38" si="56">IFERROR(F37/K37-1,"n/a")</f>
        <v>n/a</v>
      </c>
      <c r="R37" s="60">
        <f t="shared" ref="R37:R38" si="57">IFERROR(F37/L37-1,"n/a")</f>
        <v>1.1600000000000001</v>
      </c>
      <c r="S37" s="74">
        <f>'Nov-25'!S37+F37</f>
        <v>1890</v>
      </c>
      <c r="T37" s="74">
        <f>'Nov-25'!T37+G37</f>
        <v>1781</v>
      </c>
      <c r="U37" s="74">
        <f>'Nov-25'!U37+H37</f>
        <v>1100</v>
      </c>
      <c r="V37" s="74">
        <f>'Nov-25'!V37+I37</f>
        <v>956</v>
      </c>
      <c r="W37" s="74">
        <f>'Nov-25'!W37+J37</f>
        <v>515</v>
      </c>
      <c r="X37" s="74">
        <f>'Nov-25'!X37+K37</f>
        <v>42</v>
      </c>
      <c r="Y37" s="74">
        <f>'Nov-25'!Y37+L37</f>
        <v>1068</v>
      </c>
      <c r="Z37" s="147">
        <f>IFERROR(S37/T37-1,"n/a")</f>
        <v>6.1201572150477279E-2</v>
      </c>
      <c r="AA37" s="147">
        <f>IFERROR(S37/U37-1,"n/a")</f>
        <v>0.71818181818181825</v>
      </c>
      <c r="AB37" s="147">
        <f>IFERROR(S37/V37-1,"n/a")</f>
        <v>0.97698744769874479</v>
      </c>
      <c r="AC37" s="147">
        <f>IFERROR(S37/W37-1,"n/a")</f>
        <v>2.6699029126213594</v>
      </c>
      <c r="AD37" s="147">
        <f>IFERROR(S37/X37-1,"n/a")</f>
        <v>44</v>
      </c>
      <c r="AE37" s="158">
        <f>IFERROR(S37/Y37-1,"n/a")</f>
        <v>0.7696629213483146</v>
      </c>
      <c r="AF37" s="154">
        <v>2874</v>
      </c>
      <c r="AG37" s="89">
        <v>1802</v>
      </c>
      <c r="AH37" s="89">
        <v>1486</v>
      </c>
      <c r="AI37" s="89">
        <v>1052</v>
      </c>
      <c r="AJ37" s="70">
        <v>551</v>
      </c>
      <c r="AK37" s="78">
        <v>1584</v>
      </c>
      <c r="AM37" s="122"/>
    </row>
    <row r="38" spans="1:39" s="123" customFormat="1" ht="11.25">
      <c r="A38" s="122"/>
      <c r="B38" s="122"/>
      <c r="C38" s="33"/>
      <c r="D38" s="26" t="s">
        <v>11</v>
      </c>
      <c r="E38" s="32"/>
      <c r="F38" s="74">
        <f>F14</f>
        <v>1233239</v>
      </c>
      <c r="G38" s="74">
        <f t="shared" si="51"/>
        <v>1045081</v>
      </c>
      <c r="H38" s="74">
        <f t="shared" si="51"/>
        <v>666281</v>
      </c>
      <c r="I38" s="74">
        <f t="shared" si="51"/>
        <v>518319</v>
      </c>
      <c r="J38" s="74">
        <f t="shared" si="51"/>
        <v>253217</v>
      </c>
      <c r="K38" s="74">
        <f t="shared" si="51"/>
        <v>0</v>
      </c>
      <c r="L38" s="74">
        <f t="shared" si="51"/>
        <v>506611</v>
      </c>
      <c r="M38" s="64">
        <f t="shared" si="52"/>
        <v>0.18004154701884345</v>
      </c>
      <c r="N38" s="64">
        <f t="shared" si="53"/>
        <v>0.85092926257840151</v>
      </c>
      <c r="O38" s="64">
        <f t="shared" si="54"/>
        <v>1.379305022582618</v>
      </c>
      <c r="P38" s="64">
        <f t="shared" si="55"/>
        <v>3.8702851704269463</v>
      </c>
      <c r="Q38" s="64" t="str">
        <f t="shared" si="56"/>
        <v>n/a</v>
      </c>
      <c r="R38" s="60">
        <f t="shared" si="57"/>
        <v>1.4342917939010404</v>
      </c>
      <c r="S38" s="74">
        <f>'Nov-25'!S38+F38</f>
        <v>6386653</v>
      </c>
      <c r="T38" s="74">
        <f>'Nov-25'!T38+G38</f>
        <v>5865665</v>
      </c>
      <c r="U38" s="74">
        <f>'Nov-25'!U38+H38</f>
        <v>3694353</v>
      </c>
      <c r="V38" s="74">
        <f>'Nov-25'!V38+I38</f>
        <v>2832755</v>
      </c>
      <c r="W38" s="74">
        <f>'Nov-25'!W38+J38</f>
        <v>763201</v>
      </c>
      <c r="X38" s="74">
        <f>'Nov-25'!X38+K38</f>
        <v>0</v>
      </c>
      <c r="Y38" s="74">
        <f>'Nov-25'!Y38+L38</f>
        <v>3119972</v>
      </c>
      <c r="Z38" s="147">
        <f>IFERROR(S38/T38-1,"n/a")</f>
        <v>8.8819937722321329E-2</v>
      </c>
      <c r="AA38" s="147">
        <f>IFERROR(S38/U38-1,"n/a")</f>
        <v>0.72876089534486832</v>
      </c>
      <c r="AB38" s="147">
        <f>IFERROR(S38/V38-1,"n/a")</f>
        <v>1.2545730216697173</v>
      </c>
      <c r="AC38" s="147">
        <f>IFERROR(S38/W38-1,"n/a")</f>
        <v>7.3682450625719831</v>
      </c>
      <c r="AD38" s="147" t="str">
        <f>IFERROR(S38/X38-1,"n/a")</f>
        <v>n/a</v>
      </c>
      <c r="AE38" s="158">
        <f>IFERROR(S38/Y38-1,"n/a")</f>
        <v>1.0470225373817459</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157"/>
      <c r="T39" s="26"/>
      <c r="U39" s="26"/>
      <c r="V39" s="26"/>
      <c r="W39" s="26"/>
      <c r="X39" s="26"/>
      <c r="Y39" s="26"/>
      <c r="Z39" s="146"/>
      <c r="AA39" s="148"/>
      <c r="AB39" s="148"/>
      <c r="AC39" s="148"/>
      <c r="AD39" s="148"/>
      <c r="AE39" s="159"/>
      <c r="AF39" s="44"/>
      <c r="AG39" s="90"/>
      <c r="AH39" s="90"/>
      <c r="AI39" s="90"/>
      <c r="AJ39" s="44"/>
      <c r="AK39" s="79"/>
      <c r="AM39" s="122"/>
    </row>
    <row r="40" spans="1:39" s="123" customFormat="1" ht="11.25">
      <c r="A40" s="122"/>
      <c r="B40" s="122"/>
      <c r="C40" s="33"/>
      <c r="D40" s="26" t="s">
        <v>5</v>
      </c>
      <c r="E40" s="32"/>
      <c r="F40" s="74">
        <f t="shared" ref="F40:L41" si="58">F16</f>
        <v>25</v>
      </c>
      <c r="G40" s="74">
        <f t="shared" si="58"/>
        <v>17</v>
      </c>
      <c r="H40" s="74">
        <f t="shared" si="58"/>
        <v>12</v>
      </c>
      <c r="I40" s="74">
        <f t="shared" si="58"/>
        <v>6</v>
      </c>
      <c r="J40" s="74">
        <f t="shared" si="58"/>
        <v>7</v>
      </c>
      <c r="K40" s="74">
        <f t="shared" si="58"/>
        <v>6</v>
      </c>
      <c r="L40" s="74">
        <f t="shared" si="58"/>
        <v>47</v>
      </c>
      <c r="M40" s="64">
        <f t="shared" ref="M40:M41" si="59">IFERROR(F40/G40-1,"n/a")</f>
        <v>0.47058823529411775</v>
      </c>
      <c r="N40" s="64">
        <f t="shared" ref="N40:N41" si="60">IFERROR(F40/H40-1,"n/a")</f>
        <v>1.0833333333333335</v>
      </c>
      <c r="O40" s="64">
        <f t="shared" ref="O40:O41" si="61">IFERROR(F40/I40-1,"n/a")</f>
        <v>3.166666666666667</v>
      </c>
      <c r="P40" s="64">
        <f t="shared" ref="P40:P41" si="62">IFERROR(F40/J40-1,"n/a")</f>
        <v>2.5714285714285716</v>
      </c>
      <c r="Q40" s="64">
        <f t="shared" ref="Q40:Q41" si="63">IFERROR(F40/K40-1,"n/a")</f>
        <v>3.166666666666667</v>
      </c>
      <c r="R40" s="60">
        <f t="shared" ref="R40:R41" si="64">IFERROR(F40/L40-1,"n/a")</f>
        <v>-0.46808510638297873</v>
      </c>
      <c r="S40" s="74">
        <f>'Nov-25'!S40+F40</f>
        <v>947</v>
      </c>
      <c r="T40" s="74">
        <f>'Nov-25'!T40+G40</f>
        <v>760</v>
      </c>
      <c r="U40" s="74">
        <f>'Nov-25'!U40+H40</f>
        <v>547</v>
      </c>
      <c r="V40" s="74">
        <f>'Nov-25'!V40+I40</f>
        <v>537</v>
      </c>
      <c r="W40" s="74">
        <f>'Nov-25'!W40+J40</f>
        <v>192</v>
      </c>
      <c r="X40" s="74">
        <f>'Nov-25'!X40+K40</f>
        <v>44</v>
      </c>
      <c r="Y40" s="74">
        <f>'Nov-25'!Y40+L40</f>
        <v>570</v>
      </c>
      <c r="Z40" s="147">
        <f t="shared" ref="Z40:Z41" si="65">IFERROR(S40/T40-1,"n/a")</f>
        <v>0.2460526315789473</v>
      </c>
      <c r="AA40" s="147">
        <f t="shared" ref="AA40:AA41" si="66">IFERROR(S40/U40-1,"n/a")</f>
        <v>0.73126142595978072</v>
      </c>
      <c r="AB40" s="147">
        <f t="shared" ref="AB40:AB41" si="67">IFERROR(S40/V40-1,"n/a")</f>
        <v>0.76350093109869643</v>
      </c>
      <c r="AC40" s="147">
        <f t="shared" ref="AC40:AC41" si="68">IFERROR(S40/W40-1,"n/a")</f>
        <v>3.932291666666667</v>
      </c>
      <c r="AD40" s="147">
        <f t="shared" ref="AD40:AD41" si="69">IFERROR(S40/X40-1,"n/a")</f>
        <v>20.522727272727273</v>
      </c>
      <c r="AE40" s="158">
        <f t="shared" ref="AE40:AE41" si="70">IFERROR(S40/Y40-1,"n/a")</f>
        <v>0.66140350877192988</v>
      </c>
      <c r="AF40" s="154">
        <v>817</v>
      </c>
      <c r="AG40" s="89">
        <v>583</v>
      </c>
      <c r="AH40" s="89">
        <v>563</v>
      </c>
      <c r="AI40" s="89">
        <v>226</v>
      </c>
      <c r="AJ40" s="70">
        <v>66</v>
      </c>
      <c r="AK40" s="78">
        <v>573</v>
      </c>
      <c r="AM40" s="122"/>
    </row>
    <row r="41" spans="1:39" s="123" customFormat="1" ht="11.25">
      <c r="A41" s="122"/>
      <c r="B41" s="122"/>
      <c r="C41" s="33"/>
      <c r="D41" s="26" t="s">
        <v>11</v>
      </c>
      <c r="E41" s="32"/>
      <c r="F41" s="74">
        <f t="shared" si="58"/>
        <v>59363</v>
      </c>
      <c r="G41" s="74">
        <f t="shared" si="58"/>
        <v>37402</v>
      </c>
      <c r="H41" s="74">
        <f t="shared" si="58"/>
        <v>30889</v>
      </c>
      <c r="I41" s="74">
        <f t="shared" si="58"/>
        <v>22360</v>
      </c>
      <c r="J41" s="74">
        <f t="shared" si="58"/>
        <v>13748</v>
      </c>
      <c r="K41" s="74">
        <f t="shared" si="58"/>
        <v>2141</v>
      </c>
      <c r="L41" s="74">
        <f t="shared" si="58"/>
        <v>55736</v>
      </c>
      <c r="M41" s="64">
        <f t="shared" si="59"/>
        <v>0.58716111437891017</v>
      </c>
      <c r="N41" s="64">
        <f t="shared" si="60"/>
        <v>0.92181682799702158</v>
      </c>
      <c r="O41" s="64">
        <f t="shared" si="61"/>
        <v>1.6548747763864045</v>
      </c>
      <c r="P41" s="64">
        <f t="shared" si="62"/>
        <v>3.3179371544951994</v>
      </c>
      <c r="Q41" s="64">
        <f t="shared" si="63"/>
        <v>26.7267631947688</v>
      </c>
      <c r="R41" s="60">
        <f t="shared" si="64"/>
        <v>6.5074637577149375E-2</v>
      </c>
      <c r="S41" s="74">
        <f>'Nov-25'!S41+F41-578</f>
        <v>2282907</v>
      </c>
      <c r="T41" s="74">
        <f>'Nov-25'!T41+G41</f>
        <v>1930402</v>
      </c>
      <c r="U41" s="74">
        <f>'Nov-25'!U41+H41</f>
        <v>1579758</v>
      </c>
      <c r="V41" s="74">
        <f>'Nov-25'!V41+I41</f>
        <v>933392</v>
      </c>
      <c r="W41" s="74">
        <f>'Nov-25'!W41+J41</f>
        <v>292432</v>
      </c>
      <c r="X41" s="74">
        <f>'Nov-25'!X41+K41</f>
        <v>29562</v>
      </c>
      <c r="Y41" s="74">
        <f>'Nov-25'!Y41+L41</f>
        <v>1318159</v>
      </c>
      <c r="Z41" s="147">
        <f t="shared" si="65"/>
        <v>0.1826070424709465</v>
      </c>
      <c r="AA41" s="147">
        <f t="shared" si="66"/>
        <v>0.44509918607786769</v>
      </c>
      <c r="AB41" s="147">
        <f t="shared" si="67"/>
        <v>1.4458180485798033</v>
      </c>
      <c r="AC41" s="147">
        <f t="shared" si="68"/>
        <v>6.8066251299447389</v>
      </c>
      <c r="AD41" s="147">
        <f t="shared" si="69"/>
        <v>76.224375887964285</v>
      </c>
      <c r="AE41" s="158">
        <f t="shared" si="70"/>
        <v>0.73189046237972799</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110"/>
      <c r="AA42" s="147"/>
      <c r="AB42" s="147"/>
      <c r="AC42" s="147"/>
      <c r="AD42" s="147"/>
      <c r="AE42" s="158"/>
      <c r="AF42" s="155"/>
      <c r="AG42" s="90"/>
      <c r="AH42" s="90"/>
      <c r="AI42" s="90"/>
      <c r="AJ42" s="44"/>
      <c r="AK42" s="79"/>
      <c r="AM42" s="122"/>
    </row>
    <row r="43" spans="1:39" s="123" customFormat="1" ht="11.25">
      <c r="A43" s="122"/>
      <c r="B43" s="122"/>
      <c r="C43" s="33"/>
      <c r="D43" s="26" t="s">
        <v>5</v>
      </c>
      <c r="E43" s="32"/>
      <c r="F43" s="74">
        <f>F19</f>
        <v>6</v>
      </c>
      <c r="G43" s="74">
        <f t="shared" ref="G43:L44" si="71">G19</f>
        <v>6</v>
      </c>
      <c r="H43" s="74">
        <f t="shared" si="71"/>
        <v>8</v>
      </c>
      <c r="I43" s="74">
        <f t="shared" si="71"/>
        <v>9</v>
      </c>
      <c r="J43" s="74">
        <f t="shared" si="71"/>
        <v>3</v>
      </c>
      <c r="K43" s="74">
        <f t="shared" si="71"/>
        <v>0</v>
      </c>
      <c r="L43" s="74">
        <f t="shared" si="71"/>
        <v>10</v>
      </c>
      <c r="M43" s="64">
        <f t="shared" ref="M43:M44" si="72">IFERROR(F43/G43-1,"n/a")</f>
        <v>0</v>
      </c>
      <c r="N43" s="64">
        <f t="shared" ref="N43:N44" si="73">IFERROR(F43/H43-1,"n/a")</f>
        <v>-0.25</v>
      </c>
      <c r="O43" s="64">
        <f t="shared" ref="O43:O44" si="74">IFERROR(F43/I43-1,"n/a")</f>
        <v>-0.33333333333333337</v>
      </c>
      <c r="P43" s="64">
        <f t="shared" ref="P43:P44" si="75">IFERROR(F43/J43-1,"n/a")</f>
        <v>1</v>
      </c>
      <c r="Q43" s="64" t="str">
        <f t="shared" ref="Q43:Q44" si="76">IFERROR(F43/K43-1,"n/a")</f>
        <v>n/a</v>
      </c>
      <c r="R43" s="60">
        <f t="shared" ref="R43:R44" si="77">IFERROR(F43/L43-1,"n/a")</f>
        <v>-0.4</v>
      </c>
      <c r="S43" s="74">
        <f>'Nov-25'!S43+F43</f>
        <v>838</v>
      </c>
      <c r="T43" s="74">
        <f>'Nov-25'!T43+G43</f>
        <v>706</v>
      </c>
      <c r="U43" s="74">
        <f>'Nov-25'!U43+H43</f>
        <v>685</v>
      </c>
      <c r="V43" s="74">
        <f>'Nov-25'!V43+I43</f>
        <v>646</v>
      </c>
      <c r="W43" s="74">
        <f>'Nov-25'!W43+J43</f>
        <v>47</v>
      </c>
      <c r="X43" s="74">
        <f>'Nov-25'!X43+K43</f>
        <v>7</v>
      </c>
      <c r="Y43" s="74">
        <f>'Nov-25'!Y43+L43</f>
        <v>284</v>
      </c>
      <c r="Z43" s="147">
        <f t="shared" ref="Z43:Z44" si="78">IFERROR(S43/T43-1,"n/a")</f>
        <v>0.18696883852691215</v>
      </c>
      <c r="AA43" s="147">
        <f t="shared" ref="AA43:AA44" si="79">IFERROR(S43/U43-1,"n/a")</f>
        <v>0.22335766423357661</v>
      </c>
      <c r="AB43" s="147">
        <f t="shared" ref="AB43:AB44" si="80">IFERROR(S43/V43-1,"n/a")</f>
        <v>0.29721362229102177</v>
      </c>
      <c r="AC43" s="147">
        <f t="shared" ref="AC43:AC44" si="81">IFERROR(S43/W43-1,"n/a")</f>
        <v>16.829787234042552</v>
      </c>
      <c r="AD43" s="147">
        <f t="shared" ref="AD43:AD44" si="82">IFERROR(S43/X43-1,"n/a")</f>
        <v>118.71428571428571</v>
      </c>
      <c r="AE43" s="158">
        <f t="shared" ref="AE43:AE44" si="83">IFERROR(S43/Y43-1,"n/a")</f>
        <v>1.9507042253521125</v>
      </c>
      <c r="AF43" s="154">
        <v>728</v>
      </c>
      <c r="AG43" s="89">
        <v>712</v>
      </c>
      <c r="AH43" s="89">
        <v>669</v>
      </c>
      <c r="AI43" s="89">
        <v>59</v>
      </c>
      <c r="AJ43" s="70">
        <v>9</v>
      </c>
      <c r="AK43" s="78">
        <v>287</v>
      </c>
      <c r="AM43" s="122"/>
    </row>
    <row r="44" spans="1:39" s="123" customFormat="1" ht="11.25">
      <c r="A44" s="122"/>
      <c r="B44" s="122"/>
      <c r="C44" s="33"/>
      <c r="D44" s="26" t="s">
        <v>11</v>
      </c>
      <c r="E44" s="32"/>
      <c r="F44" s="74">
        <f>F20</f>
        <v>9495</v>
      </c>
      <c r="G44" s="74">
        <f t="shared" si="71"/>
        <v>8208</v>
      </c>
      <c r="H44" s="74">
        <f t="shared" si="71"/>
        <v>7403</v>
      </c>
      <c r="I44" s="74">
        <f t="shared" si="71"/>
        <v>6763</v>
      </c>
      <c r="J44" s="74">
        <f t="shared" si="71"/>
        <v>864</v>
      </c>
      <c r="K44" s="74">
        <f t="shared" si="71"/>
        <v>0</v>
      </c>
      <c r="L44" s="74">
        <f t="shared" si="71"/>
        <v>10787</v>
      </c>
      <c r="M44" s="64">
        <f t="shared" si="72"/>
        <v>0.1567982456140351</v>
      </c>
      <c r="N44" s="64">
        <f t="shared" si="73"/>
        <v>0.28258813994326615</v>
      </c>
      <c r="O44" s="64">
        <f t="shared" si="74"/>
        <v>0.40396273842969088</v>
      </c>
      <c r="P44" s="64">
        <f t="shared" si="75"/>
        <v>9.9895833333333339</v>
      </c>
      <c r="Q44" s="64" t="str">
        <f t="shared" si="76"/>
        <v>n/a</v>
      </c>
      <c r="R44" s="60">
        <f t="shared" si="77"/>
        <v>-0.11977380179846109</v>
      </c>
      <c r="S44" s="74">
        <f>'Nov-25'!S44+F44</f>
        <v>1700346</v>
      </c>
      <c r="T44" s="74">
        <f>'Nov-25'!T44+G44</f>
        <v>1456530.4</v>
      </c>
      <c r="U44" s="74">
        <f>'Nov-25'!U44+H44</f>
        <v>1256680</v>
      </c>
      <c r="V44" s="74">
        <f>'Nov-25'!V44+I44</f>
        <v>884410</v>
      </c>
      <c r="W44" s="74">
        <f>'Nov-25'!W44+J44</f>
        <v>17541</v>
      </c>
      <c r="X44" s="74">
        <f>'Nov-25'!X44+K44</f>
        <v>8294</v>
      </c>
      <c r="Y44" s="74">
        <f>'Nov-25'!Y44+L44</f>
        <v>579446</v>
      </c>
      <c r="Z44" s="147">
        <f t="shared" si="78"/>
        <v>0.16739478970023569</v>
      </c>
      <c r="AA44" s="147">
        <f t="shared" si="79"/>
        <v>0.35304612152656212</v>
      </c>
      <c r="AB44" s="147">
        <f t="shared" si="80"/>
        <v>0.92257663300957704</v>
      </c>
      <c r="AC44" s="147">
        <f t="shared" si="81"/>
        <v>95.935522490165894</v>
      </c>
      <c r="AD44" s="147">
        <f t="shared" si="82"/>
        <v>204.00916325054257</v>
      </c>
      <c r="AE44" s="158">
        <f t="shared" si="83"/>
        <v>1.934433924817843</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160"/>
      <c r="AA45" s="147"/>
      <c r="AB45" s="147"/>
      <c r="AC45" s="147"/>
      <c r="AD45" s="147"/>
      <c r="AE45" s="158"/>
      <c r="AF45" s="155"/>
      <c r="AG45" s="90"/>
      <c r="AH45" s="90"/>
      <c r="AI45" s="90"/>
      <c r="AJ45" s="44"/>
      <c r="AK45" s="79"/>
      <c r="AM45" s="122"/>
    </row>
    <row r="46" spans="1:39" s="123" customFormat="1" ht="11.25">
      <c r="A46" s="122"/>
      <c r="B46" s="122"/>
      <c r="C46" s="33"/>
      <c r="D46" s="26" t="s">
        <v>5</v>
      </c>
      <c r="E46" s="34"/>
      <c r="F46" s="74">
        <f>F22</f>
        <v>185</v>
      </c>
      <c r="G46" s="74">
        <f t="shared" ref="G46:L47" si="84">G22</f>
        <v>177</v>
      </c>
      <c r="H46" s="74">
        <f t="shared" si="84"/>
        <v>128</v>
      </c>
      <c r="I46" s="74">
        <f t="shared" si="84"/>
        <v>67</v>
      </c>
      <c r="J46" s="74">
        <f t="shared" si="84"/>
        <v>25</v>
      </c>
      <c r="K46" s="74">
        <f t="shared" si="84"/>
        <v>0</v>
      </c>
      <c r="L46" s="74">
        <f t="shared" si="84"/>
        <v>20</v>
      </c>
      <c r="M46" s="64">
        <f t="shared" ref="M46:M47" si="85">IFERROR(F46/G46-1,"n/a")</f>
        <v>4.5197740112994378E-2</v>
      </c>
      <c r="N46" s="64">
        <f t="shared" ref="N46:N47" si="86">IFERROR(F46/H46-1,"n/a")</f>
        <v>0.4453125</v>
      </c>
      <c r="O46" s="64">
        <f t="shared" ref="O46:O47" si="87">IFERROR(F46/I46-1,"n/a")</f>
        <v>1.7611940298507465</v>
      </c>
      <c r="P46" s="64">
        <f t="shared" ref="P46:P47" si="88">IFERROR(F46/J46-1,"n/a")</f>
        <v>6.4</v>
      </c>
      <c r="Q46" s="64" t="str">
        <f t="shared" ref="Q46:Q47" si="89">IFERROR(F46/K46-1,"n/a")</f>
        <v>n/a</v>
      </c>
      <c r="R46" s="60">
        <f t="shared" ref="R46:R47" si="90">IFERROR(F46/L46-1,"n/a")</f>
        <v>8.25</v>
      </c>
      <c r="S46" s="74">
        <f>'Nov-25'!S46+F46</f>
        <v>1340</v>
      </c>
      <c r="T46" s="74">
        <f>'Nov-25'!T46+G46</f>
        <v>1392</v>
      </c>
      <c r="U46" s="74">
        <f>'Nov-25'!U46+H46</f>
        <v>1212</v>
      </c>
      <c r="V46" s="74">
        <f>'Nov-25'!V46+I46</f>
        <v>841</v>
      </c>
      <c r="W46" s="74">
        <f>'Nov-25'!W46+J46</f>
        <v>283</v>
      </c>
      <c r="X46" s="74">
        <f>'Nov-25'!X46+K46</f>
        <v>0</v>
      </c>
      <c r="Y46" s="74">
        <f>'Nov-25'!Y46+L46</f>
        <v>738</v>
      </c>
      <c r="Z46" s="147">
        <f t="shared" ref="Z46:Z47" si="91">IFERROR(S46/T46-1,"n/a")</f>
        <v>-3.7356321839080442E-2</v>
      </c>
      <c r="AA46" s="147">
        <f t="shared" ref="AA46:AA47" si="92">IFERROR(S46/U46-1,"n/a")</f>
        <v>0.10561056105610556</v>
      </c>
      <c r="AB46" s="147">
        <f t="shared" ref="AB46:AB47" si="93">IFERROR(S46/V46-1,"n/a")</f>
        <v>0.5933412604042807</v>
      </c>
      <c r="AC46" s="147">
        <f t="shared" ref="AC46:AC47" si="94">IFERROR(S46/W46-1,"n/a")</f>
        <v>3.7349823321554769</v>
      </c>
      <c r="AD46" s="147" t="str">
        <f t="shared" ref="AD46:AD47" si="95">IFERROR(S46/X46-1,"n/a")</f>
        <v>n/a</v>
      </c>
      <c r="AE46" s="158">
        <f t="shared" ref="AE46:AE47" si="96">IFERROR(S46/Y46-1,"n/a")</f>
        <v>0.81571815718157192</v>
      </c>
      <c r="AF46" s="154">
        <v>1788</v>
      </c>
      <c r="AG46" s="89">
        <v>1471</v>
      </c>
      <c r="AH46" s="89">
        <v>1129</v>
      </c>
      <c r="AI46" s="89">
        <v>336</v>
      </c>
      <c r="AJ46" s="84">
        <v>43</v>
      </c>
      <c r="AK46" s="78">
        <v>781</v>
      </c>
      <c r="AM46" s="122"/>
    </row>
    <row r="47" spans="1:39" s="123" customFormat="1" ht="11.25">
      <c r="A47" s="122"/>
      <c r="B47" s="122"/>
      <c r="C47" s="33"/>
      <c r="D47" s="26" t="s">
        <v>11</v>
      </c>
      <c r="E47" s="32"/>
      <c r="F47" s="74">
        <f>F23</f>
        <v>459583</v>
      </c>
      <c r="G47" s="74">
        <f t="shared" si="84"/>
        <v>483121</v>
      </c>
      <c r="H47" s="74">
        <f t="shared" si="84"/>
        <v>383396</v>
      </c>
      <c r="I47" s="74">
        <f t="shared" si="84"/>
        <v>215490</v>
      </c>
      <c r="J47" s="74">
        <f t="shared" si="84"/>
        <v>39214</v>
      </c>
      <c r="K47" s="74">
        <f t="shared" si="84"/>
        <v>0</v>
      </c>
      <c r="L47" s="74">
        <f t="shared" si="84"/>
        <v>58943</v>
      </c>
      <c r="M47" s="64">
        <f t="shared" si="85"/>
        <v>-4.8720713858433018E-2</v>
      </c>
      <c r="N47" s="64">
        <f t="shared" si="86"/>
        <v>0.19871620987177741</v>
      </c>
      <c r="O47" s="64">
        <f t="shared" si="87"/>
        <v>1.1327346976657848</v>
      </c>
      <c r="P47" s="64">
        <f t="shared" si="88"/>
        <v>10.719870454429541</v>
      </c>
      <c r="Q47" s="64" t="str">
        <f t="shared" si="89"/>
        <v>n/a</v>
      </c>
      <c r="R47" s="60">
        <f t="shared" si="90"/>
        <v>6.7970751403898682</v>
      </c>
      <c r="S47" s="74">
        <f>'Nov-25'!S47+F47-9</f>
        <v>3413119</v>
      </c>
      <c r="T47" s="74">
        <f>'Nov-25'!T47+G47</f>
        <v>4133419</v>
      </c>
      <c r="U47" s="74">
        <f>'Nov-25'!U47+H47</f>
        <v>3621862</v>
      </c>
      <c r="V47" s="74">
        <f>'Nov-25'!V47+I47</f>
        <v>2092770</v>
      </c>
      <c r="W47" s="74">
        <f>'Nov-25'!W47+J47</f>
        <v>465109</v>
      </c>
      <c r="X47" s="74">
        <f>'Nov-25'!X47+K47</f>
        <v>0</v>
      </c>
      <c r="Y47" s="74">
        <f>'Nov-25'!Y47+L47</f>
        <v>2301042</v>
      </c>
      <c r="Z47" s="147">
        <f t="shared" si="91"/>
        <v>-0.17426251730105269</v>
      </c>
      <c r="AA47" s="147">
        <f t="shared" si="92"/>
        <v>-5.7634167176993545E-2</v>
      </c>
      <c r="AB47" s="147">
        <f t="shared" si="93"/>
        <v>0.63090975119100512</v>
      </c>
      <c r="AC47" s="147">
        <f t="shared" si="94"/>
        <v>6.3383206947188722</v>
      </c>
      <c r="AD47" s="147" t="str">
        <f t="shared" si="95"/>
        <v>n/a</v>
      </c>
      <c r="AE47" s="158">
        <f t="shared" si="96"/>
        <v>0.48329278648542706</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160"/>
      <c r="AA48" s="147"/>
      <c r="AB48" s="147"/>
      <c r="AC48" s="147"/>
      <c r="AD48" s="147"/>
      <c r="AE48" s="158"/>
      <c r="AF48" s="155"/>
      <c r="AG48" s="90"/>
      <c r="AH48" s="90"/>
      <c r="AI48" s="90"/>
      <c r="AJ48" s="44"/>
      <c r="AK48" s="79"/>
      <c r="AM48" s="122"/>
    </row>
    <row r="49" spans="3:39" s="123" customFormat="1" ht="11.25">
      <c r="C49" s="33"/>
      <c r="D49" s="26" t="s">
        <v>5</v>
      </c>
      <c r="E49" s="32"/>
      <c r="F49" s="74">
        <f>F25</f>
        <v>0</v>
      </c>
      <c r="G49" s="74">
        <f t="shared" ref="G49:L50" si="97">G25</f>
        <v>0</v>
      </c>
      <c r="H49" s="74">
        <f t="shared" si="97"/>
        <v>0</v>
      </c>
      <c r="I49" s="74">
        <f t="shared" si="97"/>
        <v>0</v>
      </c>
      <c r="J49" s="74">
        <f t="shared" si="97"/>
        <v>0</v>
      </c>
      <c r="K49" s="74">
        <f t="shared" si="97"/>
        <v>0</v>
      </c>
      <c r="L49" s="74">
        <f t="shared" si="97"/>
        <v>0</v>
      </c>
      <c r="M49" s="64" t="str">
        <f t="shared" ref="M49:M52" si="98">IFERROR(F49/G49-1,"n/a")</f>
        <v>n/a</v>
      </c>
      <c r="N49" s="64" t="str">
        <f t="shared" ref="N49:N52" si="99">IFERROR(F49/H49-1,"n/a")</f>
        <v>n/a</v>
      </c>
      <c r="O49" s="64" t="str">
        <f t="shared" ref="O49:O52" si="100">IFERROR(F49/I49-1,"n/a")</f>
        <v>n/a</v>
      </c>
      <c r="P49" s="64" t="str">
        <f t="shared" ref="P49:P52" si="101">IFERROR(F49/J49-1,"n/a")</f>
        <v>n/a</v>
      </c>
      <c r="Q49" s="64" t="str">
        <f t="shared" ref="Q49:Q52" si="102">IFERROR(F49/K49-1,"n/a")</f>
        <v>n/a</v>
      </c>
      <c r="R49" s="60" t="str">
        <f t="shared" ref="R49:R52" si="103">IFERROR(F49/L49-1,"n/a")</f>
        <v>n/a</v>
      </c>
      <c r="S49" s="74">
        <f>'Nov-25'!S49+F49</f>
        <v>23</v>
      </c>
      <c r="T49" s="74">
        <f>'Nov-25'!T49+G49</f>
        <v>14</v>
      </c>
      <c r="U49" s="74">
        <f>'Nov-25'!U49+H49</f>
        <v>21</v>
      </c>
      <c r="V49" s="74">
        <f>'Nov-25'!V49+I49</f>
        <v>9</v>
      </c>
      <c r="W49" s="74">
        <f>'Nov-25'!W49+J49</f>
        <v>0</v>
      </c>
      <c r="X49" s="74">
        <f>'Nov-25'!X49+K49</f>
        <v>0</v>
      </c>
      <c r="Y49" s="74">
        <f>'Nov-25'!Y49+L49</f>
        <v>16</v>
      </c>
      <c r="Z49" s="147">
        <f t="shared" ref="Z49:Z52" si="104">IFERROR(S49/T49-1,"n/a")</f>
        <v>0.64285714285714279</v>
      </c>
      <c r="AA49" s="147">
        <f t="shared" ref="AA49:AA50" si="105">IFERROR(S49/U49-1,"n/a")</f>
        <v>9.5238095238095344E-2</v>
      </c>
      <c r="AB49" s="147">
        <f t="shared" ref="AB49:AB52" si="106">IFERROR(S49/V49-1,"n/a")</f>
        <v>1.5555555555555554</v>
      </c>
      <c r="AC49" s="147" t="str">
        <f t="shared" ref="AC49:AC52" si="107">IFERROR(S49/W49-1,"n/a")</f>
        <v>n/a</v>
      </c>
      <c r="AD49" s="147" t="str">
        <f t="shared" ref="AD49:AD52" si="108">IFERROR(S49/X49-1,"n/a")</f>
        <v>n/a</v>
      </c>
      <c r="AE49" s="158">
        <f t="shared" ref="AE49:AE52" si="109">IFERROR(S49/Y49-1,"n/a")</f>
        <v>0.4375</v>
      </c>
      <c r="AF49" s="154">
        <v>14</v>
      </c>
      <c r="AG49" s="89">
        <v>21</v>
      </c>
      <c r="AH49" s="89">
        <v>9</v>
      </c>
      <c r="AI49" s="68">
        <v>0</v>
      </c>
      <c r="AJ49" s="68">
        <v>0</v>
      </c>
      <c r="AK49" s="78">
        <v>16</v>
      </c>
      <c r="AM49" s="122"/>
    </row>
    <row r="50" spans="3:39" s="123" customFormat="1" ht="11.25">
      <c r="C50" s="33"/>
      <c r="D50" s="26" t="s">
        <v>11</v>
      </c>
      <c r="E50" s="32"/>
      <c r="F50" s="74">
        <f>F26</f>
        <v>0</v>
      </c>
      <c r="G50" s="74">
        <f t="shared" si="97"/>
        <v>0</v>
      </c>
      <c r="H50" s="74">
        <f t="shared" si="97"/>
        <v>0</v>
      </c>
      <c r="I50" s="74">
        <f t="shared" si="97"/>
        <v>0</v>
      </c>
      <c r="J50" s="74">
        <f t="shared" si="97"/>
        <v>0</v>
      </c>
      <c r="K50" s="74">
        <f t="shared" si="97"/>
        <v>0</v>
      </c>
      <c r="L50" s="74">
        <f t="shared" si="97"/>
        <v>0</v>
      </c>
      <c r="M50" s="64" t="str">
        <f t="shared" si="98"/>
        <v>n/a</v>
      </c>
      <c r="N50" s="64" t="str">
        <f t="shared" si="99"/>
        <v>n/a</v>
      </c>
      <c r="O50" s="64" t="str">
        <f t="shared" si="100"/>
        <v>n/a</v>
      </c>
      <c r="P50" s="64" t="str">
        <f t="shared" si="101"/>
        <v>n/a</v>
      </c>
      <c r="Q50" s="64" t="str">
        <f t="shared" si="102"/>
        <v>n/a</v>
      </c>
      <c r="R50" s="60" t="str">
        <f t="shared" si="103"/>
        <v>n/a</v>
      </c>
      <c r="S50" s="74">
        <f>'Nov-25'!S50+F50</f>
        <v>72837</v>
      </c>
      <c r="T50" s="74">
        <f>'Nov-25'!T50+G50</f>
        <v>47798</v>
      </c>
      <c r="U50" s="74">
        <f>'Nov-25'!U50+H50</f>
        <v>38626</v>
      </c>
      <c r="V50" s="74">
        <f>'Nov-25'!V50+I50</f>
        <v>15637</v>
      </c>
      <c r="W50" s="74">
        <f>'Nov-25'!W50+J50</f>
        <v>0</v>
      </c>
      <c r="X50" s="74">
        <f>'Nov-25'!X50+K50</f>
        <v>0</v>
      </c>
      <c r="Y50" s="74">
        <f>'Nov-25'!Y50+L50</f>
        <v>20248</v>
      </c>
      <c r="Z50" s="147">
        <f t="shared" si="104"/>
        <v>0.523850370308381</v>
      </c>
      <c r="AA50" s="147">
        <f t="shared" si="105"/>
        <v>0.88569875213586702</v>
      </c>
      <c r="AB50" s="147">
        <f t="shared" si="106"/>
        <v>3.6579906631706853</v>
      </c>
      <c r="AC50" s="147" t="str">
        <f t="shared" si="107"/>
        <v>n/a</v>
      </c>
      <c r="AD50" s="147" t="str">
        <f t="shared" si="108"/>
        <v>n/a</v>
      </c>
      <c r="AE50" s="158">
        <f t="shared" si="109"/>
        <v>2.5972441722639275</v>
      </c>
      <c r="AF50" s="154">
        <v>47798</v>
      </c>
      <c r="AG50" s="82">
        <v>38626</v>
      </c>
      <c r="AH50" s="82">
        <v>15637</v>
      </c>
      <c r="AI50" s="68">
        <v>0</v>
      </c>
      <c r="AJ50" s="68">
        <v>0</v>
      </c>
      <c r="AK50" s="78">
        <v>20248</v>
      </c>
      <c r="AM50" s="122"/>
    </row>
    <row r="51" spans="3:39" s="123" customFormat="1" ht="12" thickBot="1">
      <c r="C51" s="35" t="s">
        <v>12</v>
      </c>
      <c r="D51" s="36"/>
      <c r="E51" s="37"/>
      <c r="F51" s="75">
        <f t="shared" ref="F51:L52" si="110">F37+F40+F43+F46+F49</f>
        <v>648</v>
      </c>
      <c r="G51" s="75">
        <f t="shared" si="110"/>
        <v>590</v>
      </c>
      <c r="H51" s="75">
        <f t="shared" si="110"/>
        <v>377</v>
      </c>
      <c r="I51" s="75">
        <f t="shared" si="110"/>
        <v>273</v>
      </c>
      <c r="J51" s="75">
        <f t="shared" si="110"/>
        <v>207</v>
      </c>
      <c r="K51" s="75">
        <f t="shared" si="110"/>
        <v>6</v>
      </c>
      <c r="L51" s="75">
        <f t="shared" si="110"/>
        <v>277</v>
      </c>
      <c r="M51" s="66">
        <f t="shared" si="98"/>
        <v>9.8305084745762716E-2</v>
      </c>
      <c r="N51" s="66">
        <f t="shared" si="99"/>
        <v>0.71883289124668437</v>
      </c>
      <c r="O51" s="66">
        <f t="shared" si="100"/>
        <v>1.3736263736263736</v>
      </c>
      <c r="P51" s="66">
        <f t="shared" si="101"/>
        <v>2.1304347826086958</v>
      </c>
      <c r="Q51" s="66">
        <f t="shared" si="102"/>
        <v>107</v>
      </c>
      <c r="R51" s="66">
        <f t="shared" si="103"/>
        <v>1.3393501805054151</v>
      </c>
      <c r="S51" s="75">
        <f>S37+S40+S43+S46+S49</f>
        <v>5038</v>
      </c>
      <c r="T51" s="75">
        <f>T37+T40+T43+T46+T49</f>
        <v>4653</v>
      </c>
      <c r="U51" s="75">
        <f>U37+U40+U43+U46+U49</f>
        <v>3565</v>
      </c>
      <c r="V51" s="75">
        <f t="shared" ref="U51:Y52" si="111">V37+V40+V43+V46+V49</f>
        <v>2989</v>
      </c>
      <c r="W51" s="75">
        <f t="shared" si="111"/>
        <v>1037</v>
      </c>
      <c r="X51" s="75">
        <f t="shared" si="111"/>
        <v>93</v>
      </c>
      <c r="Y51" s="75">
        <f t="shared" si="111"/>
        <v>2676</v>
      </c>
      <c r="Z51" s="66">
        <f t="shared" si="104"/>
        <v>8.2742316784869985E-2</v>
      </c>
      <c r="AA51" s="66">
        <f>IFERROR(S51/U51-1,"n/a")</f>
        <v>0.41318373071528747</v>
      </c>
      <c r="AB51" s="66">
        <f t="shared" si="106"/>
        <v>0.68551354968216804</v>
      </c>
      <c r="AC51" s="66">
        <f t="shared" si="107"/>
        <v>3.8582449373191903</v>
      </c>
      <c r="AD51" s="66">
        <f t="shared" si="108"/>
        <v>53.172043010752688</v>
      </c>
      <c r="AE51" s="66">
        <f t="shared" si="109"/>
        <v>0.88266068759342309</v>
      </c>
      <c r="AF51" s="46">
        <f t="shared" ref="AF51:AJ52" si="112">AF37+AF40+AF43+AF46+AF49</f>
        <v>6221</v>
      </c>
      <c r="AG51" s="46">
        <f t="shared" si="112"/>
        <v>4589</v>
      </c>
      <c r="AH51" s="46">
        <f t="shared" si="112"/>
        <v>3856</v>
      </c>
      <c r="AI51" s="46">
        <f t="shared" si="112"/>
        <v>1673</v>
      </c>
      <c r="AJ51" s="46">
        <f t="shared" si="112"/>
        <v>669</v>
      </c>
      <c r="AK51" s="80">
        <f>AK37+AK40+AK43+AK46+AK49</f>
        <v>3241</v>
      </c>
      <c r="AM51" s="122"/>
    </row>
    <row r="52" spans="3:39" s="123" customFormat="1" ht="12.75" thickTop="1" thickBot="1">
      <c r="C52" s="38" t="s">
        <v>13</v>
      </c>
      <c r="D52" s="39"/>
      <c r="E52" s="40"/>
      <c r="F52" s="76">
        <f t="shared" si="110"/>
        <v>1761680</v>
      </c>
      <c r="G52" s="76">
        <f t="shared" si="110"/>
        <v>1573812</v>
      </c>
      <c r="H52" s="76">
        <f t="shared" si="110"/>
        <v>1087969</v>
      </c>
      <c r="I52" s="76">
        <f t="shared" si="110"/>
        <v>762932</v>
      </c>
      <c r="J52" s="76">
        <f t="shared" si="110"/>
        <v>307043</v>
      </c>
      <c r="K52" s="76">
        <f t="shared" si="110"/>
        <v>2141</v>
      </c>
      <c r="L52" s="76">
        <f t="shared" si="110"/>
        <v>632077</v>
      </c>
      <c r="M52" s="67">
        <f t="shared" si="98"/>
        <v>0.11937130991503442</v>
      </c>
      <c r="N52" s="67">
        <f t="shared" si="99"/>
        <v>0.61923731282784722</v>
      </c>
      <c r="O52" s="67">
        <f t="shared" si="100"/>
        <v>1.3090917670251083</v>
      </c>
      <c r="P52" s="67">
        <f t="shared" si="101"/>
        <v>4.73756770224366</v>
      </c>
      <c r="Q52" s="67">
        <f t="shared" si="102"/>
        <v>821.83045305931807</v>
      </c>
      <c r="R52" s="67">
        <f t="shared" si="103"/>
        <v>1.7871287833602554</v>
      </c>
      <c r="S52" s="76">
        <f t="shared" ref="S52:T52" si="113">S38+S41+S44+S47+S50</f>
        <v>13855862</v>
      </c>
      <c r="T52" s="76">
        <f t="shared" si="113"/>
        <v>13433814.4</v>
      </c>
      <c r="U52" s="76">
        <f t="shared" si="111"/>
        <v>10191279</v>
      </c>
      <c r="V52" s="76">
        <f t="shared" si="111"/>
        <v>6758964</v>
      </c>
      <c r="W52" s="76">
        <f t="shared" si="111"/>
        <v>1538283</v>
      </c>
      <c r="X52" s="76">
        <f t="shared" si="111"/>
        <v>37856</v>
      </c>
      <c r="Y52" s="76">
        <f t="shared" si="111"/>
        <v>7338867</v>
      </c>
      <c r="Z52" s="67">
        <f t="shared" si="104"/>
        <v>3.1416810403454676E-2</v>
      </c>
      <c r="AA52" s="67">
        <f>IFERROR(S52/U52-1,"n/a")</f>
        <v>0.35958028428031463</v>
      </c>
      <c r="AB52" s="67">
        <f t="shared" si="106"/>
        <v>1.0499978990863097</v>
      </c>
      <c r="AC52" s="67">
        <f t="shared" si="107"/>
        <v>8.0073556036177997</v>
      </c>
      <c r="AD52" s="67">
        <f t="shared" si="108"/>
        <v>365.01495139475907</v>
      </c>
      <c r="AE52" s="67">
        <f t="shared" si="109"/>
        <v>0.8880110512971553</v>
      </c>
      <c r="AF52" s="47">
        <f t="shared" si="112"/>
        <v>17650949.399999999</v>
      </c>
      <c r="AG52" s="47">
        <f t="shared" si="112"/>
        <v>13408675</v>
      </c>
      <c r="AH52" s="47">
        <f t="shared" si="112"/>
        <v>9237323</v>
      </c>
      <c r="AI52" s="47">
        <f t="shared" si="112"/>
        <v>2410085</v>
      </c>
      <c r="AJ52" s="47">
        <f t="shared" si="112"/>
        <v>1324261</v>
      </c>
      <c r="AK52" s="81">
        <f>AK38+AK41+AK44+AK47+AK50</f>
        <v>8638971</v>
      </c>
      <c r="AM52" s="122"/>
    </row>
    <row r="53" spans="3:39" s="123" customFormat="1" ht="12" thickTop="1">
      <c r="S53" s="128">
        <f>S51-F51-'Nov-25'!S51</f>
        <v>0</v>
      </c>
      <c r="T53" s="128">
        <f>T51-G51-'Nov-25'!T51</f>
        <v>0</v>
      </c>
      <c r="U53" s="128">
        <f>U51-H51-'Nov-25'!U51</f>
        <v>0</v>
      </c>
      <c r="V53" s="128">
        <f>V51-I51-'Nov-25'!V51</f>
        <v>0</v>
      </c>
      <c r="W53" s="128">
        <f>W51-J51-'Nov-25'!W51</f>
        <v>0</v>
      </c>
      <c r="X53" s="128">
        <f>X51-K51-'Nov-25'!X51</f>
        <v>0</v>
      </c>
      <c r="Y53" s="128">
        <f>Y51-L51-'Nov-25'!Y51</f>
        <v>0</v>
      </c>
      <c r="AM53" s="122"/>
    </row>
    <row r="54" spans="3:39" s="123" customFormat="1" ht="11.25">
      <c r="F54" s="131"/>
      <c r="S54" s="128">
        <f>S52-F52-'Nov-25'!S52+587</f>
        <v>0</v>
      </c>
      <c r="T54" s="128">
        <f>T52-G52-'Nov-25'!T52</f>
        <v>0</v>
      </c>
      <c r="U54" s="128">
        <f>U52-H52-'Nov-25'!U52</f>
        <v>0</v>
      </c>
      <c r="V54" s="128">
        <f>V52-I52-'Nov-25'!V52</f>
        <v>0</v>
      </c>
      <c r="W54" s="128">
        <f>W52-J52-'Nov-25'!W52</f>
        <v>0</v>
      </c>
      <c r="X54" s="128">
        <f>X52-K52-'Nov-25'!X52</f>
        <v>0</v>
      </c>
      <c r="Y54" s="128">
        <f>Y52-L52-'Nov-25'!Y52</f>
        <v>0</v>
      </c>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F10:R10"/>
    <mergeCell ref="S10:AE10"/>
    <mergeCell ref="F33:R33"/>
    <mergeCell ref="S33:AE33"/>
    <mergeCell ref="AF33:AK33"/>
    <mergeCell ref="AF9:AK9"/>
  </mergeCells>
  <pageMargins left="0.7" right="0.7" top="0.75" bottom="0.75" header="0.3" footer="0.3"/>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D38E-5328-4FA9-90B1-BB1E9E86837D}">
  <dimension ref="A1:AM66"/>
  <sheetViews>
    <sheetView showGridLines="0" topLeftCell="H24" zoomScale="85" zoomScaleNormal="85" workbookViewId="0">
      <selection activeCell="Y37" sqref="Y3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9.14062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Occupancy_2026!AY3</f>
        <v>46154</v>
      </c>
      <c r="AL3" s="25"/>
      <c r="AM3" s="9"/>
    </row>
    <row r="4" spans="1:39" ht="15.75">
      <c r="A4" s="9"/>
      <c r="B4" s="11" t="s">
        <v>7</v>
      </c>
      <c r="C4" s="26"/>
      <c r="D4" s="93" t="s">
        <v>27</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November</v>
      </c>
      <c r="G9" s="167"/>
      <c r="H9" s="167"/>
      <c r="I9" s="167"/>
      <c r="J9" s="167"/>
      <c r="K9" s="167"/>
      <c r="L9" s="167"/>
      <c r="M9" s="167"/>
      <c r="N9" s="167"/>
      <c r="O9" s="167"/>
      <c r="P9" s="167"/>
      <c r="Q9" s="167"/>
      <c r="R9" s="168"/>
      <c r="S9" s="169" t="str">
        <f xml:space="preserve"> "January to "&amp; F9</f>
        <v>January to November</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312</v>
      </c>
      <c r="G13" s="71">
        <v>284</v>
      </c>
      <c r="H13" s="73">
        <v>165</v>
      </c>
      <c r="I13" s="73">
        <v>144</v>
      </c>
      <c r="J13" s="73">
        <v>115</v>
      </c>
      <c r="K13" s="73">
        <v>0</v>
      </c>
      <c r="L13" s="73">
        <v>172</v>
      </c>
      <c r="M13" s="64">
        <f>IFERROR(F13/G13-1,"n/a")</f>
        <v>9.8591549295774739E-2</v>
      </c>
      <c r="N13" s="64">
        <f>IFERROR(F13/H13-1,"n/a")</f>
        <v>0.89090909090909087</v>
      </c>
      <c r="O13" s="64">
        <f>IFERROR(F13/I13-1,"n/a")</f>
        <v>1.1666666666666665</v>
      </c>
      <c r="P13" s="64">
        <f>IFERROR(F13/J13-1,"n/a")</f>
        <v>1.7130434782608694</v>
      </c>
      <c r="Q13" s="64" t="str">
        <f>IFERROR(F13/K13-1,"n/a")</f>
        <v>n/a</v>
      </c>
      <c r="R13" s="60">
        <f>IFERROR(F13/L13-1,"n/a")</f>
        <v>0.81395348837209291</v>
      </c>
      <c r="S13" s="68">
        <f>'Oct-25'!S13+F13-1</f>
        <v>2549</v>
      </c>
      <c r="T13" s="68">
        <f>'Oct-25'!T13+G13</f>
        <v>2093</v>
      </c>
      <c r="U13" s="68">
        <f>'Oct-25'!U13+H13</f>
        <v>1401</v>
      </c>
      <c r="V13" s="68">
        <f>'Oct-25'!V13+I13</f>
        <v>1295</v>
      </c>
      <c r="W13" s="68">
        <f>'Oct-25'!W13+J13</f>
        <v>343</v>
      </c>
      <c r="X13" s="68">
        <f>'Oct-25'!X13+K13</f>
        <v>551</v>
      </c>
      <c r="Y13" s="68">
        <f>'Oct-25'!Y13+L13</f>
        <v>1384</v>
      </c>
      <c r="Z13" s="64">
        <f>IFERROR(S13/T13-1,"n/a")</f>
        <v>0.21786908743430478</v>
      </c>
      <c r="AA13" s="64">
        <f>IFERROR(S13/U13-1,"n/a")</f>
        <v>0.81941470378301218</v>
      </c>
      <c r="AB13" s="64">
        <f>IFERROR(S13/V13-1,"n/a")</f>
        <v>0.96833976833976831</v>
      </c>
      <c r="AC13" s="64">
        <f>IFERROR(S13/W13-1,"n/a")</f>
        <v>6.4314868804664727</v>
      </c>
      <c r="AD13" s="64">
        <f>IFERROR(S13/X13-1,"n/a")</f>
        <v>3.626134301270417</v>
      </c>
      <c r="AE13" s="60">
        <f>IFERROR(S13/Y13-1,"n/a")</f>
        <v>0.84176300578034691</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921237</v>
      </c>
      <c r="G14" s="71">
        <v>776442</v>
      </c>
      <c r="H14" s="73">
        <v>497550</v>
      </c>
      <c r="I14" s="73">
        <v>410205</v>
      </c>
      <c r="J14" s="73">
        <v>185964</v>
      </c>
      <c r="K14" s="73">
        <v>0</v>
      </c>
      <c r="L14" s="73">
        <v>421184</v>
      </c>
      <c r="M14" s="64">
        <f>IFERROR(F14/G14-1,"n/a")</f>
        <v>0.1864852751396755</v>
      </c>
      <c r="N14" s="64">
        <f>IFERROR(F14/H14-1,"n/a")</f>
        <v>0.85154657823334334</v>
      </c>
      <c r="O14" s="64">
        <f>IFERROR(F14/I14-1,"n/a")</f>
        <v>1.245796613888178</v>
      </c>
      <c r="P14" s="64">
        <f>IFERROR(F14/J14-1,"n/a")</f>
        <v>3.9538459056591595</v>
      </c>
      <c r="Q14" s="64" t="str">
        <f>IFERROR(F14/K14-1,"n/a")</f>
        <v>n/a</v>
      </c>
      <c r="R14" s="60">
        <f>IFERROR(F14/L14-1,"n/a")</f>
        <v>1.1872554512991949</v>
      </c>
      <c r="S14" s="68">
        <f>'Oct-25'!S14+F14-6577-211</f>
        <v>8075561</v>
      </c>
      <c r="T14" s="68">
        <f>'Oct-25'!T14+G14</f>
        <v>6974408</v>
      </c>
      <c r="U14" s="68">
        <f>'Oct-25'!U14+H14</f>
        <v>4566256</v>
      </c>
      <c r="V14" s="68">
        <f>'Oct-25'!V14+I14</f>
        <v>3074094</v>
      </c>
      <c r="W14" s="68">
        <f>'Oct-25'!W14+J14</f>
        <v>509984</v>
      </c>
      <c r="X14" s="68">
        <f>'Oct-25'!X14+K14</f>
        <v>1092884</v>
      </c>
      <c r="Y14" s="68">
        <f>'Oct-25'!Y14+L14</f>
        <v>4064465</v>
      </c>
      <c r="Z14" s="64">
        <f>IFERROR(S14/T14-1,"n/a")</f>
        <v>0.15788479825097701</v>
      </c>
      <c r="AA14" s="64">
        <f>IFERROR(S14/U14-1,"n/a")</f>
        <v>0.76853006051347106</v>
      </c>
      <c r="AB14" s="64">
        <f>IFERROR(S14/V14-1,"n/a")</f>
        <v>1.6269726950444587</v>
      </c>
      <c r="AC14" s="64">
        <f>IFERROR(S14/W14-1,"n/a")</f>
        <v>14.834930115454602</v>
      </c>
      <c r="AD14" s="64">
        <f>IFERROR(S14/X14-1,"n/a")</f>
        <v>6.3892206309178281</v>
      </c>
      <c r="AE14" s="60">
        <f>IFERROR(S14/Y14-1,"n/a")</f>
        <v>0.98686936657100022</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64</v>
      </c>
      <c r="G16" s="71">
        <v>59</v>
      </c>
      <c r="H16" s="73">
        <v>49</v>
      </c>
      <c r="I16" s="73">
        <v>27</v>
      </c>
      <c r="J16" s="73">
        <v>28</v>
      </c>
      <c r="K16" s="73">
        <v>10</v>
      </c>
      <c r="L16" s="73">
        <v>29</v>
      </c>
      <c r="M16" s="64">
        <f t="shared" ref="M16:M17" si="0">IFERROR(F16/G16-1,"n/a")</f>
        <v>8.4745762711864403E-2</v>
      </c>
      <c r="N16" s="64">
        <f t="shared" ref="N16:N17" si="1">IFERROR(F16/H16-1,"n/a")</f>
        <v>0.30612244897959173</v>
      </c>
      <c r="O16" s="64">
        <f t="shared" ref="O16:O17" si="2">IFERROR(F16/I16-1,"n/a")</f>
        <v>1.3703703703703702</v>
      </c>
      <c r="P16" s="64">
        <f t="shared" ref="P16:P17" si="3">IFERROR(F16/J16-1,"n/a")</f>
        <v>1.2857142857142856</v>
      </c>
      <c r="Q16" s="64">
        <f t="shared" ref="Q16:Q17" si="4">IFERROR(F16/K16-1,"n/a")</f>
        <v>5.4</v>
      </c>
      <c r="R16" s="60">
        <f t="shared" ref="R16:R17" si="5">IFERROR(F16/L16-1,"n/a")</f>
        <v>1.2068965517241379</v>
      </c>
      <c r="S16" s="68">
        <f>'Oct-25'!S16+F16</f>
        <v>978</v>
      </c>
      <c r="T16" s="68">
        <f>'Oct-25'!T16+G16</f>
        <v>780</v>
      </c>
      <c r="U16" s="68">
        <f>'Oct-25'!U16+H16</f>
        <v>562</v>
      </c>
      <c r="V16" s="68">
        <f>'Oct-25'!V16+I16</f>
        <v>567</v>
      </c>
      <c r="W16" s="68">
        <f>'Oct-25'!W16+J16</f>
        <v>197</v>
      </c>
      <c r="X16" s="68">
        <f>'Oct-25'!X16+K16</f>
        <v>48</v>
      </c>
      <c r="Y16" s="68">
        <f>'Oct-25'!Y16+L16</f>
        <v>546</v>
      </c>
      <c r="Z16" s="64">
        <f t="shared" ref="Z16:Z17" si="6">IFERROR(S16/T16-1,"n/a")</f>
        <v>0.25384615384615383</v>
      </c>
      <c r="AA16" s="64">
        <f t="shared" ref="AA16:AA17" si="7">IFERROR(S16/U16-1,"n/a")</f>
        <v>0.74021352313167266</v>
      </c>
      <c r="AB16" s="64">
        <f t="shared" ref="AB16:AB17" si="8">IFERROR(S16/V16-1,"n/a")</f>
        <v>0.72486772486772488</v>
      </c>
      <c r="AC16" s="64">
        <f t="shared" ref="AC16:AC17" si="9">IFERROR(S16/W16-1,"n/a")</f>
        <v>3.9644670050761421</v>
      </c>
      <c r="AD16" s="64">
        <f t="shared" ref="AD16:AD17" si="10">IFERROR(S16/X16-1,"n/a")</f>
        <v>19.375</v>
      </c>
      <c r="AE16" s="60">
        <f t="shared" ref="AE16:AE17" si="11">IFERROR(S16/Y16-1,"n/a")</f>
        <v>0.79120879120879128</v>
      </c>
      <c r="AF16" s="68">
        <v>797</v>
      </c>
      <c r="AG16" s="68">
        <v>575</v>
      </c>
      <c r="AH16" s="68">
        <v>572</v>
      </c>
      <c r="AI16" s="68">
        <v>202</v>
      </c>
      <c r="AJ16" s="68">
        <v>54</v>
      </c>
      <c r="AK16" s="134">
        <v>586</v>
      </c>
      <c r="AL16" s="122"/>
      <c r="AM16" s="122"/>
    </row>
    <row r="17" spans="1:39" s="123" customFormat="1" ht="12.75">
      <c r="A17" s="122"/>
      <c r="B17" s="127"/>
      <c r="C17" s="33"/>
      <c r="D17" s="26" t="s">
        <v>11</v>
      </c>
      <c r="E17" s="32"/>
      <c r="F17" s="71">
        <v>106049</v>
      </c>
      <c r="G17" s="71">
        <v>100476</v>
      </c>
      <c r="H17" s="73">
        <v>98994</v>
      </c>
      <c r="I17" s="73">
        <v>51003</v>
      </c>
      <c r="J17" s="73">
        <v>29456</v>
      </c>
      <c r="K17" s="73">
        <v>4854</v>
      </c>
      <c r="L17" s="73">
        <v>37844</v>
      </c>
      <c r="M17" s="64">
        <f t="shared" si="0"/>
        <v>5.5465981926032137E-2</v>
      </c>
      <c r="N17" s="64">
        <f t="shared" si="1"/>
        <v>7.1266945471442744E-2</v>
      </c>
      <c r="O17" s="64">
        <f t="shared" si="2"/>
        <v>1.0792698468717528</v>
      </c>
      <c r="P17" s="64">
        <f t="shared" si="3"/>
        <v>2.6002512221618685</v>
      </c>
      <c r="Q17" s="64">
        <f t="shared" si="4"/>
        <v>20.847754429336629</v>
      </c>
      <c r="R17" s="60">
        <f t="shared" si="5"/>
        <v>1.8022672021984989</v>
      </c>
      <c r="S17" s="68">
        <f>'Oct-25'!S17+F17+11</f>
        <v>2368351</v>
      </c>
      <c r="T17" s="68">
        <f>'Oct-25'!T17+G17</f>
        <v>2023574</v>
      </c>
      <c r="U17" s="68">
        <f>'Oct-25'!U17+H17</f>
        <v>1631924</v>
      </c>
      <c r="V17" s="68">
        <f>'Oct-25'!V17+I17</f>
        <v>947540</v>
      </c>
      <c r="W17" s="68">
        <f>'Oct-25'!W17+J17</f>
        <v>288787</v>
      </c>
      <c r="X17" s="68">
        <f>'Oct-25'!X17+K17</f>
        <v>68534</v>
      </c>
      <c r="Y17" s="68">
        <f>'Oct-25'!Y17+L17</f>
        <v>1342797</v>
      </c>
      <c r="Z17" s="64">
        <f t="shared" si="6"/>
        <v>0.17038022824962162</v>
      </c>
      <c r="AA17" s="64">
        <f t="shared" si="7"/>
        <v>0.45126304901453751</v>
      </c>
      <c r="AB17" s="64">
        <f t="shared" si="8"/>
        <v>1.4994733731557508</v>
      </c>
      <c r="AC17" s="64">
        <f t="shared" si="9"/>
        <v>7.20103051730168</v>
      </c>
      <c r="AD17" s="64">
        <f t="shared" si="10"/>
        <v>33.557314617562085</v>
      </c>
      <c r="AE17" s="60">
        <f t="shared" si="11"/>
        <v>0.76374463154147643</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37</v>
      </c>
      <c r="G19" s="71">
        <v>25</v>
      </c>
      <c r="H19" s="73">
        <v>39</v>
      </c>
      <c r="I19" s="73">
        <v>39</v>
      </c>
      <c r="J19" s="73">
        <v>13</v>
      </c>
      <c r="K19" s="73">
        <v>1</v>
      </c>
      <c r="L19" s="73">
        <v>15</v>
      </c>
      <c r="M19" s="64">
        <f t="shared" ref="M19:M20" si="12">IFERROR(F19/G19-1,"n/a")</f>
        <v>0.48</v>
      </c>
      <c r="N19" s="64">
        <f t="shared" ref="N19:N20" si="13">IFERROR(F19/H19-1,"n/a")</f>
        <v>-5.1282051282051322E-2</v>
      </c>
      <c r="O19" s="64">
        <f t="shared" ref="O19:O20" si="14">IFERROR(F19/I19-1,"n/a")</f>
        <v>-5.1282051282051322E-2</v>
      </c>
      <c r="P19" s="64">
        <f t="shared" ref="P19:P20" si="15">IFERROR(F19/J19-1,"n/a")</f>
        <v>1.8461538461538463</v>
      </c>
      <c r="Q19" s="64">
        <f t="shared" ref="Q19:Q20" si="16">IFERROR(F19/K19-1,"n/a")</f>
        <v>36</v>
      </c>
      <c r="R19" s="60">
        <f t="shared" ref="R19:R20" si="17">IFERROR(F19/L19-1,"n/a")</f>
        <v>1.4666666666666668</v>
      </c>
      <c r="S19" s="68">
        <f>'Oct-25'!S19+F19</f>
        <v>854</v>
      </c>
      <c r="T19" s="68">
        <f>'Oct-25'!T19+G19</f>
        <v>727</v>
      </c>
      <c r="U19" s="68">
        <f>'Oct-25'!U19+H19</f>
        <v>700</v>
      </c>
      <c r="V19" s="68">
        <f>'Oct-25'!V19+I19</f>
        <v>649</v>
      </c>
      <c r="W19" s="68">
        <f>'Oct-25'!W19+J19</f>
        <v>44</v>
      </c>
      <c r="X19" s="68">
        <f>'Oct-25'!X19+K19</f>
        <v>10</v>
      </c>
      <c r="Y19" s="68">
        <f>'Oct-25'!Y19+L19</f>
        <v>280</v>
      </c>
      <c r="Z19" s="64">
        <f t="shared" ref="Z19:Z20" si="18">IFERROR(S19/T19-1,"n/a")</f>
        <v>0.17469050894085281</v>
      </c>
      <c r="AA19" s="64">
        <f t="shared" ref="AA19:AA20" si="19">IFERROR(S19/U19-1,"n/a")</f>
        <v>0.21999999999999997</v>
      </c>
      <c r="AB19" s="64">
        <f t="shared" ref="AB19:AB20" si="20">IFERROR(S19/V19-1,"n/a")</f>
        <v>0.31587057010785835</v>
      </c>
      <c r="AC19" s="64">
        <f t="shared" ref="AC19:AC20" si="21">IFERROR(S19/W19-1,"n/a")</f>
        <v>18.40909090909091</v>
      </c>
      <c r="AD19" s="64">
        <f t="shared" ref="AD19:AD20" si="22">IFERROR(S19/X19-1,"n/a")</f>
        <v>84.4</v>
      </c>
      <c r="AE19" s="60">
        <f t="shared" ref="AE19:AE20" si="23">IFERROR(S19/Y19-1,"n/a")</f>
        <v>2.0499999999999998</v>
      </c>
      <c r="AF19" s="68">
        <v>733</v>
      </c>
      <c r="AG19" s="68">
        <v>708</v>
      </c>
      <c r="AH19" s="68">
        <v>658</v>
      </c>
      <c r="AI19" s="68">
        <v>47</v>
      </c>
      <c r="AJ19" s="68">
        <v>9</v>
      </c>
      <c r="AK19" s="134">
        <v>290</v>
      </c>
      <c r="AL19" s="122"/>
      <c r="AM19" s="122"/>
    </row>
    <row r="20" spans="1:39" s="123" customFormat="1" ht="12.75">
      <c r="A20" s="122"/>
      <c r="B20" s="127"/>
      <c r="C20" s="33"/>
      <c r="D20" s="26" t="s">
        <v>11</v>
      </c>
      <c r="E20" s="32"/>
      <c r="F20" s="71">
        <v>43680</v>
      </c>
      <c r="G20" s="71">
        <v>33600</v>
      </c>
      <c r="H20" s="73">
        <v>44881</v>
      </c>
      <c r="I20" s="73">
        <v>43590</v>
      </c>
      <c r="J20" s="73">
        <v>5685</v>
      </c>
      <c r="K20" s="73">
        <v>0</v>
      </c>
      <c r="L20" s="73">
        <v>20135</v>
      </c>
      <c r="M20" s="64">
        <f t="shared" si="12"/>
        <v>0.30000000000000004</v>
      </c>
      <c r="N20" s="64">
        <f t="shared" si="13"/>
        <v>-2.6759653305407638E-2</v>
      </c>
      <c r="O20" s="64">
        <f t="shared" si="14"/>
        <v>2.0646937370956131E-3</v>
      </c>
      <c r="P20" s="64">
        <f t="shared" si="15"/>
        <v>6.683377308707124</v>
      </c>
      <c r="Q20" s="64" t="str">
        <f t="shared" si="16"/>
        <v>n/a</v>
      </c>
      <c r="R20" s="60">
        <f t="shared" si="17"/>
        <v>1.1693568413210826</v>
      </c>
      <c r="S20" s="68">
        <f>'Oct-25'!S20+F20-5</f>
        <v>1719111</v>
      </c>
      <c r="T20" s="68">
        <f>'Oct-25'!T20+G20</f>
        <v>1488063.4</v>
      </c>
      <c r="U20" s="68">
        <f>'Oct-25'!U20+H20</f>
        <v>1270123</v>
      </c>
      <c r="V20" s="68">
        <f>'Oct-25'!V20+I20</f>
        <v>880732</v>
      </c>
      <c r="W20" s="68">
        <f>'Oct-25'!W20+J20</f>
        <v>16677</v>
      </c>
      <c r="X20" s="68">
        <f>'Oct-25'!X20+K20</f>
        <v>10047</v>
      </c>
      <c r="Y20" s="68">
        <f>'Oct-25'!Y20+L20</f>
        <v>575143</v>
      </c>
      <c r="Z20" s="64">
        <f t="shared" si="18"/>
        <v>0.15526730917513332</v>
      </c>
      <c r="AA20" s="64">
        <f t="shared" si="19"/>
        <v>0.35349962169018267</v>
      </c>
      <c r="AB20" s="64">
        <f t="shared" si="20"/>
        <v>0.9519115917214318</v>
      </c>
      <c r="AC20" s="64">
        <f t="shared" si="21"/>
        <v>102.0827486958086</v>
      </c>
      <c r="AD20" s="64">
        <f t="shared" si="22"/>
        <v>170.10689758136758</v>
      </c>
      <c r="AE20" s="60">
        <f t="shared" si="23"/>
        <v>1.9890149058581952</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256</v>
      </c>
      <c r="G22" s="71">
        <v>287</v>
      </c>
      <c r="H22" s="73">
        <v>210</v>
      </c>
      <c r="I22" s="73">
        <v>130</v>
      </c>
      <c r="J22" s="73">
        <v>67</v>
      </c>
      <c r="K22" s="73">
        <v>0</v>
      </c>
      <c r="L22" s="73">
        <v>95</v>
      </c>
      <c r="M22" s="64">
        <f t="shared" ref="M22:M23" si="24">IFERROR(F22/G22-1,"n/a")</f>
        <v>-0.10801393728222997</v>
      </c>
      <c r="N22" s="64">
        <f t="shared" ref="N22:N23" si="25">IFERROR(F22/H22-1,"n/a")</f>
        <v>0.21904761904761916</v>
      </c>
      <c r="O22" s="64">
        <f t="shared" ref="O22:O23" si="26">IFERROR(F22/I22-1,"n/a")</f>
        <v>0.96923076923076934</v>
      </c>
      <c r="P22" s="64">
        <f t="shared" ref="P22:P23" si="27">IFERROR(F22/J22-1,"n/a")</f>
        <v>2.8208955223880596</v>
      </c>
      <c r="Q22" s="64" t="str">
        <f t="shared" ref="Q22:Q23" si="28">IFERROR(F22/K22-1,"n/a")</f>
        <v>n/a</v>
      </c>
      <c r="R22" s="60">
        <f t="shared" ref="R22:R23" si="29">IFERROR(F22/L22-1,"n/a")</f>
        <v>1.6947368421052631</v>
      </c>
      <c r="S22" s="68">
        <f>'Oct-25'!S22+F22</f>
        <v>1551</v>
      </c>
      <c r="T22" s="68">
        <f>'Oct-25'!T22+G22</f>
        <v>1474</v>
      </c>
      <c r="U22" s="68">
        <f>'Oct-25'!U22+H22</f>
        <v>1371</v>
      </c>
      <c r="V22" s="68">
        <f>'Oct-25'!V22+I22</f>
        <v>827</v>
      </c>
      <c r="W22" s="68">
        <f>'Oct-25'!W22+J22</f>
        <v>258</v>
      </c>
      <c r="X22" s="68">
        <f>'Oct-25'!X22+K22</f>
        <v>43</v>
      </c>
      <c r="Y22" s="68">
        <f>'Oct-25'!Y22+L22</f>
        <v>807</v>
      </c>
      <c r="Z22" s="64">
        <f t="shared" ref="Z22:Z23" si="30">IFERROR(S22/T22-1,"n/a")</f>
        <v>5.2238805970149294E-2</v>
      </c>
      <c r="AA22" s="64">
        <f t="shared" ref="AA22:AA23" si="31">IFERROR(S22/U22-1,"n/a")</f>
        <v>0.13129102844638951</v>
      </c>
      <c r="AB22" s="64">
        <f t="shared" ref="AB22:AB23" si="32">IFERROR(S22/V22-1,"n/a")</f>
        <v>0.87545344619105192</v>
      </c>
      <c r="AC22" s="64">
        <f t="shared" ref="AC22:AC23" si="33">IFERROR(S22/W22-1,"n/a")</f>
        <v>5.0116279069767442</v>
      </c>
      <c r="AD22" s="64">
        <f t="shared" ref="AD22:AD23" si="34">IFERROR(S22/X22-1,"n/a")</f>
        <v>35.069767441860463</v>
      </c>
      <c r="AE22" s="60">
        <f t="shared" ref="AE22:AE23" si="35">IFERROR(S22/Y22-1,"n/a")</f>
        <v>0.92193308550185882</v>
      </c>
      <c r="AF22" s="68">
        <v>1651</v>
      </c>
      <c r="AG22" s="68">
        <v>1500</v>
      </c>
      <c r="AH22" s="68">
        <v>895</v>
      </c>
      <c r="AI22" s="68">
        <v>283</v>
      </c>
      <c r="AJ22" s="68">
        <v>43</v>
      </c>
      <c r="AK22" s="134">
        <v>827</v>
      </c>
      <c r="AL22" s="122"/>
      <c r="AM22" s="122"/>
    </row>
    <row r="23" spans="1:39" s="123" customFormat="1" ht="12.75">
      <c r="A23" s="122"/>
      <c r="B23" s="127"/>
      <c r="C23" s="33"/>
      <c r="D23" s="26" t="s">
        <v>11</v>
      </c>
      <c r="E23" s="32"/>
      <c r="F23" s="71">
        <v>525436</v>
      </c>
      <c r="G23" s="71">
        <v>699889</v>
      </c>
      <c r="H23" s="73">
        <v>507202</v>
      </c>
      <c r="I23" s="73">
        <v>274849</v>
      </c>
      <c r="J23" s="73">
        <v>83507</v>
      </c>
      <c r="K23" s="73">
        <v>0</v>
      </c>
      <c r="L23" s="73">
        <v>263747</v>
      </c>
      <c r="M23" s="64">
        <f t="shared" si="24"/>
        <v>-0.24925809664103882</v>
      </c>
      <c r="N23" s="64">
        <f t="shared" si="25"/>
        <v>3.5950173698053201E-2</v>
      </c>
      <c r="O23" s="64">
        <f t="shared" si="26"/>
        <v>0.91172607504484282</v>
      </c>
      <c r="P23" s="64">
        <f t="shared" si="27"/>
        <v>5.2921192235381467</v>
      </c>
      <c r="Q23" s="64" t="str">
        <f t="shared" si="28"/>
        <v>n/a</v>
      </c>
      <c r="R23" s="60">
        <f t="shared" si="29"/>
        <v>0.99219706764437121</v>
      </c>
      <c r="S23" s="68">
        <f>'Oct-25'!S23+F23-1676</f>
        <v>4066609</v>
      </c>
      <c r="T23" s="68">
        <f>'Oct-25'!T23+G23</f>
        <v>4563353</v>
      </c>
      <c r="U23" s="68">
        <f>'Oct-25'!U23+H23</f>
        <v>4074740</v>
      </c>
      <c r="V23" s="68">
        <f>'Oct-25'!V23+I23</f>
        <v>1945734</v>
      </c>
      <c r="W23" s="68">
        <f>'Oct-25'!W23+J23</f>
        <v>425895</v>
      </c>
      <c r="X23" s="68">
        <f>'Oct-25'!X23+K23</f>
        <v>140552</v>
      </c>
      <c r="Y23" s="68">
        <f>'Oct-25'!Y23+L23</f>
        <v>2493999</v>
      </c>
      <c r="Z23" s="64">
        <f t="shared" si="30"/>
        <v>-0.1088550458401969</v>
      </c>
      <c r="AA23" s="64">
        <f t="shared" si="31"/>
        <v>-1.9954647413086279E-3</v>
      </c>
      <c r="AB23" s="64">
        <f t="shared" si="32"/>
        <v>1.0900128177849595</v>
      </c>
      <c r="AC23" s="64">
        <f t="shared" si="33"/>
        <v>8.5483839913593727</v>
      </c>
      <c r="AD23" s="64">
        <f t="shared" si="34"/>
        <v>27.933127952643861</v>
      </c>
      <c r="AE23" s="60">
        <f t="shared" si="35"/>
        <v>0.63055759044009241</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0</v>
      </c>
      <c r="G25" s="71">
        <v>0</v>
      </c>
      <c r="H25" s="73">
        <v>0</v>
      </c>
      <c r="I25" s="73">
        <v>0</v>
      </c>
      <c r="J25" s="73">
        <v>0</v>
      </c>
      <c r="K25" s="73">
        <v>0</v>
      </c>
      <c r="L25" s="73">
        <v>0</v>
      </c>
      <c r="M25" s="64" t="str">
        <f t="shared" ref="M25:M28" si="36">IFERROR(F25/G25-1,"n/a")</f>
        <v>n/a</v>
      </c>
      <c r="N25" s="64" t="str">
        <f t="shared" ref="N25:N28" si="37">IFERROR(F25/H25-1,"n/a")</f>
        <v>n/a</v>
      </c>
      <c r="O25" s="64" t="str">
        <f t="shared" ref="O25:O28" si="38">IFERROR(F25/I25-1,"n/a")</f>
        <v>n/a</v>
      </c>
      <c r="P25" s="64" t="str">
        <f t="shared" ref="P25:P28" si="39">IFERROR(F25/J25-1,"n/a")</f>
        <v>n/a</v>
      </c>
      <c r="Q25" s="64" t="str">
        <f t="shared" ref="Q25:Q28" si="40">IFERROR(F25/K25-1,"n/a")</f>
        <v>n/a</v>
      </c>
      <c r="R25" s="60" t="str">
        <f t="shared" ref="R25:R28" si="41">IFERROR(F25/L25-1,"n/a")</f>
        <v>n/a</v>
      </c>
      <c r="S25" s="68">
        <f>'Oct-25'!S25+F25</f>
        <v>23</v>
      </c>
      <c r="T25" s="68">
        <f>'Oct-25'!T25+G25</f>
        <v>14</v>
      </c>
      <c r="U25" s="68">
        <f>'Oct-25'!U25+H25</f>
        <v>21</v>
      </c>
      <c r="V25" s="68">
        <f>'Oct-25'!V25+I25</f>
        <v>9</v>
      </c>
      <c r="W25" s="68">
        <f>'Oct-25'!W25+J25</f>
        <v>0</v>
      </c>
      <c r="X25" s="68">
        <f>'Oct-25'!X25+K25</f>
        <v>0</v>
      </c>
      <c r="Y25" s="68">
        <f>'Oct-25'!Y25+L25</f>
        <v>16</v>
      </c>
      <c r="Z25" s="64">
        <f t="shared" ref="Z25:Z28" si="42">IFERROR(S25/T25-1,"n/a")</f>
        <v>0.64285714285714279</v>
      </c>
      <c r="AA25" s="64">
        <f t="shared" ref="AA25:AA28" si="43">IFERROR(S25/U25-1,"n/a")</f>
        <v>9.5238095238095344E-2</v>
      </c>
      <c r="AB25" s="64">
        <f t="shared" ref="AB25:AB28" si="44">IFERROR(S25/V25-1,"n/a")</f>
        <v>1.5555555555555554</v>
      </c>
      <c r="AC25" s="64" t="str">
        <f t="shared" ref="AC25:AC28" si="45">IFERROR(S25/W25-1,"n/a")</f>
        <v>n/a</v>
      </c>
      <c r="AD25" s="64" t="str">
        <f t="shared" ref="AD25:AD28" si="46">IFERROR(S25/X25-1,"n/a")</f>
        <v>n/a</v>
      </c>
      <c r="AE25" s="60">
        <f t="shared" ref="AE25:AE28" si="47">IFERROR(S25/Y25-1,"n/a")</f>
        <v>0.4375</v>
      </c>
      <c r="AF25" s="68">
        <v>14</v>
      </c>
      <c r="AG25" s="68">
        <v>21</v>
      </c>
      <c r="AH25" s="68">
        <v>9</v>
      </c>
      <c r="AI25" s="68">
        <v>0</v>
      </c>
      <c r="AJ25" s="68">
        <v>0</v>
      </c>
      <c r="AK25" s="134">
        <v>16</v>
      </c>
      <c r="AL25" s="122"/>
      <c r="AM25" s="122"/>
    </row>
    <row r="26" spans="1:39" s="123" customFormat="1" ht="12.75">
      <c r="A26" s="122"/>
      <c r="B26" s="127"/>
      <c r="C26" s="33"/>
      <c r="D26" s="26" t="s">
        <v>11</v>
      </c>
      <c r="E26" s="32"/>
      <c r="F26" s="71">
        <v>0</v>
      </c>
      <c r="G26" s="71">
        <v>0</v>
      </c>
      <c r="H26" s="73">
        <v>0</v>
      </c>
      <c r="I26" s="73">
        <v>0</v>
      </c>
      <c r="J26" s="73">
        <v>0</v>
      </c>
      <c r="K26" s="73">
        <v>0</v>
      </c>
      <c r="L26" s="73">
        <v>0</v>
      </c>
      <c r="M26" s="64" t="str">
        <f t="shared" si="36"/>
        <v>n/a</v>
      </c>
      <c r="N26" s="64" t="str">
        <f t="shared" si="37"/>
        <v>n/a</v>
      </c>
      <c r="O26" s="64" t="str">
        <f t="shared" si="38"/>
        <v>n/a</v>
      </c>
      <c r="P26" s="64" t="str">
        <f t="shared" si="39"/>
        <v>n/a</v>
      </c>
      <c r="Q26" s="64" t="str">
        <f t="shared" si="40"/>
        <v>n/a</v>
      </c>
      <c r="R26" s="60" t="str">
        <f t="shared" si="41"/>
        <v>n/a</v>
      </c>
      <c r="S26" s="68">
        <f>'Oct-25'!S26+F26</f>
        <v>72837</v>
      </c>
      <c r="T26" s="68">
        <f>'Oct-25'!T26+G26</f>
        <v>47798</v>
      </c>
      <c r="U26" s="68">
        <f>'Oct-25'!U26+H26</f>
        <v>38626</v>
      </c>
      <c r="V26" s="68">
        <f>'Oct-25'!V26+I26</f>
        <v>15637</v>
      </c>
      <c r="W26" s="68">
        <f>'Oct-25'!W26+J26</f>
        <v>0</v>
      </c>
      <c r="X26" s="68">
        <f>'Oct-25'!X26+K26</f>
        <v>0</v>
      </c>
      <c r="Y26" s="68">
        <f>'Oct-25'!Y26+L26</f>
        <v>20248</v>
      </c>
      <c r="Z26" s="64">
        <f t="shared" si="42"/>
        <v>0.523850370308381</v>
      </c>
      <c r="AA26" s="64">
        <f t="shared" si="43"/>
        <v>0.88569875213586702</v>
      </c>
      <c r="AB26" s="64">
        <f t="shared" si="44"/>
        <v>3.6579906631706853</v>
      </c>
      <c r="AC26" s="64" t="str">
        <f t="shared" si="45"/>
        <v>n/a</v>
      </c>
      <c r="AD26" s="64" t="str">
        <f t="shared" si="46"/>
        <v>n/a</v>
      </c>
      <c r="AE26" s="60">
        <f t="shared" si="47"/>
        <v>2.5972441722639275</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669</v>
      </c>
      <c r="G27" s="75">
        <f t="shared" si="48"/>
        <v>655</v>
      </c>
      <c r="H27" s="75">
        <f t="shared" si="48"/>
        <v>463</v>
      </c>
      <c r="I27" s="75">
        <f t="shared" si="48"/>
        <v>340</v>
      </c>
      <c r="J27" s="75">
        <f t="shared" si="48"/>
        <v>223</v>
      </c>
      <c r="K27" s="75">
        <f t="shared" si="48"/>
        <v>11</v>
      </c>
      <c r="L27" s="75">
        <f t="shared" si="48"/>
        <v>311</v>
      </c>
      <c r="M27" s="66">
        <f t="shared" si="36"/>
        <v>2.1374045801526798E-2</v>
      </c>
      <c r="N27" s="66">
        <f t="shared" si="37"/>
        <v>0.44492440604751615</v>
      </c>
      <c r="O27" s="66">
        <f t="shared" si="38"/>
        <v>0.9676470588235293</v>
      </c>
      <c r="P27" s="66">
        <f t="shared" si="39"/>
        <v>2</v>
      </c>
      <c r="Q27" s="66">
        <f t="shared" si="40"/>
        <v>59.81818181818182</v>
      </c>
      <c r="R27" s="62">
        <f t="shared" si="41"/>
        <v>1.1511254019292605</v>
      </c>
      <c r="S27" s="75">
        <f t="shared" ref="S27:Y28" si="49">S13+S16+S19+S22+S25</f>
        <v>5955</v>
      </c>
      <c r="T27" s="75">
        <f t="shared" si="49"/>
        <v>5088</v>
      </c>
      <c r="U27" s="75">
        <f t="shared" si="49"/>
        <v>4055</v>
      </c>
      <c r="V27" s="75">
        <f t="shared" si="49"/>
        <v>3347</v>
      </c>
      <c r="W27" s="75">
        <f t="shared" si="49"/>
        <v>842</v>
      </c>
      <c r="X27" s="75">
        <f t="shared" si="49"/>
        <v>652</v>
      </c>
      <c r="Y27" s="75">
        <f t="shared" si="49"/>
        <v>3033</v>
      </c>
      <c r="Z27" s="66">
        <f t="shared" si="42"/>
        <v>0.17040094339622636</v>
      </c>
      <c r="AA27" s="66">
        <f t="shared" si="43"/>
        <v>0.46855733662145505</v>
      </c>
      <c r="AB27" s="66">
        <f t="shared" si="44"/>
        <v>0.77920525844039434</v>
      </c>
      <c r="AC27" s="66">
        <f t="shared" si="45"/>
        <v>6.0724465558194778</v>
      </c>
      <c r="AD27" s="66">
        <f t="shared" si="46"/>
        <v>8.1334355828220861</v>
      </c>
      <c r="AE27" s="62">
        <f t="shared" si="47"/>
        <v>0.96340257171117716</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1596402</v>
      </c>
      <c r="G28" s="76">
        <f t="shared" si="48"/>
        <v>1610407</v>
      </c>
      <c r="H28" s="76">
        <f t="shared" si="48"/>
        <v>1148627</v>
      </c>
      <c r="I28" s="76">
        <f t="shared" si="48"/>
        <v>779647</v>
      </c>
      <c r="J28" s="76">
        <f t="shared" si="48"/>
        <v>304612</v>
      </c>
      <c r="K28" s="76">
        <f t="shared" si="48"/>
        <v>4854</v>
      </c>
      <c r="L28" s="76">
        <f t="shared" si="48"/>
        <v>742910</v>
      </c>
      <c r="M28" s="67">
        <f t="shared" si="36"/>
        <v>-8.6965593169925359E-3</v>
      </c>
      <c r="N28" s="67">
        <f t="shared" si="37"/>
        <v>0.38983499430189261</v>
      </c>
      <c r="O28" s="67">
        <f t="shared" si="38"/>
        <v>1.0475958991697523</v>
      </c>
      <c r="P28" s="67">
        <f t="shared" si="39"/>
        <v>4.2407718671621604</v>
      </c>
      <c r="Q28" s="67">
        <f t="shared" si="40"/>
        <v>327.88380716934489</v>
      </c>
      <c r="R28" s="63">
        <f t="shared" si="41"/>
        <v>1.1488497933800863</v>
      </c>
      <c r="S28" s="76">
        <f t="shared" si="49"/>
        <v>16302469</v>
      </c>
      <c r="T28" s="76">
        <f t="shared" si="49"/>
        <v>15097196.4</v>
      </c>
      <c r="U28" s="76">
        <f t="shared" si="49"/>
        <v>11581669</v>
      </c>
      <c r="V28" s="76">
        <f t="shared" si="49"/>
        <v>6863737</v>
      </c>
      <c r="W28" s="76">
        <f t="shared" si="49"/>
        <v>1241343</v>
      </c>
      <c r="X28" s="76">
        <f t="shared" si="49"/>
        <v>1312017</v>
      </c>
      <c r="Y28" s="76">
        <f t="shared" si="49"/>
        <v>8496652</v>
      </c>
      <c r="Z28" s="67">
        <f t="shared" si="42"/>
        <v>7.9834200209516926E-2</v>
      </c>
      <c r="AA28" s="67">
        <f t="shared" si="43"/>
        <v>0.40760964589818616</v>
      </c>
      <c r="AB28" s="67">
        <f t="shared" si="44"/>
        <v>1.3751593337565238</v>
      </c>
      <c r="AC28" s="67">
        <f t="shared" si="45"/>
        <v>12.132928610384075</v>
      </c>
      <c r="AD28" s="67">
        <f t="shared" si="46"/>
        <v>11.425501346400237</v>
      </c>
      <c r="AE28" s="63">
        <f t="shared" si="47"/>
        <v>0.91869326883106428</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f>S27-F27-'Oct-25'!S27+1</f>
        <v>0</v>
      </c>
      <c r="T29" s="128">
        <f>T27-G27-'Oct-25'!T27</f>
        <v>0</v>
      </c>
      <c r="U29" s="128">
        <f>U27-H27-'Oct-25'!U27</f>
        <v>0</v>
      </c>
      <c r="V29" s="128">
        <f>V27-I27-'Oct-25'!V27</f>
        <v>0</v>
      </c>
      <c r="W29" s="128">
        <f>W27-J27-'Oct-25'!W27</f>
        <v>0</v>
      </c>
      <c r="X29" s="128">
        <f>X27-K27-'Oct-25'!X27</f>
        <v>0</v>
      </c>
      <c r="Y29" s="128">
        <f>Y27-L27-'Oct-25'!Y27</f>
        <v>0</v>
      </c>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S28-F28-'Oct-25'!S28+8458</f>
        <v>0</v>
      </c>
      <c r="T30" s="128">
        <f>T28-G28-'Oct-25'!T28</f>
        <v>0</v>
      </c>
      <c r="U30" s="128">
        <f>U28-H28-'Oct-25'!U28</f>
        <v>0</v>
      </c>
      <c r="V30" s="128">
        <f>V28-I28-'Oct-25'!V28</f>
        <v>0</v>
      </c>
      <c r="W30" s="128">
        <f>W28-J28-'Oct-25'!W28</f>
        <v>0</v>
      </c>
      <c r="X30" s="128">
        <f>X28-K28-'Oct-25'!X28</f>
        <v>0</v>
      </c>
      <c r="Y30" s="128">
        <f>Y28-L28-'Oct-25'!Y28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November</v>
      </c>
      <c r="G33" s="170"/>
      <c r="H33" s="170"/>
      <c r="I33" s="170"/>
      <c r="J33" s="170"/>
      <c r="K33" s="170"/>
      <c r="L33" s="170"/>
      <c r="M33" s="170"/>
      <c r="N33" s="170"/>
      <c r="O33" s="170"/>
      <c r="P33" s="170"/>
      <c r="Q33" s="170"/>
      <c r="R33" s="171"/>
      <c r="S33" s="176" t="str">
        <f>"April to "&amp;D4&amp;" (YTD)"</f>
        <v>April to November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3"/>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2">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3" t="s">
        <v>146</v>
      </c>
      <c r="AA35" s="53" t="s">
        <v>147</v>
      </c>
      <c r="AB35" s="53" t="s">
        <v>148</v>
      </c>
      <c r="AC35" s="53" t="s">
        <v>149</v>
      </c>
      <c r="AD35" s="53" t="s">
        <v>150</v>
      </c>
      <c r="AE35" s="57" t="s">
        <v>151</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312</v>
      </c>
      <c r="G37" s="74">
        <f t="shared" ref="G37:L38" si="51">G13</f>
        <v>284</v>
      </c>
      <c r="H37" s="74">
        <f t="shared" si="51"/>
        <v>165</v>
      </c>
      <c r="I37" s="74">
        <f t="shared" si="51"/>
        <v>144</v>
      </c>
      <c r="J37" s="74">
        <f t="shared" si="51"/>
        <v>115</v>
      </c>
      <c r="K37" s="74">
        <f t="shared" si="51"/>
        <v>0</v>
      </c>
      <c r="L37" s="74">
        <f t="shared" si="51"/>
        <v>172</v>
      </c>
      <c r="M37" s="64">
        <f t="shared" ref="M37:M38" si="52">IFERROR(F37/G37-1,"n/a")</f>
        <v>9.8591549295774739E-2</v>
      </c>
      <c r="N37" s="64">
        <f t="shared" ref="N37:N38" si="53">IFERROR(F37/H37-1,"n/a")</f>
        <v>0.89090909090909087</v>
      </c>
      <c r="O37" s="64">
        <f t="shared" ref="O37:O38" si="54">IFERROR(F37/I37-1,"n/a")</f>
        <v>1.1666666666666665</v>
      </c>
      <c r="P37" s="64">
        <f t="shared" ref="P37:P38" si="55">IFERROR(F37/J37-1,"n/a")</f>
        <v>1.7130434782608694</v>
      </c>
      <c r="Q37" s="64" t="str">
        <f t="shared" ref="Q37:Q38" si="56">IFERROR(F37/K37-1,"n/a")</f>
        <v>n/a</v>
      </c>
      <c r="R37" s="60">
        <f t="shared" ref="R37:R38" si="57">IFERROR(F37/L37-1,"n/a")</f>
        <v>0.81395348837209291</v>
      </c>
      <c r="S37" s="74">
        <f>'Oct-25'!S37+F37-1</f>
        <v>1458</v>
      </c>
      <c r="T37" s="74">
        <f>'Oct-25'!T37+G37</f>
        <v>1391</v>
      </c>
      <c r="U37" s="74">
        <f>'Oct-25'!U37+H37</f>
        <v>871</v>
      </c>
      <c r="V37" s="74">
        <f>'Oct-25'!V37+I37</f>
        <v>765</v>
      </c>
      <c r="W37" s="74">
        <f>'Oct-25'!W37+J37</f>
        <v>343</v>
      </c>
      <c r="X37" s="74">
        <f>'Oct-25'!X37+K37</f>
        <v>42</v>
      </c>
      <c r="Y37" s="74">
        <f>'Oct-25'!Y37+L37</f>
        <v>868</v>
      </c>
      <c r="Z37" s="147">
        <f>IFERROR(S37/T37-1,"n/a")</f>
        <v>4.8166786484543422E-2</v>
      </c>
      <c r="AA37" s="147">
        <f>IFERROR(S37/U37-1,"n/a")</f>
        <v>0.67393800229621115</v>
      </c>
      <c r="AB37" s="147">
        <f>IFERROR(S37/V37-1,"n/a")</f>
        <v>0.90588235294117636</v>
      </c>
      <c r="AC37" s="147">
        <f>IFERROR(S37/W37-1,"n/a")</f>
        <v>3.2507288629737605</v>
      </c>
      <c r="AD37" s="147">
        <f>IFERROR(S37/X37-1,"n/a")</f>
        <v>33.714285714285715</v>
      </c>
      <c r="AE37" s="158">
        <f>IFERROR(S37/Y37-1,"n/a")</f>
        <v>0.67972350230414746</v>
      </c>
      <c r="AF37" s="154">
        <v>2874</v>
      </c>
      <c r="AG37" s="89">
        <v>1802</v>
      </c>
      <c r="AH37" s="89">
        <v>1486</v>
      </c>
      <c r="AI37" s="89">
        <v>1052</v>
      </c>
      <c r="AJ37" s="70">
        <v>551</v>
      </c>
      <c r="AK37" s="78">
        <v>1584</v>
      </c>
      <c r="AM37" s="122"/>
    </row>
    <row r="38" spans="1:39" s="123" customFormat="1" ht="11.25">
      <c r="A38" s="122"/>
      <c r="B38" s="122"/>
      <c r="C38" s="33"/>
      <c r="D38" s="26" t="s">
        <v>11</v>
      </c>
      <c r="E38" s="32"/>
      <c r="F38" s="74">
        <f>F14</f>
        <v>921237</v>
      </c>
      <c r="G38" s="74">
        <f t="shared" si="51"/>
        <v>776442</v>
      </c>
      <c r="H38" s="74">
        <f t="shared" si="51"/>
        <v>497550</v>
      </c>
      <c r="I38" s="74">
        <f t="shared" si="51"/>
        <v>410205</v>
      </c>
      <c r="J38" s="74">
        <f t="shared" si="51"/>
        <v>185964</v>
      </c>
      <c r="K38" s="74">
        <f t="shared" si="51"/>
        <v>0</v>
      </c>
      <c r="L38" s="74">
        <f t="shared" si="51"/>
        <v>421184</v>
      </c>
      <c r="M38" s="64">
        <f t="shared" si="52"/>
        <v>0.1864852751396755</v>
      </c>
      <c r="N38" s="64">
        <f t="shared" si="53"/>
        <v>0.85154657823334334</v>
      </c>
      <c r="O38" s="64">
        <f t="shared" si="54"/>
        <v>1.245796613888178</v>
      </c>
      <c r="P38" s="64">
        <f t="shared" si="55"/>
        <v>3.9538459056591595</v>
      </c>
      <c r="Q38" s="64" t="str">
        <f t="shared" si="56"/>
        <v>n/a</v>
      </c>
      <c r="R38" s="60">
        <f t="shared" si="57"/>
        <v>1.1872554512991949</v>
      </c>
      <c r="S38" s="74">
        <f>'Oct-25'!S38+F38-6788</f>
        <v>5153414</v>
      </c>
      <c r="T38" s="74">
        <f>'Oct-25'!T38+G38</f>
        <v>4820584</v>
      </c>
      <c r="U38" s="74">
        <f>'Oct-25'!U38+H38</f>
        <v>3028072</v>
      </c>
      <c r="V38" s="74">
        <f>'Oct-25'!V38+I38</f>
        <v>2314436</v>
      </c>
      <c r="W38" s="74">
        <f>'Oct-25'!W38+J38</f>
        <v>509984</v>
      </c>
      <c r="X38" s="74">
        <f>'Oct-25'!X38+K38</f>
        <v>0</v>
      </c>
      <c r="Y38" s="74">
        <f>'Oct-25'!Y38+L38</f>
        <v>2613361</v>
      </c>
      <c r="Z38" s="147">
        <f>IFERROR(S38/T38-1,"n/a")</f>
        <v>6.9043501783186523E-2</v>
      </c>
      <c r="AA38" s="147">
        <f>IFERROR(S38/U38-1,"n/a")</f>
        <v>0.70187961184542513</v>
      </c>
      <c r="AB38" s="147">
        <f>IFERROR(S38/V38-1,"n/a")</f>
        <v>1.2266392330572113</v>
      </c>
      <c r="AC38" s="147">
        <f>IFERROR(S38/W38-1,"n/a")</f>
        <v>9.1050503545209267</v>
      </c>
      <c r="AD38" s="147" t="str">
        <f>IFERROR(S38/X38-1,"n/a")</f>
        <v>n/a</v>
      </c>
      <c r="AE38" s="158">
        <f>IFERROR(S38/Y38-1,"n/a")</f>
        <v>0.9719487663587234</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157"/>
      <c r="T39" s="26"/>
      <c r="U39" s="26"/>
      <c r="V39" s="26"/>
      <c r="W39" s="26"/>
      <c r="X39" s="26"/>
      <c r="Y39" s="26"/>
      <c r="Z39" s="146"/>
      <c r="AA39" s="148"/>
      <c r="AB39" s="148"/>
      <c r="AC39" s="148"/>
      <c r="AD39" s="148"/>
      <c r="AE39" s="159"/>
      <c r="AF39" s="44"/>
      <c r="AG39" s="90"/>
      <c r="AH39" s="90"/>
      <c r="AI39" s="90"/>
      <c r="AJ39" s="44"/>
      <c r="AK39" s="79"/>
      <c r="AM39" s="122"/>
    </row>
    <row r="40" spans="1:39" s="123" customFormat="1" ht="11.25">
      <c r="A40" s="122"/>
      <c r="B40" s="122"/>
      <c r="C40" s="33"/>
      <c r="D40" s="26" t="s">
        <v>5</v>
      </c>
      <c r="E40" s="32"/>
      <c r="F40" s="74">
        <f t="shared" ref="F40:L41" si="58">F16</f>
        <v>64</v>
      </c>
      <c r="G40" s="74">
        <f t="shared" si="58"/>
        <v>59</v>
      </c>
      <c r="H40" s="74">
        <f t="shared" si="58"/>
        <v>49</v>
      </c>
      <c r="I40" s="74">
        <f t="shared" si="58"/>
        <v>27</v>
      </c>
      <c r="J40" s="74">
        <f t="shared" si="58"/>
        <v>28</v>
      </c>
      <c r="K40" s="74">
        <f t="shared" si="58"/>
        <v>10</v>
      </c>
      <c r="L40" s="74">
        <f t="shared" si="58"/>
        <v>29</v>
      </c>
      <c r="M40" s="64">
        <f t="shared" ref="M40:M41" si="59">IFERROR(F40/G40-1,"n/a")</f>
        <v>8.4745762711864403E-2</v>
      </c>
      <c r="N40" s="64">
        <f t="shared" ref="N40:N41" si="60">IFERROR(F40/H40-1,"n/a")</f>
        <v>0.30612244897959173</v>
      </c>
      <c r="O40" s="64">
        <f t="shared" ref="O40:O41" si="61">IFERROR(F40/I40-1,"n/a")</f>
        <v>1.3703703703703702</v>
      </c>
      <c r="P40" s="64">
        <f t="shared" ref="P40:P41" si="62">IFERROR(F40/J40-1,"n/a")</f>
        <v>1.2857142857142856</v>
      </c>
      <c r="Q40" s="64">
        <f t="shared" ref="Q40:Q41" si="63">IFERROR(F40/K40-1,"n/a")</f>
        <v>5.4</v>
      </c>
      <c r="R40" s="60">
        <f t="shared" ref="R40:R41" si="64">IFERROR(F40/L40-1,"n/a")</f>
        <v>1.2068965517241379</v>
      </c>
      <c r="S40" s="74">
        <f>'Oct-25'!S40+F40</f>
        <v>922</v>
      </c>
      <c r="T40" s="74">
        <f>'Oct-25'!T40+G40</f>
        <v>743</v>
      </c>
      <c r="U40" s="74">
        <f>'Oct-25'!U40+H40</f>
        <v>535</v>
      </c>
      <c r="V40" s="74">
        <f>'Oct-25'!V40+I40</f>
        <v>531</v>
      </c>
      <c r="W40" s="74">
        <f>'Oct-25'!W40+J40</f>
        <v>185</v>
      </c>
      <c r="X40" s="74">
        <f>'Oct-25'!X40+K40</f>
        <v>38</v>
      </c>
      <c r="Y40" s="74">
        <f>'Oct-25'!Y40+L40</f>
        <v>523</v>
      </c>
      <c r="Z40" s="147">
        <f t="shared" ref="Z40:Z41" si="65">IFERROR(S40/T40-1,"n/a")</f>
        <v>0.24091520861372806</v>
      </c>
      <c r="AA40" s="147">
        <f t="shared" ref="AA40:AA41" si="66">IFERROR(S40/U40-1,"n/a")</f>
        <v>0.72336448598130842</v>
      </c>
      <c r="AB40" s="147">
        <f t="shared" ref="AB40:AB41" si="67">IFERROR(S40/V40-1,"n/a")</f>
        <v>0.73634651600753287</v>
      </c>
      <c r="AC40" s="147">
        <f t="shared" ref="AC40:AC41" si="68">IFERROR(S40/W40-1,"n/a")</f>
        <v>3.9837837837837835</v>
      </c>
      <c r="AD40" s="147">
        <f t="shared" ref="AD40:AD41" si="69">IFERROR(S40/X40-1,"n/a")</f>
        <v>23.263157894736842</v>
      </c>
      <c r="AE40" s="158">
        <f t="shared" ref="AE40:AE41" si="70">IFERROR(S40/Y40-1,"n/a")</f>
        <v>0.76290630975143414</v>
      </c>
      <c r="AF40" s="154">
        <v>817</v>
      </c>
      <c r="AG40" s="89">
        <v>583</v>
      </c>
      <c r="AH40" s="89">
        <v>563</v>
      </c>
      <c r="AI40" s="89">
        <v>226</v>
      </c>
      <c r="AJ40" s="70">
        <v>66</v>
      </c>
      <c r="AK40" s="78">
        <v>573</v>
      </c>
      <c r="AM40" s="122"/>
    </row>
    <row r="41" spans="1:39" s="123" customFormat="1" ht="11.25">
      <c r="A41" s="122"/>
      <c r="B41" s="122"/>
      <c r="C41" s="33"/>
      <c r="D41" s="26" t="s">
        <v>11</v>
      </c>
      <c r="E41" s="32"/>
      <c r="F41" s="74">
        <f t="shared" si="58"/>
        <v>106049</v>
      </c>
      <c r="G41" s="74">
        <f t="shared" si="58"/>
        <v>100476</v>
      </c>
      <c r="H41" s="74">
        <f t="shared" si="58"/>
        <v>98994</v>
      </c>
      <c r="I41" s="74">
        <f t="shared" si="58"/>
        <v>51003</v>
      </c>
      <c r="J41" s="74">
        <f t="shared" si="58"/>
        <v>29456</v>
      </c>
      <c r="K41" s="74">
        <f t="shared" si="58"/>
        <v>4854</v>
      </c>
      <c r="L41" s="74">
        <f t="shared" si="58"/>
        <v>37844</v>
      </c>
      <c r="M41" s="64">
        <f t="shared" si="59"/>
        <v>5.5465981926032137E-2</v>
      </c>
      <c r="N41" s="64">
        <f t="shared" si="60"/>
        <v>7.1266945471442744E-2</v>
      </c>
      <c r="O41" s="64">
        <f t="shared" si="61"/>
        <v>1.0792698468717528</v>
      </c>
      <c r="P41" s="64">
        <f t="shared" si="62"/>
        <v>2.6002512221618685</v>
      </c>
      <c r="Q41" s="64">
        <f t="shared" si="63"/>
        <v>20.847754429336629</v>
      </c>
      <c r="R41" s="60">
        <f t="shared" si="64"/>
        <v>1.8022672021984989</v>
      </c>
      <c r="S41" s="74">
        <f>'Oct-25'!S41+F41+11</f>
        <v>2224122</v>
      </c>
      <c r="T41" s="74">
        <f>'Oct-25'!T41+G41</f>
        <v>1893000</v>
      </c>
      <c r="U41" s="74">
        <f>'Oct-25'!U41+H41</f>
        <v>1548869</v>
      </c>
      <c r="V41" s="74">
        <f>'Oct-25'!V41+I41</f>
        <v>911032</v>
      </c>
      <c r="W41" s="74">
        <f>'Oct-25'!W41+J41</f>
        <v>278684</v>
      </c>
      <c r="X41" s="74">
        <f>'Oct-25'!X41+K41</f>
        <v>27421</v>
      </c>
      <c r="Y41" s="74">
        <f>'Oct-25'!Y41+L41</f>
        <v>1262423</v>
      </c>
      <c r="Z41" s="147">
        <f t="shared" si="65"/>
        <v>0.17491917591125206</v>
      </c>
      <c r="AA41" s="147">
        <f t="shared" si="66"/>
        <v>0.43596521074409789</v>
      </c>
      <c r="AB41" s="147">
        <f t="shared" si="67"/>
        <v>1.4413214903537965</v>
      </c>
      <c r="AC41" s="147">
        <f t="shared" si="68"/>
        <v>6.9808026295015146</v>
      </c>
      <c r="AD41" s="147">
        <f t="shared" si="69"/>
        <v>80.110171036796615</v>
      </c>
      <c r="AE41" s="158">
        <f t="shared" si="70"/>
        <v>0.76178824371862675</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110"/>
      <c r="AA42" s="147"/>
      <c r="AB42" s="147"/>
      <c r="AC42" s="147"/>
      <c r="AD42" s="147"/>
      <c r="AE42" s="158"/>
      <c r="AF42" s="155"/>
      <c r="AG42" s="90"/>
      <c r="AH42" s="90"/>
      <c r="AI42" s="90"/>
      <c r="AJ42" s="44"/>
      <c r="AK42" s="79"/>
      <c r="AM42" s="122"/>
    </row>
    <row r="43" spans="1:39" s="123" customFormat="1" ht="11.25">
      <c r="A43" s="122"/>
      <c r="B43" s="122"/>
      <c r="C43" s="33"/>
      <c r="D43" s="26" t="s">
        <v>5</v>
      </c>
      <c r="E43" s="32"/>
      <c r="F43" s="74">
        <f>F19</f>
        <v>37</v>
      </c>
      <c r="G43" s="74">
        <f t="shared" ref="G43:L44" si="71">G19</f>
        <v>25</v>
      </c>
      <c r="H43" s="74">
        <f t="shared" si="71"/>
        <v>39</v>
      </c>
      <c r="I43" s="74">
        <f t="shared" si="71"/>
        <v>39</v>
      </c>
      <c r="J43" s="74">
        <f t="shared" si="71"/>
        <v>13</v>
      </c>
      <c r="K43" s="74">
        <f t="shared" si="71"/>
        <v>1</v>
      </c>
      <c r="L43" s="74">
        <f t="shared" si="71"/>
        <v>15</v>
      </c>
      <c r="M43" s="64">
        <f t="shared" ref="M43:M44" si="72">IFERROR(F43/G43-1,"n/a")</f>
        <v>0.48</v>
      </c>
      <c r="N43" s="64">
        <f t="shared" ref="N43:N44" si="73">IFERROR(F43/H43-1,"n/a")</f>
        <v>-5.1282051282051322E-2</v>
      </c>
      <c r="O43" s="64">
        <f t="shared" ref="O43:O44" si="74">IFERROR(F43/I43-1,"n/a")</f>
        <v>-5.1282051282051322E-2</v>
      </c>
      <c r="P43" s="64">
        <f t="shared" ref="P43:P44" si="75">IFERROR(F43/J43-1,"n/a")</f>
        <v>1.8461538461538463</v>
      </c>
      <c r="Q43" s="64">
        <f t="shared" ref="Q43:Q44" si="76">IFERROR(F43/K43-1,"n/a")</f>
        <v>36</v>
      </c>
      <c r="R43" s="60">
        <f t="shared" ref="R43:R44" si="77">IFERROR(F43/L43-1,"n/a")</f>
        <v>1.4666666666666668</v>
      </c>
      <c r="S43" s="74">
        <f>'Oct-25'!S43+F43</f>
        <v>832</v>
      </c>
      <c r="T43" s="74">
        <f>'Oct-25'!T43+G43</f>
        <v>700</v>
      </c>
      <c r="U43" s="74">
        <f>'Oct-25'!U43+H43</f>
        <v>677</v>
      </c>
      <c r="V43" s="74">
        <f>'Oct-25'!V43+I43</f>
        <v>637</v>
      </c>
      <c r="W43" s="74">
        <f>'Oct-25'!W43+J43</f>
        <v>44</v>
      </c>
      <c r="X43" s="74">
        <f>'Oct-25'!X43+K43</f>
        <v>7</v>
      </c>
      <c r="Y43" s="74">
        <f>'Oct-25'!Y43+L43</f>
        <v>274</v>
      </c>
      <c r="Z43" s="147">
        <f t="shared" ref="Z43:Z44" si="78">IFERROR(S43/T43-1,"n/a")</f>
        <v>0.18857142857142861</v>
      </c>
      <c r="AA43" s="147">
        <f t="shared" ref="AA43:AA44" si="79">IFERROR(S43/U43-1,"n/a")</f>
        <v>0.22895125553914331</v>
      </c>
      <c r="AB43" s="147">
        <f t="shared" ref="AB43:AB44" si="80">IFERROR(S43/V43-1,"n/a")</f>
        <v>0.30612244897959173</v>
      </c>
      <c r="AC43" s="147">
        <f t="shared" ref="AC43:AC44" si="81">IFERROR(S43/W43-1,"n/a")</f>
        <v>17.90909090909091</v>
      </c>
      <c r="AD43" s="147">
        <f t="shared" ref="AD43:AD44" si="82">IFERROR(S43/X43-1,"n/a")</f>
        <v>117.85714285714286</v>
      </c>
      <c r="AE43" s="158">
        <f t="shared" ref="AE43:AE44" si="83">IFERROR(S43/Y43-1,"n/a")</f>
        <v>2.0364963503649633</v>
      </c>
      <c r="AF43" s="154">
        <v>728</v>
      </c>
      <c r="AG43" s="89">
        <v>712</v>
      </c>
      <c r="AH43" s="89">
        <v>669</v>
      </c>
      <c r="AI43" s="89">
        <v>59</v>
      </c>
      <c r="AJ43" s="70">
        <v>9</v>
      </c>
      <c r="AK43" s="78">
        <v>287</v>
      </c>
      <c r="AM43" s="122"/>
    </row>
    <row r="44" spans="1:39" s="123" customFormat="1" ht="11.25">
      <c r="A44" s="122"/>
      <c r="B44" s="122"/>
      <c r="C44" s="33"/>
      <c r="D44" s="26" t="s">
        <v>11</v>
      </c>
      <c r="E44" s="32"/>
      <c r="F44" s="74">
        <f>F20</f>
        <v>43680</v>
      </c>
      <c r="G44" s="74">
        <f t="shared" si="71"/>
        <v>33600</v>
      </c>
      <c r="H44" s="74">
        <f t="shared" si="71"/>
        <v>44881</v>
      </c>
      <c r="I44" s="74">
        <f t="shared" si="71"/>
        <v>43590</v>
      </c>
      <c r="J44" s="74">
        <f t="shared" si="71"/>
        <v>5685</v>
      </c>
      <c r="K44" s="74">
        <f t="shared" si="71"/>
        <v>0</v>
      </c>
      <c r="L44" s="74">
        <f t="shared" si="71"/>
        <v>20135</v>
      </c>
      <c r="M44" s="64">
        <f t="shared" si="72"/>
        <v>0.30000000000000004</v>
      </c>
      <c r="N44" s="64">
        <f t="shared" si="73"/>
        <v>-2.6759653305407638E-2</v>
      </c>
      <c r="O44" s="64">
        <f t="shared" si="74"/>
        <v>2.0646937370956131E-3</v>
      </c>
      <c r="P44" s="64">
        <f t="shared" si="75"/>
        <v>6.683377308707124</v>
      </c>
      <c r="Q44" s="64" t="str">
        <f t="shared" si="76"/>
        <v>n/a</v>
      </c>
      <c r="R44" s="60">
        <f t="shared" si="77"/>
        <v>1.1693568413210826</v>
      </c>
      <c r="S44" s="74">
        <f>'Oct-25'!S44+F44-5</f>
        <v>1690851</v>
      </c>
      <c r="T44" s="74">
        <f>'Oct-25'!T44+G44</f>
        <v>1448322.4</v>
      </c>
      <c r="U44" s="74">
        <f>'Oct-25'!U44+H44</f>
        <v>1249277</v>
      </c>
      <c r="V44" s="74">
        <f>'Oct-25'!V44+I44</f>
        <v>877647</v>
      </c>
      <c r="W44" s="74">
        <f>'Oct-25'!W44+J44</f>
        <v>16677</v>
      </c>
      <c r="X44" s="74">
        <f>'Oct-25'!X44+K44</f>
        <v>8294</v>
      </c>
      <c r="Y44" s="74">
        <f>'Oct-25'!Y44+L44</f>
        <v>568659</v>
      </c>
      <c r="Z44" s="147">
        <f t="shared" si="78"/>
        <v>0.16745484292723778</v>
      </c>
      <c r="AA44" s="147">
        <f t="shared" si="79"/>
        <v>0.35346364337132608</v>
      </c>
      <c r="AB44" s="147">
        <f t="shared" si="80"/>
        <v>0.92657298435475766</v>
      </c>
      <c r="AC44" s="147">
        <f t="shared" si="81"/>
        <v>100.38819931642382</v>
      </c>
      <c r="AD44" s="147">
        <f t="shared" si="82"/>
        <v>202.86435977815287</v>
      </c>
      <c r="AE44" s="158">
        <f t="shared" si="83"/>
        <v>1.9734005792575164</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160"/>
      <c r="AA45" s="147"/>
      <c r="AB45" s="147"/>
      <c r="AC45" s="147"/>
      <c r="AD45" s="147"/>
      <c r="AE45" s="158"/>
      <c r="AF45" s="155"/>
      <c r="AG45" s="90"/>
      <c r="AH45" s="90"/>
      <c r="AI45" s="90"/>
      <c r="AJ45" s="44"/>
      <c r="AK45" s="79"/>
      <c r="AM45" s="122"/>
    </row>
    <row r="46" spans="1:39" s="123" customFormat="1" ht="11.25">
      <c r="A46" s="122"/>
      <c r="B46" s="122"/>
      <c r="C46" s="33"/>
      <c r="D46" s="26" t="s">
        <v>5</v>
      </c>
      <c r="E46" s="34"/>
      <c r="F46" s="74">
        <f>F22</f>
        <v>256</v>
      </c>
      <c r="G46" s="74">
        <f t="shared" ref="G46:L47" si="84">G22</f>
        <v>287</v>
      </c>
      <c r="H46" s="74">
        <f t="shared" si="84"/>
        <v>210</v>
      </c>
      <c r="I46" s="74">
        <f t="shared" si="84"/>
        <v>130</v>
      </c>
      <c r="J46" s="74">
        <f t="shared" si="84"/>
        <v>67</v>
      </c>
      <c r="K46" s="74">
        <f t="shared" si="84"/>
        <v>0</v>
      </c>
      <c r="L46" s="74">
        <f t="shared" si="84"/>
        <v>95</v>
      </c>
      <c r="M46" s="64">
        <f t="shared" ref="M46:M47" si="85">IFERROR(F46/G46-1,"n/a")</f>
        <v>-0.10801393728222997</v>
      </c>
      <c r="N46" s="64">
        <f t="shared" ref="N46:N47" si="86">IFERROR(F46/H46-1,"n/a")</f>
        <v>0.21904761904761916</v>
      </c>
      <c r="O46" s="64">
        <f t="shared" ref="O46:O47" si="87">IFERROR(F46/I46-1,"n/a")</f>
        <v>0.96923076923076934</v>
      </c>
      <c r="P46" s="64">
        <f t="shared" ref="P46:P47" si="88">IFERROR(F46/J46-1,"n/a")</f>
        <v>2.8208955223880596</v>
      </c>
      <c r="Q46" s="64" t="str">
        <f t="shared" ref="Q46:Q47" si="89">IFERROR(F46/K46-1,"n/a")</f>
        <v>n/a</v>
      </c>
      <c r="R46" s="60">
        <f t="shared" ref="R46:R47" si="90">IFERROR(F46/L46-1,"n/a")</f>
        <v>1.6947368421052631</v>
      </c>
      <c r="S46" s="74">
        <f>'Oct-25'!S46+F46</f>
        <v>1155</v>
      </c>
      <c r="T46" s="74">
        <f>'Oct-25'!T46+G46</f>
        <v>1215</v>
      </c>
      <c r="U46" s="74">
        <f>'Oct-25'!U46+H46</f>
        <v>1084</v>
      </c>
      <c r="V46" s="74">
        <f>'Oct-25'!V46+I46</f>
        <v>774</v>
      </c>
      <c r="W46" s="74">
        <f>'Oct-25'!W46+J46</f>
        <v>258</v>
      </c>
      <c r="X46" s="74">
        <f>'Oct-25'!X46+K46</f>
        <v>0</v>
      </c>
      <c r="Y46" s="74">
        <f>'Oct-25'!Y46+L46</f>
        <v>718</v>
      </c>
      <c r="Z46" s="147">
        <f t="shared" ref="Z46:Z47" si="91">IFERROR(S46/T46-1,"n/a")</f>
        <v>-4.9382716049382713E-2</v>
      </c>
      <c r="AA46" s="147">
        <f t="shared" ref="AA46:AA47" si="92">IFERROR(S46/U46-1,"n/a")</f>
        <v>6.5498154981549872E-2</v>
      </c>
      <c r="AB46" s="147">
        <f t="shared" ref="AB46:AB47" si="93">IFERROR(S46/V46-1,"n/a")</f>
        <v>0.49224806201550386</v>
      </c>
      <c r="AC46" s="147">
        <f t="shared" ref="AC46:AC47" si="94">IFERROR(S46/W46-1,"n/a")</f>
        <v>3.4767441860465116</v>
      </c>
      <c r="AD46" s="147" t="str">
        <f t="shared" ref="AD46:AD47" si="95">IFERROR(S46/X46-1,"n/a")</f>
        <v>n/a</v>
      </c>
      <c r="AE46" s="158">
        <f t="shared" ref="AE46:AE47" si="96">IFERROR(S46/Y46-1,"n/a")</f>
        <v>0.60863509749303613</v>
      </c>
      <c r="AF46" s="154">
        <v>1788</v>
      </c>
      <c r="AG46" s="89">
        <v>1471</v>
      </c>
      <c r="AH46" s="89">
        <v>1129</v>
      </c>
      <c r="AI46" s="89">
        <v>336</v>
      </c>
      <c r="AJ46" s="84">
        <v>43</v>
      </c>
      <c r="AK46" s="78">
        <v>781</v>
      </c>
      <c r="AM46" s="122"/>
    </row>
    <row r="47" spans="1:39" s="123" customFormat="1" ht="11.25">
      <c r="A47" s="122"/>
      <c r="B47" s="122"/>
      <c r="C47" s="33"/>
      <c r="D47" s="26" t="s">
        <v>11</v>
      </c>
      <c r="E47" s="32"/>
      <c r="F47" s="74">
        <f>F23</f>
        <v>525436</v>
      </c>
      <c r="G47" s="74">
        <f t="shared" si="84"/>
        <v>699889</v>
      </c>
      <c r="H47" s="74">
        <f t="shared" si="84"/>
        <v>507202</v>
      </c>
      <c r="I47" s="74">
        <f t="shared" si="84"/>
        <v>274849</v>
      </c>
      <c r="J47" s="74">
        <f t="shared" si="84"/>
        <v>83507</v>
      </c>
      <c r="K47" s="74">
        <f t="shared" si="84"/>
        <v>0</v>
      </c>
      <c r="L47" s="74">
        <f t="shared" si="84"/>
        <v>263747</v>
      </c>
      <c r="M47" s="64">
        <f t="shared" si="85"/>
        <v>-0.24925809664103882</v>
      </c>
      <c r="N47" s="64">
        <f t="shared" si="86"/>
        <v>3.5950173698053201E-2</v>
      </c>
      <c r="O47" s="64">
        <f t="shared" si="87"/>
        <v>0.91172607504484282</v>
      </c>
      <c r="P47" s="64">
        <f t="shared" si="88"/>
        <v>5.2921192235381467</v>
      </c>
      <c r="Q47" s="64" t="str">
        <f t="shared" si="89"/>
        <v>n/a</v>
      </c>
      <c r="R47" s="60">
        <f t="shared" si="90"/>
        <v>0.99219706764437121</v>
      </c>
      <c r="S47" s="74">
        <f>'Oct-25'!S47+F47-1676</f>
        <v>2953545</v>
      </c>
      <c r="T47" s="74">
        <f>'Oct-25'!T47+G47</f>
        <v>3650298</v>
      </c>
      <c r="U47" s="74">
        <f>'Oct-25'!U47+H47</f>
        <v>3238466</v>
      </c>
      <c r="V47" s="74">
        <f>'Oct-25'!V47+I47</f>
        <v>1877280</v>
      </c>
      <c r="W47" s="74">
        <f>'Oct-25'!W47+J47</f>
        <v>425895</v>
      </c>
      <c r="X47" s="74">
        <f>'Oct-25'!X47+K47</f>
        <v>0</v>
      </c>
      <c r="Y47" s="74">
        <f>'Oct-25'!Y47+L47</f>
        <v>2242099</v>
      </c>
      <c r="Z47" s="147">
        <f t="shared" si="91"/>
        <v>-0.1908756490565976</v>
      </c>
      <c r="AA47" s="147">
        <f t="shared" si="92"/>
        <v>-8.7980235086612013E-2</v>
      </c>
      <c r="AB47" s="147">
        <f t="shared" si="93"/>
        <v>0.57331085400153414</v>
      </c>
      <c r="AC47" s="147">
        <f t="shared" si="94"/>
        <v>5.9349135350262392</v>
      </c>
      <c r="AD47" s="147" t="str">
        <f t="shared" si="95"/>
        <v>n/a</v>
      </c>
      <c r="AE47" s="158">
        <f t="shared" si="96"/>
        <v>0.31731248263346079</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160"/>
      <c r="AA48" s="147"/>
      <c r="AB48" s="147"/>
      <c r="AC48" s="147"/>
      <c r="AD48" s="147"/>
      <c r="AE48" s="158"/>
      <c r="AF48" s="155"/>
      <c r="AG48" s="90"/>
      <c r="AH48" s="90"/>
      <c r="AI48" s="90"/>
      <c r="AJ48" s="44"/>
      <c r="AK48" s="79"/>
      <c r="AM48" s="122"/>
    </row>
    <row r="49" spans="3:39" s="123" customFormat="1" ht="11.25">
      <c r="C49" s="33"/>
      <c r="D49" s="26" t="s">
        <v>5</v>
      </c>
      <c r="E49" s="32"/>
      <c r="F49" s="74">
        <f>F25</f>
        <v>0</v>
      </c>
      <c r="G49" s="74">
        <f t="shared" ref="G49:L50" si="97">G25</f>
        <v>0</v>
      </c>
      <c r="H49" s="74">
        <f t="shared" si="97"/>
        <v>0</v>
      </c>
      <c r="I49" s="74">
        <f t="shared" si="97"/>
        <v>0</v>
      </c>
      <c r="J49" s="74">
        <f t="shared" si="97"/>
        <v>0</v>
      </c>
      <c r="K49" s="74">
        <f t="shared" si="97"/>
        <v>0</v>
      </c>
      <c r="L49" s="74">
        <f t="shared" si="97"/>
        <v>0</v>
      </c>
      <c r="M49" s="64" t="str">
        <f t="shared" ref="M49:M52" si="98">IFERROR(F49/G49-1,"n/a")</f>
        <v>n/a</v>
      </c>
      <c r="N49" s="64" t="str">
        <f t="shared" ref="N49:N52" si="99">IFERROR(F49/H49-1,"n/a")</f>
        <v>n/a</v>
      </c>
      <c r="O49" s="64" t="str">
        <f t="shared" ref="O49:O52" si="100">IFERROR(F49/I49-1,"n/a")</f>
        <v>n/a</v>
      </c>
      <c r="P49" s="64" t="str">
        <f t="shared" ref="P49:P52" si="101">IFERROR(F49/J49-1,"n/a")</f>
        <v>n/a</v>
      </c>
      <c r="Q49" s="64" t="str">
        <f t="shared" ref="Q49:Q52" si="102">IFERROR(F49/K49-1,"n/a")</f>
        <v>n/a</v>
      </c>
      <c r="R49" s="60" t="str">
        <f t="shared" ref="R49:R52" si="103">IFERROR(F49/L49-1,"n/a")</f>
        <v>n/a</v>
      </c>
      <c r="S49" s="74">
        <f>'Oct-25'!S49+F49</f>
        <v>23</v>
      </c>
      <c r="T49" s="74">
        <f>'Oct-25'!T49+G49</f>
        <v>14</v>
      </c>
      <c r="U49" s="74">
        <f>'Oct-25'!U49+H49</f>
        <v>21</v>
      </c>
      <c r="V49" s="74">
        <f>'Oct-25'!V49+I49</f>
        <v>9</v>
      </c>
      <c r="W49" s="74">
        <f>'Oct-25'!W49+J49</f>
        <v>0</v>
      </c>
      <c r="X49" s="74">
        <f>'Oct-25'!X49+K49</f>
        <v>0</v>
      </c>
      <c r="Y49" s="74">
        <f>'Oct-25'!Y49+L49</f>
        <v>16</v>
      </c>
      <c r="Z49" s="147">
        <f t="shared" ref="Z49:Z52" si="104">IFERROR(S49/T49-1,"n/a")</f>
        <v>0.64285714285714279</v>
      </c>
      <c r="AA49" s="147">
        <f t="shared" ref="AA49:AA50" si="105">IFERROR(S49/U49-1,"n/a")</f>
        <v>9.5238095238095344E-2</v>
      </c>
      <c r="AB49" s="147">
        <f t="shared" ref="AB49:AB52" si="106">IFERROR(S49/V49-1,"n/a")</f>
        <v>1.5555555555555554</v>
      </c>
      <c r="AC49" s="147" t="str">
        <f t="shared" ref="AC49:AC52" si="107">IFERROR(S49/W49-1,"n/a")</f>
        <v>n/a</v>
      </c>
      <c r="AD49" s="147" t="str">
        <f t="shared" ref="AD49:AD52" si="108">IFERROR(S49/X49-1,"n/a")</f>
        <v>n/a</v>
      </c>
      <c r="AE49" s="158">
        <f t="shared" ref="AE49:AE52" si="109">IFERROR(S49/Y49-1,"n/a")</f>
        <v>0.4375</v>
      </c>
      <c r="AF49" s="154">
        <v>14</v>
      </c>
      <c r="AG49" s="89">
        <v>21</v>
      </c>
      <c r="AH49" s="89">
        <v>9</v>
      </c>
      <c r="AI49" s="68">
        <v>0</v>
      </c>
      <c r="AJ49" s="68">
        <v>0</v>
      </c>
      <c r="AK49" s="78">
        <v>16</v>
      </c>
      <c r="AM49" s="122"/>
    </row>
    <row r="50" spans="3:39" s="123" customFormat="1" ht="11.25">
      <c r="C50" s="33"/>
      <c r="D50" s="26" t="s">
        <v>11</v>
      </c>
      <c r="E50" s="32"/>
      <c r="F50" s="74">
        <f>F26</f>
        <v>0</v>
      </c>
      <c r="G50" s="74">
        <f t="shared" si="97"/>
        <v>0</v>
      </c>
      <c r="H50" s="74">
        <f t="shared" si="97"/>
        <v>0</v>
      </c>
      <c r="I50" s="74">
        <f t="shared" si="97"/>
        <v>0</v>
      </c>
      <c r="J50" s="74">
        <f t="shared" si="97"/>
        <v>0</v>
      </c>
      <c r="K50" s="74">
        <f t="shared" si="97"/>
        <v>0</v>
      </c>
      <c r="L50" s="74">
        <f t="shared" si="97"/>
        <v>0</v>
      </c>
      <c r="M50" s="64" t="str">
        <f t="shared" si="98"/>
        <v>n/a</v>
      </c>
      <c r="N50" s="64" t="str">
        <f t="shared" si="99"/>
        <v>n/a</v>
      </c>
      <c r="O50" s="64" t="str">
        <f t="shared" si="100"/>
        <v>n/a</v>
      </c>
      <c r="P50" s="64" t="str">
        <f t="shared" si="101"/>
        <v>n/a</v>
      </c>
      <c r="Q50" s="64" t="str">
        <f t="shared" si="102"/>
        <v>n/a</v>
      </c>
      <c r="R50" s="60" t="str">
        <f t="shared" si="103"/>
        <v>n/a</v>
      </c>
      <c r="S50" s="74">
        <f>'Oct-25'!S50+F50</f>
        <v>72837</v>
      </c>
      <c r="T50" s="74">
        <f>'Oct-25'!T50+G50</f>
        <v>47798</v>
      </c>
      <c r="U50" s="74">
        <f>'Oct-25'!U50+H50</f>
        <v>38626</v>
      </c>
      <c r="V50" s="74">
        <f>'Oct-25'!V50+I50</f>
        <v>15637</v>
      </c>
      <c r="W50" s="74">
        <f>'Oct-25'!W50+J50</f>
        <v>0</v>
      </c>
      <c r="X50" s="74">
        <f>'Oct-25'!X50+K50</f>
        <v>0</v>
      </c>
      <c r="Y50" s="74">
        <f>'Oct-25'!Y50+L50</f>
        <v>20248</v>
      </c>
      <c r="Z50" s="147">
        <f t="shared" si="104"/>
        <v>0.523850370308381</v>
      </c>
      <c r="AA50" s="147">
        <f t="shared" si="105"/>
        <v>0.88569875213586702</v>
      </c>
      <c r="AB50" s="147">
        <f t="shared" si="106"/>
        <v>3.6579906631706853</v>
      </c>
      <c r="AC50" s="147" t="str">
        <f t="shared" si="107"/>
        <v>n/a</v>
      </c>
      <c r="AD50" s="147" t="str">
        <f t="shared" si="108"/>
        <v>n/a</v>
      </c>
      <c r="AE50" s="158">
        <f t="shared" si="109"/>
        <v>2.5972441722639275</v>
      </c>
      <c r="AF50" s="154">
        <v>47798</v>
      </c>
      <c r="AG50" s="82">
        <v>38626</v>
      </c>
      <c r="AH50" s="82">
        <v>15637</v>
      </c>
      <c r="AI50" s="68">
        <v>0</v>
      </c>
      <c r="AJ50" s="68">
        <v>0</v>
      </c>
      <c r="AK50" s="78">
        <v>20248</v>
      </c>
      <c r="AM50" s="122"/>
    </row>
    <row r="51" spans="3:39" s="123" customFormat="1" ht="12" thickBot="1">
      <c r="C51" s="35" t="s">
        <v>12</v>
      </c>
      <c r="D51" s="36"/>
      <c r="E51" s="37"/>
      <c r="F51" s="75">
        <f t="shared" ref="F51:L52" si="110">F37+F40+F43+F46+F49</f>
        <v>669</v>
      </c>
      <c r="G51" s="75">
        <f t="shared" si="110"/>
        <v>655</v>
      </c>
      <c r="H51" s="75">
        <f t="shared" si="110"/>
        <v>463</v>
      </c>
      <c r="I51" s="75">
        <f t="shared" si="110"/>
        <v>340</v>
      </c>
      <c r="J51" s="75">
        <f t="shared" si="110"/>
        <v>223</v>
      </c>
      <c r="K51" s="75">
        <f t="shared" si="110"/>
        <v>11</v>
      </c>
      <c r="L51" s="75">
        <f t="shared" si="110"/>
        <v>311</v>
      </c>
      <c r="M51" s="66">
        <f t="shared" si="98"/>
        <v>2.1374045801526798E-2</v>
      </c>
      <c r="N51" s="66">
        <f t="shared" si="99"/>
        <v>0.44492440604751615</v>
      </c>
      <c r="O51" s="66">
        <f t="shared" si="100"/>
        <v>0.9676470588235293</v>
      </c>
      <c r="P51" s="66">
        <f t="shared" si="101"/>
        <v>2</v>
      </c>
      <c r="Q51" s="66">
        <f t="shared" si="102"/>
        <v>59.81818181818182</v>
      </c>
      <c r="R51" s="66">
        <f t="shared" si="103"/>
        <v>1.1511254019292605</v>
      </c>
      <c r="S51" s="75">
        <f>S37+S40+S43+S46+S49</f>
        <v>4390</v>
      </c>
      <c r="T51" s="75">
        <f>T37+T40+T43+T46+T49</f>
        <v>4063</v>
      </c>
      <c r="U51" s="75">
        <f>U37+U40+U43+U46+U49</f>
        <v>3188</v>
      </c>
      <c r="V51" s="75">
        <f t="shared" ref="U51:Y52" si="111">V37+V40+V43+V46+V49</f>
        <v>2716</v>
      </c>
      <c r="W51" s="75">
        <f t="shared" si="111"/>
        <v>830</v>
      </c>
      <c r="X51" s="75">
        <f t="shared" si="111"/>
        <v>87</v>
      </c>
      <c r="Y51" s="75">
        <f t="shared" si="111"/>
        <v>2399</v>
      </c>
      <c r="Z51" s="66">
        <f t="shared" si="104"/>
        <v>8.0482402165887201E-2</v>
      </c>
      <c r="AA51" s="66">
        <f>IFERROR(S51/U51-1,"n/a")</f>
        <v>0.37703889585947303</v>
      </c>
      <c r="AB51" s="66">
        <f t="shared" si="106"/>
        <v>0.61634756995581741</v>
      </c>
      <c r="AC51" s="66">
        <f t="shared" si="107"/>
        <v>4.2891566265060241</v>
      </c>
      <c r="AD51" s="66">
        <f t="shared" si="108"/>
        <v>49.459770114942529</v>
      </c>
      <c r="AE51" s="66">
        <f t="shared" si="109"/>
        <v>0.82992913714047511</v>
      </c>
      <c r="AF51" s="46">
        <f t="shared" ref="AF51:AJ52" si="112">AF37+AF40+AF43+AF46+AF49</f>
        <v>6221</v>
      </c>
      <c r="AG51" s="46">
        <f t="shared" si="112"/>
        <v>4589</v>
      </c>
      <c r="AH51" s="46">
        <f t="shared" si="112"/>
        <v>3856</v>
      </c>
      <c r="AI51" s="46">
        <f t="shared" si="112"/>
        <v>1673</v>
      </c>
      <c r="AJ51" s="46">
        <f t="shared" si="112"/>
        <v>669</v>
      </c>
      <c r="AK51" s="80">
        <f>AK37+AK40+AK43+AK46+AK49</f>
        <v>3241</v>
      </c>
      <c r="AM51" s="122"/>
    </row>
    <row r="52" spans="3:39" s="123" customFormat="1" ht="12.75" thickTop="1" thickBot="1">
      <c r="C52" s="38" t="s">
        <v>13</v>
      </c>
      <c r="D52" s="39"/>
      <c r="E52" s="40"/>
      <c r="F52" s="76">
        <f t="shared" si="110"/>
        <v>1596402</v>
      </c>
      <c r="G52" s="76">
        <f t="shared" si="110"/>
        <v>1610407</v>
      </c>
      <c r="H52" s="76">
        <f t="shared" si="110"/>
        <v>1148627</v>
      </c>
      <c r="I52" s="76">
        <f t="shared" si="110"/>
        <v>779647</v>
      </c>
      <c r="J52" s="76">
        <f t="shared" si="110"/>
        <v>304612</v>
      </c>
      <c r="K52" s="76">
        <f t="shared" si="110"/>
        <v>4854</v>
      </c>
      <c r="L52" s="76">
        <f t="shared" si="110"/>
        <v>742910</v>
      </c>
      <c r="M52" s="67">
        <f t="shared" si="98"/>
        <v>-8.6965593169925359E-3</v>
      </c>
      <c r="N52" s="67">
        <f t="shared" si="99"/>
        <v>0.38983499430189261</v>
      </c>
      <c r="O52" s="67">
        <f t="shared" si="100"/>
        <v>1.0475958991697523</v>
      </c>
      <c r="P52" s="67">
        <f t="shared" si="101"/>
        <v>4.2407718671621604</v>
      </c>
      <c r="Q52" s="67">
        <f t="shared" si="102"/>
        <v>327.88380716934489</v>
      </c>
      <c r="R52" s="67">
        <f t="shared" si="103"/>
        <v>1.1488497933800863</v>
      </c>
      <c r="S52" s="76">
        <f t="shared" ref="S52:T52" si="113">S38+S41+S44+S47+S50</f>
        <v>12094769</v>
      </c>
      <c r="T52" s="76">
        <f t="shared" si="113"/>
        <v>11860002.4</v>
      </c>
      <c r="U52" s="76">
        <f t="shared" si="111"/>
        <v>9103310</v>
      </c>
      <c r="V52" s="76">
        <f t="shared" si="111"/>
        <v>5996032</v>
      </c>
      <c r="W52" s="76">
        <f t="shared" si="111"/>
        <v>1231240</v>
      </c>
      <c r="X52" s="76">
        <f t="shared" si="111"/>
        <v>35715</v>
      </c>
      <c r="Y52" s="76">
        <f t="shared" si="111"/>
        <v>6706790</v>
      </c>
      <c r="Z52" s="67">
        <f t="shared" si="104"/>
        <v>1.979481892853574E-2</v>
      </c>
      <c r="AA52" s="67">
        <f>IFERROR(S52/U52-1,"n/a")</f>
        <v>0.32861223005697937</v>
      </c>
      <c r="AB52" s="67">
        <f t="shared" si="106"/>
        <v>1.0171288278648278</v>
      </c>
      <c r="AC52" s="67">
        <f t="shared" si="107"/>
        <v>8.8232424222734807</v>
      </c>
      <c r="AD52" s="67">
        <f t="shared" si="108"/>
        <v>337.6467590648187</v>
      </c>
      <c r="AE52" s="67">
        <f t="shared" si="109"/>
        <v>0.80336181690495745</v>
      </c>
      <c r="AF52" s="47">
        <f t="shared" si="112"/>
        <v>17650949.399999999</v>
      </c>
      <c r="AG52" s="47">
        <f t="shared" si="112"/>
        <v>13408675</v>
      </c>
      <c r="AH52" s="47">
        <f t="shared" si="112"/>
        <v>9237323</v>
      </c>
      <c r="AI52" s="47">
        <f t="shared" si="112"/>
        <v>2410085</v>
      </c>
      <c r="AJ52" s="47">
        <f t="shared" si="112"/>
        <v>1324261</v>
      </c>
      <c r="AK52" s="81">
        <f>AK38+AK41+AK44+AK47+AK50</f>
        <v>8638971</v>
      </c>
      <c r="AM52" s="122"/>
    </row>
    <row r="53" spans="3:39" s="123" customFormat="1" ht="12" thickTop="1">
      <c r="S53" s="128">
        <f>S51-F51-'Oct-25'!S51+1</f>
        <v>0</v>
      </c>
      <c r="T53" s="128">
        <f>T51-G51-'Oct-25'!T51</f>
        <v>0</v>
      </c>
      <c r="U53" s="128">
        <f>U51-H51-'Oct-25'!U51</f>
        <v>0</v>
      </c>
      <c r="V53" s="128">
        <f>V51-I51-'Oct-25'!V51</f>
        <v>0</v>
      </c>
      <c r="W53" s="128">
        <f>W51-J51-'Oct-25'!W51</f>
        <v>0</v>
      </c>
      <c r="X53" s="128">
        <f>X51-K51-'Oct-25'!X51</f>
        <v>0</v>
      </c>
      <c r="Y53" s="128">
        <f>Y51-L51-'Oct-25'!Y51</f>
        <v>0</v>
      </c>
      <c r="AM53" s="122"/>
    </row>
    <row r="54" spans="3:39" s="123" customFormat="1" ht="11.25">
      <c r="F54" s="131"/>
      <c r="S54" s="128">
        <f>S52-F52-'Oct-25'!S52+8458</f>
        <v>0</v>
      </c>
      <c r="T54" s="128">
        <f>T52-G52-'Oct-25'!T52</f>
        <v>0</v>
      </c>
      <c r="U54" s="128">
        <f>U52-H52-'Oct-25'!U52</f>
        <v>0</v>
      </c>
      <c r="V54" s="128">
        <f>V52-I52-'Oct-25'!V52</f>
        <v>0</v>
      </c>
      <c r="W54" s="128">
        <f>W52-J52-'Oct-25'!W52</f>
        <v>0</v>
      </c>
      <c r="X54" s="128">
        <f>X52-K52-'Oct-25'!X52</f>
        <v>0</v>
      </c>
      <c r="Y54" s="128">
        <f>Y52-L52-'Oct-25'!Y52</f>
        <v>0</v>
      </c>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50055-C71E-4292-9811-224CB4D929EB}">
  <dimension ref="A1:AM66"/>
  <sheetViews>
    <sheetView showGridLines="0" topLeftCell="L31" zoomScale="85" zoomScaleNormal="85" workbookViewId="0">
      <selection activeCell="Y37" sqref="Y3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9.14062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Occupancy_2026!AY3</f>
        <v>46154</v>
      </c>
      <c r="AL3" s="25"/>
      <c r="AM3" s="9"/>
    </row>
    <row r="4" spans="1:39" ht="15.75">
      <c r="A4" s="9"/>
      <c r="B4" s="11" t="s">
        <v>7</v>
      </c>
      <c r="C4" s="26"/>
      <c r="D4" s="93" t="s">
        <v>24</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October</v>
      </c>
      <c r="G9" s="167"/>
      <c r="H9" s="167"/>
      <c r="I9" s="167"/>
      <c r="J9" s="167"/>
      <c r="K9" s="167"/>
      <c r="L9" s="167"/>
      <c r="M9" s="167"/>
      <c r="N9" s="167"/>
      <c r="O9" s="167"/>
      <c r="P9" s="167"/>
      <c r="Q9" s="167"/>
      <c r="R9" s="168"/>
      <c r="S9" s="169" t="str">
        <f xml:space="preserve"> "January to "&amp; F9</f>
        <v>January to October</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155</v>
      </c>
      <c r="G13" s="71">
        <v>155</v>
      </c>
      <c r="H13" s="73">
        <v>81</v>
      </c>
      <c r="I13" s="71">
        <v>78</v>
      </c>
      <c r="J13" s="71">
        <v>89</v>
      </c>
      <c r="K13" s="71">
        <v>0</v>
      </c>
      <c r="L13" s="71">
        <v>110</v>
      </c>
      <c r="M13" s="64">
        <f>IFERROR(F13/G13-1,"n/a")</f>
        <v>0</v>
      </c>
      <c r="N13" s="64">
        <f>IFERROR(F13/H13-1,"n/a")</f>
        <v>0.91358024691358031</v>
      </c>
      <c r="O13" s="64">
        <f>IFERROR(F13/I13-1,"n/a")</f>
        <v>0.98717948717948723</v>
      </c>
      <c r="P13" s="64">
        <f>IFERROR(F13/J13-1,"n/a")</f>
        <v>0.7415730337078652</v>
      </c>
      <c r="Q13" s="64" t="str">
        <f>IFERROR(F13/K13-1,"n/a")</f>
        <v>n/a</v>
      </c>
      <c r="R13" s="60">
        <f>IFERROR(F13/L13-1,"n/a")</f>
        <v>0.40909090909090917</v>
      </c>
      <c r="S13" s="68">
        <f>'Sep-25'!S13+F13</f>
        <v>2238</v>
      </c>
      <c r="T13" s="68">
        <f>'Sep-25'!T13+G13</f>
        <v>1809</v>
      </c>
      <c r="U13" s="68">
        <f>'Sep-25'!U13+H13</f>
        <v>1236</v>
      </c>
      <c r="V13" s="68">
        <f>'Sep-25'!V13+I13</f>
        <v>1151</v>
      </c>
      <c r="W13" s="68">
        <f>'Sep-25'!W13+J13</f>
        <v>228</v>
      </c>
      <c r="X13" s="68">
        <f>'Sep-25'!X13+K13</f>
        <v>551</v>
      </c>
      <c r="Y13" s="68">
        <f>'Sep-25'!Y13+L13</f>
        <v>1212</v>
      </c>
      <c r="Z13" s="64">
        <f>IFERROR(S13/T13-1,"n/a")</f>
        <v>0.2371475953565505</v>
      </c>
      <c r="AA13" s="64">
        <f>IFERROR(S13/U13-1,"n/a")</f>
        <v>0.81067961165048552</v>
      </c>
      <c r="AB13" s="64">
        <f>IFERROR(S13/V13-1,"n/a")</f>
        <v>0.94439617723718516</v>
      </c>
      <c r="AC13" s="64">
        <f>IFERROR(S13/W13-1,"n/a")</f>
        <v>8.8157894736842106</v>
      </c>
      <c r="AD13" s="64">
        <f>IFERROR(S13/X13-1,"n/a")</f>
        <v>3.0617059891107079</v>
      </c>
      <c r="AE13" s="60">
        <f>IFERROR(S13/Y13-1,"n/a")</f>
        <v>0.84653465346534662</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563582</v>
      </c>
      <c r="G14" s="71">
        <v>545702</v>
      </c>
      <c r="H14" s="73">
        <v>282162</v>
      </c>
      <c r="I14" s="71">
        <v>268578</v>
      </c>
      <c r="J14" s="71">
        <v>143120</v>
      </c>
      <c r="K14" s="71">
        <v>0</v>
      </c>
      <c r="L14" s="71">
        <v>299863</v>
      </c>
      <c r="M14" s="64">
        <f>IFERROR(F14/G14-1,"n/a")</f>
        <v>3.2765135550172131E-2</v>
      </c>
      <c r="N14" s="64">
        <f>IFERROR(F14/H14-1,"n/a")</f>
        <v>0.99737030500209101</v>
      </c>
      <c r="O14" s="64">
        <f>IFERROR(F14/I14-1,"n/a")</f>
        <v>1.0983922733805449</v>
      </c>
      <c r="P14" s="64">
        <f>IFERROR(F14/J14-1,"n/a")</f>
        <v>2.9378283957518168</v>
      </c>
      <c r="Q14" s="64" t="str">
        <f>IFERROR(F14/K14-1,"n/a")</f>
        <v>n/a</v>
      </c>
      <c r="R14" s="60">
        <f>IFERROR(F14/L14-1,"n/a")</f>
        <v>0.87946495566308625</v>
      </c>
      <c r="S14" s="68">
        <f>'Sep-25'!S14+F14+50</f>
        <v>7161112</v>
      </c>
      <c r="T14" s="68">
        <f>'Sep-25'!T14+G14</f>
        <v>6197966</v>
      </c>
      <c r="U14" s="68">
        <f>'Sep-25'!U14+H14</f>
        <v>4068706</v>
      </c>
      <c r="V14" s="68">
        <f>'Sep-25'!V14+I14</f>
        <v>2663889</v>
      </c>
      <c r="W14" s="68">
        <f>'Sep-25'!W14+J14</f>
        <v>324020</v>
      </c>
      <c r="X14" s="68">
        <f>'Sep-25'!X14+K14</f>
        <v>1092884</v>
      </c>
      <c r="Y14" s="68">
        <f>'Sep-25'!Y14+L14</f>
        <v>3643281</v>
      </c>
      <c r="Z14" s="64">
        <f>IFERROR(S14/T14-1,"n/a")</f>
        <v>0.15539710930973172</v>
      </c>
      <c r="AA14" s="64">
        <f>IFERROR(S14/U14-1,"n/a")</f>
        <v>0.76004656025773309</v>
      </c>
      <c r="AB14" s="64">
        <f>IFERROR(S14/V14-1,"n/a")</f>
        <v>1.6882171141515281</v>
      </c>
      <c r="AC14" s="64">
        <f>IFERROR(S14/W14-1,"n/a")</f>
        <v>21.100833281896179</v>
      </c>
      <c r="AD14" s="64">
        <f>IFERROR(S14/X14-1,"n/a")</f>
        <v>5.5524904747438883</v>
      </c>
      <c r="AE14" s="60">
        <f>IFERROR(S14/Y14-1,"n/a")</f>
        <v>0.96556675150777549</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131</v>
      </c>
      <c r="G16" s="71">
        <v>122</v>
      </c>
      <c r="H16" s="74">
        <v>87</v>
      </c>
      <c r="I16" s="71">
        <v>89</v>
      </c>
      <c r="J16" s="71">
        <v>33</v>
      </c>
      <c r="K16" s="71">
        <v>17</v>
      </c>
      <c r="L16" s="71">
        <v>114</v>
      </c>
      <c r="M16" s="64">
        <f t="shared" ref="M16:M17" si="0">IFERROR(F16/G16-1,"n/a")</f>
        <v>7.3770491803278659E-2</v>
      </c>
      <c r="N16" s="64">
        <f t="shared" ref="N16:N17" si="1">IFERROR(F16/H16-1,"n/a")</f>
        <v>0.50574712643678166</v>
      </c>
      <c r="O16" s="64">
        <f t="shared" ref="O16:O17" si="2">IFERROR(F16/I16-1,"n/a")</f>
        <v>0.4719101123595506</v>
      </c>
      <c r="P16" s="64">
        <f t="shared" ref="P16:P17" si="3">IFERROR(F16/J16-1,"n/a")</f>
        <v>2.9696969696969697</v>
      </c>
      <c r="Q16" s="64">
        <f t="shared" ref="Q16:Q17" si="4">IFERROR(F16/K16-1,"n/a")</f>
        <v>6.7058823529411766</v>
      </c>
      <c r="R16" s="60">
        <f t="shared" ref="R16:R17" si="5">IFERROR(F16/L16-1,"n/a")</f>
        <v>0.14912280701754388</v>
      </c>
      <c r="S16" s="68">
        <f>'Sep-25'!S16+F16+1</f>
        <v>914</v>
      </c>
      <c r="T16" s="68">
        <f>'Sep-25'!T16+G16</f>
        <v>721</v>
      </c>
      <c r="U16" s="68">
        <f>'Sep-25'!U16+H16</f>
        <v>513</v>
      </c>
      <c r="V16" s="68">
        <f>'Sep-25'!V16+I16</f>
        <v>540</v>
      </c>
      <c r="W16" s="68">
        <f>'Sep-25'!W16+J16</f>
        <v>169</v>
      </c>
      <c r="X16" s="68">
        <f>'Sep-25'!X16+K16</f>
        <v>38</v>
      </c>
      <c r="Y16" s="68">
        <f>'Sep-25'!Y16+L16</f>
        <v>517</v>
      </c>
      <c r="Z16" s="64">
        <f t="shared" ref="Z16:Z17" si="6">IFERROR(S16/T16-1,"n/a")</f>
        <v>0.26768377253814157</v>
      </c>
      <c r="AA16" s="64">
        <f t="shared" ref="AA16:AA17" si="7">IFERROR(S16/U16-1,"n/a")</f>
        <v>0.78167641325536064</v>
      </c>
      <c r="AB16" s="64">
        <f t="shared" ref="AB16:AB17" si="8">IFERROR(S16/V16-1,"n/a")</f>
        <v>0.69259259259259265</v>
      </c>
      <c r="AC16" s="64">
        <f t="shared" ref="AC16:AC17" si="9">IFERROR(S16/W16-1,"n/a")</f>
        <v>4.4082840236686387</v>
      </c>
      <c r="AD16" s="64">
        <f t="shared" ref="AD16:AD17" si="10">IFERROR(S16/X16-1,"n/a")</f>
        <v>23.05263157894737</v>
      </c>
      <c r="AE16" s="60">
        <f t="shared" ref="AE16:AE17" si="11">IFERROR(S16/Y16-1,"n/a")</f>
        <v>0.76789168278529973</v>
      </c>
      <c r="AF16" s="68">
        <v>797</v>
      </c>
      <c r="AG16" s="68">
        <v>575</v>
      </c>
      <c r="AH16" s="68">
        <v>572</v>
      </c>
      <c r="AI16" s="68">
        <v>202</v>
      </c>
      <c r="AJ16" s="68">
        <v>54</v>
      </c>
      <c r="AK16" s="134">
        <v>586</v>
      </c>
      <c r="AL16" s="122"/>
      <c r="AM16" s="122"/>
    </row>
    <row r="17" spans="1:39" s="123" customFormat="1" ht="12.75">
      <c r="A17" s="122"/>
      <c r="B17" s="127"/>
      <c r="C17" s="33"/>
      <c r="D17" s="26" t="s">
        <v>11</v>
      </c>
      <c r="E17" s="32"/>
      <c r="F17" s="71">
        <v>269017</v>
      </c>
      <c r="G17" s="71">
        <v>261443</v>
      </c>
      <c r="H17" s="74">
        <v>199183</v>
      </c>
      <c r="I17" s="71">
        <v>124605</v>
      </c>
      <c r="J17" s="71">
        <v>44045</v>
      </c>
      <c r="K17" s="71">
        <v>13954</v>
      </c>
      <c r="L17" s="71">
        <v>223063</v>
      </c>
      <c r="M17" s="64">
        <f t="shared" si="0"/>
        <v>2.8969985809526255E-2</v>
      </c>
      <c r="N17" s="64">
        <f t="shared" si="1"/>
        <v>0.35060221002796421</v>
      </c>
      <c r="O17" s="64">
        <f t="shared" si="2"/>
        <v>1.1589583082540829</v>
      </c>
      <c r="P17" s="64">
        <f t="shared" si="3"/>
        <v>5.1077761380406406</v>
      </c>
      <c r="Q17" s="64">
        <f t="shared" si="4"/>
        <v>18.278844775691557</v>
      </c>
      <c r="R17" s="60">
        <f t="shared" si="5"/>
        <v>0.20601354774211766</v>
      </c>
      <c r="S17" s="68">
        <f>'Sep-25'!S17+F17-2165</f>
        <v>2262291</v>
      </c>
      <c r="T17" s="68">
        <f>'Sep-25'!T17+G17</f>
        <v>1923098</v>
      </c>
      <c r="U17" s="68">
        <f>'Sep-25'!U17+H17</f>
        <v>1532930</v>
      </c>
      <c r="V17" s="68">
        <f>'Sep-25'!V17+I17</f>
        <v>896537</v>
      </c>
      <c r="W17" s="68">
        <f>'Sep-25'!W17+J17</f>
        <v>259331</v>
      </c>
      <c r="X17" s="68">
        <f>'Sep-25'!X17+K17</f>
        <v>63680</v>
      </c>
      <c r="Y17" s="68">
        <f>'Sep-25'!Y17+L17</f>
        <v>1304953</v>
      </c>
      <c r="Z17" s="64">
        <f t="shared" si="6"/>
        <v>0.17637842689244132</v>
      </c>
      <c r="AA17" s="64">
        <f t="shared" si="7"/>
        <v>0.47579537226096424</v>
      </c>
      <c r="AB17" s="64">
        <f t="shared" si="8"/>
        <v>1.5233660183573017</v>
      </c>
      <c r="AC17" s="64">
        <f t="shared" si="9"/>
        <v>7.723565636194671</v>
      </c>
      <c r="AD17" s="64">
        <f t="shared" si="10"/>
        <v>34.52592650753769</v>
      </c>
      <c r="AE17" s="60">
        <f t="shared" si="11"/>
        <v>0.73361875868326298</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126</v>
      </c>
      <c r="G19" s="71">
        <v>123</v>
      </c>
      <c r="H19" s="73">
        <v>117</v>
      </c>
      <c r="I19" s="71">
        <v>97</v>
      </c>
      <c r="J19" s="71">
        <v>15</v>
      </c>
      <c r="K19" s="71">
        <v>1</v>
      </c>
      <c r="L19" s="71">
        <v>34</v>
      </c>
      <c r="M19" s="64">
        <f t="shared" ref="M19:M20" si="12">IFERROR(F19/G19-1,"n/a")</f>
        <v>2.4390243902439046E-2</v>
      </c>
      <c r="N19" s="64">
        <f t="shared" ref="N19:N20" si="13">IFERROR(F19/H19-1,"n/a")</f>
        <v>7.6923076923076872E-2</v>
      </c>
      <c r="O19" s="64">
        <f t="shared" ref="O19:O20" si="14">IFERROR(F19/I19-1,"n/a")</f>
        <v>0.2989690721649485</v>
      </c>
      <c r="P19" s="64">
        <f t="shared" ref="P19:P20" si="15">IFERROR(F19/J19-1,"n/a")</f>
        <v>7.4</v>
      </c>
      <c r="Q19" s="64">
        <f t="shared" ref="Q19:Q20" si="16">IFERROR(F19/K19-1,"n/a")</f>
        <v>125</v>
      </c>
      <c r="R19" s="60">
        <f t="shared" ref="R19:R20" si="17">IFERROR(F19/L19-1,"n/a")</f>
        <v>2.7058823529411766</v>
      </c>
      <c r="S19" s="68">
        <f>'Sep-25'!S19+F19</f>
        <v>817</v>
      </c>
      <c r="T19" s="68">
        <f>'Sep-25'!T19+G19</f>
        <v>702</v>
      </c>
      <c r="U19" s="68">
        <f>'Sep-25'!U19+H19</f>
        <v>661</v>
      </c>
      <c r="V19" s="68">
        <f>'Sep-25'!V19+I19</f>
        <v>610</v>
      </c>
      <c r="W19" s="68">
        <f>'Sep-25'!W19+J19</f>
        <v>31</v>
      </c>
      <c r="X19" s="68">
        <f>'Sep-25'!X19+K19</f>
        <v>9</v>
      </c>
      <c r="Y19" s="68">
        <f>'Sep-25'!Y19+L19</f>
        <v>265</v>
      </c>
      <c r="Z19" s="64">
        <f t="shared" ref="Z19:Z20" si="18">IFERROR(S19/T19-1,"n/a")</f>
        <v>0.16381766381766383</v>
      </c>
      <c r="AA19" s="64">
        <f t="shared" ref="AA19:AA20" si="19">IFERROR(S19/U19-1,"n/a")</f>
        <v>0.23600605143721642</v>
      </c>
      <c r="AB19" s="64">
        <f t="shared" ref="AB19:AB20" si="20">IFERROR(S19/V19-1,"n/a")</f>
        <v>0.33934426229508197</v>
      </c>
      <c r="AC19" s="64">
        <f t="shared" ref="AC19:AC20" si="21">IFERROR(S19/W19-1,"n/a")</f>
        <v>25.35483870967742</v>
      </c>
      <c r="AD19" s="64">
        <f t="shared" ref="AD19:AD20" si="22">IFERROR(S19/X19-1,"n/a")</f>
        <v>89.777777777777771</v>
      </c>
      <c r="AE19" s="60">
        <f t="shared" ref="AE19:AE20" si="23">IFERROR(S19/Y19-1,"n/a")</f>
        <v>2.0830188679245283</v>
      </c>
      <c r="AF19" s="68">
        <v>733</v>
      </c>
      <c r="AG19" s="68">
        <v>708</v>
      </c>
      <c r="AH19" s="68">
        <v>658</v>
      </c>
      <c r="AI19" s="68">
        <v>47</v>
      </c>
      <c r="AJ19" s="68">
        <v>9</v>
      </c>
      <c r="AK19" s="134">
        <v>290</v>
      </c>
      <c r="AL19" s="122"/>
      <c r="AM19" s="122"/>
    </row>
    <row r="20" spans="1:39" s="123" customFormat="1" ht="12.75">
      <c r="A20" s="122"/>
      <c r="B20" s="127"/>
      <c r="C20" s="33"/>
      <c r="D20" s="26" t="s">
        <v>11</v>
      </c>
      <c r="E20" s="32"/>
      <c r="F20" s="71">
        <v>222652</v>
      </c>
      <c r="G20" s="71">
        <v>217519</v>
      </c>
      <c r="H20" s="73">
        <v>211817</v>
      </c>
      <c r="I20" s="71">
        <v>133084</v>
      </c>
      <c r="J20" s="71">
        <v>6450</v>
      </c>
      <c r="K20" s="71">
        <v>0</v>
      </c>
      <c r="L20" s="71">
        <v>67246</v>
      </c>
      <c r="M20" s="64">
        <f t="shared" si="12"/>
        <v>2.3597938570883548E-2</v>
      </c>
      <c r="N20" s="64">
        <f t="shared" si="13"/>
        <v>5.1152645916050066E-2</v>
      </c>
      <c r="O20" s="64">
        <f t="shared" si="14"/>
        <v>0.67301854467854882</v>
      </c>
      <c r="P20" s="64">
        <f t="shared" si="15"/>
        <v>33.519689922480623</v>
      </c>
      <c r="Q20" s="64" t="str">
        <f t="shared" si="16"/>
        <v>n/a</v>
      </c>
      <c r="R20" s="60">
        <f t="shared" si="17"/>
        <v>2.3110073461618534</v>
      </c>
      <c r="S20" s="68">
        <f>'Sep-25'!S20+F20</f>
        <v>1675436</v>
      </c>
      <c r="T20" s="68">
        <f>'Sep-25'!T20+G20</f>
        <v>1454463.4</v>
      </c>
      <c r="U20" s="68">
        <f>'Sep-25'!U20+H20</f>
        <v>1225242</v>
      </c>
      <c r="V20" s="68">
        <f>'Sep-25'!V20+I20</f>
        <v>837142</v>
      </c>
      <c r="W20" s="68">
        <f>'Sep-25'!W20+J20</f>
        <v>10992</v>
      </c>
      <c r="X20" s="68">
        <f>'Sep-25'!X20+K20</f>
        <v>10047</v>
      </c>
      <c r="Y20" s="68">
        <f>'Sep-25'!Y20+L20</f>
        <v>555008</v>
      </c>
      <c r="Z20" s="64">
        <f t="shared" si="18"/>
        <v>0.15192723309503697</v>
      </c>
      <c r="AA20" s="64">
        <f t="shared" si="19"/>
        <v>0.3674327194137974</v>
      </c>
      <c r="AB20" s="64">
        <f t="shared" si="20"/>
        <v>1.0013761106240042</v>
      </c>
      <c r="AC20" s="64">
        <f t="shared" si="21"/>
        <v>151.42321688500726</v>
      </c>
      <c r="AD20" s="64">
        <f t="shared" si="22"/>
        <v>165.75982880461828</v>
      </c>
      <c r="AE20" s="60">
        <f t="shared" si="23"/>
        <v>2.0187600899446494</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188</v>
      </c>
      <c r="G22" s="71">
        <v>189</v>
      </c>
      <c r="H22" s="74">
        <v>185</v>
      </c>
      <c r="I22" s="71">
        <v>149</v>
      </c>
      <c r="J22" s="71">
        <v>107</v>
      </c>
      <c r="K22" s="71">
        <v>0</v>
      </c>
      <c r="L22" s="71">
        <v>127</v>
      </c>
      <c r="M22" s="64">
        <f t="shared" ref="M22:M23" si="24">IFERROR(F22/G22-1,"n/a")</f>
        <v>-5.2910052910053462E-3</v>
      </c>
      <c r="N22" s="64">
        <f t="shared" ref="N22:N23" si="25">IFERROR(F22/H22-1,"n/a")</f>
        <v>1.6216216216216273E-2</v>
      </c>
      <c r="O22" s="64">
        <f t="shared" ref="O22:O23" si="26">IFERROR(F22/I22-1,"n/a")</f>
        <v>0.26174496644295298</v>
      </c>
      <c r="P22" s="64">
        <f t="shared" ref="P22:P23" si="27">IFERROR(F22/J22-1,"n/a")</f>
        <v>0.7570093457943925</v>
      </c>
      <c r="Q22" s="64" t="str">
        <f t="shared" ref="Q22:Q23" si="28">IFERROR(F22/K22-1,"n/a")</f>
        <v>n/a</v>
      </c>
      <c r="R22" s="60">
        <f t="shared" ref="R22:R23" si="29">IFERROR(F22/L22-1,"n/a")</f>
        <v>0.48031496062992129</v>
      </c>
      <c r="S22" s="68">
        <f>'Sep-25'!S22+F22</f>
        <v>1295</v>
      </c>
      <c r="T22" s="68">
        <f>'Sep-25'!T22+G22</f>
        <v>1187</v>
      </c>
      <c r="U22" s="68">
        <f>'Sep-25'!U22+H22</f>
        <v>1161</v>
      </c>
      <c r="V22" s="68">
        <f>'Sep-25'!V22+I22</f>
        <v>697</v>
      </c>
      <c r="W22" s="68">
        <f>'Sep-25'!W22+J22</f>
        <v>191</v>
      </c>
      <c r="X22" s="68">
        <f>'Sep-25'!X22+K22</f>
        <v>43</v>
      </c>
      <c r="Y22" s="68">
        <f>'Sep-25'!Y22+L22</f>
        <v>712</v>
      </c>
      <c r="Z22" s="64">
        <f t="shared" ref="Z22:Z23" si="30">IFERROR(S22/T22-1,"n/a")</f>
        <v>9.0985678180286467E-2</v>
      </c>
      <c r="AA22" s="64">
        <f t="shared" ref="AA22:AA23" si="31">IFERROR(S22/U22-1,"n/a")</f>
        <v>0.1154177433247201</v>
      </c>
      <c r="AB22" s="64">
        <f t="shared" ref="AB22:AB23" si="32">IFERROR(S22/V22-1,"n/a")</f>
        <v>0.85796269727403152</v>
      </c>
      <c r="AC22" s="64">
        <f t="shared" ref="AC22:AC23" si="33">IFERROR(S22/W22-1,"n/a")</f>
        <v>5.7801047120418847</v>
      </c>
      <c r="AD22" s="64">
        <f t="shared" ref="AD22:AD23" si="34">IFERROR(S22/X22-1,"n/a")</f>
        <v>29.11627906976744</v>
      </c>
      <c r="AE22" s="60">
        <f t="shared" ref="AE22:AE23" si="35">IFERROR(S22/Y22-1,"n/a")</f>
        <v>0.81882022471910121</v>
      </c>
      <c r="AF22" s="68">
        <v>1651</v>
      </c>
      <c r="AG22" s="68">
        <v>1500</v>
      </c>
      <c r="AH22" s="68">
        <v>895</v>
      </c>
      <c r="AI22" s="68">
        <v>283</v>
      </c>
      <c r="AJ22" s="68">
        <v>43</v>
      </c>
      <c r="AK22" s="134">
        <v>827</v>
      </c>
      <c r="AL22" s="122"/>
      <c r="AM22" s="122"/>
    </row>
    <row r="23" spans="1:39" s="123" customFormat="1" ht="12.75">
      <c r="A23" s="122"/>
      <c r="B23" s="127"/>
      <c r="C23" s="33"/>
      <c r="D23" s="26" t="s">
        <v>11</v>
      </c>
      <c r="E23" s="32"/>
      <c r="F23" s="71">
        <v>398840</v>
      </c>
      <c r="G23" s="71">
        <v>459752</v>
      </c>
      <c r="H23" s="73">
        <v>513716</v>
      </c>
      <c r="I23" s="71">
        <v>338461</v>
      </c>
      <c r="J23" s="71">
        <v>174505</v>
      </c>
      <c r="K23" s="71">
        <v>0</v>
      </c>
      <c r="L23" s="71">
        <v>332808</v>
      </c>
      <c r="M23" s="64">
        <f t="shared" si="24"/>
        <v>-0.13248882005951035</v>
      </c>
      <c r="N23" s="64">
        <f t="shared" si="25"/>
        <v>-0.22361771873953706</v>
      </c>
      <c r="O23" s="64">
        <f t="shared" si="26"/>
        <v>0.17839278380670143</v>
      </c>
      <c r="P23" s="64">
        <f t="shared" si="27"/>
        <v>1.2855505572906218</v>
      </c>
      <c r="Q23" s="64" t="str">
        <f t="shared" si="28"/>
        <v>n/a</v>
      </c>
      <c r="R23" s="60">
        <f t="shared" si="29"/>
        <v>0.19840869209874756</v>
      </c>
      <c r="S23" s="68">
        <f>'Sep-25'!S23+F23+26</f>
        <v>3542849</v>
      </c>
      <c r="T23" s="68">
        <f>'Sep-25'!T23+G23</f>
        <v>3863464</v>
      </c>
      <c r="U23" s="68">
        <f>'Sep-25'!U23+H23</f>
        <v>3567538</v>
      </c>
      <c r="V23" s="68">
        <f>'Sep-25'!V23+I23</f>
        <v>1670885</v>
      </c>
      <c r="W23" s="68">
        <f>'Sep-25'!W23+J23</f>
        <v>342388</v>
      </c>
      <c r="X23" s="68">
        <f>'Sep-25'!X23+K23</f>
        <v>140552</v>
      </c>
      <c r="Y23" s="68">
        <f>'Sep-25'!Y23+L23</f>
        <v>2230252</v>
      </c>
      <c r="Z23" s="64">
        <f t="shared" si="30"/>
        <v>-8.2986408052462712E-2</v>
      </c>
      <c r="AA23" s="64">
        <f t="shared" si="31"/>
        <v>-6.9204588710758408E-3</v>
      </c>
      <c r="AB23" s="64">
        <f t="shared" si="32"/>
        <v>1.1203428123419625</v>
      </c>
      <c r="AC23" s="64">
        <f t="shared" si="33"/>
        <v>9.3474683692185465</v>
      </c>
      <c r="AD23" s="64">
        <f t="shared" si="34"/>
        <v>24.206677955489784</v>
      </c>
      <c r="AE23" s="60">
        <f t="shared" si="35"/>
        <v>0.58854201229278136</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4</v>
      </c>
      <c r="G25" s="71">
        <v>2</v>
      </c>
      <c r="H25" s="71">
        <v>2</v>
      </c>
      <c r="I25" s="71">
        <v>1</v>
      </c>
      <c r="J25" s="71">
        <v>0</v>
      </c>
      <c r="K25" s="71">
        <v>0</v>
      </c>
      <c r="L25" s="71">
        <v>3</v>
      </c>
      <c r="M25" s="64">
        <f t="shared" ref="M25:M28" si="36">IFERROR(F25/G25-1,"n/a")</f>
        <v>1</v>
      </c>
      <c r="N25" s="64">
        <f t="shared" ref="N25:N28" si="37">IFERROR(F25/H25-1,"n/a")</f>
        <v>1</v>
      </c>
      <c r="O25" s="64">
        <f t="shared" ref="O25:O28" si="38">IFERROR(F25/I25-1,"n/a")</f>
        <v>3</v>
      </c>
      <c r="P25" s="64" t="str">
        <f t="shared" ref="P25:P28" si="39">IFERROR(F25/J25-1,"n/a")</f>
        <v>n/a</v>
      </c>
      <c r="Q25" s="64" t="str">
        <f t="shared" ref="Q25:Q28" si="40">IFERROR(F25/K25-1,"n/a")</f>
        <v>n/a</v>
      </c>
      <c r="R25" s="60">
        <f t="shared" ref="R25:R28" si="41">IFERROR(F25/L25-1,"n/a")</f>
        <v>0.33333333333333326</v>
      </c>
      <c r="S25" s="68">
        <f>'Sep-25'!S25+F25</f>
        <v>23</v>
      </c>
      <c r="T25" s="68">
        <f>'Sep-25'!T25+G25</f>
        <v>14</v>
      </c>
      <c r="U25" s="68">
        <f>'Sep-25'!U25+H25</f>
        <v>21</v>
      </c>
      <c r="V25" s="68">
        <f>'Sep-25'!V25+I25</f>
        <v>9</v>
      </c>
      <c r="W25" s="68">
        <f>'Sep-25'!W25+J25</f>
        <v>0</v>
      </c>
      <c r="X25" s="68">
        <f>'Sep-25'!X25+K25</f>
        <v>0</v>
      </c>
      <c r="Y25" s="68">
        <f>'Sep-25'!Y25+L25</f>
        <v>16</v>
      </c>
      <c r="Z25" s="64">
        <f t="shared" ref="Z25:Z28" si="42">IFERROR(S25/T25-1,"n/a")</f>
        <v>0.64285714285714279</v>
      </c>
      <c r="AA25" s="64">
        <f t="shared" ref="AA25:AA28" si="43">IFERROR(S25/U25-1,"n/a")</f>
        <v>9.5238095238095344E-2</v>
      </c>
      <c r="AB25" s="64">
        <f t="shared" ref="AB25:AB28" si="44">IFERROR(S25/V25-1,"n/a")</f>
        <v>1.5555555555555554</v>
      </c>
      <c r="AC25" s="64" t="str">
        <f t="shared" ref="AC25:AC28" si="45">IFERROR(S25/W25-1,"n/a")</f>
        <v>n/a</v>
      </c>
      <c r="AD25" s="64" t="str">
        <f t="shared" ref="AD25:AD28" si="46">IFERROR(S25/X25-1,"n/a")</f>
        <v>n/a</v>
      </c>
      <c r="AE25" s="60">
        <f t="shared" ref="AE25:AE28" si="47">IFERROR(S25/Y25-1,"n/a")</f>
        <v>0.4375</v>
      </c>
      <c r="AF25" s="68">
        <v>14</v>
      </c>
      <c r="AG25" s="68">
        <v>21</v>
      </c>
      <c r="AH25" s="68">
        <v>9</v>
      </c>
      <c r="AI25" s="68">
        <v>0</v>
      </c>
      <c r="AJ25" s="68">
        <v>0</v>
      </c>
      <c r="AK25" s="134">
        <v>16</v>
      </c>
      <c r="AL25" s="122"/>
      <c r="AM25" s="122"/>
    </row>
    <row r="26" spans="1:39" s="123" customFormat="1" ht="12.75">
      <c r="A26" s="122"/>
      <c r="B26" s="127"/>
      <c r="C26" s="33"/>
      <c r="D26" s="26" t="s">
        <v>11</v>
      </c>
      <c r="E26" s="32"/>
      <c r="F26" s="71">
        <v>11929</v>
      </c>
      <c r="G26" s="71">
        <v>3500</v>
      </c>
      <c r="H26" s="71">
        <v>4312</v>
      </c>
      <c r="I26" s="71">
        <v>2358</v>
      </c>
      <c r="J26" s="71">
        <v>0</v>
      </c>
      <c r="K26" s="71">
        <v>0</v>
      </c>
      <c r="L26" s="71">
        <v>3957</v>
      </c>
      <c r="M26" s="64">
        <f t="shared" si="36"/>
        <v>2.4082857142857144</v>
      </c>
      <c r="N26" s="64">
        <f t="shared" si="37"/>
        <v>1.7664656771799629</v>
      </c>
      <c r="O26" s="64">
        <f t="shared" si="38"/>
        <v>4.0589482612383376</v>
      </c>
      <c r="P26" s="64" t="str">
        <f t="shared" si="39"/>
        <v>n/a</v>
      </c>
      <c r="Q26" s="64" t="str">
        <f t="shared" si="40"/>
        <v>n/a</v>
      </c>
      <c r="R26" s="60">
        <f t="shared" si="41"/>
        <v>2.0146575688653021</v>
      </c>
      <c r="S26" s="68">
        <f>'Sep-25'!S26+F26-359</f>
        <v>72837</v>
      </c>
      <c r="T26" s="68">
        <f>'Sep-25'!T26+G26</f>
        <v>47798</v>
      </c>
      <c r="U26" s="68">
        <f>'Sep-25'!U26+H26</f>
        <v>38626</v>
      </c>
      <c r="V26" s="68">
        <f>'Sep-25'!V26+I26</f>
        <v>15637</v>
      </c>
      <c r="W26" s="68">
        <f>'Sep-25'!W26+J26</f>
        <v>0</v>
      </c>
      <c r="X26" s="68">
        <f>'Sep-25'!X26+K26</f>
        <v>0</v>
      </c>
      <c r="Y26" s="68">
        <f>'Sep-25'!Y26+L26</f>
        <v>20248</v>
      </c>
      <c r="Z26" s="64">
        <f t="shared" si="42"/>
        <v>0.523850370308381</v>
      </c>
      <c r="AA26" s="64">
        <f t="shared" si="43"/>
        <v>0.88569875213586702</v>
      </c>
      <c r="AB26" s="64">
        <f t="shared" si="44"/>
        <v>3.6579906631706853</v>
      </c>
      <c r="AC26" s="64" t="str">
        <f t="shared" si="45"/>
        <v>n/a</v>
      </c>
      <c r="AD26" s="64" t="str">
        <f t="shared" si="46"/>
        <v>n/a</v>
      </c>
      <c r="AE26" s="60">
        <f t="shared" si="47"/>
        <v>2.5972441722639275</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604</v>
      </c>
      <c r="G27" s="75">
        <f t="shared" si="48"/>
        <v>591</v>
      </c>
      <c r="H27" s="75">
        <f t="shared" si="48"/>
        <v>472</v>
      </c>
      <c r="I27" s="75">
        <f t="shared" si="48"/>
        <v>414</v>
      </c>
      <c r="J27" s="75">
        <f t="shared" si="48"/>
        <v>244</v>
      </c>
      <c r="K27" s="75">
        <f t="shared" si="48"/>
        <v>18</v>
      </c>
      <c r="L27" s="75">
        <f t="shared" si="48"/>
        <v>388</v>
      </c>
      <c r="M27" s="66">
        <f t="shared" si="36"/>
        <v>2.1996615905245376E-2</v>
      </c>
      <c r="N27" s="66">
        <f t="shared" si="37"/>
        <v>0.27966101694915246</v>
      </c>
      <c r="O27" s="66">
        <f t="shared" si="38"/>
        <v>0.45893719806763289</v>
      </c>
      <c r="P27" s="66">
        <f t="shared" si="39"/>
        <v>1.4754098360655736</v>
      </c>
      <c r="Q27" s="66">
        <f t="shared" si="40"/>
        <v>32.555555555555557</v>
      </c>
      <c r="R27" s="62">
        <f t="shared" si="41"/>
        <v>0.55670103092783507</v>
      </c>
      <c r="S27" s="75">
        <f t="shared" ref="S27:Y28" si="49">S13+S16+S19+S22+S25</f>
        <v>5287</v>
      </c>
      <c r="T27" s="75">
        <f t="shared" si="49"/>
        <v>4433</v>
      </c>
      <c r="U27" s="75">
        <f t="shared" si="49"/>
        <v>3592</v>
      </c>
      <c r="V27" s="75">
        <f t="shared" si="49"/>
        <v>3007</v>
      </c>
      <c r="W27" s="75">
        <f t="shared" si="49"/>
        <v>619</v>
      </c>
      <c r="X27" s="75">
        <f t="shared" si="49"/>
        <v>641</v>
      </c>
      <c r="Y27" s="75">
        <f t="shared" si="49"/>
        <v>2722</v>
      </c>
      <c r="Z27" s="66">
        <f t="shared" si="42"/>
        <v>0.19264606361380565</v>
      </c>
      <c r="AA27" s="66">
        <f t="shared" si="43"/>
        <v>0.4718819599109132</v>
      </c>
      <c r="AB27" s="66">
        <f t="shared" si="44"/>
        <v>0.75823079481210498</v>
      </c>
      <c r="AC27" s="66">
        <f t="shared" si="45"/>
        <v>7.5411954765751208</v>
      </c>
      <c r="AD27" s="66">
        <f t="shared" si="46"/>
        <v>7.2480499219968806</v>
      </c>
      <c r="AE27" s="62">
        <f t="shared" si="47"/>
        <v>0.94232182218956639</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1466020</v>
      </c>
      <c r="G28" s="76">
        <f t="shared" si="48"/>
        <v>1487916</v>
      </c>
      <c r="H28" s="76">
        <f t="shared" si="48"/>
        <v>1211190</v>
      </c>
      <c r="I28" s="76">
        <f t="shared" si="48"/>
        <v>867086</v>
      </c>
      <c r="J28" s="76">
        <f t="shared" si="48"/>
        <v>368120</v>
      </c>
      <c r="K28" s="76">
        <f t="shared" si="48"/>
        <v>13954</v>
      </c>
      <c r="L28" s="76">
        <f t="shared" si="48"/>
        <v>926937</v>
      </c>
      <c r="M28" s="67">
        <f t="shared" si="36"/>
        <v>-1.471588449885608E-2</v>
      </c>
      <c r="N28" s="67">
        <f t="shared" si="37"/>
        <v>0.2103963870243315</v>
      </c>
      <c r="O28" s="67">
        <f t="shared" si="38"/>
        <v>0.69074347873221331</v>
      </c>
      <c r="P28" s="67">
        <f t="shared" si="39"/>
        <v>2.9824513745517764</v>
      </c>
      <c r="Q28" s="67">
        <f t="shared" si="40"/>
        <v>104.06091443313746</v>
      </c>
      <c r="R28" s="63">
        <f t="shared" si="41"/>
        <v>0.58157458381745464</v>
      </c>
      <c r="S28" s="76">
        <f t="shared" si="49"/>
        <v>14714525</v>
      </c>
      <c r="T28" s="76">
        <f t="shared" si="49"/>
        <v>13486789.4</v>
      </c>
      <c r="U28" s="76">
        <f t="shared" si="49"/>
        <v>10433042</v>
      </c>
      <c r="V28" s="76">
        <f t="shared" si="49"/>
        <v>6084090</v>
      </c>
      <c r="W28" s="76">
        <f t="shared" si="49"/>
        <v>936731</v>
      </c>
      <c r="X28" s="76">
        <f t="shared" si="49"/>
        <v>1307163</v>
      </c>
      <c r="Y28" s="76">
        <f t="shared" si="49"/>
        <v>7753742</v>
      </c>
      <c r="Z28" s="67">
        <f t="shared" si="42"/>
        <v>9.1032458770357927E-2</v>
      </c>
      <c r="AA28" s="67">
        <f t="shared" si="43"/>
        <v>0.41037724184374991</v>
      </c>
      <c r="AB28" s="67">
        <f t="shared" si="44"/>
        <v>1.4185252026186332</v>
      </c>
      <c r="AC28" s="67">
        <f t="shared" si="45"/>
        <v>14.708378392516101</v>
      </c>
      <c r="AD28" s="67">
        <f t="shared" si="46"/>
        <v>10.256840195140162</v>
      </c>
      <c r="AE28" s="63">
        <f t="shared" si="47"/>
        <v>0.89773208858380893</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f>S27-F27-'Sep-25'!S27-1</f>
        <v>0</v>
      </c>
      <c r="T29" s="128">
        <f>T27-G27-'Sep-25'!T27</f>
        <v>0</v>
      </c>
      <c r="U29" s="128">
        <f>U27-H27-'Sep-25'!U27</f>
        <v>0</v>
      </c>
      <c r="V29" s="128">
        <f>V27-I27-'Sep-25'!V27</f>
        <v>0</v>
      </c>
      <c r="W29" s="128">
        <f>W27-J27-'Sep-25'!W27</f>
        <v>0</v>
      </c>
      <c r="X29" s="128">
        <f>X27-K27-'Sep-25'!X27</f>
        <v>0</v>
      </c>
      <c r="Y29" s="128">
        <f>Y27-L27-'Sep-25'!Y27</f>
        <v>0</v>
      </c>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S28-F28-'Sep-25'!S28+2448</f>
        <v>0</v>
      </c>
      <c r="T30" s="128">
        <f>T28-G28-'Sep-25'!T28</f>
        <v>0</v>
      </c>
      <c r="U30" s="128">
        <f>U28-H28-'Sep-25'!U28</f>
        <v>0</v>
      </c>
      <c r="V30" s="128">
        <f>V28-I28-'Sep-25'!V28</f>
        <v>0</v>
      </c>
      <c r="W30" s="128">
        <f>W28-J28-'Sep-25'!W28</f>
        <v>0</v>
      </c>
      <c r="X30" s="128">
        <f>X28-K28-'Sep-25'!X28</f>
        <v>0</v>
      </c>
      <c r="Y30" s="128">
        <f>Y28-L28-'Sep-25'!Y28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October</v>
      </c>
      <c r="G33" s="170"/>
      <c r="H33" s="170"/>
      <c r="I33" s="170"/>
      <c r="J33" s="170"/>
      <c r="K33" s="170"/>
      <c r="L33" s="170"/>
      <c r="M33" s="170"/>
      <c r="N33" s="170"/>
      <c r="O33" s="170"/>
      <c r="P33" s="170"/>
      <c r="Q33" s="170"/>
      <c r="R33" s="171"/>
      <c r="S33" s="176" t="str">
        <f>"April to "&amp;D4&amp;" (YTD)"</f>
        <v>April to October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3"/>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2">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3" t="s">
        <v>146</v>
      </c>
      <c r="AA35" s="53" t="s">
        <v>147</v>
      </c>
      <c r="AB35" s="53" t="s">
        <v>148</v>
      </c>
      <c r="AC35" s="53" t="s">
        <v>149</v>
      </c>
      <c r="AD35" s="53" t="s">
        <v>150</v>
      </c>
      <c r="AE35" s="57" t="s">
        <v>151</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155</v>
      </c>
      <c r="G37" s="74">
        <f t="shared" ref="G37:L38" si="51">G13</f>
        <v>155</v>
      </c>
      <c r="H37" s="74">
        <f t="shared" si="51"/>
        <v>81</v>
      </c>
      <c r="I37" s="74">
        <f t="shared" si="51"/>
        <v>78</v>
      </c>
      <c r="J37" s="74">
        <f t="shared" si="51"/>
        <v>89</v>
      </c>
      <c r="K37" s="74">
        <f t="shared" si="51"/>
        <v>0</v>
      </c>
      <c r="L37" s="74">
        <f t="shared" si="51"/>
        <v>110</v>
      </c>
      <c r="M37" s="64">
        <f t="shared" ref="M37:M38" si="52">IFERROR(F37/G37-1,"n/a")</f>
        <v>0</v>
      </c>
      <c r="N37" s="64">
        <f t="shared" ref="N37:N38" si="53">IFERROR(F37/H37-1,"n/a")</f>
        <v>0.91358024691358031</v>
      </c>
      <c r="O37" s="64">
        <f t="shared" ref="O37:O38" si="54">IFERROR(F37/I37-1,"n/a")</f>
        <v>0.98717948717948723</v>
      </c>
      <c r="P37" s="64">
        <f t="shared" ref="P37:P38" si="55">IFERROR(F37/J37-1,"n/a")</f>
        <v>0.7415730337078652</v>
      </c>
      <c r="Q37" s="64" t="str">
        <f t="shared" ref="Q37:Q38" si="56">IFERROR(F37/K37-1,"n/a")</f>
        <v>n/a</v>
      </c>
      <c r="R37" s="60">
        <f t="shared" ref="R37:R38" si="57">IFERROR(F37/L37-1,"n/a")</f>
        <v>0.40909090909090917</v>
      </c>
      <c r="S37" s="74">
        <f>'Sep-25'!S37+F37</f>
        <v>1147</v>
      </c>
      <c r="T37" s="74">
        <f>'Sep-25'!T37+G37</f>
        <v>1107</v>
      </c>
      <c r="U37" s="74">
        <f>'Sep-25'!U37+H37</f>
        <v>706</v>
      </c>
      <c r="V37" s="74">
        <f>'Sep-25'!V37+I37</f>
        <v>621</v>
      </c>
      <c r="W37" s="74">
        <f>'Sep-25'!W37+J37</f>
        <v>228</v>
      </c>
      <c r="X37" s="74">
        <f>'Sep-25'!X37+K37</f>
        <v>42</v>
      </c>
      <c r="Y37" s="74">
        <f>'Sep-25'!Y37+L37</f>
        <v>696</v>
      </c>
      <c r="Z37" s="147">
        <f>IFERROR(S37/T37-1,"n/a")</f>
        <v>3.6133694670279937E-2</v>
      </c>
      <c r="AA37" s="147">
        <f>IFERROR(S37/U37-1,"n/a")</f>
        <v>0.62464589235127477</v>
      </c>
      <c r="AB37" s="147">
        <f>IFERROR(S37/V37-1,"n/a")</f>
        <v>0.8470209339774557</v>
      </c>
      <c r="AC37" s="147">
        <f>IFERROR(S37/W37-1,"n/a")</f>
        <v>4.0307017543859649</v>
      </c>
      <c r="AD37" s="147">
        <f>IFERROR(S37/X37-1,"n/a")</f>
        <v>26.30952380952381</v>
      </c>
      <c r="AE37" s="158">
        <f>IFERROR(S37/Y37-1,"n/a")</f>
        <v>0.64798850574712641</v>
      </c>
      <c r="AF37" s="154">
        <v>2874</v>
      </c>
      <c r="AG37" s="89">
        <v>1802</v>
      </c>
      <c r="AH37" s="89">
        <v>1486</v>
      </c>
      <c r="AI37" s="89">
        <v>1052</v>
      </c>
      <c r="AJ37" s="70">
        <v>551</v>
      </c>
      <c r="AK37" s="78">
        <v>1584</v>
      </c>
      <c r="AM37" s="122"/>
    </row>
    <row r="38" spans="1:39" s="123" customFormat="1" ht="11.25">
      <c r="A38" s="122"/>
      <c r="B38" s="122"/>
      <c r="C38" s="33"/>
      <c r="D38" s="26" t="s">
        <v>11</v>
      </c>
      <c r="E38" s="32"/>
      <c r="F38" s="74">
        <f>F14</f>
        <v>563582</v>
      </c>
      <c r="G38" s="74">
        <f t="shared" si="51"/>
        <v>545702</v>
      </c>
      <c r="H38" s="74">
        <f t="shared" si="51"/>
        <v>282162</v>
      </c>
      <c r="I38" s="74">
        <f t="shared" si="51"/>
        <v>268578</v>
      </c>
      <c r="J38" s="74">
        <f t="shared" si="51"/>
        <v>143120</v>
      </c>
      <c r="K38" s="74">
        <f t="shared" si="51"/>
        <v>0</v>
      </c>
      <c r="L38" s="74">
        <f t="shared" si="51"/>
        <v>299863</v>
      </c>
      <c r="M38" s="64">
        <f t="shared" si="52"/>
        <v>3.2765135550172131E-2</v>
      </c>
      <c r="N38" s="64">
        <f t="shared" si="53"/>
        <v>0.99737030500209101</v>
      </c>
      <c r="O38" s="64">
        <f t="shared" si="54"/>
        <v>1.0983922733805449</v>
      </c>
      <c r="P38" s="64">
        <f t="shared" si="55"/>
        <v>2.9378283957518168</v>
      </c>
      <c r="Q38" s="64" t="str">
        <f t="shared" si="56"/>
        <v>n/a</v>
      </c>
      <c r="R38" s="60">
        <f t="shared" si="57"/>
        <v>0.87946495566308625</v>
      </c>
      <c r="S38" s="74">
        <f>'Sep-25'!S38+F38+50</f>
        <v>4238965</v>
      </c>
      <c r="T38" s="74">
        <f>'Sep-25'!T38+G38</f>
        <v>4044142</v>
      </c>
      <c r="U38" s="74">
        <f>'Sep-25'!U38+H38</f>
        <v>2530522</v>
      </c>
      <c r="V38" s="74">
        <f>'Sep-25'!V38+I38</f>
        <v>1904231</v>
      </c>
      <c r="W38" s="74">
        <f>'Sep-25'!W38+J38</f>
        <v>324020</v>
      </c>
      <c r="X38" s="74">
        <f>'Sep-25'!X38+K38</f>
        <v>0</v>
      </c>
      <c r="Y38" s="74">
        <f>'Sep-25'!Y38+L38</f>
        <v>2192177</v>
      </c>
      <c r="Z38" s="147">
        <f>IFERROR(S38/T38-1,"n/a")</f>
        <v>4.8174124449636091E-2</v>
      </c>
      <c r="AA38" s="147">
        <f>IFERROR(S38/U38-1,"n/a")</f>
        <v>0.6751346164941463</v>
      </c>
      <c r="AB38" s="147">
        <f>IFERROR(S38/V38-1,"n/a")</f>
        <v>1.2260770883364467</v>
      </c>
      <c r="AC38" s="147">
        <f>IFERROR(S38/W38-1,"n/a")</f>
        <v>12.082417751990619</v>
      </c>
      <c r="AD38" s="147" t="str">
        <f>IFERROR(S38/X38-1,"n/a")</f>
        <v>n/a</v>
      </c>
      <c r="AE38" s="158">
        <f>IFERROR(S38/Y38-1,"n/a")</f>
        <v>0.93367825681959071</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157"/>
      <c r="T39" s="26"/>
      <c r="U39" s="26"/>
      <c r="V39" s="26"/>
      <c r="W39" s="26"/>
      <c r="X39" s="26"/>
      <c r="Y39" s="26"/>
      <c r="Z39" s="146"/>
      <c r="AA39" s="148"/>
      <c r="AB39" s="148"/>
      <c r="AC39" s="148"/>
      <c r="AD39" s="148"/>
      <c r="AE39" s="159"/>
      <c r="AF39" s="44"/>
      <c r="AG39" s="90"/>
      <c r="AH39" s="90"/>
      <c r="AI39" s="90"/>
      <c r="AJ39" s="44"/>
      <c r="AK39" s="79"/>
      <c r="AM39" s="122"/>
    </row>
    <row r="40" spans="1:39" s="123" customFormat="1" ht="11.25">
      <c r="A40" s="122"/>
      <c r="B40" s="122"/>
      <c r="C40" s="33"/>
      <c r="D40" s="26" t="s">
        <v>5</v>
      </c>
      <c r="E40" s="32"/>
      <c r="F40" s="74">
        <f t="shared" ref="F40:L41" si="58">F16</f>
        <v>131</v>
      </c>
      <c r="G40" s="74">
        <f t="shared" si="58"/>
        <v>122</v>
      </c>
      <c r="H40" s="74">
        <f t="shared" si="58"/>
        <v>87</v>
      </c>
      <c r="I40" s="74">
        <f t="shared" si="58"/>
        <v>89</v>
      </c>
      <c r="J40" s="74">
        <f t="shared" si="58"/>
        <v>33</v>
      </c>
      <c r="K40" s="74">
        <f t="shared" si="58"/>
        <v>17</v>
      </c>
      <c r="L40" s="74">
        <f t="shared" si="58"/>
        <v>114</v>
      </c>
      <c r="M40" s="64">
        <f t="shared" ref="M40:M41" si="59">IFERROR(F40/G40-1,"n/a")</f>
        <v>7.3770491803278659E-2</v>
      </c>
      <c r="N40" s="64">
        <f t="shared" ref="N40:N41" si="60">IFERROR(F40/H40-1,"n/a")</f>
        <v>0.50574712643678166</v>
      </c>
      <c r="O40" s="64">
        <f t="shared" ref="O40:O41" si="61">IFERROR(F40/I40-1,"n/a")</f>
        <v>0.4719101123595506</v>
      </c>
      <c r="P40" s="64">
        <f t="shared" ref="P40:P41" si="62">IFERROR(F40/J40-1,"n/a")</f>
        <v>2.9696969696969697</v>
      </c>
      <c r="Q40" s="64">
        <f t="shared" ref="Q40:Q41" si="63">IFERROR(F40/K40-1,"n/a")</f>
        <v>6.7058823529411766</v>
      </c>
      <c r="R40" s="60">
        <f t="shared" ref="R40:R41" si="64">IFERROR(F40/L40-1,"n/a")</f>
        <v>0.14912280701754388</v>
      </c>
      <c r="S40" s="74">
        <f>'Sep-25'!S40+F40+1</f>
        <v>858</v>
      </c>
      <c r="T40" s="74">
        <f>'Sep-25'!T40+G40</f>
        <v>684</v>
      </c>
      <c r="U40" s="74">
        <f>'Sep-25'!U40+H40</f>
        <v>486</v>
      </c>
      <c r="V40" s="74">
        <f>'Sep-25'!V40+I40</f>
        <v>504</v>
      </c>
      <c r="W40" s="74">
        <f>'Sep-25'!W40+J40</f>
        <v>157</v>
      </c>
      <c r="X40" s="74">
        <f>'Sep-25'!X40+K40</f>
        <v>28</v>
      </c>
      <c r="Y40" s="74">
        <f>'Sep-25'!Y40+L40</f>
        <v>494</v>
      </c>
      <c r="Z40" s="147">
        <f t="shared" ref="Z40:Z41" si="65">IFERROR(S40/T40-1,"n/a")</f>
        <v>0.2543859649122806</v>
      </c>
      <c r="AA40" s="147">
        <f t="shared" ref="AA40:AA41" si="66">IFERROR(S40/U40-1,"n/a")</f>
        <v>0.76543209876543217</v>
      </c>
      <c r="AB40" s="147">
        <f t="shared" ref="AB40:AB41" si="67">IFERROR(S40/V40-1,"n/a")</f>
        <v>0.70238095238095233</v>
      </c>
      <c r="AC40" s="147">
        <f t="shared" ref="AC40:AC41" si="68">IFERROR(S40/W40-1,"n/a")</f>
        <v>4.4649681528662422</v>
      </c>
      <c r="AD40" s="147">
        <f t="shared" ref="AD40:AD41" si="69">IFERROR(S40/X40-1,"n/a")</f>
        <v>29.642857142857142</v>
      </c>
      <c r="AE40" s="158">
        <f t="shared" ref="AE40:AE41" si="70">IFERROR(S40/Y40-1,"n/a")</f>
        <v>0.73684210526315796</v>
      </c>
      <c r="AF40" s="154">
        <v>817</v>
      </c>
      <c r="AG40" s="89">
        <v>583</v>
      </c>
      <c r="AH40" s="89">
        <v>563</v>
      </c>
      <c r="AI40" s="89">
        <v>226</v>
      </c>
      <c r="AJ40" s="70">
        <v>66</v>
      </c>
      <c r="AK40" s="78">
        <v>573</v>
      </c>
      <c r="AM40" s="122"/>
    </row>
    <row r="41" spans="1:39" s="123" customFormat="1" ht="11.25">
      <c r="A41" s="122"/>
      <c r="B41" s="122"/>
      <c r="C41" s="33"/>
      <c r="D41" s="26" t="s">
        <v>11</v>
      </c>
      <c r="E41" s="32"/>
      <c r="F41" s="74">
        <f t="shared" si="58"/>
        <v>269017</v>
      </c>
      <c r="G41" s="74">
        <f t="shared" si="58"/>
        <v>261443</v>
      </c>
      <c r="H41" s="74">
        <f t="shared" si="58"/>
        <v>199183</v>
      </c>
      <c r="I41" s="74">
        <f t="shared" si="58"/>
        <v>124605</v>
      </c>
      <c r="J41" s="74">
        <f t="shared" si="58"/>
        <v>44045</v>
      </c>
      <c r="K41" s="74">
        <f t="shared" si="58"/>
        <v>13954</v>
      </c>
      <c r="L41" s="74">
        <f t="shared" si="58"/>
        <v>223063</v>
      </c>
      <c r="M41" s="64">
        <f t="shared" si="59"/>
        <v>2.8969985809526255E-2</v>
      </c>
      <c r="N41" s="64">
        <f t="shared" si="60"/>
        <v>0.35060221002796421</v>
      </c>
      <c r="O41" s="64">
        <f t="shared" si="61"/>
        <v>1.1589583082540829</v>
      </c>
      <c r="P41" s="64">
        <f t="shared" si="62"/>
        <v>5.1077761380406406</v>
      </c>
      <c r="Q41" s="64">
        <f t="shared" si="63"/>
        <v>18.278844775691557</v>
      </c>
      <c r="R41" s="60">
        <f t="shared" si="64"/>
        <v>0.20601354774211766</v>
      </c>
      <c r="S41" s="74">
        <f>'Sep-25'!S41+F41-2165</f>
        <v>2118062</v>
      </c>
      <c r="T41" s="74">
        <f>'Sep-25'!T41+G41</f>
        <v>1792524</v>
      </c>
      <c r="U41" s="74">
        <f>'Sep-25'!U41+H41</f>
        <v>1449875</v>
      </c>
      <c r="V41" s="74">
        <f>'Sep-25'!V41+I41</f>
        <v>860029</v>
      </c>
      <c r="W41" s="74">
        <f>'Sep-25'!W41+J41</f>
        <v>249228</v>
      </c>
      <c r="X41" s="74">
        <f>'Sep-25'!X41+K41</f>
        <v>22567</v>
      </c>
      <c r="Y41" s="74">
        <f>'Sep-25'!Y41+L41</f>
        <v>1224579</v>
      </c>
      <c r="Z41" s="147">
        <f t="shared" si="65"/>
        <v>0.1816087260198469</v>
      </c>
      <c r="AA41" s="147">
        <f t="shared" si="66"/>
        <v>0.46085834985774632</v>
      </c>
      <c r="AB41" s="147">
        <f t="shared" si="67"/>
        <v>1.4627797434737664</v>
      </c>
      <c r="AC41" s="147">
        <f t="shared" si="68"/>
        <v>7.4984913412618166</v>
      </c>
      <c r="AD41" s="147">
        <f t="shared" si="69"/>
        <v>92.856604776886599</v>
      </c>
      <c r="AE41" s="158">
        <f t="shared" si="70"/>
        <v>0.72962463017902479</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110"/>
      <c r="AA42" s="147"/>
      <c r="AB42" s="147"/>
      <c r="AC42" s="147"/>
      <c r="AD42" s="147"/>
      <c r="AE42" s="158"/>
      <c r="AF42" s="155"/>
      <c r="AG42" s="90"/>
      <c r="AH42" s="90"/>
      <c r="AI42" s="90"/>
      <c r="AJ42" s="44"/>
      <c r="AK42" s="79"/>
      <c r="AM42" s="122"/>
    </row>
    <row r="43" spans="1:39" s="123" customFormat="1" ht="11.25">
      <c r="A43" s="122"/>
      <c r="B43" s="122"/>
      <c r="C43" s="33"/>
      <c r="D43" s="26" t="s">
        <v>5</v>
      </c>
      <c r="E43" s="32"/>
      <c r="F43" s="74">
        <f>F19</f>
        <v>126</v>
      </c>
      <c r="G43" s="74">
        <f t="shared" ref="G43:L44" si="71">G19</f>
        <v>123</v>
      </c>
      <c r="H43" s="74">
        <f t="shared" si="71"/>
        <v>117</v>
      </c>
      <c r="I43" s="74">
        <f t="shared" si="71"/>
        <v>97</v>
      </c>
      <c r="J43" s="74">
        <f t="shared" si="71"/>
        <v>15</v>
      </c>
      <c r="K43" s="74">
        <f t="shared" si="71"/>
        <v>1</v>
      </c>
      <c r="L43" s="74">
        <f t="shared" si="71"/>
        <v>34</v>
      </c>
      <c r="M43" s="64">
        <f t="shared" ref="M43:M44" si="72">IFERROR(F43/G43-1,"n/a")</f>
        <v>2.4390243902439046E-2</v>
      </c>
      <c r="N43" s="64">
        <f t="shared" ref="N43:N44" si="73">IFERROR(F43/H43-1,"n/a")</f>
        <v>7.6923076923076872E-2</v>
      </c>
      <c r="O43" s="64">
        <f t="shared" ref="O43:O44" si="74">IFERROR(F43/I43-1,"n/a")</f>
        <v>0.2989690721649485</v>
      </c>
      <c r="P43" s="64">
        <f t="shared" ref="P43:P44" si="75">IFERROR(F43/J43-1,"n/a")</f>
        <v>7.4</v>
      </c>
      <c r="Q43" s="64">
        <f t="shared" ref="Q43:Q44" si="76">IFERROR(F43/K43-1,"n/a")</f>
        <v>125</v>
      </c>
      <c r="R43" s="60">
        <f t="shared" ref="R43:R44" si="77">IFERROR(F43/L43-1,"n/a")</f>
        <v>2.7058823529411766</v>
      </c>
      <c r="S43" s="74">
        <f>'Sep-25'!S43+F43</f>
        <v>795</v>
      </c>
      <c r="T43" s="74">
        <f>'Sep-25'!T43+G43</f>
        <v>675</v>
      </c>
      <c r="U43" s="74">
        <f>'Sep-25'!U43+H43</f>
        <v>638</v>
      </c>
      <c r="V43" s="74">
        <f>'Sep-25'!V43+I43</f>
        <v>598</v>
      </c>
      <c r="W43" s="74">
        <f>'Sep-25'!W43+J43</f>
        <v>31</v>
      </c>
      <c r="X43" s="74">
        <f>'Sep-25'!X43+K43</f>
        <v>6</v>
      </c>
      <c r="Y43" s="74">
        <f>'Sep-25'!Y43+L43</f>
        <v>259</v>
      </c>
      <c r="Z43" s="147">
        <f t="shared" ref="Z43:Z44" si="78">IFERROR(S43/T43-1,"n/a")</f>
        <v>0.17777777777777781</v>
      </c>
      <c r="AA43" s="147">
        <f t="shared" ref="AA43:AA44" si="79">IFERROR(S43/U43-1,"n/a")</f>
        <v>0.24608150470219425</v>
      </c>
      <c r="AB43" s="147">
        <f t="shared" ref="AB43:AB44" si="80">IFERROR(S43/V43-1,"n/a")</f>
        <v>0.32943143812709019</v>
      </c>
      <c r="AC43" s="147">
        <f t="shared" ref="AC43:AC44" si="81">IFERROR(S43/W43-1,"n/a")</f>
        <v>24.64516129032258</v>
      </c>
      <c r="AD43" s="147">
        <f t="shared" ref="AD43:AD44" si="82">IFERROR(S43/X43-1,"n/a")</f>
        <v>131.5</v>
      </c>
      <c r="AE43" s="158">
        <f t="shared" ref="AE43:AE44" si="83">IFERROR(S43/Y43-1,"n/a")</f>
        <v>2.0694980694980694</v>
      </c>
      <c r="AF43" s="154">
        <v>728</v>
      </c>
      <c r="AG43" s="89">
        <v>712</v>
      </c>
      <c r="AH43" s="89">
        <v>669</v>
      </c>
      <c r="AI43" s="89">
        <v>59</v>
      </c>
      <c r="AJ43" s="70">
        <v>9</v>
      </c>
      <c r="AK43" s="78">
        <v>287</v>
      </c>
      <c r="AM43" s="122"/>
    </row>
    <row r="44" spans="1:39" s="123" customFormat="1" ht="11.25">
      <c r="A44" s="122"/>
      <c r="B44" s="122"/>
      <c r="C44" s="33"/>
      <c r="D44" s="26" t="s">
        <v>11</v>
      </c>
      <c r="E44" s="32"/>
      <c r="F44" s="74">
        <f>F20</f>
        <v>222652</v>
      </c>
      <c r="G44" s="74">
        <f t="shared" si="71"/>
        <v>217519</v>
      </c>
      <c r="H44" s="74">
        <f t="shared" si="71"/>
        <v>211817</v>
      </c>
      <c r="I44" s="74">
        <f t="shared" si="71"/>
        <v>133084</v>
      </c>
      <c r="J44" s="74">
        <f t="shared" si="71"/>
        <v>6450</v>
      </c>
      <c r="K44" s="74">
        <f t="shared" si="71"/>
        <v>0</v>
      </c>
      <c r="L44" s="74">
        <f t="shared" si="71"/>
        <v>67246</v>
      </c>
      <c r="M44" s="64">
        <f t="shared" si="72"/>
        <v>2.3597938570883548E-2</v>
      </c>
      <c r="N44" s="64">
        <f t="shared" si="73"/>
        <v>5.1152645916050066E-2</v>
      </c>
      <c r="O44" s="64">
        <f t="shared" si="74"/>
        <v>0.67301854467854882</v>
      </c>
      <c r="P44" s="64">
        <f t="shared" si="75"/>
        <v>33.519689922480623</v>
      </c>
      <c r="Q44" s="64" t="str">
        <f t="shared" si="76"/>
        <v>n/a</v>
      </c>
      <c r="R44" s="60">
        <f t="shared" si="77"/>
        <v>2.3110073461618534</v>
      </c>
      <c r="S44" s="74">
        <f>'Sep-25'!S44+F44</f>
        <v>1647176</v>
      </c>
      <c r="T44" s="74">
        <f>'Sep-25'!T44+G44</f>
        <v>1414722.4</v>
      </c>
      <c r="U44" s="74">
        <f>'Sep-25'!U44+H44</f>
        <v>1204396</v>
      </c>
      <c r="V44" s="74">
        <f>'Sep-25'!V44+I44</f>
        <v>834057</v>
      </c>
      <c r="W44" s="74">
        <f>'Sep-25'!W44+J44</f>
        <v>10992</v>
      </c>
      <c r="X44" s="74">
        <f>'Sep-25'!X44+K44</f>
        <v>8294</v>
      </c>
      <c r="Y44" s="74">
        <f>'Sep-25'!Y44+L44</f>
        <v>548524</v>
      </c>
      <c r="Z44" s="147">
        <f t="shared" si="78"/>
        <v>0.16431039757340393</v>
      </c>
      <c r="AA44" s="147">
        <f t="shared" si="79"/>
        <v>0.36763655807558315</v>
      </c>
      <c r="AB44" s="147">
        <f t="shared" si="80"/>
        <v>0.9748962001397985</v>
      </c>
      <c r="AC44" s="147">
        <f t="shared" si="81"/>
        <v>148.85225618631733</v>
      </c>
      <c r="AD44" s="147">
        <f t="shared" si="82"/>
        <v>197.59850494333253</v>
      </c>
      <c r="AE44" s="158">
        <f t="shared" si="83"/>
        <v>2.0029242111557561</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160"/>
      <c r="AA45" s="147"/>
      <c r="AB45" s="147"/>
      <c r="AC45" s="147"/>
      <c r="AD45" s="147"/>
      <c r="AE45" s="158"/>
      <c r="AF45" s="155"/>
      <c r="AG45" s="90"/>
      <c r="AH45" s="90"/>
      <c r="AI45" s="90"/>
      <c r="AJ45" s="44"/>
      <c r="AK45" s="79"/>
      <c r="AM45" s="122"/>
    </row>
    <row r="46" spans="1:39" s="123" customFormat="1" ht="11.25">
      <c r="A46" s="122"/>
      <c r="B46" s="122"/>
      <c r="C46" s="33"/>
      <c r="D46" s="26" t="s">
        <v>5</v>
      </c>
      <c r="E46" s="34"/>
      <c r="F46" s="74">
        <f>F22</f>
        <v>188</v>
      </c>
      <c r="G46" s="74">
        <f t="shared" ref="G46:L47" si="84">G22</f>
        <v>189</v>
      </c>
      <c r="H46" s="74">
        <f t="shared" si="84"/>
        <v>185</v>
      </c>
      <c r="I46" s="74">
        <f t="shared" si="84"/>
        <v>149</v>
      </c>
      <c r="J46" s="74">
        <f t="shared" si="84"/>
        <v>107</v>
      </c>
      <c r="K46" s="74">
        <f t="shared" si="84"/>
        <v>0</v>
      </c>
      <c r="L46" s="74">
        <f t="shared" si="84"/>
        <v>127</v>
      </c>
      <c r="M46" s="64">
        <f t="shared" ref="M46:M47" si="85">IFERROR(F46/G46-1,"n/a")</f>
        <v>-5.2910052910053462E-3</v>
      </c>
      <c r="N46" s="64">
        <f t="shared" ref="N46:N47" si="86">IFERROR(F46/H46-1,"n/a")</f>
        <v>1.6216216216216273E-2</v>
      </c>
      <c r="O46" s="64">
        <f t="shared" ref="O46:O47" si="87">IFERROR(F46/I46-1,"n/a")</f>
        <v>0.26174496644295298</v>
      </c>
      <c r="P46" s="64">
        <f t="shared" ref="P46:P47" si="88">IFERROR(F46/J46-1,"n/a")</f>
        <v>0.7570093457943925</v>
      </c>
      <c r="Q46" s="64" t="str">
        <f t="shared" ref="Q46:Q47" si="89">IFERROR(F46/K46-1,"n/a")</f>
        <v>n/a</v>
      </c>
      <c r="R46" s="60">
        <f t="shared" ref="R46:R47" si="90">IFERROR(F46/L46-1,"n/a")</f>
        <v>0.48031496062992129</v>
      </c>
      <c r="S46" s="74">
        <f>'Sep-25'!S46+F46</f>
        <v>899</v>
      </c>
      <c r="T46" s="74">
        <f>'Sep-25'!T46+G46</f>
        <v>928</v>
      </c>
      <c r="U46" s="74">
        <f>'Sep-25'!U46+H46</f>
        <v>874</v>
      </c>
      <c r="V46" s="74">
        <f>'Sep-25'!V46+I46</f>
        <v>644</v>
      </c>
      <c r="W46" s="74">
        <f>'Sep-25'!W46+J46</f>
        <v>191</v>
      </c>
      <c r="X46" s="74">
        <f>'Sep-25'!X46+K46</f>
        <v>0</v>
      </c>
      <c r="Y46" s="74">
        <f>'Sep-25'!Y46+L46</f>
        <v>623</v>
      </c>
      <c r="Z46" s="147">
        <f t="shared" ref="Z46:Z47" si="91">IFERROR(S46/T46-1,"n/a")</f>
        <v>-3.125E-2</v>
      </c>
      <c r="AA46" s="147">
        <f t="shared" ref="AA46:AA47" si="92">IFERROR(S46/U46-1,"n/a")</f>
        <v>2.8604118993134975E-2</v>
      </c>
      <c r="AB46" s="147">
        <f t="shared" ref="AB46:AB47" si="93">IFERROR(S46/V46-1,"n/a")</f>
        <v>0.39596273291925477</v>
      </c>
      <c r="AC46" s="147">
        <f t="shared" ref="AC46:AC47" si="94">IFERROR(S46/W46-1,"n/a")</f>
        <v>3.7068062827225132</v>
      </c>
      <c r="AD46" s="147" t="str">
        <f t="shared" ref="AD46:AD47" si="95">IFERROR(S46/X46-1,"n/a")</f>
        <v>n/a</v>
      </c>
      <c r="AE46" s="158">
        <f t="shared" ref="AE46:AE47" si="96">IFERROR(S46/Y46-1,"n/a")</f>
        <v>0.4430176565008026</v>
      </c>
      <c r="AF46" s="154">
        <v>1788</v>
      </c>
      <c r="AG46" s="89">
        <v>1471</v>
      </c>
      <c r="AH46" s="89">
        <v>1129</v>
      </c>
      <c r="AI46" s="89">
        <v>336</v>
      </c>
      <c r="AJ46" s="84">
        <v>43</v>
      </c>
      <c r="AK46" s="78">
        <v>781</v>
      </c>
      <c r="AM46" s="122"/>
    </row>
    <row r="47" spans="1:39" s="123" customFormat="1" ht="11.25">
      <c r="A47" s="122"/>
      <c r="B47" s="122"/>
      <c r="C47" s="33"/>
      <c r="D47" s="26" t="s">
        <v>11</v>
      </c>
      <c r="E47" s="32"/>
      <c r="F47" s="74">
        <f>F23</f>
        <v>398840</v>
      </c>
      <c r="G47" s="74">
        <f t="shared" si="84"/>
        <v>459752</v>
      </c>
      <c r="H47" s="74">
        <f t="shared" si="84"/>
        <v>513716</v>
      </c>
      <c r="I47" s="74">
        <f t="shared" si="84"/>
        <v>338461</v>
      </c>
      <c r="J47" s="74">
        <f t="shared" si="84"/>
        <v>174505</v>
      </c>
      <c r="K47" s="74">
        <f t="shared" si="84"/>
        <v>0</v>
      </c>
      <c r="L47" s="74">
        <f t="shared" si="84"/>
        <v>332808</v>
      </c>
      <c r="M47" s="64">
        <f t="shared" si="85"/>
        <v>-0.13248882005951035</v>
      </c>
      <c r="N47" s="64">
        <f t="shared" si="86"/>
        <v>-0.22361771873953706</v>
      </c>
      <c r="O47" s="64">
        <f t="shared" si="87"/>
        <v>0.17839278380670143</v>
      </c>
      <c r="P47" s="64">
        <f t="shared" si="88"/>
        <v>1.2855505572906218</v>
      </c>
      <c r="Q47" s="64" t="str">
        <f t="shared" si="89"/>
        <v>n/a</v>
      </c>
      <c r="R47" s="60">
        <f t="shared" si="90"/>
        <v>0.19840869209874756</v>
      </c>
      <c r="S47" s="74">
        <f>'Sep-25'!S47+F47+26</f>
        <v>2429785</v>
      </c>
      <c r="T47" s="74">
        <f>'Sep-25'!T47+G47</f>
        <v>2950409</v>
      </c>
      <c r="U47" s="74">
        <f>'Sep-25'!U47+H47</f>
        <v>2731264</v>
      </c>
      <c r="V47" s="74">
        <f>'Sep-25'!V47+I47</f>
        <v>1602431</v>
      </c>
      <c r="W47" s="74">
        <f>'Sep-25'!W47+J47</f>
        <v>342388</v>
      </c>
      <c r="X47" s="74">
        <f>'Sep-25'!X47+K47</f>
        <v>0</v>
      </c>
      <c r="Y47" s="74">
        <f>'Sep-25'!Y47+L47</f>
        <v>1978352</v>
      </c>
      <c r="Z47" s="147">
        <f t="shared" si="91"/>
        <v>-0.17645824697524992</v>
      </c>
      <c r="AA47" s="147">
        <f t="shared" si="92"/>
        <v>-0.11038076143499864</v>
      </c>
      <c r="AB47" s="147">
        <f t="shared" si="93"/>
        <v>0.51631177879109935</v>
      </c>
      <c r="AC47" s="147">
        <f t="shared" si="94"/>
        <v>6.0965834082970201</v>
      </c>
      <c r="AD47" s="147" t="str">
        <f t="shared" si="95"/>
        <v>n/a</v>
      </c>
      <c r="AE47" s="158">
        <f t="shared" si="96"/>
        <v>0.22818638947972869</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160"/>
      <c r="AA48" s="147"/>
      <c r="AB48" s="147"/>
      <c r="AC48" s="147"/>
      <c r="AD48" s="147"/>
      <c r="AE48" s="158"/>
      <c r="AF48" s="155"/>
      <c r="AG48" s="90"/>
      <c r="AH48" s="90"/>
      <c r="AI48" s="90"/>
      <c r="AJ48" s="44"/>
      <c r="AK48" s="79"/>
      <c r="AM48" s="122"/>
    </row>
    <row r="49" spans="3:39" s="123" customFormat="1" ht="11.25">
      <c r="C49" s="33"/>
      <c r="D49" s="26" t="s">
        <v>5</v>
      </c>
      <c r="E49" s="32"/>
      <c r="F49" s="74">
        <f>F25</f>
        <v>4</v>
      </c>
      <c r="G49" s="74">
        <f t="shared" ref="G49:L50" si="97">G25</f>
        <v>2</v>
      </c>
      <c r="H49" s="74">
        <f t="shared" si="97"/>
        <v>2</v>
      </c>
      <c r="I49" s="74">
        <f t="shared" si="97"/>
        <v>1</v>
      </c>
      <c r="J49" s="74">
        <f t="shared" si="97"/>
        <v>0</v>
      </c>
      <c r="K49" s="74">
        <f t="shared" si="97"/>
        <v>0</v>
      </c>
      <c r="L49" s="74">
        <f t="shared" si="97"/>
        <v>3</v>
      </c>
      <c r="M49" s="64">
        <f t="shared" ref="M49:M52" si="98">IFERROR(F49/G49-1,"n/a")</f>
        <v>1</v>
      </c>
      <c r="N49" s="64">
        <f t="shared" ref="N49:N52" si="99">IFERROR(F49/H49-1,"n/a")</f>
        <v>1</v>
      </c>
      <c r="O49" s="64">
        <f t="shared" ref="O49:O52" si="100">IFERROR(F49/I49-1,"n/a")</f>
        <v>3</v>
      </c>
      <c r="P49" s="64" t="str">
        <f t="shared" ref="P49:P52" si="101">IFERROR(F49/J49-1,"n/a")</f>
        <v>n/a</v>
      </c>
      <c r="Q49" s="64" t="str">
        <f t="shared" ref="Q49:Q52" si="102">IFERROR(F49/K49-1,"n/a")</f>
        <v>n/a</v>
      </c>
      <c r="R49" s="60">
        <f t="shared" ref="R49:R52" si="103">IFERROR(F49/L49-1,"n/a")</f>
        <v>0.33333333333333326</v>
      </c>
      <c r="S49" s="74">
        <f>'Sep-25'!S49+F49</f>
        <v>23</v>
      </c>
      <c r="T49" s="74">
        <f>'Sep-25'!T49+G49</f>
        <v>14</v>
      </c>
      <c r="U49" s="74">
        <f>'Sep-25'!U49+H49</f>
        <v>21</v>
      </c>
      <c r="V49" s="74">
        <f>'Sep-25'!V49+I49</f>
        <v>9</v>
      </c>
      <c r="W49" s="74">
        <f>'Sep-25'!W49+J49</f>
        <v>0</v>
      </c>
      <c r="X49" s="74">
        <f>'Sep-25'!X49+K49</f>
        <v>0</v>
      </c>
      <c r="Y49" s="74">
        <f>'Sep-25'!Y49+L49</f>
        <v>16</v>
      </c>
      <c r="Z49" s="147">
        <f t="shared" ref="Z49:Z52" si="104">IFERROR(S49/T49-1,"n/a")</f>
        <v>0.64285714285714279</v>
      </c>
      <c r="AA49" s="147">
        <f t="shared" ref="AA49:AA50" si="105">IFERROR(S49/U49-1,"n/a")</f>
        <v>9.5238095238095344E-2</v>
      </c>
      <c r="AB49" s="147">
        <f t="shared" ref="AB49:AB52" si="106">IFERROR(S49/V49-1,"n/a")</f>
        <v>1.5555555555555554</v>
      </c>
      <c r="AC49" s="147" t="str">
        <f t="shared" ref="AC49:AC52" si="107">IFERROR(S49/W49-1,"n/a")</f>
        <v>n/a</v>
      </c>
      <c r="AD49" s="147" t="str">
        <f t="shared" ref="AD49:AD52" si="108">IFERROR(S49/X49-1,"n/a")</f>
        <v>n/a</v>
      </c>
      <c r="AE49" s="158">
        <f t="shared" ref="AE49:AE52" si="109">IFERROR(S49/Y49-1,"n/a")</f>
        <v>0.4375</v>
      </c>
      <c r="AF49" s="154">
        <v>14</v>
      </c>
      <c r="AG49" s="89">
        <v>21</v>
      </c>
      <c r="AH49" s="89">
        <v>9</v>
      </c>
      <c r="AI49" s="68">
        <v>0</v>
      </c>
      <c r="AJ49" s="68">
        <v>0</v>
      </c>
      <c r="AK49" s="78">
        <v>16</v>
      </c>
      <c r="AM49" s="122"/>
    </row>
    <row r="50" spans="3:39" s="123" customFormat="1" ht="11.25">
      <c r="C50" s="33"/>
      <c r="D50" s="26" t="s">
        <v>11</v>
      </c>
      <c r="E50" s="32"/>
      <c r="F50" s="74">
        <f>F26</f>
        <v>11929</v>
      </c>
      <c r="G50" s="74">
        <f t="shared" si="97"/>
        <v>3500</v>
      </c>
      <c r="H50" s="74">
        <f t="shared" si="97"/>
        <v>4312</v>
      </c>
      <c r="I50" s="74">
        <f t="shared" si="97"/>
        <v>2358</v>
      </c>
      <c r="J50" s="74">
        <f t="shared" si="97"/>
        <v>0</v>
      </c>
      <c r="K50" s="74">
        <f t="shared" si="97"/>
        <v>0</v>
      </c>
      <c r="L50" s="74">
        <f t="shared" si="97"/>
        <v>3957</v>
      </c>
      <c r="M50" s="64">
        <f t="shared" si="98"/>
        <v>2.4082857142857144</v>
      </c>
      <c r="N50" s="64">
        <f t="shared" si="99"/>
        <v>1.7664656771799629</v>
      </c>
      <c r="O50" s="64">
        <f t="shared" si="100"/>
        <v>4.0589482612383376</v>
      </c>
      <c r="P50" s="64" t="str">
        <f t="shared" si="101"/>
        <v>n/a</v>
      </c>
      <c r="Q50" s="64" t="str">
        <f t="shared" si="102"/>
        <v>n/a</v>
      </c>
      <c r="R50" s="60">
        <f t="shared" si="103"/>
        <v>2.0146575688653021</v>
      </c>
      <c r="S50" s="74">
        <f>'Sep-25'!S50+F50-359</f>
        <v>72837</v>
      </c>
      <c r="T50" s="74">
        <f>'Sep-25'!T50+G50</f>
        <v>47798</v>
      </c>
      <c r="U50" s="74">
        <f>'Sep-25'!U50+H50</f>
        <v>38626</v>
      </c>
      <c r="V50" s="74">
        <f>'Sep-25'!V50+I50</f>
        <v>15637</v>
      </c>
      <c r="W50" s="74">
        <f>'Sep-25'!W50+J50</f>
        <v>0</v>
      </c>
      <c r="X50" s="74">
        <f>'Sep-25'!X50+K50</f>
        <v>0</v>
      </c>
      <c r="Y50" s="74">
        <f>'Sep-25'!Y50+L50</f>
        <v>20248</v>
      </c>
      <c r="Z50" s="147">
        <f t="shared" si="104"/>
        <v>0.523850370308381</v>
      </c>
      <c r="AA50" s="147">
        <f t="shared" si="105"/>
        <v>0.88569875213586702</v>
      </c>
      <c r="AB50" s="147">
        <f t="shared" si="106"/>
        <v>3.6579906631706853</v>
      </c>
      <c r="AC50" s="147" t="str">
        <f t="shared" si="107"/>
        <v>n/a</v>
      </c>
      <c r="AD50" s="147" t="str">
        <f t="shared" si="108"/>
        <v>n/a</v>
      </c>
      <c r="AE50" s="158">
        <f t="shared" si="109"/>
        <v>2.5972441722639275</v>
      </c>
      <c r="AF50" s="154">
        <v>47798</v>
      </c>
      <c r="AG50" s="82">
        <v>38626</v>
      </c>
      <c r="AH50" s="82">
        <v>15637</v>
      </c>
      <c r="AI50" s="68">
        <v>0</v>
      </c>
      <c r="AJ50" s="68">
        <v>0</v>
      </c>
      <c r="AK50" s="78">
        <v>20248</v>
      </c>
      <c r="AM50" s="122"/>
    </row>
    <row r="51" spans="3:39" s="123" customFormat="1" ht="12" thickBot="1">
      <c r="C51" s="35" t="s">
        <v>12</v>
      </c>
      <c r="D51" s="36"/>
      <c r="E51" s="37"/>
      <c r="F51" s="75">
        <f t="shared" ref="F51:L52" si="110">F37+F40+F43+F46+F49</f>
        <v>604</v>
      </c>
      <c r="G51" s="75">
        <f t="shared" si="110"/>
        <v>591</v>
      </c>
      <c r="H51" s="75">
        <f t="shared" si="110"/>
        <v>472</v>
      </c>
      <c r="I51" s="75">
        <f t="shared" si="110"/>
        <v>414</v>
      </c>
      <c r="J51" s="75">
        <f t="shared" si="110"/>
        <v>244</v>
      </c>
      <c r="K51" s="75">
        <f t="shared" si="110"/>
        <v>18</v>
      </c>
      <c r="L51" s="75">
        <f t="shared" si="110"/>
        <v>388</v>
      </c>
      <c r="M51" s="66">
        <f t="shared" si="98"/>
        <v>2.1996615905245376E-2</v>
      </c>
      <c r="N51" s="66">
        <f t="shared" si="99"/>
        <v>0.27966101694915246</v>
      </c>
      <c r="O51" s="66">
        <f t="shared" si="100"/>
        <v>0.45893719806763289</v>
      </c>
      <c r="P51" s="66">
        <f t="shared" si="101"/>
        <v>1.4754098360655736</v>
      </c>
      <c r="Q51" s="66">
        <f t="shared" si="102"/>
        <v>32.555555555555557</v>
      </c>
      <c r="R51" s="66">
        <f t="shared" si="103"/>
        <v>0.55670103092783507</v>
      </c>
      <c r="S51" s="75">
        <f>S37+S40+S43+S46+S49</f>
        <v>3722</v>
      </c>
      <c r="T51" s="75">
        <f>T37+T40+T43+T46+T49</f>
        <v>3408</v>
      </c>
      <c r="U51" s="75">
        <f>U37+U40+U43+U46+U49</f>
        <v>2725</v>
      </c>
      <c r="V51" s="75">
        <f t="shared" ref="U51:Y52" si="111">V37+V40+V43+V46+V49</f>
        <v>2376</v>
      </c>
      <c r="W51" s="75">
        <f t="shared" si="111"/>
        <v>607</v>
      </c>
      <c r="X51" s="75">
        <f t="shared" si="111"/>
        <v>76</v>
      </c>
      <c r="Y51" s="75">
        <f t="shared" si="111"/>
        <v>2088</v>
      </c>
      <c r="Z51" s="66">
        <f t="shared" si="104"/>
        <v>9.2136150234741754E-2</v>
      </c>
      <c r="AA51" s="66">
        <f>IFERROR(S51/U51-1,"n/a")</f>
        <v>0.36587155963302753</v>
      </c>
      <c r="AB51" s="66">
        <f t="shared" si="106"/>
        <v>0.56649831649831639</v>
      </c>
      <c r="AC51" s="66">
        <f t="shared" si="107"/>
        <v>5.1317957166392096</v>
      </c>
      <c r="AD51" s="66">
        <f t="shared" si="108"/>
        <v>47.973684210526315</v>
      </c>
      <c r="AE51" s="66">
        <f t="shared" si="109"/>
        <v>0.78256704980842917</v>
      </c>
      <c r="AF51" s="46">
        <f t="shared" ref="AF51:AJ52" si="112">AF37+AF40+AF43+AF46+AF49</f>
        <v>6221</v>
      </c>
      <c r="AG51" s="46">
        <f t="shared" si="112"/>
        <v>4589</v>
      </c>
      <c r="AH51" s="46">
        <f t="shared" si="112"/>
        <v>3856</v>
      </c>
      <c r="AI51" s="46">
        <f t="shared" si="112"/>
        <v>1673</v>
      </c>
      <c r="AJ51" s="46">
        <f t="shared" si="112"/>
        <v>669</v>
      </c>
      <c r="AK51" s="80">
        <f>AK37+AK40+AK43+AK46+AK49</f>
        <v>3241</v>
      </c>
      <c r="AM51" s="122"/>
    </row>
    <row r="52" spans="3:39" s="123" customFormat="1" ht="12.75" thickTop="1" thickBot="1">
      <c r="C52" s="38" t="s">
        <v>13</v>
      </c>
      <c r="D52" s="39"/>
      <c r="E52" s="40"/>
      <c r="F52" s="76">
        <f t="shared" si="110"/>
        <v>1466020</v>
      </c>
      <c r="G52" s="76">
        <f t="shared" si="110"/>
        <v>1487916</v>
      </c>
      <c r="H52" s="76">
        <f t="shared" si="110"/>
        <v>1211190</v>
      </c>
      <c r="I52" s="76">
        <f t="shared" si="110"/>
        <v>867086</v>
      </c>
      <c r="J52" s="76">
        <f t="shared" si="110"/>
        <v>368120</v>
      </c>
      <c r="K52" s="76">
        <f t="shared" si="110"/>
        <v>13954</v>
      </c>
      <c r="L52" s="76">
        <f t="shared" si="110"/>
        <v>926937</v>
      </c>
      <c r="M52" s="67">
        <f t="shared" si="98"/>
        <v>-1.471588449885608E-2</v>
      </c>
      <c r="N52" s="67">
        <f t="shared" si="99"/>
        <v>0.2103963870243315</v>
      </c>
      <c r="O52" s="67">
        <f t="shared" si="100"/>
        <v>0.69074347873221331</v>
      </c>
      <c r="P52" s="67">
        <f t="shared" si="101"/>
        <v>2.9824513745517764</v>
      </c>
      <c r="Q52" s="67">
        <f t="shared" si="102"/>
        <v>104.06091443313746</v>
      </c>
      <c r="R52" s="67">
        <f t="shared" si="103"/>
        <v>0.58157458381745464</v>
      </c>
      <c r="S52" s="76">
        <f t="shared" ref="S52:T52" si="113">S38+S41+S44+S47+S50</f>
        <v>10506825</v>
      </c>
      <c r="T52" s="76">
        <f t="shared" si="113"/>
        <v>10249595.4</v>
      </c>
      <c r="U52" s="76">
        <f t="shared" si="111"/>
        <v>7954683</v>
      </c>
      <c r="V52" s="76">
        <f t="shared" si="111"/>
        <v>5216385</v>
      </c>
      <c r="W52" s="76">
        <f t="shared" si="111"/>
        <v>926628</v>
      </c>
      <c r="X52" s="76">
        <f t="shared" si="111"/>
        <v>30861</v>
      </c>
      <c r="Y52" s="76">
        <f t="shared" si="111"/>
        <v>5963880</v>
      </c>
      <c r="Z52" s="67">
        <f t="shared" si="104"/>
        <v>2.5096561372559112E-2</v>
      </c>
      <c r="AA52" s="67">
        <f>IFERROR(S52/U52-1,"n/a")</f>
        <v>0.32083516087316122</v>
      </c>
      <c r="AB52" s="67">
        <f t="shared" si="106"/>
        <v>1.0141966131717655</v>
      </c>
      <c r="AC52" s="67">
        <f t="shared" si="107"/>
        <v>10.338773488390164</v>
      </c>
      <c r="AD52" s="67">
        <f t="shared" si="108"/>
        <v>339.45640128317291</v>
      </c>
      <c r="AE52" s="67">
        <f t="shared" si="109"/>
        <v>0.7617431940280488</v>
      </c>
      <c r="AF52" s="47">
        <f t="shared" si="112"/>
        <v>17650949.399999999</v>
      </c>
      <c r="AG52" s="47">
        <f t="shared" si="112"/>
        <v>13408675</v>
      </c>
      <c r="AH52" s="47">
        <f t="shared" si="112"/>
        <v>9237323</v>
      </c>
      <c r="AI52" s="47">
        <f t="shared" si="112"/>
        <v>2410085</v>
      </c>
      <c r="AJ52" s="47">
        <f t="shared" si="112"/>
        <v>1324261</v>
      </c>
      <c r="AK52" s="81">
        <f>AK38+AK41+AK44+AK47+AK50</f>
        <v>8638971</v>
      </c>
      <c r="AM52" s="122"/>
    </row>
    <row r="53" spans="3:39" s="123" customFormat="1" ht="12" thickTop="1">
      <c r="S53" s="128">
        <f>S51-F51-'Sep-25'!S51-1</f>
        <v>0</v>
      </c>
      <c r="T53" s="128">
        <f>T51-G51-'Sep-25'!T51</f>
        <v>0</v>
      </c>
      <c r="U53" s="128">
        <f>U51-H51-'Sep-25'!U51</f>
        <v>0</v>
      </c>
      <c r="V53" s="128">
        <f>V51-I51-'Sep-25'!V51</f>
        <v>0</v>
      </c>
      <c r="W53" s="128">
        <f>W51-J51-'Sep-25'!W51</f>
        <v>0</v>
      </c>
      <c r="X53" s="128">
        <f>X51-K51-'Sep-25'!X51</f>
        <v>0</v>
      </c>
      <c r="Y53" s="128">
        <f>Y51-L51-'Sep-25'!Y51</f>
        <v>0</v>
      </c>
      <c r="AM53" s="122"/>
    </row>
    <row r="54" spans="3:39" s="123" customFormat="1" ht="11.25">
      <c r="F54" s="131"/>
      <c r="S54" s="128">
        <f>S52-F52-'Sep-25'!S52+2448</f>
        <v>0</v>
      </c>
      <c r="T54" s="128">
        <f>T52-G52-'Sep-25'!T52</f>
        <v>0</v>
      </c>
      <c r="U54" s="128">
        <f>U52-H52-'Sep-25'!U52</f>
        <v>0</v>
      </c>
      <c r="V54" s="128">
        <f>V52-I52-'Sep-25'!V52</f>
        <v>0</v>
      </c>
      <c r="W54" s="128">
        <f>W52-J52-'Sep-25'!W52</f>
        <v>0</v>
      </c>
      <c r="X54" s="128">
        <f>X52-K52-'Sep-25'!X52</f>
        <v>0</v>
      </c>
      <c r="Y54" s="128">
        <f>Y52-L52-'Sep-25'!Y52</f>
        <v>0</v>
      </c>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ED2-DE32-402F-8EC9-9333A20DB06B}">
  <dimension ref="A1:AM66"/>
  <sheetViews>
    <sheetView showGridLines="0" topLeftCell="M29" zoomScale="85" zoomScaleNormal="85" workbookViewId="0">
      <selection activeCell="Y37" sqref="Y3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9.14062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Occupancy_2026!AY3</f>
        <v>46154</v>
      </c>
      <c r="AL3" s="25"/>
      <c r="AM3" s="9"/>
    </row>
    <row r="4" spans="1:39" ht="15.75">
      <c r="A4" s="9"/>
      <c r="B4" s="11" t="s">
        <v>7</v>
      </c>
      <c r="C4" s="26"/>
      <c r="D4" s="93" t="s">
        <v>22</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September</v>
      </c>
      <c r="G9" s="167"/>
      <c r="H9" s="167"/>
      <c r="I9" s="167"/>
      <c r="J9" s="167"/>
      <c r="K9" s="167"/>
      <c r="L9" s="167"/>
      <c r="M9" s="167"/>
      <c r="N9" s="167"/>
      <c r="O9" s="167"/>
      <c r="P9" s="167"/>
      <c r="Q9" s="167"/>
      <c r="R9" s="168"/>
      <c r="S9" s="169" t="str">
        <f xml:space="preserve"> "January to "&amp; F9</f>
        <v>January to September</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133</v>
      </c>
      <c r="G13" s="71">
        <v>138</v>
      </c>
      <c r="H13" s="73">
        <v>98</v>
      </c>
      <c r="I13" s="71">
        <v>82</v>
      </c>
      <c r="J13" s="71">
        <v>60</v>
      </c>
      <c r="K13" s="71">
        <v>0</v>
      </c>
      <c r="L13" s="71">
        <v>79</v>
      </c>
      <c r="M13" s="64">
        <f>IFERROR(F13/G13-1,"n/a")</f>
        <v>-3.6231884057971064E-2</v>
      </c>
      <c r="N13" s="64">
        <f>IFERROR(F13/H13-1,"n/a")</f>
        <v>0.35714285714285721</v>
      </c>
      <c r="O13" s="64">
        <f>IFERROR(F13/I13-1,"n/a")</f>
        <v>0.62195121951219523</v>
      </c>
      <c r="P13" s="64">
        <f>IFERROR(F13/J13-1,"n/a")</f>
        <v>1.2166666666666668</v>
      </c>
      <c r="Q13" s="64" t="str">
        <f>IFERROR(F13/K13-1,"n/a")</f>
        <v>n/a</v>
      </c>
      <c r="R13" s="60">
        <f>IFERROR(F13/L13-1,"n/a")</f>
        <v>0.68354430379746844</v>
      </c>
      <c r="S13" s="68">
        <f>'Aug-25'!S13+F13</f>
        <v>2083</v>
      </c>
      <c r="T13" s="68">
        <f>'Aug-25'!T13+G13</f>
        <v>1654</v>
      </c>
      <c r="U13" s="68">
        <f>'Aug-25'!U13+H13</f>
        <v>1155</v>
      </c>
      <c r="V13" s="68">
        <f>'Aug-25'!V13+I13</f>
        <v>1073</v>
      </c>
      <c r="W13" s="68">
        <f>'Aug-25'!W13+J13</f>
        <v>139</v>
      </c>
      <c r="X13" s="68">
        <f>'Aug-25'!X13+K13</f>
        <v>551</v>
      </c>
      <c r="Y13" s="68">
        <f>'Aug-25'!Y13+L13</f>
        <v>1102</v>
      </c>
      <c r="Z13" s="64">
        <f>IFERROR(S13/T13-1,"n/a")</f>
        <v>0.25937122128174117</v>
      </c>
      <c r="AA13" s="64">
        <f>IFERROR(S13/U13-1,"n/a")</f>
        <v>0.80346320346320343</v>
      </c>
      <c r="AB13" s="64">
        <f>IFERROR(S13/V13-1,"n/a")</f>
        <v>0.94128611369990689</v>
      </c>
      <c r="AC13" s="64">
        <f>IFERROR(S13/W13-1,"n/a")</f>
        <v>13.985611510791367</v>
      </c>
      <c r="AD13" s="64">
        <f>IFERROR(S13/X13-1,"n/a")</f>
        <v>2.7803992740471868</v>
      </c>
      <c r="AE13" s="60">
        <f>IFERROR(S13/Y13-1,"n/a")</f>
        <v>0.89019963702359339</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506113</v>
      </c>
      <c r="G14" s="71">
        <v>494236</v>
      </c>
      <c r="H14" s="73">
        <v>313650</v>
      </c>
      <c r="I14" s="71">
        <v>280580</v>
      </c>
      <c r="J14" s="71">
        <v>83395</v>
      </c>
      <c r="K14" s="71">
        <v>0</v>
      </c>
      <c r="L14" s="71">
        <v>234453</v>
      </c>
      <c r="M14" s="64">
        <f>IFERROR(F14/G14-1,"n/a")</f>
        <v>2.4031029710502638E-2</v>
      </c>
      <c r="N14" s="64">
        <f>IFERROR(F14/H14-1,"n/a")</f>
        <v>0.61362346564642123</v>
      </c>
      <c r="O14" s="64">
        <f>IFERROR(F14/I14-1,"n/a")</f>
        <v>0.80380996507235003</v>
      </c>
      <c r="P14" s="64">
        <f>IFERROR(F14/J14-1,"n/a")</f>
        <v>5.068865039870496</v>
      </c>
      <c r="Q14" s="64" t="str">
        <f>IFERROR(F14/K14-1,"n/a")</f>
        <v>n/a</v>
      </c>
      <c r="R14" s="60">
        <f>IFERROR(F14/L14-1,"n/a")</f>
        <v>1.1586970522876654</v>
      </c>
      <c r="S14" s="68">
        <f>'Aug-25'!S14+F14-3000</f>
        <v>6597480</v>
      </c>
      <c r="T14" s="68">
        <f>'Aug-25'!T14+G14</f>
        <v>5652264</v>
      </c>
      <c r="U14" s="68">
        <f>'Aug-25'!U14+H14</f>
        <v>3786544</v>
      </c>
      <c r="V14" s="68">
        <f>'Aug-25'!V14+I14</f>
        <v>2395311</v>
      </c>
      <c r="W14" s="68">
        <f>'Aug-25'!W14+J14</f>
        <v>180900</v>
      </c>
      <c r="X14" s="68">
        <f>'Aug-25'!X14+K14</f>
        <v>1092884</v>
      </c>
      <c r="Y14" s="68">
        <f>'Aug-25'!Y14+L14</f>
        <v>3343418</v>
      </c>
      <c r="Z14" s="64">
        <f>IFERROR(S14/T14-1,"n/a")</f>
        <v>0.16722785772214466</v>
      </c>
      <c r="AA14" s="64">
        <f>IFERROR(S14/U14-1,"n/a")</f>
        <v>0.74234869580282181</v>
      </c>
      <c r="AB14" s="64">
        <f>IFERROR(S14/V14-1,"n/a")</f>
        <v>1.754331274728</v>
      </c>
      <c r="AC14" s="64">
        <f>IFERROR(S14/W14-1,"n/a")</f>
        <v>35.470315091210615</v>
      </c>
      <c r="AD14" s="64">
        <f>IFERROR(S14/X14-1,"n/a")</f>
        <v>5.0367614495225475</v>
      </c>
      <c r="AE14" s="60">
        <f>IFERROR(S14/Y14-1,"n/a")</f>
        <v>0.97327405666895372</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115</v>
      </c>
      <c r="G16" s="71">
        <v>105</v>
      </c>
      <c r="H16" s="74">
        <v>68</v>
      </c>
      <c r="I16" s="71">
        <v>74</v>
      </c>
      <c r="J16" s="71">
        <v>34</v>
      </c>
      <c r="K16" s="71">
        <v>9</v>
      </c>
      <c r="L16" s="71">
        <v>70</v>
      </c>
      <c r="M16" s="64">
        <f t="shared" ref="M16:M17" si="0">IFERROR(F16/G16-1,"n/a")</f>
        <v>9.5238095238095344E-2</v>
      </c>
      <c r="N16" s="64">
        <f t="shared" ref="N16:N17" si="1">IFERROR(F16/H16-1,"n/a")</f>
        <v>0.69117647058823528</v>
      </c>
      <c r="O16" s="64">
        <f t="shared" ref="O16:O17" si="2">IFERROR(F16/I16-1,"n/a")</f>
        <v>0.55405405405405395</v>
      </c>
      <c r="P16" s="64">
        <f t="shared" ref="P16:P17" si="3">IFERROR(F16/J16-1,"n/a")</f>
        <v>2.3823529411764706</v>
      </c>
      <c r="Q16" s="64">
        <f t="shared" ref="Q16:Q17" si="4">IFERROR(F16/K16-1,"n/a")</f>
        <v>11.777777777777779</v>
      </c>
      <c r="R16" s="60">
        <f t="shared" ref="R16:R17" si="5">IFERROR(F16/L16-1,"n/a")</f>
        <v>0.64285714285714279</v>
      </c>
      <c r="S16" s="68">
        <f>'Aug-25'!S16+F16</f>
        <v>782</v>
      </c>
      <c r="T16" s="68">
        <f>'Aug-25'!T16+G16</f>
        <v>599</v>
      </c>
      <c r="U16" s="68">
        <f>'Aug-25'!U16+H16</f>
        <v>426</v>
      </c>
      <c r="V16" s="68">
        <f>'Aug-25'!V16+I16</f>
        <v>451</v>
      </c>
      <c r="W16" s="68">
        <f>'Aug-25'!W16+J16</f>
        <v>136</v>
      </c>
      <c r="X16" s="68">
        <f>'Aug-25'!X16+K16</f>
        <v>21</v>
      </c>
      <c r="Y16" s="68">
        <f>'Aug-25'!Y16+L16</f>
        <v>403</v>
      </c>
      <c r="Z16" s="64">
        <f t="shared" ref="Z16:Z17" si="6">IFERROR(S16/T16-1,"n/a")</f>
        <v>0.30550918196994981</v>
      </c>
      <c r="AA16" s="64">
        <f t="shared" ref="AA16:AA17" si="7">IFERROR(S16/U16-1,"n/a")</f>
        <v>0.83568075117370899</v>
      </c>
      <c r="AB16" s="64">
        <f t="shared" ref="AB16:AB17" si="8">IFERROR(S16/V16-1,"n/a")</f>
        <v>0.73392461197339243</v>
      </c>
      <c r="AC16" s="64">
        <f t="shared" ref="AC16:AC17" si="9">IFERROR(S16/W16-1,"n/a")</f>
        <v>4.75</v>
      </c>
      <c r="AD16" s="64">
        <f t="shared" ref="AD16:AD17" si="10">IFERROR(S16/X16-1,"n/a")</f>
        <v>36.238095238095241</v>
      </c>
      <c r="AE16" s="60">
        <f t="shared" ref="AE16:AE17" si="11">IFERROR(S16/Y16-1,"n/a")</f>
        <v>0.94044665012406958</v>
      </c>
      <c r="AF16" s="68">
        <v>797</v>
      </c>
      <c r="AG16" s="68">
        <v>575</v>
      </c>
      <c r="AH16" s="68">
        <v>572</v>
      </c>
      <c r="AI16" s="68">
        <v>202</v>
      </c>
      <c r="AJ16" s="68">
        <v>54</v>
      </c>
      <c r="AK16" s="134">
        <v>586</v>
      </c>
      <c r="AL16" s="122"/>
      <c r="AM16" s="122"/>
    </row>
    <row r="17" spans="1:39" s="123" customFormat="1" ht="12.75">
      <c r="A17" s="122"/>
      <c r="B17" s="127"/>
      <c r="C17" s="33"/>
      <c r="D17" s="26" t="s">
        <v>11</v>
      </c>
      <c r="E17" s="32"/>
      <c r="F17" s="71">
        <v>300422</v>
      </c>
      <c r="G17" s="71">
        <v>284734</v>
      </c>
      <c r="H17" s="74">
        <v>223095</v>
      </c>
      <c r="I17" s="71">
        <v>150081</v>
      </c>
      <c r="J17" s="71">
        <v>64266</v>
      </c>
      <c r="K17" s="71">
        <v>6072</v>
      </c>
      <c r="L17" s="71">
        <v>169136</v>
      </c>
      <c r="M17" s="64">
        <f t="shared" si="0"/>
        <v>5.5097037937162474E-2</v>
      </c>
      <c r="N17" s="64">
        <f t="shared" si="1"/>
        <v>0.34661018848472613</v>
      </c>
      <c r="O17" s="64">
        <f t="shared" si="2"/>
        <v>1.0017323978385004</v>
      </c>
      <c r="P17" s="64">
        <f t="shared" si="3"/>
        <v>3.6746646749447605</v>
      </c>
      <c r="Q17" s="64">
        <f t="shared" si="4"/>
        <v>48.476613965744399</v>
      </c>
      <c r="R17" s="60">
        <f t="shared" si="5"/>
        <v>0.77621558982120886</v>
      </c>
      <c r="S17" s="68">
        <f>'Aug-25'!S17+F17+12</f>
        <v>1995439</v>
      </c>
      <c r="T17" s="68">
        <f>'Aug-25'!T17+G17</f>
        <v>1661655</v>
      </c>
      <c r="U17" s="68">
        <f>'Aug-25'!U17+H17</f>
        <v>1333747</v>
      </c>
      <c r="V17" s="68">
        <f>'Aug-25'!V17+I17</f>
        <v>771932</v>
      </c>
      <c r="W17" s="68">
        <f>'Aug-25'!W17+J17</f>
        <v>215286</v>
      </c>
      <c r="X17" s="68">
        <f>'Aug-25'!X17+K17</f>
        <v>49726</v>
      </c>
      <c r="Y17" s="68">
        <f>'Aug-25'!Y17+L17</f>
        <v>1081890</v>
      </c>
      <c r="Z17" s="64">
        <f t="shared" si="6"/>
        <v>0.2008744294092335</v>
      </c>
      <c r="AA17" s="64">
        <f t="shared" si="7"/>
        <v>0.49611508029633811</v>
      </c>
      <c r="AB17" s="64">
        <f t="shared" si="8"/>
        <v>1.5849932377463301</v>
      </c>
      <c r="AC17" s="64">
        <f t="shared" si="9"/>
        <v>8.2687819923264865</v>
      </c>
      <c r="AD17" s="64">
        <f t="shared" si="10"/>
        <v>39.128685194867877</v>
      </c>
      <c r="AE17" s="60">
        <f t="shared" si="11"/>
        <v>0.84440100195029077</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135</v>
      </c>
      <c r="G19" s="71">
        <v>112</v>
      </c>
      <c r="H19" s="73">
        <v>100</v>
      </c>
      <c r="I19" s="71">
        <v>92</v>
      </c>
      <c r="J19" s="71">
        <v>7</v>
      </c>
      <c r="K19" s="71">
        <v>1</v>
      </c>
      <c r="L19" s="71">
        <v>32</v>
      </c>
      <c r="M19" s="64">
        <f t="shared" ref="M19:M20" si="12">IFERROR(F19/G19-1,"n/a")</f>
        <v>0.20535714285714279</v>
      </c>
      <c r="N19" s="64">
        <f t="shared" ref="N19:N20" si="13">IFERROR(F19/H19-1,"n/a")</f>
        <v>0.35000000000000009</v>
      </c>
      <c r="O19" s="64">
        <f t="shared" ref="O19:O20" si="14">IFERROR(F19/I19-1,"n/a")</f>
        <v>0.46739130434782616</v>
      </c>
      <c r="P19" s="64">
        <f t="shared" ref="P19:P20" si="15">IFERROR(F19/J19-1,"n/a")</f>
        <v>18.285714285714285</v>
      </c>
      <c r="Q19" s="64">
        <f t="shared" ref="Q19:Q20" si="16">IFERROR(F19/K19-1,"n/a")</f>
        <v>134</v>
      </c>
      <c r="R19" s="60">
        <f t="shared" ref="R19:R20" si="17">IFERROR(F19/L19-1,"n/a")</f>
        <v>3.21875</v>
      </c>
      <c r="S19" s="68">
        <f>'Aug-25'!S19+F19</f>
        <v>691</v>
      </c>
      <c r="T19" s="68">
        <f>'Aug-25'!T19+G19</f>
        <v>579</v>
      </c>
      <c r="U19" s="68">
        <f>'Aug-25'!U19+H19</f>
        <v>544</v>
      </c>
      <c r="V19" s="68">
        <f>'Aug-25'!V19+I19</f>
        <v>513</v>
      </c>
      <c r="W19" s="68">
        <f>'Aug-25'!W19+J19</f>
        <v>16</v>
      </c>
      <c r="X19" s="68">
        <f>'Aug-25'!X19+K19</f>
        <v>8</v>
      </c>
      <c r="Y19" s="68">
        <f>'Aug-25'!Y19+L19</f>
        <v>231</v>
      </c>
      <c r="Z19" s="64">
        <f t="shared" ref="Z19:Z20" si="18">IFERROR(S19/T19-1,"n/a")</f>
        <v>0.19343696027633861</v>
      </c>
      <c r="AA19" s="64">
        <f t="shared" ref="AA19:AA20" si="19">IFERROR(S19/U19-1,"n/a")</f>
        <v>0.27022058823529416</v>
      </c>
      <c r="AB19" s="64">
        <f t="shared" ref="AB19:AB20" si="20">IFERROR(S19/V19-1,"n/a")</f>
        <v>0.34697855750487339</v>
      </c>
      <c r="AC19" s="64">
        <f t="shared" ref="AC19:AC20" si="21">IFERROR(S19/W19-1,"n/a")</f>
        <v>42.1875</v>
      </c>
      <c r="AD19" s="64">
        <f t="shared" ref="AD19:AD20" si="22">IFERROR(S19/X19-1,"n/a")</f>
        <v>85.375</v>
      </c>
      <c r="AE19" s="60">
        <f t="shared" ref="AE19:AE20" si="23">IFERROR(S19/Y19-1,"n/a")</f>
        <v>1.9913419913419914</v>
      </c>
      <c r="AF19" s="68">
        <v>733</v>
      </c>
      <c r="AG19" s="68">
        <v>708</v>
      </c>
      <c r="AH19" s="68">
        <v>658</v>
      </c>
      <c r="AI19" s="68">
        <v>47</v>
      </c>
      <c r="AJ19" s="68">
        <v>9</v>
      </c>
      <c r="AK19" s="134">
        <v>290</v>
      </c>
      <c r="AL19" s="122"/>
      <c r="AM19" s="122"/>
    </row>
    <row r="20" spans="1:39" s="123" customFormat="1" ht="12.75">
      <c r="A20" s="122"/>
      <c r="B20" s="127"/>
      <c r="C20" s="33"/>
      <c r="D20" s="26" t="s">
        <v>11</v>
      </c>
      <c r="E20" s="32"/>
      <c r="F20" s="71">
        <v>274412</v>
      </c>
      <c r="G20" s="71">
        <v>228255</v>
      </c>
      <c r="H20" s="73">
        <v>181434</v>
      </c>
      <c r="I20" s="71">
        <v>137415</v>
      </c>
      <c r="J20" s="71">
        <v>3224</v>
      </c>
      <c r="K20" s="71">
        <v>0</v>
      </c>
      <c r="L20" s="71">
        <v>76553</v>
      </c>
      <c r="M20" s="64">
        <f t="shared" si="12"/>
        <v>0.2022168189086766</v>
      </c>
      <c r="N20" s="64">
        <f t="shared" si="13"/>
        <v>0.5124618318507006</v>
      </c>
      <c r="O20" s="64">
        <f t="shared" si="14"/>
        <v>0.99695811956482183</v>
      </c>
      <c r="P20" s="64">
        <f t="shared" si="15"/>
        <v>84.115384615384613</v>
      </c>
      <c r="Q20" s="64" t="str">
        <f t="shared" si="16"/>
        <v>n/a</v>
      </c>
      <c r="R20" s="60">
        <f t="shared" si="17"/>
        <v>2.5846015179026294</v>
      </c>
      <c r="S20" s="68">
        <f>'Aug-25'!S20+F20-1666</f>
        <v>1452784</v>
      </c>
      <c r="T20" s="68">
        <f>'Aug-25'!T20+G20</f>
        <v>1236944.3999999999</v>
      </c>
      <c r="U20" s="68">
        <f>'Aug-25'!U20+H20</f>
        <v>1013425</v>
      </c>
      <c r="V20" s="68">
        <f>'Aug-25'!V20+I20</f>
        <v>704058</v>
      </c>
      <c r="W20" s="68">
        <f>'Aug-25'!W20+J20</f>
        <v>4542</v>
      </c>
      <c r="X20" s="68">
        <f>'Aug-25'!X20+K20</f>
        <v>10047</v>
      </c>
      <c r="Y20" s="68">
        <f>'Aug-25'!Y20+L20</f>
        <v>487762</v>
      </c>
      <c r="Z20" s="64">
        <f t="shared" si="18"/>
        <v>0.17449418098339753</v>
      </c>
      <c r="AA20" s="64">
        <f t="shared" si="19"/>
        <v>0.43353874238350154</v>
      </c>
      <c r="AB20" s="64">
        <f t="shared" si="20"/>
        <v>1.0634436367458364</v>
      </c>
      <c r="AC20" s="64">
        <f t="shared" si="21"/>
        <v>318.85557023337736</v>
      </c>
      <c r="AD20" s="64">
        <f t="shared" si="22"/>
        <v>143.59878570717626</v>
      </c>
      <c r="AE20" s="60">
        <f t="shared" si="23"/>
        <v>1.9784690074257529</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115</v>
      </c>
      <c r="G22" s="71">
        <v>132</v>
      </c>
      <c r="H22" s="74">
        <v>119</v>
      </c>
      <c r="I22" s="71">
        <v>85</v>
      </c>
      <c r="J22" s="71">
        <v>46</v>
      </c>
      <c r="K22" s="71">
        <v>0</v>
      </c>
      <c r="L22" s="71">
        <v>86</v>
      </c>
      <c r="M22" s="64">
        <f t="shared" ref="M22:M23" si="24">IFERROR(F22/G22-1,"n/a")</f>
        <v>-0.12878787878787878</v>
      </c>
      <c r="N22" s="64">
        <f t="shared" ref="N22:N23" si="25">IFERROR(F22/H22-1,"n/a")</f>
        <v>-3.3613445378151252E-2</v>
      </c>
      <c r="O22" s="64">
        <f t="shared" ref="O22:O23" si="26">IFERROR(F22/I22-1,"n/a")</f>
        <v>0.35294117647058831</v>
      </c>
      <c r="P22" s="64">
        <f t="shared" ref="P22:P23" si="27">IFERROR(F22/J22-1,"n/a")</f>
        <v>1.5</v>
      </c>
      <c r="Q22" s="64" t="str">
        <f t="shared" ref="Q22:Q23" si="28">IFERROR(F22/K22-1,"n/a")</f>
        <v>n/a</v>
      </c>
      <c r="R22" s="60">
        <f t="shared" ref="R22:R23" si="29">IFERROR(F22/L22-1,"n/a")</f>
        <v>0.33720930232558133</v>
      </c>
      <c r="S22" s="68">
        <f>'Aug-25'!S22+F22</f>
        <v>1107</v>
      </c>
      <c r="T22" s="68">
        <f>'Aug-25'!T22+G22</f>
        <v>998</v>
      </c>
      <c r="U22" s="68">
        <f>'Aug-25'!U22+H22</f>
        <v>976</v>
      </c>
      <c r="V22" s="68">
        <f>'Aug-25'!V22+I22</f>
        <v>548</v>
      </c>
      <c r="W22" s="68">
        <f>'Aug-25'!W22+J22</f>
        <v>84</v>
      </c>
      <c r="X22" s="68">
        <f>'Aug-25'!X22+K22</f>
        <v>43</v>
      </c>
      <c r="Y22" s="68">
        <f>'Aug-25'!Y22+L22</f>
        <v>585</v>
      </c>
      <c r="Z22" s="64">
        <f t="shared" ref="Z22:Z23" si="30">IFERROR(S22/T22-1,"n/a")</f>
        <v>0.10921843687374744</v>
      </c>
      <c r="AA22" s="64">
        <f t="shared" ref="AA22:AA23" si="31">IFERROR(S22/U22-1,"n/a")</f>
        <v>0.13422131147540983</v>
      </c>
      <c r="AB22" s="64">
        <f t="shared" ref="AB22:AB23" si="32">IFERROR(S22/V22-1,"n/a")</f>
        <v>1.0200729927007299</v>
      </c>
      <c r="AC22" s="64">
        <f t="shared" ref="AC22:AC23" si="33">IFERROR(S22/W22-1,"n/a")</f>
        <v>12.178571428571429</v>
      </c>
      <c r="AD22" s="64">
        <f t="shared" ref="AD22:AD23" si="34">IFERROR(S22/X22-1,"n/a")</f>
        <v>24.744186046511629</v>
      </c>
      <c r="AE22" s="60">
        <f t="shared" ref="AE22:AE23" si="35">IFERROR(S22/Y22-1,"n/a")</f>
        <v>0.89230769230769225</v>
      </c>
      <c r="AF22" s="68">
        <v>1651</v>
      </c>
      <c r="AG22" s="68">
        <v>1500</v>
      </c>
      <c r="AH22" s="68">
        <v>895</v>
      </c>
      <c r="AI22" s="68">
        <v>283</v>
      </c>
      <c r="AJ22" s="68">
        <v>43</v>
      </c>
      <c r="AK22" s="134">
        <v>827</v>
      </c>
      <c r="AL22" s="122"/>
      <c r="AM22" s="122"/>
    </row>
    <row r="23" spans="1:39" s="123" customFormat="1" ht="12.75">
      <c r="A23" s="122"/>
      <c r="B23" s="127"/>
      <c r="C23" s="33"/>
      <c r="D23" s="26" t="s">
        <v>11</v>
      </c>
      <c r="E23" s="32"/>
      <c r="F23" s="71">
        <v>306934</v>
      </c>
      <c r="G23" s="71">
        <v>442038</v>
      </c>
      <c r="H23" s="73">
        <v>374705</v>
      </c>
      <c r="I23" s="71">
        <v>267710</v>
      </c>
      <c r="J23" s="71">
        <v>89719</v>
      </c>
      <c r="K23" s="71">
        <v>0</v>
      </c>
      <c r="L23" s="71">
        <v>304036</v>
      </c>
      <c r="M23" s="64">
        <f t="shared" si="24"/>
        <v>-0.30563888172510056</v>
      </c>
      <c r="N23" s="64">
        <f t="shared" si="25"/>
        <v>-0.18086494709171219</v>
      </c>
      <c r="O23" s="64">
        <f t="shared" si="26"/>
        <v>0.14651675320309288</v>
      </c>
      <c r="P23" s="64">
        <f t="shared" si="27"/>
        <v>2.4210590844748605</v>
      </c>
      <c r="Q23" s="64" t="str">
        <f t="shared" si="28"/>
        <v>n/a</v>
      </c>
      <c r="R23" s="60">
        <f t="shared" si="29"/>
        <v>9.531765975081985E-3</v>
      </c>
      <c r="S23" s="68">
        <f>'Aug-25'!S23+F23+41</f>
        <v>3143983</v>
      </c>
      <c r="T23" s="68">
        <f>'Aug-25'!T23+G23</f>
        <v>3403712</v>
      </c>
      <c r="U23" s="68">
        <f>'Aug-25'!U23+H23</f>
        <v>3053822</v>
      </c>
      <c r="V23" s="68">
        <f>'Aug-25'!V23+I23</f>
        <v>1332424</v>
      </c>
      <c r="W23" s="68">
        <f>'Aug-25'!W23+J23</f>
        <v>167883</v>
      </c>
      <c r="X23" s="68">
        <f>'Aug-25'!X23+K23</f>
        <v>140552</v>
      </c>
      <c r="Y23" s="68">
        <f>'Aug-25'!Y23+L23</f>
        <v>1897444</v>
      </c>
      <c r="Z23" s="64">
        <f t="shared" si="30"/>
        <v>-7.6307572438561233E-2</v>
      </c>
      <c r="AA23" s="64">
        <f t="shared" si="31"/>
        <v>2.9523986663269941E-2</v>
      </c>
      <c r="AB23" s="64">
        <f t="shared" si="32"/>
        <v>1.3595964948094599</v>
      </c>
      <c r="AC23" s="64">
        <f t="shared" si="33"/>
        <v>17.727226699546708</v>
      </c>
      <c r="AD23" s="64">
        <f t="shared" si="34"/>
        <v>21.36882434970687</v>
      </c>
      <c r="AE23" s="60">
        <f t="shared" si="35"/>
        <v>0.65695693785956255</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6</v>
      </c>
      <c r="G25" s="71">
        <v>2</v>
      </c>
      <c r="H25" s="71">
        <v>4</v>
      </c>
      <c r="I25" s="71">
        <v>1</v>
      </c>
      <c r="J25" s="71">
        <v>0</v>
      </c>
      <c r="K25" s="71">
        <v>0</v>
      </c>
      <c r="L25" s="71">
        <v>1</v>
      </c>
      <c r="M25" s="64">
        <f t="shared" ref="M25:M28" si="36">IFERROR(F25/G25-1,"n/a")</f>
        <v>2</v>
      </c>
      <c r="N25" s="64">
        <f t="shared" ref="N25:N28" si="37">IFERROR(F25/H25-1,"n/a")</f>
        <v>0.5</v>
      </c>
      <c r="O25" s="64">
        <f t="shared" ref="O25:O28" si="38">IFERROR(F25/I25-1,"n/a")</f>
        <v>5</v>
      </c>
      <c r="P25" s="64" t="str">
        <f t="shared" ref="P25:P28" si="39">IFERROR(F25/J25-1,"n/a")</f>
        <v>n/a</v>
      </c>
      <c r="Q25" s="64" t="str">
        <f t="shared" ref="Q25:Q28" si="40">IFERROR(F25/K25-1,"n/a")</f>
        <v>n/a</v>
      </c>
      <c r="R25" s="60">
        <f t="shared" ref="R25:R28" si="41">IFERROR(F25/L25-1,"n/a")</f>
        <v>5</v>
      </c>
      <c r="S25" s="68">
        <f>'Aug-25'!S25+F25</f>
        <v>19</v>
      </c>
      <c r="T25" s="68">
        <f>'Aug-25'!T25+G25</f>
        <v>12</v>
      </c>
      <c r="U25" s="68">
        <f>'Aug-25'!U25+H25</f>
        <v>19</v>
      </c>
      <c r="V25" s="68">
        <f>'Aug-25'!V25+I25</f>
        <v>8</v>
      </c>
      <c r="W25" s="68">
        <f>'Aug-25'!W25+J25</f>
        <v>0</v>
      </c>
      <c r="X25" s="68">
        <f>'Aug-25'!X25+K25</f>
        <v>0</v>
      </c>
      <c r="Y25" s="68">
        <f>'Aug-25'!Y25+L25</f>
        <v>13</v>
      </c>
      <c r="Z25" s="64">
        <f t="shared" ref="Z25:Z28" si="42">IFERROR(S25/T25-1,"n/a")</f>
        <v>0.58333333333333326</v>
      </c>
      <c r="AA25" s="64">
        <f t="shared" ref="AA25:AA28" si="43">IFERROR(S25/U25-1,"n/a")</f>
        <v>0</v>
      </c>
      <c r="AB25" s="64">
        <f t="shared" ref="AB25:AB28" si="44">IFERROR(S25/V25-1,"n/a")</f>
        <v>1.375</v>
      </c>
      <c r="AC25" s="64" t="str">
        <f t="shared" ref="AC25:AC28" si="45">IFERROR(S25/W25-1,"n/a")</f>
        <v>n/a</v>
      </c>
      <c r="AD25" s="64" t="str">
        <f t="shared" ref="AD25:AD28" si="46">IFERROR(S25/X25-1,"n/a")</f>
        <v>n/a</v>
      </c>
      <c r="AE25" s="60">
        <f t="shared" ref="AE25:AE28" si="47">IFERROR(S25/Y25-1,"n/a")</f>
        <v>0.46153846153846145</v>
      </c>
      <c r="AF25" s="68">
        <v>14</v>
      </c>
      <c r="AG25" s="68">
        <v>21</v>
      </c>
      <c r="AH25" s="68">
        <v>9</v>
      </c>
      <c r="AI25" s="68">
        <v>0</v>
      </c>
      <c r="AJ25" s="68">
        <v>0</v>
      </c>
      <c r="AK25" s="134">
        <v>16</v>
      </c>
      <c r="AL25" s="122"/>
      <c r="AM25" s="122"/>
    </row>
    <row r="26" spans="1:39" s="123" customFormat="1" ht="12.75">
      <c r="A26" s="122"/>
      <c r="B26" s="127"/>
      <c r="C26" s="33"/>
      <c r="D26" s="26" t="s">
        <v>11</v>
      </c>
      <c r="E26" s="32"/>
      <c r="F26" s="71">
        <v>13477</v>
      </c>
      <c r="G26" s="71">
        <v>5957</v>
      </c>
      <c r="H26" s="71">
        <v>7920</v>
      </c>
      <c r="I26" s="71">
        <v>2266</v>
      </c>
      <c r="J26" s="71">
        <v>0</v>
      </c>
      <c r="K26" s="71">
        <v>0</v>
      </c>
      <c r="L26" s="71">
        <v>1243</v>
      </c>
      <c r="M26" s="64">
        <f t="shared" si="36"/>
        <v>1.2623803928151753</v>
      </c>
      <c r="N26" s="64">
        <f t="shared" si="37"/>
        <v>0.70164141414141423</v>
      </c>
      <c r="O26" s="64">
        <f t="shared" si="38"/>
        <v>4.9474845542806705</v>
      </c>
      <c r="P26" s="64" t="str">
        <f t="shared" si="39"/>
        <v>n/a</v>
      </c>
      <c r="Q26" s="64" t="str">
        <f t="shared" si="40"/>
        <v>n/a</v>
      </c>
      <c r="R26" s="60">
        <f t="shared" si="41"/>
        <v>9.8423169750603385</v>
      </c>
      <c r="S26" s="68">
        <f>'Aug-25'!S26+F26</f>
        <v>61267</v>
      </c>
      <c r="T26" s="68">
        <f>'Aug-25'!T26+G26</f>
        <v>44298</v>
      </c>
      <c r="U26" s="68">
        <f>'Aug-25'!U26+H26</f>
        <v>34314</v>
      </c>
      <c r="V26" s="68">
        <f>'Aug-25'!V26+I26</f>
        <v>13279</v>
      </c>
      <c r="W26" s="68">
        <f>'Aug-25'!W26+J26</f>
        <v>0</v>
      </c>
      <c r="X26" s="68">
        <f>'Aug-25'!X26+K26</f>
        <v>0</v>
      </c>
      <c r="Y26" s="68">
        <f>'Aug-25'!Y26+L26</f>
        <v>16291</v>
      </c>
      <c r="Z26" s="64">
        <f t="shared" si="42"/>
        <v>0.38306469818050481</v>
      </c>
      <c r="AA26" s="64">
        <f t="shared" si="43"/>
        <v>0.78548114472227071</v>
      </c>
      <c r="AB26" s="64">
        <f t="shared" si="44"/>
        <v>3.6138263423450558</v>
      </c>
      <c r="AC26" s="64" t="str">
        <f t="shared" si="45"/>
        <v>n/a</v>
      </c>
      <c r="AD26" s="64" t="str">
        <f t="shared" si="46"/>
        <v>n/a</v>
      </c>
      <c r="AE26" s="60">
        <f t="shared" si="47"/>
        <v>2.7607881652446138</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504</v>
      </c>
      <c r="G27" s="75">
        <f t="shared" si="48"/>
        <v>489</v>
      </c>
      <c r="H27" s="75">
        <f t="shared" si="48"/>
        <v>389</v>
      </c>
      <c r="I27" s="75">
        <f t="shared" si="48"/>
        <v>334</v>
      </c>
      <c r="J27" s="75">
        <f t="shared" si="48"/>
        <v>147</v>
      </c>
      <c r="K27" s="75">
        <f t="shared" si="48"/>
        <v>10</v>
      </c>
      <c r="L27" s="75">
        <f t="shared" si="48"/>
        <v>268</v>
      </c>
      <c r="M27" s="66">
        <f t="shared" si="36"/>
        <v>3.0674846625766916E-2</v>
      </c>
      <c r="N27" s="66">
        <f t="shared" si="37"/>
        <v>0.29562982005141381</v>
      </c>
      <c r="O27" s="66">
        <f t="shared" si="38"/>
        <v>0.50898203592814362</v>
      </c>
      <c r="P27" s="66">
        <f t="shared" si="39"/>
        <v>2.4285714285714284</v>
      </c>
      <c r="Q27" s="66">
        <f t="shared" si="40"/>
        <v>49.4</v>
      </c>
      <c r="R27" s="62">
        <f t="shared" si="41"/>
        <v>0.88059701492537323</v>
      </c>
      <c r="S27" s="75">
        <f t="shared" ref="S27:Y28" si="49">S13+S16+S19+S22+S25</f>
        <v>4682</v>
      </c>
      <c r="T27" s="75">
        <f t="shared" si="49"/>
        <v>3842</v>
      </c>
      <c r="U27" s="75">
        <f t="shared" si="49"/>
        <v>3120</v>
      </c>
      <c r="V27" s="75">
        <f t="shared" si="49"/>
        <v>2593</v>
      </c>
      <c r="W27" s="75">
        <f t="shared" si="49"/>
        <v>375</v>
      </c>
      <c r="X27" s="75">
        <f t="shared" si="49"/>
        <v>623</v>
      </c>
      <c r="Y27" s="75">
        <f t="shared" si="49"/>
        <v>2334</v>
      </c>
      <c r="Z27" s="66">
        <f t="shared" si="42"/>
        <v>0.21863612701717861</v>
      </c>
      <c r="AA27" s="66">
        <f t="shared" si="43"/>
        <v>0.50064102564102564</v>
      </c>
      <c r="AB27" s="66">
        <f t="shared" si="44"/>
        <v>0.80563054377169308</v>
      </c>
      <c r="AC27" s="66">
        <f t="shared" si="45"/>
        <v>11.485333333333333</v>
      </c>
      <c r="AD27" s="66">
        <f t="shared" si="46"/>
        <v>6.5152487961476728</v>
      </c>
      <c r="AE27" s="62">
        <f t="shared" si="47"/>
        <v>1.0059982862039418</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1401358</v>
      </c>
      <c r="G28" s="76">
        <f t="shared" si="48"/>
        <v>1455220</v>
      </c>
      <c r="H28" s="76">
        <f t="shared" si="48"/>
        <v>1100804</v>
      </c>
      <c r="I28" s="76">
        <f t="shared" si="48"/>
        <v>838052</v>
      </c>
      <c r="J28" s="76">
        <f t="shared" si="48"/>
        <v>240604</v>
      </c>
      <c r="K28" s="76">
        <f t="shared" si="48"/>
        <v>6072</v>
      </c>
      <c r="L28" s="76">
        <f t="shared" si="48"/>
        <v>785421</v>
      </c>
      <c r="M28" s="67">
        <f t="shared" si="36"/>
        <v>-3.7012960239688808E-2</v>
      </c>
      <c r="N28" s="67">
        <f t="shared" si="37"/>
        <v>0.27303134799655515</v>
      </c>
      <c r="O28" s="67">
        <f t="shared" si="38"/>
        <v>0.67216115467775261</v>
      </c>
      <c r="P28" s="67">
        <f t="shared" si="39"/>
        <v>4.8243337600372396</v>
      </c>
      <c r="Q28" s="67">
        <f t="shared" si="40"/>
        <v>229.79018445322794</v>
      </c>
      <c r="R28" s="63">
        <f t="shared" si="41"/>
        <v>0.78421254333663093</v>
      </c>
      <c r="S28" s="76">
        <f t="shared" si="49"/>
        <v>13250953</v>
      </c>
      <c r="T28" s="76">
        <f t="shared" si="49"/>
        <v>11998873.4</v>
      </c>
      <c r="U28" s="76">
        <f t="shared" si="49"/>
        <v>9221852</v>
      </c>
      <c r="V28" s="76">
        <f t="shared" si="49"/>
        <v>5217004</v>
      </c>
      <c r="W28" s="76">
        <f t="shared" si="49"/>
        <v>568611</v>
      </c>
      <c r="X28" s="76">
        <f t="shared" si="49"/>
        <v>1293209</v>
      </c>
      <c r="Y28" s="76">
        <f t="shared" si="49"/>
        <v>6826805</v>
      </c>
      <c r="Z28" s="67">
        <f t="shared" si="42"/>
        <v>0.10434976337028434</v>
      </c>
      <c r="AA28" s="67">
        <f t="shared" si="43"/>
        <v>0.43690800936731589</v>
      </c>
      <c r="AB28" s="67">
        <f t="shared" si="44"/>
        <v>1.5399545409587572</v>
      </c>
      <c r="AC28" s="67">
        <f t="shared" si="45"/>
        <v>22.304074314425854</v>
      </c>
      <c r="AD28" s="67">
        <f t="shared" si="46"/>
        <v>9.2465672602031077</v>
      </c>
      <c r="AE28" s="63">
        <f t="shared" si="47"/>
        <v>0.94101823620273328</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f>S27-F27-'Aug-25'!S27</f>
        <v>0</v>
      </c>
      <c r="T29" s="128">
        <f>T27-G27-'Aug-25'!T27</f>
        <v>0</v>
      </c>
      <c r="U29" s="128">
        <f>U27-H27-'Aug-25'!U27</f>
        <v>0</v>
      </c>
      <c r="V29" s="128">
        <f>V27-I27-'Aug-25'!V27</f>
        <v>0</v>
      </c>
      <c r="W29" s="128">
        <f>W27-J27-'Aug-25'!W27</f>
        <v>0</v>
      </c>
      <c r="X29" s="128">
        <f>X27-K27-'Aug-25'!X27</f>
        <v>0</v>
      </c>
      <c r="Y29" s="128">
        <f>Y27-L27-'Aug-25'!Y27</f>
        <v>0</v>
      </c>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S28-F28-'Aug-25'!S28+4613</f>
        <v>0</v>
      </c>
      <c r="T30" s="128">
        <f>T28-G28-'Aug-25'!T28</f>
        <v>0</v>
      </c>
      <c r="U30" s="128">
        <f>U28-H28-'Aug-25'!U28</f>
        <v>0</v>
      </c>
      <c r="V30" s="128">
        <f>V28-I28-'Aug-25'!V28</f>
        <v>0</v>
      </c>
      <c r="W30" s="128">
        <f>W28-J28-'Aug-25'!W28</f>
        <v>0</v>
      </c>
      <c r="X30" s="128">
        <f>X28-K28-'Aug-25'!X28</f>
        <v>0</v>
      </c>
      <c r="Y30" s="128">
        <f>Y28-L28-'Aug-25'!Y28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September</v>
      </c>
      <c r="G33" s="170"/>
      <c r="H33" s="170"/>
      <c r="I33" s="170"/>
      <c r="J33" s="170"/>
      <c r="K33" s="170"/>
      <c r="L33" s="170"/>
      <c r="M33" s="170"/>
      <c r="N33" s="170"/>
      <c r="O33" s="170"/>
      <c r="P33" s="170"/>
      <c r="Q33" s="170"/>
      <c r="R33" s="171"/>
      <c r="S33" s="176" t="str">
        <f>"April to "&amp;D4&amp;" (YTD)"</f>
        <v>April to September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3"/>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2">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3" t="s">
        <v>146</v>
      </c>
      <c r="AA35" s="53" t="s">
        <v>147</v>
      </c>
      <c r="AB35" s="53" t="s">
        <v>148</v>
      </c>
      <c r="AC35" s="53" t="s">
        <v>149</v>
      </c>
      <c r="AD35" s="53" t="s">
        <v>150</v>
      </c>
      <c r="AE35" s="57" t="s">
        <v>151</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133</v>
      </c>
      <c r="G37" s="74">
        <f t="shared" ref="G37:L38" si="51">G13</f>
        <v>138</v>
      </c>
      <c r="H37" s="74">
        <f t="shared" si="51"/>
        <v>98</v>
      </c>
      <c r="I37" s="74">
        <f t="shared" si="51"/>
        <v>82</v>
      </c>
      <c r="J37" s="74">
        <f t="shared" si="51"/>
        <v>60</v>
      </c>
      <c r="K37" s="74">
        <f t="shared" si="51"/>
        <v>0</v>
      </c>
      <c r="L37" s="74">
        <f t="shared" si="51"/>
        <v>79</v>
      </c>
      <c r="M37" s="64">
        <f t="shared" ref="M37:M38" si="52">IFERROR(F37/G37-1,"n/a")</f>
        <v>-3.6231884057971064E-2</v>
      </c>
      <c r="N37" s="64">
        <f t="shared" ref="N37:N38" si="53">IFERROR(F37/H37-1,"n/a")</f>
        <v>0.35714285714285721</v>
      </c>
      <c r="O37" s="64">
        <f t="shared" ref="O37:O38" si="54">IFERROR(F37/I37-1,"n/a")</f>
        <v>0.62195121951219523</v>
      </c>
      <c r="P37" s="64">
        <f t="shared" ref="P37:P38" si="55">IFERROR(F37/J37-1,"n/a")</f>
        <v>1.2166666666666668</v>
      </c>
      <c r="Q37" s="64" t="str">
        <f t="shared" ref="Q37:Q38" si="56">IFERROR(F37/K37-1,"n/a")</f>
        <v>n/a</v>
      </c>
      <c r="R37" s="60">
        <f t="shared" ref="R37:R38" si="57">IFERROR(F37/L37-1,"n/a")</f>
        <v>0.68354430379746844</v>
      </c>
      <c r="S37" s="74">
        <f>'Aug-25'!S37+F37</f>
        <v>992</v>
      </c>
      <c r="T37" s="74">
        <f>'Aug-25'!T37+G37</f>
        <v>952</v>
      </c>
      <c r="U37" s="74">
        <f>'Aug-25'!U37+H37</f>
        <v>625</v>
      </c>
      <c r="V37" s="74">
        <f>'Aug-25'!V37+I37</f>
        <v>543</v>
      </c>
      <c r="W37" s="74">
        <f>'Aug-25'!W37+J37</f>
        <v>139</v>
      </c>
      <c r="X37" s="74">
        <f>'Aug-25'!X37+K37</f>
        <v>42</v>
      </c>
      <c r="Y37" s="74">
        <f>'Aug-25'!Y37+L37</f>
        <v>586</v>
      </c>
      <c r="Z37" s="147">
        <f>IFERROR(S37/T37-1,"n/a")</f>
        <v>4.2016806722689148E-2</v>
      </c>
      <c r="AA37" s="147">
        <f>IFERROR(S37/U37-1,"n/a")</f>
        <v>0.58719999999999994</v>
      </c>
      <c r="AB37" s="147">
        <f>IFERROR(S37/V37-1,"n/a")</f>
        <v>0.82688766114180479</v>
      </c>
      <c r="AC37" s="147">
        <f>IFERROR(S37/W37-1,"n/a")</f>
        <v>6.1366906474820144</v>
      </c>
      <c r="AD37" s="147">
        <f>IFERROR(S37/X37-1,"n/a")</f>
        <v>22.61904761904762</v>
      </c>
      <c r="AE37" s="158">
        <f>IFERROR(S37/Y37-1,"n/a")</f>
        <v>0.69283276450511955</v>
      </c>
      <c r="AF37" s="154">
        <v>2874</v>
      </c>
      <c r="AG37" s="89">
        <v>1802</v>
      </c>
      <c r="AH37" s="89">
        <v>1486</v>
      </c>
      <c r="AI37" s="89">
        <v>1052</v>
      </c>
      <c r="AJ37" s="70">
        <v>551</v>
      </c>
      <c r="AK37" s="78">
        <v>1584</v>
      </c>
      <c r="AM37" s="122"/>
    </row>
    <row r="38" spans="1:39" s="123" customFormat="1" ht="11.25">
      <c r="A38" s="122"/>
      <c r="B38" s="122"/>
      <c r="C38" s="33"/>
      <c r="D38" s="26" t="s">
        <v>11</v>
      </c>
      <c r="E38" s="32"/>
      <c r="F38" s="74">
        <f>F14</f>
        <v>506113</v>
      </c>
      <c r="G38" s="74">
        <f t="shared" si="51"/>
        <v>494236</v>
      </c>
      <c r="H38" s="74">
        <f t="shared" si="51"/>
        <v>313650</v>
      </c>
      <c r="I38" s="74">
        <f t="shared" si="51"/>
        <v>280580</v>
      </c>
      <c r="J38" s="74">
        <f t="shared" si="51"/>
        <v>83395</v>
      </c>
      <c r="K38" s="74">
        <f t="shared" si="51"/>
        <v>0</v>
      </c>
      <c r="L38" s="74">
        <f t="shared" si="51"/>
        <v>234453</v>
      </c>
      <c r="M38" s="64">
        <f t="shared" si="52"/>
        <v>2.4031029710502638E-2</v>
      </c>
      <c r="N38" s="64">
        <f t="shared" si="53"/>
        <v>0.61362346564642123</v>
      </c>
      <c r="O38" s="64">
        <f t="shared" si="54"/>
        <v>0.80380996507235003</v>
      </c>
      <c r="P38" s="64">
        <f t="shared" si="55"/>
        <v>5.068865039870496</v>
      </c>
      <c r="Q38" s="64" t="str">
        <f t="shared" si="56"/>
        <v>n/a</v>
      </c>
      <c r="R38" s="60">
        <f t="shared" si="57"/>
        <v>1.1586970522876654</v>
      </c>
      <c r="S38" s="74">
        <f>'Aug-25'!S38+F38-3000</f>
        <v>3675333</v>
      </c>
      <c r="T38" s="74">
        <f>'Aug-25'!T38+G38</f>
        <v>3498440</v>
      </c>
      <c r="U38" s="74">
        <f>'Aug-25'!U38+H38</f>
        <v>2248360</v>
      </c>
      <c r="V38" s="74">
        <f>'Aug-25'!V38+I38</f>
        <v>1635653</v>
      </c>
      <c r="W38" s="74">
        <f>'Aug-25'!W38+J38</f>
        <v>180900</v>
      </c>
      <c r="X38" s="74">
        <f>'Aug-25'!X38+K38</f>
        <v>0</v>
      </c>
      <c r="Y38" s="74">
        <f>'Aug-25'!Y38+L38</f>
        <v>1892314</v>
      </c>
      <c r="Z38" s="147">
        <f>IFERROR(S38/T38-1,"n/a")</f>
        <v>5.0563393969883741E-2</v>
      </c>
      <c r="AA38" s="147">
        <f>IFERROR(S38/U38-1,"n/a")</f>
        <v>0.63467282819477311</v>
      </c>
      <c r="AB38" s="147">
        <f>IFERROR(S38/V38-1,"n/a")</f>
        <v>1.24701266099839</v>
      </c>
      <c r="AC38" s="147">
        <f>IFERROR(S38/W38-1,"n/a")</f>
        <v>19.3169320066335</v>
      </c>
      <c r="AD38" s="147" t="str">
        <f>IFERROR(S38/X38-1,"n/a")</f>
        <v>n/a</v>
      </c>
      <c r="AE38" s="158">
        <f>IFERROR(S38/Y38-1,"n/a")</f>
        <v>0.94224267219922275</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157"/>
      <c r="T39" s="26"/>
      <c r="U39" s="26"/>
      <c r="V39" s="26"/>
      <c r="W39" s="26"/>
      <c r="X39" s="26"/>
      <c r="Y39" s="26"/>
      <c r="Z39" s="146"/>
      <c r="AA39" s="148"/>
      <c r="AB39" s="148"/>
      <c r="AC39" s="148"/>
      <c r="AD39" s="148"/>
      <c r="AE39" s="159"/>
      <c r="AF39" s="44"/>
      <c r="AG39" s="90"/>
      <c r="AH39" s="90"/>
      <c r="AI39" s="90"/>
      <c r="AJ39" s="44"/>
      <c r="AK39" s="79"/>
      <c r="AM39" s="122"/>
    </row>
    <row r="40" spans="1:39" s="123" customFormat="1" ht="11.25">
      <c r="A40" s="122"/>
      <c r="B40" s="122"/>
      <c r="C40" s="33"/>
      <c r="D40" s="26" t="s">
        <v>5</v>
      </c>
      <c r="E40" s="32"/>
      <c r="F40" s="74">
        <f t="shared" ref="F40:L41" si="58">F16</f>
        <v>115</v>
      </c>
      <c r="G40" s="74">
        <f t="shared" si="58"/>
        <v>105</v>
      </c>
      <c r="H40" s="74">
        <f t="shared" si="58"/>
        <v>68</v>
      </c>
      <c r="I40" s="74">
        <f t="shared" si="58"/>
        <v>74</v>
      </c>
      <c r="J40" s="74">
        <f t="shared" si="58"/>
        <v>34</v>
      </c>
      <c r="K40" s="74">
        <f t="shared" si="58"/>
        <v>9</v>
      </c>
      <c r="L40" s="74">
        <f t="shared" si="58"/>
        <v>70</v>
      </c>
      <c r="M40" s="64">
        <f t="shared" ref="M40:M41" si="59">IFERROR(F40/G40-1,"n/a")</f>
        <v>9.5238095238095344E-2</v>
      </c>
      <c r="N40" s="64">
        <f t="shared" ref="N40:N41" si="60">IFERROR(F40/H40-1,"n/a")</f>
        <v>0.69117647058823528</v>
      </c>
      <c r="O40" s="64">
        <f t="shared" ref="O40:O41" si="61">IFERROR(F40/I40-1,"n/a")</f>
        <v>0.55405405405405395</v>
      </c>
      <c r="P40" s="64">
        <f t="shared" ref="P40:P41" si="62">IFERROR(F40/J40-1,"n/a")</f>
        <v>2.3823529411764706</v>
      </c>
      <c r="Q40" s="64">
        <f t="shared" ref="Q40:Q41" si="63">IFERROR(F40/K40-1,"n/a")</f>
        <v>11.777777777777779</v>
      </c>
      <c r="R40" s="60">
        <f t="shared" ref="R40:R41" si="64">IFERROR(F40/L40-1,"n/a")</f>
        <v>0.64285714285714279</v>
      </c>
      <c r="S40" s="74">
        <f>'Aug-25'!S40+F40</f>
        <v>726</v>
      </c>
      <c r="T40" s="74">
        <f>'Aug-25'!T40+G40</f>
        <v>562</v>
      </c>
      <c r="U40" s="74">
        <f>'Aug-25'!U40+H40</f>
        <v>399</v>
      </c>
      <c r="V40" s="74">
        <f>'Aug-25'!V40+I40</f>
        <v>415</v>
      </c>
      <c r="W40" s="74">
        <f>'Aug-25'!W40+J40</f>
        <v>124</v>
      </c>
      <c r="X40" s="74">
        <f>'Aug-25'!X40+K40</f>
        <v>11</v>
      </c>
      <c r="Y40" s="74">
        <f>'Aug-25'!Y40+L40</f>
        <v>380</v>
      </c>
      <c r="Z40" s="147">
        <f t="shared" ref="Z40:Z41" si="65">IFERROR(S40/T40-1,"n/a")</f>
        <v>0.29181494661921703</v>
      </c>
      <c r="AA40" s="147">
        <f t="shared" ref="AA40:AA41" si="66">IFERROR(S40/U40-1,"n/a")</f>
        <v>0.81954887218045114</v>
      </c>
      <c r="AB40" s="147">
        <f t="shared" ref="AB40:AB41" si="67">IFERROR(S40/V40-1,"n/a")</f>
        <v>0.74939759036144582</v>
      </c>
      <c r="AC40" s="147">
        <f t="shared" ref="AC40:AC41" si="68">IFERROR(S40/W40-1,"n/a")</f>
        <v>4.854838709677419</v>
      </c>
      <c r="AD40" s="147">
        <f t="shared" ref="AD40:AD41" si="69">IFERROR(S40/X40-1,"n/a")</f>
        <v>65</v>
      </c>
      <c r="AE40" s="158">
        <f t="shared" ref="AE40:AE41" si="70">IFERROR(S40/Y40-1,"n/a")</f>
        <v>0.91052631578947363</v>
      </c>
      <c r="AF40" s="154">
        <v>817</v>
      </c>
      <c r="AG40" s="89">
        <v>583</v>
      </c>
      <c r="AH40" s="89">
        <v>563</v>
      </c>
      <c r="AI40" s="89">
        <v>226</v>
      </c>
      <c r="AJ40" s="70">
        <v>66</v>
      </c>
      <c r="AK40" s="78">
        <v>573</v>
      </c>
      <c r="AM40" s="122"/>
    </row>
    <row r="41" spans="1:39" s="123" customFormat="1" ht="11.25">
      <c r="A41" s="122"/>
      <c r="B41" s="122"/>
      <c r="C41" s="33"/>
      <c r="D41" s="26" t="s">
        <v>11</v>
      </c>
      <c r="E41" s="32"/>
      <c r="F41" s="74">
        <f t="shared" si="58"/>
        <v>300422</v>
      </c>
      <c r="G41" s="74">
        <f t="shared" si="58"/>
        <v>284734</v>
      </c>
      <c r="H41" s="74">
        <f t="shared" si="58"/>
        <v>223095</v>
      </c>
      <c r="I41" s="74">
        <f t="shared" si="58"/>
        <v>150081</v>
      </c>
      <c r="J41" s="74">
        <f t="shared" si="58"/>
        <v>64266</v>
      </c>
      <c r="K41" s="74">
        <f t="shared" si="58"/>
        <v>6072</v>
      </c>
      <c r="L41" s="74">
        <f t="shared" si="58"/>
        <v>169136</v>
      </c>
      <c r="M41" s="64">
        <f t="shared" si="59"/>
        <v>5.5097037937162474E-2</v>
      </c>
      <c r="N41" s="64">
        <f t="shared" si="60"/>
        <v>0.34661018848472613</v>
      </c>
      <c r="O41" s="64">
        <f t="shared" si="61"/>
        <v>1.0017323978385004</v>
      </c>
      <c r="P41" s="64">
        <f t="shared" si="62"/>
        <v>3.6746646749447605</v>
      </c>
      <c r="Q41" s="64">
        <f t="shared" si="63"/>
        <v>48.476613965744399</v>
      </c>
      <c r="R41" s="60">
        <f t="shared" si="64"/>
        <v>0.77621558982120886</v>
      </c>
      <c r="S41" s="74">
        <f>'Aug-25'!S41+F41+12</f>
        <v>1851210</v>
      </c>
      <c r="T41" s="74">
        <f>'Aug-25'!T41+G41</f>
        <v>1531081</v>
      </c>
      <c r="U41" s="74">
        <f>'Aug-25'!U41+H41</f>
        <v>1250692</v>
      </c>
      <c r="V41" s="74">
        <f>'Aug-25'!V41+I41</f>
        <v>735424</v>
      </c>
      <c r="W41" s="74">
        <f>'Aug-25'!W41+J41</f>
        <v>205183</v>
      </c>
      <c r="X41" s="74">
        <f>'Aug-25'!X41+K41</f>
        <v>8613</v>
      </c>
      <c r="Y41" s="74">
        <f>'Aug-25'!Y41+L41</f>
        <v>1001516</v>
      </c>
      <c r="Z41" s="147">
        <f t="shared" si="65"/>
        <v>0.20908691310257255</v>
      </c>
      <c r="AA41" s="147">
        <f t="shared" si="66"/>
        <v>0.48014858974071961</v>
      </c>
      <c r="AB41" s="147">
        <f t="shared" si="67"/>
        <v>1.5172009616221391</v>
      </c>
      <c r="AC41" s="147">
        <f t="shared" si="68"/>
        <v>8.0222386844914055</v>
      </c>
      <c r="AD41" s="147">
        <f t="shared" si="69"/>
        <v>213.93207941483803</v>
      </c>
      <c r="AE41" s="158">
        <f t="shared" si="70"/>
        <v>0.84840781375434848</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110"/>
      <c r="AA42" s="147"/>
      <c r="AB42" s="147"/>
      <c r="AC42" s="147"/>
      <c r="AD42" s="147"/>
      <c r="AE42" s="158"/>
      <c r="AF42" s="155"/>
      <c r="AG42" s="90"/>
      <c r="AH42" s="90"/>
      <c r="AI42" s="90"/>
      <c r="AJ42" s="44"/>
      <c r="AK42" s="79"/>
      <c r="AM42" s="122"/>
    </row>
    <row r="43" spans="1:39" s="123" customFormat="1" ht="11.25">
      <c r="A43" s="122"/>
      <c r="B43" s="122"/>
      <c r="C43" s="33"/>
      <c r="D43" s="26" t="s">
        <v>5</v>
      </c>
      <c r="E43" s="32"/>
      <c r="F43" s="74">
        <f>F19</f>
        <v>135</v>
      </c>
      <c r="G43" s="74">
        <f t="shared" ref="G43:L44" si="71">G19</f>
        <v>112</v>
      </c>
      <c r="H43" s="74">
        <f t="shared" si="71"/>
        <v>100</v>
      </c>
      <c r="I43" s="74">
        <f t="shared" si="71"/>
        <v>92</v>
      </c>
      <c r="J43" s="74">
        <f t="shared" si="71"/>
        <v>7</v>
      </c>
      <c r="K43" s="74">
        <f t="shared" si="71"/>
        <v>1</v>
      </c>
      <c r="L43" s="74">
        <f t="shared" si="71"/>
        <v>32</v>
      </c>
      <c r="M43" s="64">
        <f t="shared" ref="M43:M44" si="72">IFERROR(F43/G43-1,"n/a")</f>
        <v>0.20535714285714279</v>
      </c>
      <c r="N43" s="64">
        <f t="shared" ref="N43:N44" si="73">IFERROR(F43/H43-1,"n/a")</f>
        <v>0.35000000000000009</v>
      </c>
      <c r="O43" s="64">
        <f t="shared" ref="O43:O44" si="74">IFERROR(F43/I43-1,"n/a")</f>
        <v>0.46739130434782616</v>
      </c>
      <c r="P43" s="64">
        <f t="shared" ref="P43:P44" si="75">IFERROR(F43/J43-1,"n/a")</f>
        <v>18.285714285714285</v>
      </c>
      <c r="Q43" s="64">
        <f t="shared" ref="Q43:Q44" si="76">IFERROR(F43/K43-1,"n/a")</f>
        <v>134</v>
      </c>
      <c r="R43" s="60">
        <f t="shared" ref="R43:R44" si="77">IFERROR(F43/L43-1,"n/a")</f>
        <v>3.21875</v>
      </c>
      <c r="S43" s="74">
        <f>'Aug-25'!S43+F43</f>
        <v>669</v>
      </c>
      <c r="T43" s="74">
        <f>'Aug-25'!T43+G43</f>
        <v>552</v>
      </c>
      <c r="U43" s="74">
        <f>'Aug-25'!U43+H43</f>
        <v>521</v>
      </c>
      <c r="V43" s="74">
        <f>'Aug-25'!V43+I43</f>
        <v>501</v>
      </c>
      <c r="W43" s="74">
        <f>'Aug-25'!W43+J43</f>
        <v>16</v>
      </c>
      <c r="X43" s="74">
        <f>'Aug-25'!X43+K43</f>
        <v>5</v>
      </c>
      <c r="Y43" s="74">
        <f>'Aug-25'!Y43+L43</f>
        <v>225</v>
      </c>
      <c r="Z43" s="147">
        <f t="shared" ref="Z43:Z44" si="78">IFERROR(S43/T43-1,"n/a")</f>
        <v>0.21195652173913038</v>
      </c>
      <c r="AA43" s="147">
        <f t="shared" ref="AA43:AA44" si="79">IFERROR(S43/U43-1,"n/a")</f>
        <v>0.28406909788867551</v>
      </c>
      <c r="AB43" s="147">
        <f t="shared" ref="AB43:AB44" si="80">IFERROR(S43/V43-1,"n/a")</f>
        <v>0.33532934131736525</v>
      </c>
      <c r="AC43" s="147">
        <f t="shared" ref="AC43:AC44" si="81">IFERROR(S43/W43-1,"n/a")</f>
        <v>40.8125</v>
      </c>
      <c r="AD43" s="147">
        <f t="shared" ref="AD43:AD44" si="82">IFERROR(S43/X43-1,"n/a")</f>
        <v>132.80000000000001</v>
      </c>
      <c r="AE43" s="158">
        <f t="shared" ref="AE43:AE44" si="83">IFERROR(S43/Y43-1,"n/a")</f>
        <v>1.9733333333333332</v>
      </c>
      <c r="AF43" s="154">
        <v>728</v>
      </c>
      <c r="AG43" s="89">
        <v>712</v>
      </c>
      <c r="AH43" s="89">
        <v>669</v>
      </c>
      <c r="AI43" s="89">
        <v>59</v>
      </c>
      <c r="AJ43" s="70">
        <v>9</v>
      </c>
      <c r="AK43" s="78">
        <v>287</v>
      </c>
      <c r="AM43" s="122"/>
    </row>
    <row r="44" spans="1:39" s="123" customFormat="1" ht="11.25">
      <c r="A44" s="122"/>
      <c r="B44" s="122"/>
      <c r="C44" s="33"/>
      <c r="D44" s="26" t="s">
        <v>11</v>
      </c>
      <c r="E44" s="32"/>
      <c r="F44" s="74">
        <f>F20</f>
        <v>274412</v>
      </c>
      <c r="G44" s="74">
        <f t="shared" si="71"/>
        <v>228255</v>
      </c>
      <c r="H44" s="74">
        <f t="shared" si="71"/>
        <v>181434</v>
      </c>
      <c r="I44" s="74">
        <f t="shared" si="71"/>
        <v>137415</v>
      </c>
      <c r="J44" s="74">
        <f t="shared" si="71"/>
        <v>3224</v>
      </c>
      <c r="K44" s="74">
        <f t="shared" si="71"/>
        <v>0</v>
      </c>
      <c r="L44" s="74">
        <f t="shared" si="71"/>
        <v>76553</v>
      </c>
      <c r="M44" s="64">
        <f t="shared" si="72"/>
        <v>0.2022168189086766</v>
      </c>
      <c r="N44" s="64">
        <f t="shared" si="73"/>
        <v>0.5124618318507006</v>
      </c>
      <c r="O44" s="64">
        <f t="shared" si="74"/>
        <v>0.99695811956482183</v>
      </c>
      <c r="P44" s="64">
        <f t="shared" si="75"/>
        <v>84.115384615384613</v>
      </c>
      <c r="Q44" s="64" t="str">
        <f t="shared" si="76"/>
        <v>n/a</v>
      </c>
      <c r="R44" s="60">
        <f t="shared" si="77"/>
        <v>2.5846015179026294</v>
      </c>
      <c r="S44" s="74">
        <f>'Aug-25'!S44+F44-1666</f>
        <v>1424524</v>
      </c>
      <c r="T44" s="74">
        <f>'Aug-25'!T44+G44</f>
        <v>1197203.3999999999</v>
      </c>
      <c r="U44" s="74">
        <f>'Aug-25'!U44+H44</f>
        <v>992579</v>
      </c>
      <c r="V44" s="74">
        <f>'Aug-25'!V44+I44</f>
        <v>700973</v>
      </c>
      <c r="W44" s="74">
        <f>'Aug-25'!W44+J44</f>
        <v>4542</v>
      </c>
      <c r="X44" s="74">
        <f>'Aug-25'!X44+K44</f>
        <v>8294</v>
      </c>
      <c r="Y44" s="74">
        <f>'Aug-25'!Y44+L44</f>
        <v>481278</v>
      </c>
      <c r="Z44" s="147">
        <f t="shared" si="78"/>
        <v>0.18987634014403909</v>
      </c>
      <c r="AA44" s="147">
        <f t="shared" si="79"/>
        <v>0.43517442944088081</v>
      </c>
      <c r="AB44" s="147">
        <f t="shared" si="80"/>
        <v>1.0322095144891459</v>
      </c>
      <c r="AC44" s="147">
        <f t="shared" si="81"/>
        <v>312.63364156759138</v>
      </c>
      <c r="AD44" s="147">
        <f t="shared" si="82"/>
        <v>170.75355678803956</v>
      </c>
      <c r="AE44" s="158">
        <f t="shared" si="83"/>
        <v>1.9598776590660698</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160"/>
      <c r="AA45" s="147"/>
      <c r="AB45" s="147"/>
      <c r="AC45" s="147"/>
      <c r="AD45" s="147"/>
      <c r="AE45" s="158"/>
      <c r="AF45" s="155"/>
      <c r="AG45" s="90"/>
      <c r="AH45" s="90"/>
      <c r="AI45" s="90"/>
      <c r="AJ45" s="44"/>
      <c r="AK45" s="79"/>
      <c r="AM45" s="122"/>
    </row>
    <row r="46" spans="1:39" s="123" customFormat="1" ht="11.25">
      <c r="A46" s="122"/>
      <c r="B46" s="122"/>
      <c r="C46" s="33"/>
      <c r="D46" s="26" t="s">
        <v>5</v>
      </c>
      <c r="E46" s="34"/>
      <c r="F46" s="74">
        <f>F22</f>
        <v>115</v>
      </c>
      <c r="G46" s="74">
        <f t="shared" ref="G46:L47" si="84">G22</f>
        <v>132</v>
      </c>
      <c r="H46" s="74">
        <f t="shared" si="84"/>
        <v>119</v>
      </c>
      <c r="I46" s="74">
        <f t="shared" si="84"/>
        <v>85</v>
      </c>
      <c r="J46" s="74">
        <f t="shared" si="84"/>
        <v>46</v>
      </c>
      <c r="K46" s="74">
        <f t="shared" si="84"/>
        <v>0</v>
      </c>
      <c r="L46" s="74">
        <f t="shared" si="84"/>
        <v>86</v>
      </c>
      <c r="M46" s="64">
        <f t="shared" ref="M46:M47" si="85">IFERROR(F46/G46-1,"n/a")</f>
        <v>-0.12878787878787878</v>
      </c>
      <c r="N46" s="64">
        <f t="shared" ref="N46:N47" si="86">IFERROR(F46/H46-1,"n/a")</f>
        <v>-3.3613445378151252E-2</v>
      </c>
      <c r="O46" s="64">
        <f t="shared" ref="O46:O47" si="87">IFERROR(F46/I46-1,"n/a")</f>
        <v>0.35294117647058831</v>
      </c>
      <c r="P46" s="64">
        <f t="shared" ref="P46:P47" si="88">IFERROR(F46/J46-1,"n/a")</f>
        <v>1.5</v>
      </c>
      <c r="Q46" s="64" t="str">
        <f t="shared" ref="Q46:Q47" si="89">IFERROR(F46/K46-1,"n/a")</f>
        <v>n/a</v>
      </c>
      <c r="R46" s="60">
        <f t="shared" ref="R46:R47" si="90">IFERROR(F46/L46-1,"n/a")</f>
        <v>0.33720930232558133</v>
      </c>
      <c r="S46" s="74">
        <f>'Aug-25'!S46+F46</f>
        <v>711</v>
      </c>
      <c r="T46" s="74">
        <f>'Aug-25'!T46+G46</f>
        <v>739</v>
      </c>
      <c r="U46" s="74">
        <f>'Aug-25'!U46+H46</f>
        <v>689</v>
      </c>
      <c r="V46" s="74">
        <f>'Aug-25'!V46+I46</f>
        <v>495</v>
      </c>
      <c r="W46" s="74">
        <f>'Aug-25'!W46+J46</f>
        <v>84</v>
      </c>
      <c r="X46" s="74">
        <f>'Aug-25'!X46+K46</f>
        <v>0</v>
      </c>
      <c r="Y46" s="74">
        <f>'Aug-25'!Y46+L46</f>
        <v>496</v>
      </c>
      <c r="Z46" s="147">
        <f t="shared" ref="Z46:Z47" si="91">IFERROR(S46/T46-1,"n/a")</f>
        <v>-3.7889039242219202E-2</v>
      </c>
      <c r="AA46" s="147">
        <f t="shared" ref="AA46:AA47" si="92">IFERROR(S46/U46-1,"n/a")</f>
        <v>3.1930333817126177E-2</v>
      </c>
      <c r="AB46" s="147">
        <f t="shared" ref="AB46:AB47" si="93">IFERROR(S46/V46-1,"n/a")</f>
        <v>0.43636363636363629</v>
      </c>
      <c r="AC46" s="147">
        <f t="shared" ref="AC46:AC47" si="94">IFERROR(S46/W46-1,"n/a")</f>
        <v>7.4642857142857135</v>
      </c>
      <c r="AD46" s="147" t="str">
        <f t="shared" ref="AD46:AD47" si="95">IFERROR(S46/X46-1,"n/a")</f>
        <v>n/a</v>
      </c>
      <c r="AE46" s="158">
        <f t="shared" ref="AE46:AE47" si="96">IFERROR(S46/Y46-1,"n/a")</f>
        <v>0.43346774193548376</v>
      </c>
      <c r="AF46" s="154">
        <v>1788</v>
      </c>
      <c r="AG46" s="89">
        <v>1471</v>
      </c>
      <c r="AH46" s="89">
        <v>1129</v>
      </c>
      <c r="AI46" s="89">
        <v>336</v>
      </c>
      <c r="AJ46" s="84">
        <v>43</v>
      </c>
      <c r="AK46" s="78">
        <v>781</v>
      </c>
      <c r="AM46" s="122"/>
    </row>
    <row r="47" spans="1:39" s="123" customFormat="1" ht="11.25">
      <c r="A47" s="122"/>
      <c r="B47" s="122"/>
      <c r="C47" s="33"/>
      <c r="D47" s="26" t="s">
        <v>11</v>
      </c>
      <c r="E47" s="32"/>
      <c r="F47" s="74">
        <f>F23</f>
        <v>306934</v>
      </c>
      <c r="G47" s="74">
        <f t="shared" si="84"/>
        <v>442038</v>
      </c>
      <c r="H47" s="74">
        <f t="shared" si="84"/>
        <v>374705</v>
      </c>
      <c r="I47" s="74">
        <f t="shared" si="84"/>
        <v>267710</v>
      </c>
      <c r="J47" s="74">
        <f t="shared" si="84"/>
        <v>89719</v>
      </c>
      <c r="K47" s="74">
        <f t="shared" si="84"/>
        <v>0</v>
      </c>
      <c r="L47" s="74">
        <f t="shared" si="84"/>
        <v>304036</v>
      </c>
      <c r="M47" s="64">
        <f t="shared" si="85"/>
        <v>-0.30563888172510056</v>
      </c>
      <c r="N47" s="64">
        <f t="shared" si="86"/>
        <v>-0.18086494709171219</v>
      </c>
      <c r="O47" s="64">
        <f t="shared" si="87"/>
        <v>0.14651675320309288</v>
      </c>
      <c r="P47" s="64">
        <f t="shared" si="88"/>
        <v>2.4210590844748605</v>
      </c>
      <c r="Q47" s="64" t="str">
        <f t="shared" si="89"/>
        <v>n/a</v>
      </c>
      <c r="R47" s="60">
        <f t="shared" si="90"/>
        <v>9.531765975081985E-3</v>
      </c>
      <c r="S47" s="74">
        <f>'Aug-25'!S47+F47+41</f>
        <v>2030919</v>
      </c>
      <c r="T47" s="74">
        <f>'Aug-25'!T47+G47</f>
        <v>2490657</v>
      </c>
      <c r="U47" s="74">
        <f>'Aug-25'!U47+H47</f>
        <v>2217548</v>
      </c>
      <c r="V47" s="74">
        <f>'Aug-25'!V47+I47</f>
        <v>1263970</v>
      </c>
      <c r="W47" s="74">
        <f>'Aug-25'!W47+J47</f>
        <v>167883</v>
      </c>
      <c r="X47" s="74">
        <f>'Aug-25'!X47+K47</f>
        <v>0</v>
      </c>
      <c r="Y47" s="74">
        <f>'Aug-25'!Y47+L47</f>
        <v>1645544</v>
      </c>
      <c r="Z47" s="147">
        <f t="shared" si="91"/>
        <v>-0.18458503117852032</v>
      </c>
      <c r="AA47" s="147">
        <f t="shared" si="92"/>
        <v>-8.416007229606759E-2</v>
      </c>
      <c r="AB47" s="147">
        <f t="shared" si="93"/>
        <v>0.60677785074012824</v>
      </c>
      <c r="AC47" s="147">
        <f t="shared" si="94"/>
        <v>11.097228426940191</v>
      </c>
      <c r="AD47" s="147" t="str">
        <f t="shared" si="95"/>
        <v>n/a</v>
      </c>
      <c r="AE47" s="158">
        <f t="shared" si="96"/>
        <v>0.23419306928286332</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160"/>
      <c r="AA48" s="147"/>
      <c r="AB48" s="147"/>
      <c r="AC48" s="147"/>
      <c r="AD48" s="147"/>
      <c r="AE48" s="158"/>
      <c r="AF48" s="155"/>
      <c r="AG48" s="90"/>
      <c r="AH48" s="90"/>
      <c r="AI48" s="90"/>
      <c r="AJ48" s="44"/>
      <c r="AK48" s="79"/>
      <c r="AM48" s="122"/>
    </row>
    <row r="49" spans="3:39" s="123" customFormat="1" ht="11.25">
      <c r="C49" s="33"/>
      <c r="D49" s="26" t="s">
        <v>5</v>
      </c>
      <c r="E49" s="32"/>
      <c r="F49" s="74">
        <f>F25</f>
        <v>6</v>
      </c>
      <c r="G49" s="74">
        <f t="shared" ref="G49:L50" si="97">G25</f>
        <v>2</v>
      </c>
      <c r="H49" s="74">
        <f t="shared" si="97"/>
        <v>4</v>
      </c>
      <c r="I49" s="74">
        <f t="shared" si="97"/>
        <v>1</v>
      </c>
      <c r="J49" s="74">
        <f t="shared" si="97"/>
        <v>0</v>
      </c>
      <c r="K49" s="74">
        <f t="shared" si="97"/>
        <v>0</v>
      </c>
      <c r="L49" s="74">
        <f t="shared" si="97"/>
        <v>1</v>
      </c>
      <c r="M49" s="64">
        <f t="shared" ref="M49:M52" si="98">IFERROR(F49/G49-1,"n/a")</f>
        <v>2</v>
      </c>
      <c r="N49" s="64">
        <f t="shared" ref="N49:N52" si="99">IFERROR(F49/H49-1,"n/a")</f>
        <v>0.5</v>
      </c>
      <c r="O49" s="64">
        <f t="shared" ref="O49:O52" si="100">IFERROR(F49/I49-1,"n/a")</f>
        <v>5</v>
      </c>
      <c r="P49" s="64" t="str">
        <f t="shared" ref="P49:P52" si="101">IFERROR(F49/J49-1,"n/a")</f>
        <v>n/a</v>
      </c>
      <c r="Q49" s="64" t="str">
        <f t="shared" ref="Q49:Q52" si="102">IFERROR(F49/K49-1,"n/a")</f>
        <v>n/a</v>
      </c>
      <c r="R49" s="60">
        <f t="shared" ref="R49:R52" si="103">IFERROR(F49/L49-1,"n/a")</f>
        <v>5</v>
      </c>
      <c r="S49" s="74">
        <f>'Aug-25'!S49+F49</f>
        <v>19</v>
      </c>
      <c r="T49" s="74">
        <f>'Aug-25'!T49+G49</f>
        <v>12</v>
      </c>
      <c r="U49" s="74">
        <f>'Aug-25'!U49+H49</f>
        <v>19</v>
      </c>
      <c r="V49" s="74">
        <f>'Aug-25'!V49+I49</f>
        <v>8</v>
      </c>
      <c r="W49" s="74">
        <f>'Aug-25'!W49+J49</f>
        <v>0</v>
      </c>
      <c r="X49" s="74">
        <f>'Aug-25'!X49+K49</f>
        <v>0</v>
      </c>
      <c r="Y49" s="74">
        <f>'Aug-25'!Y49+L49</f>
        <v>13</v>
      </c>
      <c r="Z49" s="147">
        <f t="shared" ref="Z49:Z52" si="104">IFERROR(S49/T49-1,"n/a")</f>
        <v>0.58333333333333326</v>
      </c>
      <c r="AA49" s="147">
        <f t="shared" ref="AA49:AA50" si="105">IFERROR(S49/U49-1,"n/a")</f>
        <v>0</v>
      </c>
      <c r="AB49" s="147">
        <f t="shared" ref="AB49:AB52" si="106">IFERROR(S49/V49-1,"n/a")</f>
        <v>1.375</v>
      </c>
      <c r="AC49" s="147" t="str">
        <f t="shared" ref="AC49:AC52" si="107">IFERROR(S49/W49-1,"n/a")</f>
        <v>n/a</v>
      </c>
      <c r="AD49" s="147" t="str">
        <f t="shared" ref="AD49:AD52" si="108">IFERROR(S49/X49-1,"n/a")</f>
        <v>n/a</v>
      </c>
      <c r="AE49" s="158">
        <f t="shared" ref="AE49:AE52" si="109">IFERROR(S49/Y49-1,"n/a")</f>
        <v>0.46153846153846145</v>
      </c>
      <c r="AF49" s="154">
        <v>14</v>
      </c>
      <c r="AG49" s="89">
        <v>21</v>
      </c>
      <c r="AH49" s="89">
        <v>9</v>
      </c>
      <c r="AI49" s="68">
        <v>0</v>
      </c>
      <c r="AJ49" s="68">
        <v>0</v>
      </c>
      <c r="AK49" s="78">
        <v>16</v>
      </c>
      <c r="AM49" s="122"/>
    </row>
    <row r="50" spans="3:39" s="123" customFormat="1" ht="11.25">
      <c r="C50" s="33"/>
      <c r="D50" s="26" t="s">
        <v>11</v>
      </c>
      <c r="E50" s="32"/>
      <c r="F50" s="74">
        <f>F26</f>
        <v>13477</v>
      </c>
      <c r="G50" s="74">
        <f t="shared" si="97"/>
        <v>5957</v>
      </c>
      <c r="H50" s="74">
        <f t="shared" si="97"/>
        <v>7920</v>
      </c>
      <c r="I50" s="74">
        <f t="shared" si="97"/>
        <v>2266</v>
      </c>
      <c r="J50" s="74">
        <f t="shared" si="97"/>
        <v>0</v>
      </c>
      <c r="K50" s="74">
        <f t="shared" si="97"/>
        <v>0</v>
      </c>
      <c r="L50" s="74">
        <f t="shared" si="97"/>
        <v>1243</v>
      </c>
      <c r="M50" s="64">
        <f t="shared" si="98"/>
        <v>1.2623803928151753</v>
      </c>
      <c r="N50" s="64">
        <f t="shared" si="99"/>
        <v>0.70164141414141423</v>
      </c>
      <c r="O50" s="64">
        <f t="shared" si="100"/>
        <v>4.9474845542806705</v>
      </c>
      <c r="P50" s="64" t="str">
        <f t="shared" si="101"/>
        <v>n/a</v>
      </c>
      <c r="Q50" s="64" t="str">
        <f t="shared" si="102"/>
        <v>n/a</v>
      </c>
      <c r="R50" s="60">
        <f t="shared" si="103"/>
        <v>9.8423169750603385</v>
      </c>
      <c r="S50" s="74">
        <f>'Aug-25'!S50+F50</f>
        <v>61267</v>
      </c>
      <c r="T50" s="74">
        <f>'Aug-25'!T50+G50</f>
        <v>44298</v>
      </c>
      <c r="U50" s="74">
        <f>'Aug-25'!U50+H50</f>
        <v>34314</v>
      </c>
      <c r="V50" s="74">
        <f>'Aug-25'!V50+I50</f>
        <v>13279</v>
      </c>
      <c r="W50" s="74">
        <f>'Aug-25'!W50+J50</f>
        <v>0</v>
      </c>
      <c r="X50" s="74">
        <f>'Aug-25'!X50+K50</f>
        <v>0</v>
      </c>
      <c r="Y50" s="74">
        <f>'Aug-25'!Y50+L50</f>
        <v>16291</v>
      </c>
      <c r="Z50" s="147">
        <f t="shared" si="104"/>
        <v>0.38306469818050481</v>
      </c>
      <c r="AA50" s="147">
        <f t="shared" si="105"/>
        <v>0.78548114472227071</v>
      </c>
      <c r="AB50" s="147">
        <f t="shared" si="106"/>
        <v>3.6138263423450558</v>
      </c>
      <c r="AC50" s="147" t="str">
        <f t="shared" si="107"/>
        <v>n/a</v>
      </c>
      <c r="AD50" s="147" t="str">
        <f t="shared" si="108"/>
        <v>n/a</v>
      </c>
      <c r="AE50" s="158">
        <f t="shared" si="109"/>
        <v>2.7607881652446138</v>
      </c>
      <c r="AF50" s="154">
        <v>47798</v>
      </c>
      <c r="AG50" s="82">
        <v>38626</v>
      </c>
      <c r="AH50" s="82">
        <v>15637</v>
      </c>
      <c r="AI50" s="68">
        <v>0</v>
      </c>
      <c r="AJ50" s="68">
        <v>0</v>
      </c>
      <c r="AK50" s="78">
        <v>20248</v>
      </c>
      <c r="AM50" s="122"/>
    </row>
    <row r="51" spans="3:39" s="123" customFormat="1" ht="12" thickBot="1">
      <c r="C51" s="35" t="s">
        <v>12</v>
      </c>
      <c r="D51" s="36"/>
      <c r="E51" s="37"/>
      <c r="F51" s="75">
        <f t="shared" ref="F51:L52" si="110">F37+F40+F43+F46+F49</f>
        <v>504</v>
      </c>
      <c r="G51" s="75">
        <f t="shared" si="110"/>
        <v>489</v>
      </c>
      <c r="H51" s="75">
        <f t="shared" si="110"/>
        <v>389</v>
      </c>
      <c r="I51" s="75">
        <f t="shared" si="110"/>
        <v>334</v>
      </c>
      <c r="J51" s="75">
        <f t="shared" si="110"/>
        <v>147</v>
      </c>
      <c r="K51" s="75">
        <f t="shared" si="110"/>
        <v>10</v>
      </c>
      <c r="L51" s="75">
        <f t="shared" si="110"/>
        <v>268</v>
      </c>
      <c r="M51" s="66">
        <f t="shared" si="98"/>
        <v>3.0674846625766916E-2</v>
      </c>
      <c r="N51" s="66">
        <f t="shared" si="99"/>
        <v>0.29562982005141381</v>
      </c>
      <c r="O51" s="66">
        <f t="shared" si="100"/>
        <v>0.50898203592814362</v>
      </c>
      <c r="P51" s="66">
        <f t="shared" si="101"/>
        <v>2.4285714285714284</v>
      </c>
      <c r="Q51" s="66">
        <f t="shared" si="102"/>
        <v>49.4</v>
      </c>
      <c r="R51" s="66">
        <f t="shared" si="103"/>
        <v>0.88059701492537323</v>
      </c>
      <c r="S51" s="75">
        <f>S37+S40+S43+S46+S49</f>
        <v>3117</v>
      </c>
      <c r="T51" s="75">
        <f>T37+T40+T43+T46+T49</f>
        <v>2817</v>
      </c>
      <c r="U51" s="75">
        <f>U37+U40+U43+U46+U49</f>
        <v>2253</v>
      </c>
      <c r="V51" s="75">
        <f t="shared" ref="U51:Y52" si="111">V37+V40+V43+V46+V49</f>
        <v>1962</v>
      </c>
      <c r="W51" s="75">
        <f t="shared" si="111"/>
        <v>363</v>
      </c>
      <c r="X51" s="75">
        <f t="shared" si="111"/>
        <v>58</v>
      </c>
      <c r="Y51" s="75">
        <f t="shared" si="111"/>
        <v>1700</v>
      </c>
      <c r="Z51" s="66">
        <f t="shared" si="104"/>
        <v>0.10649627263045791</v>
      </c>
      <c r="AA51" s="66">
        <f>IFERROR(S51/U51-1,"n/a")</f>
        <v>0.38348868175765638</v>
      </c>
      <c r="AB51" s="66">
        <f t="shared" si="106"/>
        <v>0.58868501529051986</v>
      </c>
      <c r="AC51" s="66">
        <f t="shared" si="107"/>
        <v>7.5867768595041323</v>
      </c>
      <c r="AD51" s="66">
        <f t="shared" si="108"/>
        <v>52.741379310344826</v>
      </c>
      <c r="AE51" s="66">
        <f t="shared" si="109"/>
        <v>0.83352941176470585</v>
      </c>
      <c r="AF51" s="46">
        <f t="shared" ref="AF51:AJ52" si="112">AF37+AF40+AF43+AF46+AF49</f>
        <v>6221</v>
      </c>
      <c r="AG51" s="46">
        <f t="shared" si="112"/>
        <v>4589</v>
      </c>
      <c r="AH51" s="46">
        <f t="shared" si="112"/>
        <v>3856</v>
      </c>
      <c r="AI51" s="46">
        <f t="shared" si="112"/>
        <v>1673</v>
      </c>
      <c r="AJ51" s="46">
        <f t="shared" si="112"/>
        <v>669</v>
      </c>
      <c r="AK51" s="80">
        <f>AK37+AK40+AK43+AK46+AK49</f>
        <v>3241</v>
      </c>
      <c r="AM51" s="122"/>
    </row>
    <row r="52" spans="3:39" s="123" customFormat="1" ht="12.75" thickTop="1" thickBot="1">
      <c r="C52" s="38" t="s">
        <v>13</v>
      </c>
      <c r="D52" s="39"/>
      <c r="E52" s="40"/>
      <c r="F52" s="76">
        <f t="shared" si="110"/>
        <v>1401358</v>
      </c>
      <c r="G52" s="76">
        <f t="shared" si="110"/>
        <v>1455220</v>
      </c>
      <c r="H52" s="76">
        <f t="shared" si="110"/>
        <v>1100804</v>
      </c>
      <c r="I52" s="76">
        <f t="shared" si="110"/>
        <v>838052</v>
      </c>
      <c r="J52" s="76">
        <f t="shared" si="110"/>
        <v>240604</v>
      </c>
      <c r="K52" s="76">
        <f t="shared" si="110"/>
        <v>6072</v>
      </c>
      <c r="L52" s="76">
        <f t="shared" si="110"/>
        <v>785421</v>
      </c>
      <c r="M52" s="67">
        <f t="shared" si="98"/>
        <v>-3.7012960239688808E-2</v>
      </c>
      <c r="N52" s="67">
        <f t="shared" si="99"/>
        <v>0.27303134799655515</v>
      </c>
      <c r="O52" s="67">
        <f t="shared" si="100"/>
        <v>0.67216115467775261</v>
      </c>
      <c r="P52" s="67">
        <f t="shared" si="101"/>
        <v>4.8243337600372396</v>
      </c>
      <c r="Q52" s="67">
        <f t="shared" si="102"/>
        <v>229.79018445322794</v>
      </c>
      <c r="R52" s="67">
        <f t="shared" si="103"/>
        <v>0.78421254333663093</v>
      </c>
      <c r="S52" s="76">
        <f t="shared" ref="S52:T52" si="113">S38+S41+S44+S47+S50</f>
        <v>9043253</v>
      </c>
      <c r="T52" s="76">
        <f t="shared" si="113"/>
        <v>8761679.4000000004</v>
      </c>
      <c r="U52" s="76">
        <f t="shared" si="111"/>
        <v>6743493</v>
      </c>
      <c r="V52" s="76">
        <f t="shared" si="111"/>
        <v>4349299</v>
      </c>
      <c r="W52" s="76">
        <f t="shared" si="111"/>
        <v>558508</v>
      </c>
      <c r="X52" s="76">
        <f t="shared" si="111"/>
        <v>16907</v>
      </c>
      <c r="Y52" s="76">
        <f t="shared" si="111"/>
        <v>5036943</v>
      </c>
      <c r="Z52" s="67">
        <f t="shared" si="104"/>
        <v>3.2136943974462095E-2</v>
      </c>
      <c r="AA52" s="67">
        <f>IFERROR(S52/U52-1,"n/a")</f>
        <v>0.34103394190518177</v>
      </c>
      <c r="AB52" s="67">
        <f t="shared" si="106"/>
        <v>1.0792438045763237</v>
      </c>
      <c r="AC52" s="67">
        <f t="shared" si="107"/>
        <v>15.191805667958203</v>
      </c>
      <c r="AD52" s="67">
        <f t="shared" si="108"/>
        <v>533.88217897912102</v>
      </c>
      <c r="AE52" s="67">
        <f t="shared" si="109"/>
        <v>0.79538521678724572</v>
      </c>
      <c r="AF52" s="47">
        <f t="shared" si="112"/>
        <v>17650949.399999999</v>
      </c>
      <c r="AG52" s="47">
        <f t="shared" si="112"/>
        <v>13408675</v>
      </c>
      <c r="AH52" s="47">
        <f t="shared" si="112"/>
        <v>9237323</v>
      </c>
      <c r="AI52" s="47">
        <f t="shared" si="112"/>
        <v>2410085</v>
      </c>
      <c r="AJ52" s="47">
        <f t="shared" si="112"/>
        <v>1324261</v>
      </c>
      <c r="AK52" s="81">
        <f>AK38+AK41+AK44+AK47+AK50</f>
        <v>8638971</v>
      </c>
      <c r="AM52" s="122"/>
    </row>
    <row r="53" spans="3:39" s="123" customFormat="1" ht="12" thickTop="1">
      <c r="S53" s="128">
        <f>S51-F51-'Aug-25'!S51</f>
        <v>0</v>
      </c>
      <c r="T53" s="128">
        <f>T51-G51-'Aug-25'!T51</f>
        <v>0</v>
      </c>
      <c r="U53" s="128">
        <f>U51-H51-'Aug-25'!U51</f>
        <v>0</v>
      </c>
      <c r="V53" s="128">
        <f>V51-I51-'Aug-25'!V51</f>
        <v>0</v>
      </c>
      <c r="W53" s="128">
        <f>W51-J51-'Aug-25'!W51</f>
        <v>0</v>
      </c>
      <c r="X53" s="128">
        <f>X51-K51-'Aug-25'!X51</f>
        <v>0</v>
      </c>
      <c r="Y53" s="128">
        <f>Y51-L51-'Aug-25'!Y51</f>
        <v>0</v>
      </c>
      <c r="AM53" s="122"/>
    </row>
    <row r="54" spans="3:39" s="123" customFormat="1" ht="11.25">
      <c r="F54" s="131"/>
      <c r="S54" s="128">
        <f>S52-F52-'Aug-25'!S52+4613</f>
        <v>0</v>
      </c>
      <c r="T54" s="128">
        <f>T52-G52-'Aug-25'!T52</f>
        <v>0</v>
      </c>
      <c r="U54" s="128">
        <f>U52-H52-'Aug-25'!U52</f>
        <v>0</v>
      </c>
      <c r="V54" s="128">
        <f>V52-I52-'Aug-25'!V52</f>
        <v>0</v>
      </c>
      <c r="W54" s="128">
        <f>W52-J52-'Aug-25'!W52</f>
        <v>0</v>
      </c>
      <c r="X54" s="128">
        <f>X52-K52-'Aug-25'!X52</f>
        <v>0</v>
      </c>
      <c r="Y54" s="128">
        <f>Y52-L52-'Aug-25'!Y52</f>
        <v>0</v>
      </c>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82D1-C986-4390-ADE0-36095A0392BD}">
  <dimension ref="A1:AM66"/>
  <sheetViews>
    <sheetView showGridLines="0" topLeftCell="M26" zoomScale="85" zoomScaleNormal="85" workbookViewId="0">
      <selection activeCell="Y37" sqref="Y3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9.14062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Occupancy_2026!AY3</f>
        <v>46154</v>
      </c>
      <c r="AL3" s="25"/>
      <c r="AM3" s="9"/>
    </row>
    <row r="4" spans="1:39" ht="15.75">
      <c r="A4" s="9"/>
      <c r="B4" s="11" t="s">
        <v>7</v>
      </c>
      <c r="C4" s="26"/>
      <c r="D4" s="93" t="s">
        <v>69</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August</v>
      </c>
      <c r="G9" s="167"/>
      <c r="H9" s="167"/>
      <c r="I9" s="167"/>
      <c r="J9" s="167"/>
      <c r="K9" s="167"/>
      <c r="L9" s="167"/>
      <c r="M9" s="167"/>
      <c r="N9" s="167"/>
      <c r="O9" s="167"/>
      <c r="P9" s="167"/>
      <c r="Q9" s="167"/>
      <c r="R9" s="168"/>
      <c r="S9" s="169" t="str">
        <f xml:space="preserve"> "January to "&amp; F9</f>
        <v>January to August</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131</v>
      </c>
      <c r="G13" s="71">
        <v>142</v>
      </c>
      <c r="H13" s="73">
        <v>99</v>
      </c>
      <c r="I13" s="71">
        <v>81</v>
      </c>
      <c r="J13" s="71">
        <v>51</v>
      </c>
      <c r="K13" s="71">
        <v>0</v>
      </c>
      <c r="L13" s="71">
        <v>97</v>
      </c>
      <c r="M13" s="64">
        <f>IFERROR(F13/G13-1,"n/a")</f>
        <v>-7.7464788732394374E-2</v>
      </c>
      <c r="N13" s="64">
        <f>IFERROR(F13/H13-1,"n/a")</f>
        <v>0.32323232323232332</v>
      </c>
      <c r="O13" s="64">
        <f>IFERROR(F13/I13-1,"n/a")</f>
        <v>0.61728395061728403</v>
      </c>
      <c r="P13" s="64">
        <f>IFERROR(F13/J13-1,"n/a")</f>
        <v>1.5686274509803924</v>
      </c>
      <c r="Q13" s="64" t="str">
        <f>IFERROR(F13/K13-1,"n/a")</f>
        <v>n/a</v>
      </c>
      <c r="R13" s="60">
        <f>IFERROR(F13/L13-1,"n/a")</f>
        <v>0.35051546391752586</v>
      </c>
      <c r="S13" s="68">
        <f>'Jul-25'!S13+F13-3</f>
        <v>1950</v>
      </c>
      <c r="T13" s="68">
        <f>'Jul-25'!T13+G13</f>
        <v>1516</v>
      </c>
      <c r="U13" s="68">
        <f>'Jul-25'!U13+H13</f>
        <v>1057</v>
      </c>
      <c r="V13" s="68">
        <f>'Jul-25'!V13+I13</f>
        <v>991</v>
      </c>
      <c r="W13" s="68">
        <f>'Jul-25'!W13+J13</f>
        <v>79</v>
      </c>
      <c r="X13" s="68">
        <f>'Jul-25'!X13+K13</f>
        <v>551</v>
      </c>
      <c r="Y13" s="68">
        <f>'Jul-25'!Y13+L13</f>
        <v>1023</v>
      </c>
      <c r="Z13" s="64">
        <f>IFERROR(S13/T13-1,"n/a")</f>
        <v>0.28627968337730869</v>
      </c>
      <c r="AA13" s="64">
        <f>IFERROR(S13/U13-1,"n/a")</f>
        <v>0.84484389782403024</v>
      </c>
      <c r="AB13" s="64">
        <f>IFERROR(S13/V13-1,"n/a")</f>
        <v>0.96770938446014121</v>
      </c>
      <c r="AC13" s="64">
        <f>IFERROR(S13/W13-1,"n/a")</f>
        <v>23.683544303797468</v>
      </c>
      <c r="AD13" s="64">
        <f>IFERROR(S13/X13-1,"n/a")</f>
        <v>2.5390199637023594</v>
      </c>
      <c r="AE13" s="60">
        <f>IFERROR(S13/Y13-1,"n/a")</f>
        <v>0.90615835777126108</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528474</v>
      </c>
      <c r="G14" s="71">
        <v>563849</v>
      </c>
      <c r="H14" s="73">
        <v>375428</v>
      </c>
      <c r="I14" s="71">
        <v>278520</v>
      </c>
      <c r="J14" s="71">
        <v>66591</v>
      </c>
      <c r="K14" s="71">
        <v>0</v>
      </c>
      <c r="L14" s="71">
        <v>325246</v>
      </c>
      <c r="M14" s="64">
        <f>IFERROR(F14/G14-1,"n/a")</f>
        <v>-6.2738428196201457E-2</v>
      </c>
      <c r="N14" s="64">
        <f>IFERROR(F14/H14-1,"n/a")</f>
        <v>0.40765739369466325</v>
      </c>
      <c r="O14" s="64">
        <f>IFERROR(F14/I14-1,"n/a")</f>
        <v>0.89743644980611803</v>
      </c>
      <c r="P14" s="64">
        <f>IFERROR(F14/J14-1,"n/a")</f>
        <v>6.9361174933549581</v>
      </c>
      <c r="Q14" s="64" t="str">
        <f>IFERROR(F14/K14-1,"n/a")</f>
        <v>n/a</v>
      </c>
      <c r="R14" s="60">
        <f>IFERROR(F14/L14-1,"n/a")</f>
        <v>0.62484396426089783</v>
      </c>
      <c r="S14" s="68">
        <f>'Jul-25'!S14+F14-3469</f>
        <v>6094367</v>
      </c>
      <c r="T14" s="68">
        <f>'Jul-25'!T14+G14</f>
        <v>5158028</v>
      </c>
      <c r="U14" s="68">
        <f>'Jul-25'!U14+H14</f>
        <v>3472894</v>
      </c>
      <c r="V14" s="68">
        <f>'Jul-25'!V14+I14</f>
        <v>2114731</v>
      </c>
      <c r="W14" s="68">
        <f>'Jul-25'!W14+J14</f>
        <v>97505</v>
      </c>
      <c r="X14" s="68">
        <f>'Jul-25'!X14+K14</f>
        <v>1092884</v>
      </c>
      <c r="Y14" s="68">
        <f>'Jul-25'!Y14+L14</f>
        <v>3108965</v>
      </c>
      <c r="Z14" s="64">
        <f>IFERROR(S14/T14-1,"n/a")</f>
        <v>0.18153042209154346</v>
      </c>
      <c r="AA14" s="64">
        <f>IFERROR(S14/U14-1,"n/a")</f>
        <v>0.75483818394687541</v>
      </c>
      <c r="AB14" s="64">
        <f>IFERROR(S14/V14-1,"n/a")</f>
        <v>1.8818639344673151</v>
      </c>
      <c r="AC14" s="64">
        <f>IFERROR(S14/W14-1,"n/a")</f>
        <v>61.503122916773499</v>
      </c>
      <c r="AD14" s="64">
        <f>IFERROR(S14/X14-1,"n/a")</f>
        <v>4.5764079261842978</v>
      </c>
      <c r="AE14" s="60">
        <f>IFERROR(S14/Y14-1,"n/a")</f>
        <v>0.96025590510025038</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137</v>
      </c>
      <c r="G16" s="71">
        <v>103</v>
      </c>
      <c r="H16" s="74">
        <v>71</v>
      </c>
      <c r="I16" s="71">
        <v>63</v>
      </c>
      <c r="J16" s="71">
        <v>29</v>
      </c>
      <c r="K16" s="71">
        <v>2</v>
      </c>
      <c r="L16" s="71">
        <v>58</v>
      </c>
      <c r="M16" s="64">
        <f t="shared" ref="M16:M17" si="0">IFERROR(F16/G16-1,"n/a")</f>
        <v>0.33009708737864085</v>
      </c>
      <c r="N16" s="64">
        <f t="shared" ref="N16:N17" si="1">IFERROR(F16/H16-1,"n/a")</f>
        <v>0.92957746478873249</v>
      </c>
      <c r="O16" s="64">
        <f t="shared" ref="O16:O17" si="2">IFERROR(F16/I16-1,"n/a")</f>
        <v>1.1746031746031744</v>
      </c>
      <c r="P16" s="64">
        <f t="shared" ref="P16:P17" si="3">IFERROR(F16/J16-1,"n/a")</f>
        <v>3.7241379310344831</v>
      </c>
      <c r="Q16" s="64">
        <f t="shared" ref="Q16:Q17" si="4">IFERROR(F16/K16-1,"n/a")</f>
        <v>67.5</v>
      </c>
      <c r="R16" s="60">
        <f t="shared" ref="R16:R17" si="5">IFERROR(F16/L16-1,"n/a")</f>
        <v>1.3620689655172415</v>
      </c>
      <c r="S16" s="68">
        <f>'Jul-25'!S16+F16-1</f>
        <v>667</v>
      </c>
      <c r="T16" s="68">
        <f>'Jul-25'!T16+G16</f>
        <v>494</v>
      </c>
      <c r="U16" s="68">
        <f>'Jul-25'!U16+H16</f>
        <v>358</v>
      </c>
      <c r="V16" s="68">
        <f>'Jul-25'!V16+I16</f>
        <v>377</v>
      </c>
      <c r="W16" s="68">
        <f>'Jul-25'!W16+J16</f>
        <v>102</v>
      </c>
      <c r="X16" s="68">
        <f>'Jul-25'!X16+K16</f>
        <v>12</v>
      </c>
      <c r="Y16" s="68">
        <f>'Jul-25'!Y16+L16</f>
        <v>333</v>
      </c>
      <c r="Z16" s="64">
        <f t="shared" ref="Z16:Z17" si="6">IFERROR(S16/T16-1,"n/a")</f>
        <v>0.3502024291497976</v>
      </c>
      <c r="AA16" s="64">
        <f t="shared" ref="AA16:AA17" si="7">IFERROR(S16/U16-1,"n/a")</f>
        <v>0.86312849162011163</v>
      </c>
      <c r="AB16" s="64">
        <f t="shared" ref="AB16:AB17" si="8">IFERROR(S16/V16-1,"n/a")</f>
        <v>0.76923076923076916</v>
      </c>
      <c r="AC16" s="64">
        <f t="shared" ref="AC16:AC17" si="9">IFERROR(S16/W16-1,"n/a")</f>
        <v>5.5392156862745097</v>
      </c>
      <c r="AD16" s="64">
        <f t="shared" ref="AD16:AD17" si="10">IFERROR(S16/X16-1,"n/a")</f>
        <v>54.583333333333336</v>
      </c>
      <c r="AE16" s="60">
        <f t="shared" ref="AE16:AE17" si="11">IFERROR(S16/Y16-1,"n/a")</f>
        <v>1.0030030030030028</v>
      </c>
      <c r="AF16" s="68">
        <v>797</v>
      </c>
      <c r="AG16" s="68">
        <v>575</v>
      </c>
      <c r="AH16" s="68">
        <v>572</v>
      </c>
      <c r="AI16" s="68">
        <v>202</v>
      </c>
      <c r="AJ16" s="68">
        <v>54</v>
      </c>
      <c r="AK16" s="134">
        <v>586</v>
      </c>
      <c r="AL16" s="122"/>
      <c r="AM16" s="122"/>
    </row>
    <row r="17" spans="1:39" s="123" customFormat="1" ht="12.75">
      <c r="A17" s="122"/>
      <c r="B17" s="127"/>
      <c r="C17" s="33"/>
      <c r="D17" s="26" t="s">
        <v>11</v>
      </c>
      <c r="E17" s="32"/>
      <c r="F17" s="71">
        <v>380168</v>
      </c>
      <c r="G17" s="71">
        <v>316065</v>
      </c>
      <c r="H17" s="74">
        <v>262517</v>
      </c>
      <c r="I17" s="71">
        <v>183659</v>
      </c>
      <c r="J17" s="71">
        <v>48391</v>
      </c>
      <c r="K17" s="71">
        <v>2541</v>
      </c>
      <c r="L17" s="71">
        <v>180130</v>
      </c>
      <c r="M17" s="64">
        <f t="shared" si="0"/>
        <v>0.20281587648110366</v>
      </c>
      <c r="N17" s="64">
        <f t="shared" si="1"/>
        <v>0.4481652616782914</v>
      </c>
      <c r="O17" s="64">
        <f t="shared" si="2"/>
        <v>1.0699666229261839</v>
      </c>
      <c r="P17" s="64">
        <f t="shared" si="3"/>
        <v>6.8561716021574259</v>
      </c>
      <c r="Q17" s="64">
        <f t="shared" si="4"/>
        <v>148.61353797717433</v>
      </c>
      <c r="R17" s="60">
        <f t="shared" si="5"/>
        <v>1.1105201798700937</v>
      </c>
      <c r="S17" s="68">
        <f>'Jul-25'!S17+F17-5875</f>
        <v>1695005</v>
      </c>
      <c r="T17" s="68">
        <f>'Jul-25'!T17+G17</f>
        <v>1376921</v>
      </c>
      <c r="U17" s="68">
        <f>'Jul-25'!U17+H17</f>
        <v>1110652</v>
      </c>
      <c r="V17" s="68">
        <f>'Jul-25'!V17+I17</f>
        <v>621851</v>
      </c>
      <c r="W17" s="68">
        <f>'Jul-25'!W17+J17</f>
        <v>151020</v>
      </c>
      <c r="X17" s="68">
        <f>'Jul-25'!X17+K17</f>
        <v>43654</v>
      </c>
      <c r="Y17" s="68">
        <f>'Jul-25'!Y17+L17</f>
        <v>912754</v>
      </c>
      <c r="Z17" s="64">
        <f t="shared" si="6"/>
        <v>0.23101107470944227</v>
      </c>
      <c r="AA17" s="64">
        <f t="shared" si="7"/>
        <v>0.52613509902291633</v>
      </c>
      <c r="AB17" s="64">
        <f t="shared" si="8"/>
        <v>1.7257413753455411</v>
      </c>
      <c r="AC17" s="64">
        <f t="shared" si="9"/>
        <v>10.223712091113759</v>
      </c>
      <c r="AD17" s="64">
        <f t="shared" si="10"/>
        <v>37.828171530673018</v>
      </c>
      <c r="AE17" s="60">
        <f t="shared" si="11"/>
        <v>0.85702281228019817</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125</v>
      </c>
      <c r="G19" s="71">
        <v>102</v>
      </c>
      <c r="H19" s="73">
        <v>95</v>
      </c>
      <c r="I19" s="71">
        <v>104</v>
      </c>
      <c r="J19" s="71">
        <v>3</v>
      </c>
      <c r="K19" s="71">
        <v>2</v>
      </c>
      <c r="L19" s="71">
        <v>43</v>
      </c>
      <c r="M19" s="64">
        <f t="shared" ref="M19:M20" si="12">IFERROR(F19/G19-1,"n/a")</f>
        <v>0.22549019607843146</v>
      </c>
      <c r="N19" s="64">
        <f t="shared" ref="N19:N20" si="13">IFERROR(F19/H19-1,"n/a")</f>
        <v>0.31578947368421062</v>
      </c>
      <c r="O19" s="64">
        <f t="shared" ref="O19:O20" si="14">IFERROR(F19/I19-1,"n/a")</f>
        <v>0.20192307692307687</v>
      </c>
      <c r="P19" s="64">
        <f t="shared" ref="P19:P20" si="15">IFERROR(F19/J19-1,"n/a")</f>
        <v>40.666666666666664</v>
      </c>
      <c r="Q19" s="64">
        <f t="shared" ref="Q19:Q20" si="16">IFERROR(F19/K19-1,"n/a")</f>
        <v>61.5</v>
      </c>
      <c r="R19" s="60">
        <f t="shared" ref="R19:R20" si="17">IFERROR(F19/L19-1,"n/a")</f>
        <v>1.9069767441860463</v>
      </c>
      <c r="S19" s="68">
        <f>'Jul-25'!S19+F19</f>
        <v>556</v>
      </c>
      <c r="T19" s="68">
        <f>'Jul-25'!T19+G19</f>
        <v>467</v>
      </c>
      <c r="U19" s="68">
        <f>'Jul-25'!U19+H19</f>
        <v>444</v>
      </c>
      <c r="V19" s="68">
        <f>'Jul-25'!V19+I19</f>
        <v>421</v>
      </c>
      <c r="W19" s="68">
        <f>'Jul-25'!W19+J19</f>
        <v>9</v>
      </c>
      <c r="X19" s="68">
        <f>'Jul-25'!X19+K19</f>
        <v>7</v>
      </c>
      <c r="Y19" s="68">
        <f>'Jul-25'!Y19+L19</f>
        <v>199</v>
      </c>
      <c r="Z19" s="64">
        <f t="shared" ref="Z19:Z20" si="18">IFERROR(S19/T19-1,"n/a")</f>
        <v>0.19057815845824422</v>
      </c>
      <c r="AA19" s="64">
        <f t="shared" ref="AA19:AA20" si="19">IFERROR(S19/U19-1,"n/a")</f>
        <v>0.25225225225225234</v>
      </c>
      <c r="AB19" s="64">
        <f t="shared" ref="AB19:AB20" si="20">IFERROR(S19/V19-1,"n/a")</f>
        <v>0.32066508313539188</v>
      </c>
      <c r="AC19" s="64">
        <f t="shared" ref="AC19:AC20" si="21">IFERROR(S19/W19-1,"n/a")</f>
        <v>60.777777777777779</v>
      </c>
      <c r="AD19" s="64">
        <f t="shared" ref="AD19:AD20" si="22">IFERROR(S19/X19-1,"n/a")</f>
        <v>78.428571428571431</v>
      </c>
      <c r="AE19" s="60">
        <f t="shared" ref="AE19:AE20" si="23">IFERROR(S19/Y19-1,"n/a")</f>
        <v>1.7939698492462313</v>
      </c>
      <c r="AF19" s="68">
        <v>733</v>
      </c>
      <c r="AG19" s="68">
        <v>708</v>
      </c>
      <c r="AH19" s="68">
        <v>658</v>
      </c>
      <c r="AI19" s="68">
        <v>47</v>
      </c>
      <c r="AJ19" s="68">
        <v>9</v>
      </c>
      <c r="AK19" s="134">
        <v>290</v>
      </c>
      <c r="AL19" s="122"/>
      <c r="AM19" s="122"/>
    </row>
    <row r="20" spans="1:39" s="123" customFormat="1" ht="12.75">
      <c r="A20" s="122"/>
      <c r="B20" s="127"/>
      <c r="C20" s="33"/>
      <c r="D20" s="26" t="s">
        <v>11</v>
      </c>
      <c r="E20" s="32"/>
      <c r="F20" s="71">
        <v>326020</v>
      </c>
      <c r="G20" s="71">
        <v>270706</v>
      </c>
      <c r="H20" s="73">
        <v>234330</v>
      </c>
      <c r="I20" s="71">
        <v>185619</v>
      </c>
      <c r="J20" s="71">
        <v>850</v>
      </c>
      <c r="K20" s="71">
        <v>0</v>
      </c>
      <c r="L20" s="71">
        <v>126823</v>
      </c>
      <c r="M20" s="64">
        <f t="shared" si="12"/>
        <v>0.20433237534446969</v>
      </c>
      <c r="N20" s="64">
        <f t="shared" si="13"/>
        <v>0.39128579353902615</v>
      </c>
      <c r="O20" s="64">
        <f t="shared" si="14"/>
        <v>0.75639347265096779</v>
      </c>
      <c r="P20" s="64">
        <f t="shared" si="15"/>
        <v>382.5529411764706</v>
      </c>
      <c r="Q20" s="64" t="str">
        <f t="shared" si="16"/>
        <v>n/a</v>
      </c>
      <c r="R20" s="60">
        <f t="shared" si="17"/>
        <v>1.5706693580817359</v>
      </c>
      <c r="S20" s="68">
        <f>'Jul-25'!S20+F20+366</f>
        <v>1180038</v>
      </c>
      <c r="T20" s="68">
        <f>'Jul-25'!T20+G20</f>
        <v>1008689.4</v>
      </c>
      <c r="U20" s="68">
        <f>'Jul-25'!U20+H20</f>
        <v>831991</v>
      </c>
      <c r="V20" s="68">
        <f>'Jul-25'!V20+I20</f>
        <v>566643</v>
      </c>
      <c r="W20" s="68">
        <f>'Jul-25'!W20+J20</f>
        <v>1318</v>
      </c>
      <c r="X20" s="68">
        <f>'Jul-25'!X20+K20</f>
        <v>10047</v>
      </c>
      <c r="Y20" s="68">
        <f>'Jul-25'!Y20+L20</f>
        <v>411209</v>
      </c>
      <c r="Z20" s="64">
        <f t="shared" si="18"/>
        <v>0.16987250981322899</v>
      </c>
      <c r="AA20" s="64">
        <f t="shared" si="19"/>
        <v>0.41833024636083804</v>
      </c>
      <c r="AB20" s="64">
        <f t="shared" si="20"/>
        <v>1.082506975291321</v>
      </c>
      <c r="AC20" s="64">
        <f t="shared" si="21"/>
        <v>894.32473444613049</v>
      </c>
      <c r="AD20" s="64">
        <f t="shared" si="22"/>
        <v>116.45177664974619</v>
      </c>
      <c r="AE20" s="60">
        <f t="shared" si="23"/>
        <v>1.8696794087678041</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82</v>
      </c>
      <c r="G22" s="71">
        <v>92</v>
      </c>
      <c r="H22" s="74">
        <v>80</v>
      </c>
      <c r="I22" s="71">
        <v>60</v>
      </c>
      <c r="J22" s="71">
        <v>24</v>
      </c>
      <c r="K22" s="71">
        <v>0</v>
      </c>
      <c r="L22" s="71">
        <v>69</v>
      </c>
      <c r="M22" s="64">
        <f t="shared" ref="M22:M23" si="24">IFERROR(F22/G22-1,"n/a")</f>
        <v>-0.10869565217391308</v>
      </c>
      <c r="N22" s="64">
        <f t="shared" ref="N22:N23" si="25">IFERROR(F22/H22-1,"n/a")</f>
        <v>2.4999999999999911E-2</v>
      </c>
      <c r="O22" s="64">
        <f t="shared" ref="O22:O23" si="26">IFERROR(F22/I22-1,"n/a")</f>
        <v>0.3666666666666667</v>
      </c>
      <c r="P22" s="64">
        <f t="shared" ref="P22:P23" si="27">IFERROR(F22/J22-1,"n/a")</f>
        <v>2.4166666666666665</v>
      </c>
      <c r="Q22" s="64" t="str">
        <f t="shared" ref="Q22:Q23" si="28">IFERROR(F22/K22-1,"n/a")</f>
        <v>n/a</v>
      </c>
      <c r="R22" s="60">
        <f t="shared" ref="R22:R23" si="29">IFERROR(F22/L22-1,"n/a")</f>
        <v>0.18840579710144922</v>
      </c>
      <c r="S22" s="68">
        <f>'Jul-25'!S22+F22+1</f>
        <v>992</v>
      </c>
      <c r="T22" s="68">
        <f>'Jul-25'!T22+G22</f>
        <v>866</v>
      </c>
      <c r="U22" s="68">
        <f>'Jul-25'!U22+H22</f>
        <v>857</v>
      </c>
      <c r="V22" s="68">
        <f>'Jul-25'!V22+I22</f>
        <v>463</v>
      </c>
      <c r="W22" s="68">
        <f>'Jul-25'!W22+J22</f>
        <v>38</v>
      </c>
      <c r="X22" s="68">
        <f>'Jul-25'!X22+K22</f>
        <v>43</v>
      </c>
      <c r="Y22" s="68">
        <f>'Jul-25'!Y22+L22</f>
        <v>499</v>
      </c>
      <c r="Z22" s="64">
        <f t="shared" ref="Z22:Z23" si="30">IFERROR(S22/T22-1,"n/a")</f>
        <v>0.1454965357967668</v>
      </c>
      <c r="AA22" s="64">
        <f t="shared" ref="AA22:AA23" si="31">IFERROR(S22/U22-1,"n/a")</f>
        <v>0.1575262543757292</v>
      </c>
      <c r="AB22" s="64">
        <f t="shared" ref="AB22:AB23" si="32">IFERROR(S22/V22-1,"n/a")</f>
        <v>1.1425485961123112</v>
      </c>
      <c r="AC22" s="64">
        <f t="shared" ref="AC22:AC23" si="33">IFERROR(S22/W22-1,"n/a")</f>
        <v>25.105263157894736</v>
      </c>
      <c r="AD22" s="64">
        <f t="shared" ref="AD22:AD23" si="34">IFERROR(S22/X22-1,"n/a")</f>
        <v>22.069767441860463</v>
      </c>
      <c r="AE22" s="60">
        <f t="shared" ref="AE22:AE23" si="35">IFERROR(S22/Y22-1,"n/a")</f>
        <v>0.9879759519038076</v>
      </c>
      <c r="AF22" s="68">
        <v>1651</v>
      </c>
      <c r="AG22" s="68">
        <v>1500</v>
      </c>
      <c r="AH22" s="68">
        <v>895</v>
      </c>
      <c r="AI22" s="68">
        <v>283</v>
      </c>
      <c r="AJ22" s="68">
        <v>43</v>
      </c>
      <c r="AK22" s="134">
        <v>827</v>
      </c>
      <c r="AL22" s="122"/>
      <c r="AM22" s="122"/>
    </row>
    <row r="23" spans="1:39" s="123" customFormat="1" ht="12.75">
      <c r="A23" s="122"/>
      <c r="B23" s="127"/>
      <c r="C23" s="33"/>
      <c r="D23" s="26" t="s">
        <v>11</v>
      </c>
      <c r="E23" s="32"/>
      <c r="F23" s="71">
        <v>327830</v>
      </c>
      <c r="G23" s="71">
        <v>415300</v>
      </c>
      <c r="H23" s="73">
        <v>371804</v>
      </c>
      <c r="I23" s="71">
        <v>239102</v>
      </c>
      <c r="J23" s="71">
        <v>49688</v>
      </c>
      <c r="K23" s="71">
        <v>0</v>
      </c>
      <c r="L23" s="71">
        <v>291759</v>
      </c>
      <c r="M23" s="64">
        <f t="shared" si="24"/>
        <v>-0.21061882976161805</v>
      </c>
      <c r="N23" s="64">
        <f t="shared" si="25"/>
        <v>-0.11827199277038436</v>
      </c>
      <c r="O23" s="64">
        <f t="shared" si="26"/>
        <v>0.37108848943128869</v>
      </c>
      <c r="P23" s="64">
        <f t="shared" si="27"/>
        <v>5.597770085332475</v>
      </c>
      <c r="Q23" s="64" t="str">
        <f t="shared" si="28"/>
        <v>n/a</v>
      </c>
      <c r="R23" s="60">
        <f t="shared" si="29"/>
        <v>0.1236328613684583</v>
      </c>
      <c r="S23" s="68">
        <f>'Jul-25'!S23+F23-3499</f>
        <v>2837008</v>
      </c>
      <c r="T23" s="68">
        <f>'Jul-25'!T23+G23</f>
        <v>2961674</v>
      </c>
      <c r="U23" s="68">
        <f>'Jul-25'!U23+H23</f>
        <v>2679117</v>
      </c>
      <c r="V23" s="68">
        <f>'Jul-25'!V23+I23</f>
        <v>1064714</v>
      </c>
      <c r="W23" s="68">
        <f>'Jul-25'!W23+J23</f>
        <v>78164</v>
      </c>
      <c r="X23" s="68">
        <f>'Jul-25'!X23+K23</f>
        <v>140552</v>
      </c>
      <c r="Y23" s="68">
        <f>'Jul-25'!Y23+L23</f>
        <v>1593408</v>
      </c>
      <c r="Z23" s="64">
        <f t="shared" si="30"/>
        <v>-4.2093086544974234E-2</v>
      </c>
      <c r="AA23" s="64">
        <f t="shared" si="31"/>
        <v>5.8933969662392505E-2</v>
      </c>
      <c r="AB23" s="64">
        <f t="shared" si="32"/>
        <v>1.664572833643589</v>
      </c>
      <c r="AC23" s="64">
        <f t="shared" si="33"/>
        <v>35.295583644644594</v>
      </c>
      <c r="AD23" s="64">
        <f t="shared" si="34"/>
        <v>19.184757242870965</v>
      </c>
      <c r="AE23" s="60">
        <f t="shared" si="35"/>
        <v>0.78046551793388752</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2</v>
      </c>
      <c r="G25" s="71">
        <v>1</v>
      </c>
      <c r="H25" s="71">
        <v>4</v>
      </c>
      <c r="I25" s="71">
        <v>2</v>
      </c>
      <c r="J25" s="71">
        <v>0</v>
      </c>
      <c r="K25" s="71">
        <v>0</v>
      </c>
      <c r="L25" s="71">
        <v>1</v>
      </c>
      <c r="M25" s="64">
        <f t="shared" ref="M25:M28" si="36">IFERROR(F25/G25-1,"n/a")</f>
        <v>1</v>
      </c>
      <c r="N25" s="64">
        <f t="shared" ref="N25:N28" si="37">IFERROR(F25/H25-1,"n/a")</f>
        <v>-0.5</v>
      </c>
      <c r="O25" s="64">
        <f t="shared" ref="O25:O28" si="38">IFERROR(F25/I25-1,"n/a")</f>
        <v>0</v>
      </c>
      <c r="P25" s="64" t="str">
        <f t="shared" ref="P25:P28" si="39">IFERROR(F25/J25-1,"n/a")</f>
        <v>n/a</v>
      </c>
      <c r="Q25" s="64" t="str">
        <f t="shared" ref="Q25:Q28" si="40">IFERROR(F25/K25-1,"n/a")</f>
        <v>n/a</v>
      </c>
      <c r="R25" s="60">
        <f t="shared" ref="R25:R28" si="41">IFERROR(F25/L25-1,"n/a")</f>
        <v>1</v>
      </c>
      <c r="S25" s="68">
        <f>'Jul-25'!S25+F25</f>
        <v>13</v>
      </c>
      <c r="T25" s="68">
        <f>'Jul-25'!T25+G25</f>
        <v>10</v>
      </c>
      <c r="U25" s="68">
        <f>'Jul-25'!U25+H25</f>
        <v>15</v>
      </c>
      <c r="V25" s="68">
        <f>'Jul-25'!V25+I25</f>
        <v>7</v>
      </c>
      <c r="W25" s="68">
        <f>'Jul-25'!W25+J25</f>
        <v>0</v>
      </c>
      <c r="X25" s="68">
        <f>'Jul-25'!X25+K25</f>
        <v>0</v>
      </c>
      <c r="Y25" s="68">
        <f>'Jul-25'!Y25+L25</f>
        <v>12</v>
      </c>
      <c r="Z25" s="64">
        <f t="shared" ref="Z25:Z28" si="42">IFERROR(S25/T25-1,"n/a")</f>
        <v>0.30000000000000004</v>
      </c>
      <c r="AA25" s="64">
        <f t="shared" ref="AA25:AA28" si="43">IFERROR(S25/U25-1,"n/a")</f>
        <v>-0.1333333333333333</v>
      </c>
      <c r="AB25" s="64">
        <f t="shared" ref="AB25:AB28" si="44">IFERROR(S25/V25-1,"n/a")</f>
        <v>0.85714285714285721</v>
      </c>
      <c r="AC25" s="64" t="str">
        <f t="shared" ref="AC25:AC28" si="45">IFERROR(S25/W25-1,"n/a")</f>
        <v>n/a</v>
      </c>
      <c r="AD25" s="64" t="str">
        <f t="shared" ref="AD25:AD28" si="46">IFERROR(S25/X25-1,"n/a")</f>
        <v>n/a</v>
      </c>
      <c r="AE25" s="60">
        <f t="shared" ref="AE25:AE28" si="47">IFERROR(S25/Y25-1,"n/a")</f>
        <v>8.3333333333333259E-2</v>
      </c>
      <c r="AF25" s="68">
        <v>14</v>
      </c>
      <c r="AG25" s="68">
        <v>21</v>
      </c>
      <c r="AH25" s="68">
        <v>9</v>
      </c>
      <c r="AI25" s="68">
        <v>0</v>
      </c>
      <c r="AJ25" s="68">
        <v>0</v>
      </c>
      <c r="AK25" s="134">
        <v>16</v>
      </c>
      <c r="AL25" s="122"/>
      <c r="AM25" s="122"/>
    </row>
    <row r="26" spans="1:39" s="123" customFormat="1" ht="12.75">
      <c r="A26" s="122"/>
      <c r="B26" s="127"/>
      <c r="C26" s="33"/>
      <c r="D26" s="26" t="s">
        <v>11</v>
      </c>
      <c r="E26" s="32"/>
      <c r="F26" s="71">
        <v>6381</v>
      </c>
      <c r="G26" s="71">
        <v>4623</v>
      </c>
      <c r="H26" s="71">
        <v>6619</v>
      </c>
      <c r="I26" s="71">
        <v>2336</v>
      </c>
      <c r="J26" s="71">
        <v>0</v>
      </c>
      <c r="K26" s="71">
        <v>0</v>
      </c>
      <c r="L26" s="71">
        <v>1298</v>
      </c>
      <c r="M26" s="64">
        <f t="shared" si="36"/>
        <v>0.38027255029201812</v>
      </c>
      <c r="N26" s="64">
        <f t="shared" si="37"/>
        <v>-3.5957093216497982E-2</v>
      </c>
      <c r="O26" s="64">
        <f t="shared" si="38"/>
        <v>1.7315924657534247</v>
      </c>
      <c r="P26" s="64" t="str">
        <f t="shared" si="39"/>
        <v>n/a</v>
      </c>
      <c r="Q26" s="64" t="str">
        <f t="shared" si="40"/>
        <v>n/a</v>
      </c>
      <c r="R26" s="60">
        <f t="shared" si="41"/>
        <v>3.9160246533127889</v>
      </c>
      <c r="S26" s="68">
        <f>'Jul-25'!S26+F26</f>
        <v>47790</v>
      </c>
      <c r="T26" s="68">
        <f>'Jul-25'!T26+G26</f>
        <v>38341</v>
      </c>
      <c r="U26" s="68">
        <f>'Jul-25'!U26+H26</f>
        <v>26394</v>
      </c>
      <c r="V26" s="68">
        <f>'Jul-25'!V26+I26</f>
        <v>11013</v>
      </c>
      <c r="W26" s="68">
        <f>'Jul-25'!W26+J26</f>
        <v>0</v>
      </c>
      <c r="X26" s="68">
        <f>'Jul-25'!X26+K26</f>
        <v>0</v>
      </c>
      <c r="Y26" s="68">
        <f>'Jul-25'!Y26+L26</f>
        <v>15048</v>
      </c>
      <c r="Z26" s="64">
        <f t="shared" si="42"/>
        <v>0.24644636290133271</v>
      </c>
      <c r="AA26" s="64">
        <f t="shared" si="43"/>
        <v>0.81063878154125946</v>
      </c>
      <c r="AB26" s="64">
        <f t="shared" si="44"/>
        <v>3.3394170525742304</v>
      </c>
      <c r="AC26" s="64" t="str">
        <f t="shared" si="45"/>
        <v>n/a</v>
      </c>
      <c r="AD26" s="64" t="str">
        <f t="shared" si="46"/>
        <v>n/a</v>
      </c>
      <c r="AE26" s="60">
        <f t="shared" si="47"/>
        <v>2.1758373205741628</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477</v>
      </c>
      <c r="G27" s="75">
        <f t="shared" si="48"/>
        <v>440</v>
      </c>
      <c r="H27" s="75">
        <f t="shared" si="48"/>
        <v>349</v>
      </c>
      <c r="I27" s="75">
        <f t="shared" si="48"/>
        <v>310</v>
      </c>
      <c r="J27" s="75">
        <f t="shared" si="48"/>
        <v>107</v>
      </c>
      <c r="K27" s="75">
        <f t="shared" si="48"/>
        <v>4</v>
      </c>
      <c r="L27" s="75">
        <f t="shared" si="48"/>
        <v>268</v>
      </c>
      <c r="M27" s="66">
        <f t="shared" si="36"/>
        <v>8.4090909090908994E-2</v>
      </c>
      <c r="N27" s="66">
        <f t="shared" si="37"/>
        <v>0.36676217765042973</v>
      </c>
      <c r="O27" s="66">
        <f t="shared" si="38"/>
        <v>0.53870967741935494</v>
      </c>
      <c r="P27" s="66">
        <f t="shared" si="39"/>
        <v>3.4579439252336446</v>
      </c>
      <c r="Q27" s="66">
        <f t="shared" si="40"/>
        <v>118.25</v>
      </c>
      <c r="R27" s="62">
        <f t="shared" si="41"/>
        <v>0.7798507462686568</v>
      </c>
      <c r="S27" s="75">
        <f t="shared" ref="S27:Y28" si="49">S13+S16+S19+S22+S25</f>
        <v>4178</v>
      </c>
      <c r="T27" s="75">
        <f t="shared" si="49"/>
        <v>3353</v>
      </c>
      <c r="U27" s="75">
        <f t="shared" si="49"/>
        <v>2731</v>
      </c>
      <c r="V27" s="75">
        <f t="shared" si="49"/>
        <v>2259</v>
      </c>
      <c r="W27" s="75">
        <f t="shared" si="49"/>
        <v>228</v>
      </c>
      <c r="X27" s="75">
        <f t="shared" si="49"/>
        <v>613</v>
      </c>
      <c r="Y27" s="75">
        <f t="shared" si="49"/>
        <v>2066</v>
      </c>
      <c r="Z27" s="66">
        <f t="shared" si="42"/>
        <v>0.24604831494184309</v>
      </c>
      <c r="AA27" s="66">
        <f t="shared" si="43"/>
        <v>0.52984254851702683</v>
      </c>
      <c r="AB27" s="66">
        <f t="shared" si="44"/>
        <v>0.8494909251881364</v>
      </c>
      <c r="AC27" s="66">
        <f t="shared" si="45"/>
        <v>17.32456140350877</v>
      </c>
      <c r="AD27" s="66">
        <f t="shared" si="46"/>
        <v>5.8156606851549757</v>
      </c>
      <c r="AE27" s="62">
        <f t="shared" si="47"/>
        <v>1.022265246853824</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1568873</v>
      </c>
      <c r="G28" s="76">
        <f t="shared" si="48"/>
        <v>1570543</v>
      </c>
      <c r="H28" s="76">
        <f t="shared" si="48"/>
        <v>1250698</v>
      </c>
      <c r="I28" s="76">
        <f t="shared" si="48"/>
        <v>889236</v>
      </c>
      <c r="J28" s="76">
        <f t="shared" si="48"/>
        <v>165520</v>
      </c>
      <c r="K28" s="76">
        <f t="shared" si="48"/>
        <v>2541</v>
      </c>
      <c r="L28" s="76">
        <f t="shared" si="48"/>
        <v>925256</v>
      </c>
      <c r="M28" s="67">
        <f t="shared" si="36"/>
        <v>-1.0633265055461916E-3</v>
      </c>
      <c r="N28" s="67">
        <f t="shared" si="37"/>
        <v>0.25439794418796535</v>
      </c>
      <c r="O28" s="67">
        <f t="shared" si="38"/>
        <v>0.76429316851769391</v>
      </c>
      <c r="P28" s="67">
        <f t="shared" si="39"/>
        <v>8.4784497341710967</v>
      </c>
      <c r="Q28" s="67">
        <f t="shared" si="40"/>
        <v>616.42345533254627</v>
      </c>
      <c r="R28" s="63">
        <f t="shared" si="41"/>
        <v>0.69560964749215359</v>
      </c>
      <c r="S28" s="76">
        <f t="shared" si="49"/>
        <v>11854208</v>
      </c>
      <c r="T28" s="76">
        <f t="shared" si="49"/>
        <v>10543653.4</v>
      </c>
      <c r="U28" s="76">
        <f t="shared" si="49"/>
        <v>8121048</v>
      </c>
      <c r="V28" s="76">
        <f t="shared" si="49"/>
        <v>4378952</v>
      </c>
      <c r="W28" s="76">
        <f t="shared" si="49"/>
        <v>328007</v>
      </c>
      <c r="X28" s="76">
        <f t="shared" si="49"/>
        <v>1287137</v>
      </c>
      <c r="Y28" s="76">
        <f t="shared" si="49"/>
        <v>6041384</v>
      </c>
      <c r="Z28" s="67">
        <f t="shared" si="42"/>
        <v>0.12429795918746711</v>
      </c>
      <c r="AA28" s="67">
        <f t="shared" si="43"/>
        <v>0.45968943909702298</v>
      </c>
      <c r="AB28" s="67">
        <f t="shared" si="44"/>
        <v>1.7070879059647148</v>
      </c>
      <c r="AC28" s="67">
        <f t="shared" si="45"/>
        <v>35.140106766014142</v>
      </c>
      <c r="AD28" s="67">
        <f t="shared" si="46"/>
        <v>8.2097484572349337</v>
      </c>
      <c r="AE28" s="63">
        <f t="shared" si="47"/>
        <v>0.96216760927628497</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c r="T30" s="128"/>
      <c r="U30" s="128"/>
      <c r="V30" s="128"/>
      <c r="W30" s="128"/>
      <c r="X30" s="128"/>
      <c r="Y30" s="128"/>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August</v>
      </c>
      <c r="G33" s="170"/>
      <c r="H33" s="170"/>
      <c r="I33" s="170"/>
      <c r="J33" s="170"/>
      <c r="K33" s="170"/>
      <c r="L33" s="170"/>
      <c r="M33" s="170"/>
      <c r="N33" s="170"/>
      <c r="O33" s="170"/>
      <c r="P33" s="170"/>
      <c r="Q33" s="170"/>
      <c r="R33" s="171"/>
      <c r="S33" s="176" t="str">
        <f>"April to "&amp;D4&amp;" (YTD)"</f>
        <v>April to August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3"/>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2">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3" t="s">
        <v>146</v>
      </c>
      <c r="AA35" s="53" t="s">
        <v>147</v>
      </c>
      <c r="AB35" s="53" t="s">
        <v>148</v>
      </c>
      <c r="AC35" s="53" t="s">
        <v>149</v>
      </c>
      <c r="AD35" s="53" t="s">
        <v>150</v>
      </c>
      <c r="AE35" s="57" t="s">
        <v>151</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131</v>
      </c>
      <c r="G37" s="74">
        <f t="shared" ref="G37:L38" si="51">G13</f>
        <v>142</v>
      </c>
      <c r="H37" s="74">
        <f t="shared" si="51"/>
        <v>99</v>
      </c>
      <c r="I37" s="74">
        <f t="shared" si="51"/>
        <v>81</v>
      </c>
      <c r="J37" s="74">
        <f t="shared" si="51"/>
        <v>51</v>
      </c>
      <c r="K37" s="74">
        <f t="shared" si="51"/>
        <v>0</v>
      </c>
      <c r="L37" s="74">
        <f t="shared" si="51"/>
        <v>97</v>
      </c>
      <c r="M37" s="64">
        <f t="shared" ref="M37:M38" si="52">IFERROR(F37/G37-1,"n/a")</f>
        <v>-7.7464788732394374E-2</v>
      </c>
      <c r="N37" s="64">
        <f t="shared" ref="N37:N38" si="53">IFERROR(F37/H37-1,"n/a")</f>
        <v>0.32323232323232332</v>
      </c>
      <c r="O37" s="64">
        <f t="shared" ref="O37:O38" si="54">IFERROR(F37/I37-1,"n/a")</f>
        <v>0.61728395061728403</v>
      </c>
      <c r="P37" s="64">
        <f t="shared" ref="P37:P38" si="55">IFERROR(F37/J37-1,"n/a")</f>
        <v>1.5686274509803924</v>
      </c>
      <c r="Q37" s="64" t="str">
        <f t="shared" ref="Q37:Q38" si="56">IFERROR(F37/K37-1,"n/a")</f>
        <v>n/a</v>
      </c>
      <c r="R37" s="60">
        <f t="shared" ref="R37:R38" si="57">IFERROR(F37/L37-1,"n/a")</f>
        <v>0.35051546391752586</v>
      </c>
      <c r="S37" s="74">
        <f>'Jul-25'!S37+F37-1</f>
        <v>859</v>
      </c>
      <c r="T37" s="74">
        <f>'Jul-25'!T37+G37</f>
        <v>814</v>
      </c>
      <c r="U37" s="74">
        <f>'Jul-25'!U37+H37</f>
        <v>527</v>
      </c>
      <c r="V37" s="74">
        <f>'Jul-25'!V37+I37</f>
        <v>461</v>
      </c>
      <c r="W37" s="74">
        <f>'Jul-25'!W37+J37</f>
        <v>79</v>
      </c>
      <c r="X37" s="74">
        <f>'Jul-25'!X37+K37</f>
        <v>42</v>
      </c>
      <c r="Y37" s="74">
        <f>'Jul-25'!Y37+L37</f>
        <v>507</v>
      </c>
      <c r="Z37" s="147">
        <f>IFERROR(S37/T37-1,"n/a")</f>
        <v>5.5282555282555323E-2</v>
      </c>
      <c r="AA37" s="147">
        <f>IFERROR(S37/U37-1,"n/a")</f>
        <v>0.6299810246679316</v>
      </c>
      <c r="AB37" s="147">
        <f>IFERROR(S37/V37-1,"n/a")</f>
        <v>0.8633405639913232</v>
      </c>
      <c r="AC37" s="147">
        <f>IFERROR(S37/W37-1,"n/a")</f>
        <v>9.8734177215189867</v>
      </c>
      <c r="AD37" s="147">
        <f>IFERROR(S37/X37-1,"n/a")</f>
        <v>19.452380952380953</v>
      </c>
      <c r="AE37" s="158">
        <f>IFERROR(S37/Y37-1,"n/a")</f>
        <v>0.6942800788954635</v>
      </c>
      <c r="AF37" s="154">
        <v>2874</v>
      </c>
      <c r="AG37" s="89">
        <v>1802</v>
      </c>
      <c r="AH37" s="89">
        <v>1486</v>
      </c>
      <c r="AI37" s="89">
        <v>1052</v>
      </c>
      <c r="AJ37" s="70">
        <v>551</v>
      </c>
      <c r="AK37" s="78">
        <v>1584</v>
      </c>
      <c r="AM37" s="122"/>
    </row>
    <row r="38" spans="1:39" s="123" customFormat="1" ht="11.25">
      <c r="A38" s="122"/>
      <c r="B38" s="122"/>
      <c r="C38" s="33"/>
      <c r="D38" s="26" t="s">
        <v>11</v>
      </c>
      <c r="E38" s="32"/>
      <c r="F38" s="74">
        <f>F14</f>
        <v>528474</v>
      </c>
      <c r="G38" s="74">
        <f t="shared" si="51"/>
        <v>563849</v>
      </c>
      <c r="H38" s="74">
        <f t="shared" si="51"/>
        <v>375428</v>
      </c>
      <c r="I38" s="74">
        <f t="shared" si="51"/>
        <v>278520</v>
      </c>
      <c r="J38" s="74">
        <f t="shared" si="51"/>
        <v>66591</v>
      </c>
      <c r="K38" s="74">
        <f t="shared" si="51"/>
        <v>0</v>
      </c>
      <c r="L38" s="74">
        <f t="shared" si="51"/>
        <v>325246</v>
      </c>
      <c r="M38" s="64">
        <f t="shared" si="52"/>
        <v>-6.2738428196201457E-2</v>
      </c>
      <c r="N38" s="64">
        <f t="shared" si="53"/>
        <v>0.40765739369466325</v>
      </c>
      <c r="O38" s="64">
        <f t="shared" si="54"/>
        <v>0.89743644980611803</v>
      </c>
      <c r="P38" s="64">
        <f t="shared" si="55"/>
        <v>6.9361174933549581</v>
      </c>
      <c r="Q38" s="64" t="str">
        <f t="shared" si="56"/>
        <v>n/a</v>
      </c>
      <c r="R38" s="60">
        <f t="shared" si="57"/>
        <v>0.62484396426089783</v>
      </c>
      <c r="S38" s="74">
        <f>'Jul-25'!S38+F38-35</f>
        <v>3172220</v>
      </c>
      <c r="T38" s="74">
        <f>'Jul-25'!T38+G38</f>
        <v>3004204</v>
      </c>
      <c r="U38" s="74">
        <f>'Jul-25'!U38+H38</f>
        <v>1934710</v>
      </c>
      <c r="V38" s="74">
        <f>'Jul-25'!V38+I38</f>
        <v>1355073</v>
      </c>
      <c r="W38" s="74">
        <f>'Jul-25'!W38+J38</f>
        <v>97505</v>
      </c>
      <c r="X38" s="74">
        <f>'Jul-25'!X38+K38</f>
        <v>0</v>
      </c>
      <c r="Y38" s="74">
        <f>'Jul-25'!Y38+L38</f>
        <v>1657861</v>
      </c>
      <c r="Z38" s="147">
        <f>IFERROR(S38/T38-1,"n/a")</f>
        <v>5.5926961018625931E-2</v>
      </c>
      <c r="AA38" s="147">
        <f>IFERROR(S38/U38-1,"n/a")</f>
        <v>0.6396359144264514</v>
      </c>
      <c r="AB38" s="147">
        <f>IFERROR(S38/V38-1,"n/a")</f>
        <v>1.3409956511568013</v>
      </c>
      <c r="AC38" s="147">
        <f>IFERROR(S38/W38-1,"n/a")</f>
        <v>31.533921337367318</v>
      </c>
      <c r="AD38" s="147" t="str">
        <f>IFERROR(S38/X38-1,"n/a")</f>
        <v>n/a</v>
      </c>
      <c r="AE38" s="158">
        <f>IFERROR(S38/Y38-1,"n/a")</f>
        <v>0.91344147669798614</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26"/>
      <c r="T39" s="26"/>
      <c r="U39" s="26"/>
      <c r="V39" s="26"/>
      <c r="W39" s="26"/>
      <c r="X39" s="26"/>
      <c r="Y39" s="26"/>
      <c r="Z39" s="146"/>
      <c r="AA39" s="148"/>
      <c r="AB39" s="148"/>
      <c r="AC39" s="148"/>
      <c r="AD39" s="148"/>
      <c r="AE39" s="159"/>
      <c r="AF39" s="44"/>
      <c r="AG39" s="90"/>
      <c r="AH39" s="90"/>
      <c r="AI39" s="90"/>
      <c r="AJ39" s="44"/>
      <c r="AK39" s="79"/>
      <c r="AM39" s="122"/>
    </row>
    <row r="40" spans="1:39" s="123" customFormat="1" ht="11.25">
      <c r="A40" s="122"/>
      <c r="B40" s="122"/>
      <c r="C40" s="33"/>
      <c r="D40" s="26" t="s">
        <v>5</v>
      </c>
      <c r="E40" s="32"/>
      <c r="F40" s="74">
        <f t="shared" ref="F40:L41" si="58">F16</f>
        <v>137</v>
      </c>
      <c r="G40" s="74">
        <f t="shared" si="58"/>
        <v>103</v>
      </c>
      <c r="H40" s="74">
        <f t="shared" si="58"/>
        <v>71</v>
      </c>
      <c r="I40" s="74">
        <f t="shared" si="58"/>
        <v>63</v>
      </c>
      <c r="J40" s="74">
        <f t="shared" si="58"/>
        <v>29</v>
      </c>
      <c r="K40" s="74">
        <f t="shared" si="58"/>
        <v>2</v>
      </c>
      <c r="L40" s="74">
        <f t="shared" si="58"/>
        <v>58</v>
      </c>
      <c r="M40" s="64">
        <f t="shared" ref="M40:M41" si="59">IFERROR(F40/G40-1,"n/a")</f>
        <v>0.33009708737864085</v>
      </c>
      <c r="N40" s="64">
        <f t="shared" ref="N40:N41" si="60">IFERROR(F40/H40-1,"n/a")</f>
        <v>0.92957746478873249</v>
      </c>
      <c r="O40" s="64">
        <f t="shared" ref="O40:O41" si="61">IFERROR(F40/I40-1,"n/a")</f>
        <v>1.1746031746031744</v>
      </c>
      <c r="P40" s="64">
        <f t="shared" ref="P40:P41" si="62">IFERROR(F40/J40-1,"n/a")</f>
        <v>3.7241379310344831</v>
      </c>
      <c r="Q40" s="64">
        <f t="shared" ref="Q40:Q41" si="63">IFERROR(F40/K40-1,"n/a")</f>
        <v>67.5</v>
      </c>
      <c r="R40" s="60">
        <f t="shared" ref="R40:R41" si="64">IFERROR(F40/L40-1,"n/a")</f>
        <v>1.3620689655172415</v>
      </c>
      <c r="S40" s="74">
        <f>'Jul-25'!S40+F40</f>
        <v>611</v>
      </c>
      <c r="T40" s="74">
        <f>'Jul-25'!T40+G40</f>
        <v>457</v>
      </c>
      <c r="U40" s="74">
        <f>'Jul-25'!U40+H40</f>
        <v>331</v>
      </c>
      <c r="V40" s="74">
        <f>'Jul-25'!V40+I40</f>
        <v>341</v>
      </c>
      <c r="W40" s="74">
        <f>'Jul-25'!W40+J40</f>
        <v>90</v>
      </c>
      <c r="X40" s="74">
        <f>'Jul-25'!X40+K40</f>
        <v>2</v>
      </c>
      <c r="Y40" s="74">
        <f>'Jul-25'!Y40+L40</f>
        <v>310</v>
      </c>
      <c r="Z40" s="147">
        <f t="shared" ref="Z40:Z41" si="65">IFERROR(S40/T40-1,"n/a")</f>
        <v>0.33698030634573306</v>
      </c>
      <c r="AA40" s="147">
        <f t="shared" ref="AA40:AA41" si="66">IFERROR(S40/U40-1,"n/a")</f>
        <v>0.84592145015105746</v>
      </c>
      <c r="AB40" s="147">
        <f t="shared" ref="AB40:AB41" si="67">IFERROR(S40/V40-1,"n/a")</f>
        <v>0.7917888563049853</v>
      </c>
      <c r="AC40" s="147">
        <f t="shared" ref="AC40:AC41" si="68">IFERROR(S40/W40-1,"n/a")</f>
        <v>5.7888888888888888</v>
      </c>
      <c r="AD40" s="147">
        <f t="shared" ref="AD40:AD41" si="69">IFERROR(S40/X40-1,"n/a")</f>
        <v>304.5</v>
      </c>
      <c r="AE40" s="158">
        <f t="shared" ref="AE40:AE41" si="70">IFERROR(S40/Y40-1,"n/a")</f>
        <v>0.97096774193548385</v>
      </c>
      <c r="AF40" s="154">
        <v>817</v>
      </c>
      <c r="AG40" s="89">
        <v>583</v>
      </c>
      <c r="AH40" s="89">
        <v>563</v>
      </c>
      <c r="AI40" s="89">
        <v>226</v>
      </c>
      <c r="AJ40" s="70">
        <v>66</v>
      </c>
      <c r="AK40" s="78">
        <v>573</v>
      </c>
      <c r="AM40" s="122"/>
    </row>
    <row r="41" spans="1:39" s="123" customFormat="1" ht="11.25">
      <c r="A41" s="122"/>
      <c r="B41" s="122"/>
      <c r="C41" s="33"/>
      <c r="D41" s="26" t="s">
        <v>11</v>
      </c>
      <c r="E41" s="32"/>
      <c r="F41" s="74">
        <f t="shared" si="58"/>
        <v>380168</v>
      </c>
      <c r="G41" s="74">
        <f t="shared" si="58"/>
        <v>316065</v>
      </c>
      <c r="H41" s="74">
        <f t="shared" si="58"/>
        <v>262517</v>
      </c>
      <c r="I41" s="74">
        <f t="shared" si="58"/>
        <v>183659</v>
      </c>
      <c r="J41" s="74">
        <f t="shared" si="58"/>
        <v>48391</v>
      </c>
      <c r="K41" s="74">
        <f t="shared" si="58"/>
        <v>2541</v>
      </c>
      <c r="L41" s="74">
        <f t="shared" si="58"/>
        <v>180130</v>
      </c>
      <c r="M41" s="64">
        <f t="shared" si="59"/>
        <v>0.20281587648110366</v>
      </c>
      <c r="N41" s="64">
        <f t="shared" si="60"/>
        <v>0.4481652616782914</v>
      </c>
      <c r="O41" s="64">
        <f t="shared" si="61"/>
        <v>1.0699666229261839</v>
      </c>
      <c r="P41" s="64">
        <f t="shared" si="62"/>
        <v>6.8561716021574259</v>
      </c>
      <c r="Q41" s="64">
        <f t="shared" si="63"/>
        <v>148.61353797717433</v>
      </c>
      <c r="R41" s="60">
        <f t="shared" si="64"/>
        <v>1.1105201798700937</v>
      </c>
      <c r="S41" s="74">
        <f>'Jul-25'!S41+F41-523</f>
        <v>1550776</v>
      </c>
      <c r="T41" s="74">
        <f>'Jul-25'!T41+G41</f>
        <v>1246347</v>
      </c>
      <c r="U41" s="74">
        <f>'Jul-25'!U41+H41</f>
        <v>1027597</v>
      </c>
      <c r="V41" s="74">
        <f>'Jul-25'!V41+I41</f>
        <v>585343</v>
      </c>
      <c r="W41" s="74">
        <f>'Jul-25'!W41+J41</f>
        <v>140917</v>
      </c>
      <c r="X41" s="74">
        <f>'Jul-25'!X41+K41</f>
        <v>2541</v>
      </c>
      <c r="Y41" s="74">
        <f>'Jul-25'!Y41+L41</f>
        <v>832380</v>
      </c>
      <c r="Z41" s="147">
        <f t="shared" si="65"/>
        <v>0.24425701670562061</v>
      </c>
      <c r="AA41" s="147">
        <f t="shared" si="66"/>
        <v>0.50912857861593608</v>
      </c>
      <c r="AB41" s="147">
        <f t="shared" si="67"/>
        <v>1.6493457682077004</v>
      </c>
      <c r="AC41" s="147">
        <f t="shared" si="68"/>
        <v>10.004889402981897</v>
      </c>
      <c r="AD41" s="147">
        <f t="shared" si="69"/>
        <v>609.30145611963792</v>
      </c>
      <c r="AE41" s="158">
        <f t="shared" si="70"/>
        <v>0.86306254354982093</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110"/>
      <c r="AA42" s="147"/>
      <c r="AB42" s="147"/>
      <c r="AC42" s="147"/>
      <c r="AD42" s="147"/>
      <c r="AE42" s="158"/>
      <c r="AF42" s="155"/>
      <c r="AG42" s="90"/>
      <c r="AH42" s="90"/>
      <c r="AI42" s="90"/>
      <c r="AJ42" s="44"/>
      <c r="AK42" s="79"/>
      <c r="AM42" s="122"/>
    </row>
    <row r="43" spans="1:39" s="123" customFormat="1" ht="11.25">
      <c r="A43" s="122"/>
      <c r="B43" s="122"/>
      <c r="C43" s="33"/>
      <c r="D43" s="26" t="s">
        <v>5</v>
      </c>
      <c r="E43" s="32"/>
      <c r="F43" s="74">
        <f>F19</f>
        <v>125</v>
      </c>
      <c r="G43" s="74">
        <f t="shared" ref="G43:L44" si="71">G19</f>
        <v>102</v>
      </c>
      <c r="H43" s="74">
        <f t="shared" si="71"/>
        <v>95</v>
      </c>
      <c r="I43" s="74">
        <f t="shared" si="71"/>
        <v>104</v>
      </c>
      <c r="J43" s="74">
        <f t="shared" si="71"/>
        <v>3</v>
      </c>
      <c r="K43" s="74">
        <f t="shared" si="71"/>
        <v>2</v>
      </c>
      <c r="L43" s="74">
        <f t="shared" si="71"/>
        <v>43</v>
      </c>
      <c r="M43" s="64">
        <f t="shared" ref="M43:M44" si="72">IFERROR(F43/G43-1,"n/a")</f>
        <v>0.22549019607843146</v>
      </c>
      <c r="N43" s="64">
        <f t="shared" ref="N43:N44" si="73">IFERROR(F43/H43-1,"n/a")</f>
        <v>0.31578947368421062</v>
      </c>
      <c r="O43" s="64">
        <f t="shared" ref="O43:O44" si="74">IFERROR(F43/I43-1,"n/a")</f>
        <v>0.20192307692307687</v>
      </c>
      <c r="P43" s="64">
        <f t="shared" ref="P43:P44" si="75">IFERROR(F43/J43-1,"n/a")</f>
        <v>40.666666666666664</v>
      </c>
      <c r="Q43" s="64">
        <f t="shared" ref="Q43:Q44" si="76">IFERROR(F43/K43-1,"n/a")</f>
        <v>61.5</v>
      </c>
      <c r="R43" s="60">
        <f t="shared" ref="R43:R44" si="77">IFERROR(F43/L43-1,"n/a")</f>
        <v>1.9069767441860463</v>
      </c>
      <c r="S43" s="74">
        <f>'Jul-25'!S43+F43</f>
        <v>534</v>
      </c>
      <c r="T43" s="74">
        <f>'Jul-25'!T43+G43</f>
        <v>440</v>
      </c>
      <c r="U43" s="74">
        <f>'Jul-25'!U43+H43</f>
        <v>421</v>
      </c>
      <c r="V43" s="74">
        <f>'Jul-25'!V43+I43</f>
        <v>409</v>
      </c>
      <c r="W43" s="74">
        <f>'Jul-25'!W43+J43</f>
        <v>9</v>
      </c>
      <c r="X43" s="74">
        <f>'Jul-25'!X43+K43</f>
        <v>4</v>
      </c>
      <c r="Y43" s="74">
        <f>'Jul-25'!Y43+L43</f>
        <v>193</v>
      </c>
      <c r="Z43" s="147">
        <f t="shared" ref="Z43:Z44" si="78">IFERROR(S43/T43-1,"n/a")</f>
        <v>0.21363636363636362</v>
      </c>
      <c r="AA43" s="147">
        <f t="shared" ref="AA43:AA44" si="79">IFERROR(S43/U43-1,"n/a")</f>
        <v>0.26840855106888362</v>
      </c>
      <c r="AB43" s="147">
        <f t="shared" ref="AB43:AB44" si="80">IFERROR(S43/V43-1,"n/a")</f>
        <v>0.3056234718826405</v>
      </c>
      <c r="AC43" s="147">
        <f t="shared" ref="AC43:AC44" si="81">IFERROR(S43/W43-1,"n/a")</f>
        <v>58.333333333333336</v>
      </c>
      <c r="AD43" s="147">
        <f t="shared" ref="AD43:AD44" si="82">IFERROR(S43/X43-1,"n/a")</f>
        <v>132.5</v>
      </c>
      <c r="AE43" s="158">
        <f t="shared" ref="AE43:AE44" si="83">IFERROR(S43/Y43-1,"n/a")</f>
        <v>1.766839378238342</v>
      </c>
      <c r="AF43" s="154">
        <v>728</v>
      </c>
      <c r="AG43" s="89">
        <v>712</v>
      </c>
      <c r="AH43" s="89">
        <v>669</v>
      </c>
      <c r="AI43" s="89">
        <v>59</v>
      </c>
      <c r="AJ43" s="70">
        <v>9</v>
      </c>
      <c r="AK43" s="78">
        <v>287</v>
      </c>
      <c r="AM43" s="122"/>
    </row>
    <row r="44" spans="1:39" s="123" customFormat="1" ht="11.25">
      <c r="A44" s="122"/>
      <c r="B44" s="122"/>
      <c r="C44" s="33"/>
      <c r="D44" s="26" t="s">
        <v>11</v>
      </c>
      <c r="E44" s="32"/>
      <c r="F44" s="74">
        <f>F20</f>
        <v>326020</v>
      </c>
      <c r="G44" s="74">
        <f t="shared" si="71"/>
        <v>270706</v>
      </c>
      <c r="H44" s="74">
        <f t="shared" si="71"/>
        <v>234330</v>
      </c>
      <c r="I44" s="74">
        <f t="shared" si="71"/>
        <v>185619</v>
      </c>
      <c r="J44" s="74">
        <f t="shared" si="71"/>
        <v>850</v>
      </c>
      <c r="K44" s="74">
        <f t="shared" si="71"/>
        <v>0</v>
      </c>
      <c r="L44" s="74">
        <f t="shared" si="71"/>
        <v>126823</v>
      </c>
      <c r="M44" s="64">
        <f t="shared" si="72"/>
        <v>0.20433237534446969</v>
      </c>
      <c r="N44" s="64">
        <f t="shared" si="73"/>
        <v>0.39128579353902615</v>
      </c>
      <c r="O44" s="64">
        <f t="shared" si="74"/>
        <v>0.75639347265096779</v>
      </c>
      <c r="P44" s="64">
        <f t="shared" si="75"/>
        <v>382.5529411764706</v>
      </c>
      <c r="Q44" s="64" t="str">
        <f t="shared" si="76"/>
        <v>n/a</v>
      </c>
      <c r="R44" s="60">
        <f t="shared" si="77"/>
        <v>1.5706693580817359</v>
      </c>
      <c r="S44" s="74">
        <f>'Jul-25'!S44+F44+88</f>
        <v>1151778</v>
      </c>
      <c r="T44" s="74">
        <f>'Jul-25'!T44+G44</f>
        <v>968948.4</v>
      </c>
      <c r="U44" s="74">
        <f>'Jul-25'!U44+H44</f>
        <v>811145</v>
      </c>
      <c r="V44" s="74">
        <f>'Jul-25'!V44+I44</f>
        <v>563558</v>
      </c>
      <c r="W44" s="74">
        <f>'Jul-25'!W44+J44</f>
        <v>1318</v>
      </c>
      <c r="X44" s="74">
        <f>'Jul-25'!X44+K44</f>
        <v>8294</v>
      </c>
      <c r="Y44" s="74">
        <f>'Jul-25'!Y44+L44</f>
        <v>404725</v>
      </c>
      <c r="Z44" s="147">
        <f t="shared" si="78"/>
        <v>0.1886886855894494</v>
      </c>
      <c r="AA44" s="147">
        <f t="shared" si="79"/>
        <v>0.41994094767273427</v>
      </c>
      <c r="AB44" s="147">
        <f t="shared" si="80"/>
        <v>1.0437612455151024</v>
      </c>
      <c r="AC44" s="147">
        <f t="shared" si="81"/>
        <v>872.88315629742033</v>
      </c>
      <c r="AD44" s="147">
        <f t="shared" si="82"/>
        <v>137.86882083433807</v>
      </c>
      <c r="AE44" s="158">
        <f t="shared" si="83"/>
        <v>1.8458286490827103</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160"/>
      <c r="AA45" s="147"/>
      <c r="AB45" s="147"/>
      <c r="AC45" s="147"/>
      <c r="AD45" s="147"/>
      <c r="AE45" s="158"/>
      <c r="AF45" s="155"/>
      <c r="AG45" s="90"/>
      <c r="AH45" s="90"/>
      <c r="AI45" s="90"/>
      <c r="AJ45" s="44"/>
      <c r="AK45" s="79"/>
      <c r="AM45" s="122"/>
    </row>
    <row r="46" spans="1:39" s="123" customFormat="1" ht="11.25">
      <c r="A46" s="122"/>
      <c r="B46" s="122"/>
      <c r="C46" s="33"/>
      <c r="D46" s="26" t="s">
        <v>5</v>
      </c>
      <c r="E46" s="34"/>
      <c r="F46" s="74">
        <f>F22</f>
        <v>82</v>
      </c>
      <c r="G46" s="74">
        <f t="shared" ref="G46:L47" si="84">G22</f>
        <v>92</v>
      </c>
      <c r="H46" s="74">
        <f t="shared" si="84"/>
        <v>80</v>
      </c>
      <c r="I46" s="74">
        <f t="shared" si="84"/>
        <v>60</v>
      </c>
      <c r="J46" s="74">
        <f t="shared" si="84"/>
        <v>24</v>
      </c>
      <c r="K46" s="74">
        <f t="shared" si="84"/>
        <v>0</v>
      </c>
      <c r="L46" s="74">
        <f t="shared" si="84"/>
        <v>69</v>
      </c>
      <c r="M46" s="64">
        <f t="shared" ref="M46:M47" si="85">IFERROR(F46/G46-1,"n/a")</f>
        <v>-0.10869565217391308</v>
      </c>
      <c r="N46" s="64">
        <f t="shared" ref="N46:N47" si="86">IFERROR(F46/H46-1,"n/a")</f>
        <v>2.4999999999999911E-2</v>
      </c>
      <c r="O46" s="64">
        <f t="shared" ref="O46:O47" si="87">IFERROR(F46/I46-1,"n/a")</f>
        <v>0.3666666666666667</v>
      </c>
      <c r="P46" s="64">
        <f t="shared" ref="P46:P47" si="88">IFERROR(F46/J46-1,"n/a")</f>
        <v>2.4166666666666665</v>
      </c>
      <c r="Q46" s="64" t="str">
        <f t="shared" ref="Q46:Q47" si="89">IFERROR(F46/K46-1,"n/a")</f>
        <v>n/a</v>
      </c>
      <c r="R46" s="60">
        <f t="shared" ref="R46:R47" si="90">IFERROR(F46/L46-1,"n/a")</f>
        <v>0.18840579710144922</v>
      </c>
      <c r="S46" s="74">
        <f>'Jul-25'!S46+F46+1</f>
        <v>596</v>
      </c>
      <c r="T46" s="74">
        <f>'Jul-25'!T46+G46</f>
        <v>607</v>
      </c>
      <c r="U46" s="74">
        <f>'Jul-25'!U46+H46</f>
        <v>570</v>
      </c>
      <c r="V46" s="74">
        <f>'Jul-25'!V46+I46</f>
        <v>410</v>
      </c>
      <c r="W46" s="74">
        <f>'Jul-25'!W46+J46</f>
        <v>38</v>
      </c>
      <c r="X46" s="74">
        <f>'Jul-25'!X46+K46</f>
        <v>0</v>
      </c>
      <c r="Y46" s="74">
        <f>'Jul-25'!Y46+L46</f>
        <v>410</v>
      </c>
      <c r="Z46" s="147">
        <f t="shared" ref="Z46:Z47" si="91">IFERROR(S46/T46-1,"n/a")</f>
        <v>-1.8121911037891292E-2</v>
      </c>
      <c r="AA46" s="147">
        <f t="shared" ref="AA46:AA47" si="92">IFERROR(S46/U46-1,"n/a")</f>
        <v>4.5614035087719218E-2</v>
      </c>
      <c r="AB46" s="147">
        <f t="shared" ref="AB46:AB47" si="93">IFERROR(S46/V46-1,"n/a")</f>
        <v>0.45365853658536581</v>
      </c>
      <c r="AC46" s="147">
        <f t="shared" ref="AC46:AC47" si="94">IFERROR(S46/W46-1,"n/a")</f>
        <v>14.684210526315789</v>
      </c>
      <c r="AD46" s="147" t="str">
        <f t="shared" ref="AD46:AD47" si="95">IFERROR(S46/X46-1,"n/a")</f>
        <v>n/a</v>
      </c>
      <c r="AE46" s="158">
        <f t="shared" ref="AE46:AE47" si="96">IFERROR(S46/Y46-1,"n/a")</f>
        <v>0.45365853658536581</v>
      </c>
      <c r="AF46" s="154">
        <v>1788</v>
      </c>
      <c r="AG46" s="89">
        <v>1471</v>
      </c>
      <c r="AH46" s="89">
        <v>1129</v>
      </c>
      <c r="AI46" s="89">
        <v>336</v>
      </c>
      <c r="AJ46" s="84">
        <v>43</v>
      </c>
      <c r="AK46" s="78">
        <v>781</v>
      </c>
      <c r="AM46" s="122"/>
    </row>
    <row r="47" spans="1:39" s="123" customFormat="1" ht="11.25">
      <c r="A47" s="122"/>
      <c r="B47" s="122"/>
      <c r="C47" s="33"/>
      <c r="D47" s="26" t="s">
        <v>11</v>
      </c>
      <c r="E47" s="32"/>
      <c r="F47" s="74">
        <f>F23</f>
        <v>327830</v>
      </c>
      <c r="G47" s="74">
        <f t="shared" si="84"/>
        <v>415300</v>
      </c>
      <c r="H47" s="74">
        <f t="shared" si="84"/>
        <v>371804</v>
      </c>
      <c r="I47" s="74">
        <f t="shared" si="84"/>
        <v>239102</v>
      </c>
      <c r="J47" s="74">
        <f t="shared" si="84"/>
        <v>49688</v>
      </c>
      <c r="K47" s="74">
        <f t="shared" si="84"/>
        <v>0</v>
      </c>
      <c r="L47" s="74">
        <f t="shared" si="84"/>
        <v>291759</v>
      </c>
      <c r="M47" s="64">
        <f t="shared" si="85"/>
        <v>-0.21061882976161805</v>
      </c>
      <c r="N47" s="64">
        <f t="shared" si="86"/>
        <v>-0.11827199277038436</v>
      </c>
      <c r="O47" s="64">
        <f t="shared" si="87"/>
        <v>0.37108848943128869</v>
      </c>
      <c r="P47" s="64">
        <f t="shared" si="88"/>
        <v>5.597770085332475</v>
      </c>
      <c r="Q47" s="64" t="str">
        <f t="shared" si="89"/>
        <v>n/a</v>
      </c>
      <c r="R47" s="60">
        <f t="shared" si="90"/>
        <v>0.1236328613684583</v>
      </c>
      <c r="S47" s="74">
        <f>'Jul-25'!S47+F47-2572</f>
        <v>1723944</v>
      </c>
      <c r="T47" s="74">
        <f>'Jul-25'!T47+G47</f>
        <v>2048619</v>
      </c>
      <c r="U47" s="74">
        <f>'Jul-25'!U47+H47</f>
        <v>1842843</v>
      </c>
      <c r="V47" s="74">
        <f>'Jul-25'!V47+I47</f>
        <v>996260</v>
      </c>
      <c r="W47" s="74">
        <f>'Jul-25'!W47+J47</f>
        <v>78164</v>
      </c>
      <c r="X47" s="74">
        <f>'Jul-25'!X47+K47</f>
        <v>0</v>
      </c>
      <c r="Y47" s="74">
        <f>'Jul-25'!Y47+L47</f>
        <v>1341508</v>
      </c>
      <c r="Z47" s="147">
        <f t="shared" si="91"/>
        <v>-0.15848481342797271</v>
      </c>
      <c r="AA47" s="147">
        <f t="shared" si="92"/>
        <v>-6.4519332357666936E-2</v>
      </c>
      <c r="AB47" s="147">
        <f t="shared" si="93"/>
        <v>0.7304157549234136</v>
      </c>
      <c r="AC47" s="147">
        <f t="shared" si="94"/>
        <v>21.055473107824575</v>
      </c>
      <c r="AD47" s="147" t="str">
        <f t="shared" si="95"/>
        <v>n/a</v>
      </c>
      <c r="AE47" s="158">
        <f t="shared" si="96"/>
        <v>0.28507917955017792</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160"/>
      <c r="AA48" s="147"/>
      <c r="AB48" s="147"/>
      <c r="AC48" s="147"/>
      <c r="AD48" s="147"/>
      <c r="AE48" s="158"/>
      <c r="AF48" s="155"/>
      <c r="AG48" s="90"/>
      <c r="AH48" s="90"/>
      <c r="AI48" s="90"/>
      <c r="AJ48" s="44"/>
      <c r="AK48" s="79"/>
      <c r="AM48" s="122"/>
    </row>
    <row r="49" spans="3:39" s="123" customFormat="1" ht="11.25">
      <c r="C49" s="33"/>
      <c r="D49" s="26" t="s">
        <v>5</v>
      </c>
      <c r="E49" s="32"/>
      <c r="F49" s="74">
        <f>F25</f>
        <v>2</v>
      </c>
      <c r="G49" s="74">
        <f t="shared" ref="G49:L50" si="97">G25</f>
        <v>1</v>
      </c>
      <c r="H49" s="74">
        <f t="shared" si="97"/>
        <v>4</v>
      </c>
      <c r="I49" s="74">
        <f t="shared" si="97"/>
        <v>2</v>
      </c>
      <c r="J49" s="74">
        <f t="shared" si="97"/>
        <v>0</v>
      </c>
      <c r="K49" s="74">
        <f t="shared" si="97"/>
        <v>0</v>
      </c>
      <c r="L49" s="74">
        <f t="shared" si="97"/>
        <v>1</v>
      </c>
      <c r="M49" s="64">
        <f t="shared" ref="M49:M52" si="98">IFERROR(F49/G49-1,"n/a")</f>
        <v>1</v>
      </c>
      <c r="N49" s="64">
        <f t="shared" ref="N49:N52" si="99">IFERROR(F49/H49-1,"n/a")</f>
        <v>-0.5</v>
      </c>
      <c r="O49" s="64">
        <f t="shared" ref="O49:O52" si="100">IFERROR(F49/I49-1,"n/a")</f>
        <v>0</v>
      </c>
      <c r="P49" s="64" t="str">
        <f t="shared" ref="P49:P52" si="101">IFERROR(F49/J49-1,"n/a")</f>
        <v>n/a</v>
      </c>
      <c r="Q49" s="64" t="str">
        <f t="shared" ref="Q49:Q52" si="102">IFERROR(F49/K49-1,"n/a")</f>
        <v>n/a</v>
      </c>
      <c r="R49" s="60">
        <f t="shared" ref="R49:R52" si="103">IFERROR(F49/L49-1,"n/a")</f>
        <v>1</v>
      </c>
      <c r="S49" s="74">
        <f>'Jul-25'!S49+F49</f>
        <v>13</v>
      </c>
      <c r="T49" s="74">
        <f>'Jul-25'!T49+G49</f>
        <v>10</v>
      </c>
      <c r="U49" s="74">
        <f>'Jul-25'!U49+H49</f>
        <v>15</v>
      </c>
      <c r="V49" s="74">
        <f>'Jul-25'!V49+I49</f>
        <v>7</v>
      </c>
      <c r="W49" s="74">
        <f>'Jul-25'!W49+J49</f>
        <v>0</v>
      </c>
      <c r="X49" s="74">
        <f>'Jul-25'!X49+K49</f>
        <v>0</v>
      </c>
      <c r="Y49" s="74">
        <f>'Jul-25'!Y49+L49</f>
        <v>12</v>
      </c>
      <c r="Z49" s="147">
        <f t="shared" ref="Z49:Z52" si="104">IFERROR(S49/T49-1,"n/a")</f>
        <v>0.30000000000000004</v>
      </c>
      <c r="AA49" s="147">
        <f t="shared" ref="AA49:AA50" si="105">IFERROR(S49/U49-1,"n/a")</f>
        <v>-0.1333333333333333</v>
      </c>
      <c r="AB49" s="147">
        <f t="shared" ref="AB49:AB52" si="106">IFERROR(S49/V49-1,"n/a")</f>
        <v>0.85714285714285721</v>
      </c>
      <c r="AC49" s="147" t="str">
        <f t="shared" ref="AC49:AC52" si="107">IFERROR(S49/W49-1,"n/a")</f>
        <v>n/a</v>
      </c>
      <c r="AD49" s="147" t="str">
        <f t="shared" ref="AD49:AD52" si="108">IFERROR(S49/X49-1,"n/a")</f>
        <v>n/a</v>
      </c>
      <c r="AE49" s="158">
        <f t="shared" ref="AE49:AE52" si="109">IFERROR(S49/Y49-1,"n/a")</f>
        <v>8.3333333333333259E-2</v>
      </c>
      <c r="AF49" s="154">
        <v>14</v>
      </c>
      <c r="AG49" s="89">
        <v>21</v>
      </c>
      <c r="AH49" s="89">
        <v>9</v>
      </c>
      <c r="AI49" s="68">
        <v>0</v>
      </c>
      <c r="AJ49" s="68">
        <v>0</v>
      </c>
      <c r="AK49" s="78">
        <v>16</v>
      </c>
      <c r="AM49" s="122"/>
    </row>
    <row r="50" spans="3:39" s="123" customFormat="1" ht="11.25">
      <c r="C50" s="33"/>
      <c r="D50" s="26" t="s">
        <v>11</v>
      </c>
      <c r="E50" s="32"/>
      <c r="F50" s="74">
        <f>F26</f>
        <v>6381</v>
      </c>
      <c r="G50" s="74">
        <f t="shared" si="97"/>
        <v>4623</v>
      </c>
      <c r="H50" s="74">
        <f t="shared" si="97"/>
        <v>6619</v>
      </c>
      <c r="I50" s="74">
        <f t="shared" si="97"/>
        <v>2336</v>
      </c>
      <c r="J50" s="74">
        <f t="shared" si="97"/>
        <v>0</v>
      </c>
      <c r="K50" s="74">
        <f t="shared" si="97"/>
        <v>0</v>
      </c>
      <c r="L50" s="74">
        <f t="shared" si="97"/>
        <v>1298</v>
      </c>
      <c r="M50" s="64">
        <f t="shared" si="98"/>
        <v>0.38027255029201812</v>
      </c>
      <c r="N50" s="64">
        <f t="shared" si="99"/>
        <v>-3.5957093216497982E-2</v>
      </c>
      <c r="O50" s="64">
        <f t="shared" si="100"/>
        <v>1.7315924657534247</v>
      </c>
      <c r="P50" s="64" t="str">
        <f t="shared" si="101"/>
        <v>n/a</v>
      </c>
      <c r="Q50" s="64" t="str">
        <f t="shared" si="102"/>
        <v>n/a</v>
      </c>
      <c r="R50" s="60">
        <f t="shared" si="103"/>
        <v>3.9160246533127889</v>
      </c>
      <c r="S50" s="74">
        <f>'Jul-25'!S50+F50</f>
        <v>47790</v>
      </c>
      <c r="T50" s="74">
        <f>'Jul-25'!T50+G50</f>
        <v>38341</v>
      </c>
      <c r="U50" s="74">
        <f>'Jul-25'!U50+H50</f>
        <v>26394</v>
      </c>
      <c r="V50" s="74">
        <f>'Jul-25'!V50+I50</f>
        <v>11013</v>
      </c>
      <c r="W50" s="74">
        <f>'Jul-25'!W50+J50</f>
        <v>0</v>
      </c>
      <c r="X50" s="74">
        <f>'Jul-25'!X50+K50</f>
        <v>0</v>
      </c>
      <c r="Y50" s="74">
        <f>'Jul-25'!Y50+L50</f>
        <v>15048</v>
      </c>
      <c r="Z50" s="147">
        <f t="shared" si="104"/>
        <v>0.24644636290133271</v>
      </c>
      <c r="AA50" s="147">
        <f t="shared" si="105"/>
        <v>0.81063878154125946</v>
      </c>
      <c r="AB50" s="147">
        <f t="shared" si="106"/>
        <v>3.3394170525742304</v>
      </c>
      <c r="AC50" s="147" t="str">
        <f t="shared" si="107"/>
        <v>n/a</v>
      </c>
      <c r="AD50" s="147" t="str">
        <f t="shared" si="108"/>
        <v>n/a</v>
      </c>
      <c r="AE50" s="158">
        <f t="shared" si="109"/>
        <v>2.1758373205741628</v>
      </c>
      <c r="AF50" s="154">
        <v>47798</v>
      </c>
      <c r="AG50" s="82">
        <v>38626</v>
      </c>
      <c r="AH50" s="82">
        <v>15637</v>
      </c>
      <c r="AI50" s="68">
        <v>0</v>
      </c>
      <c r="AJ50" s="68">
        <v>0</v>
      </c>
      <c r="AK50" s="78">
        <v>20248</v>
      </c>
      <c r="AM50" s="122"/>
    </row>
    <row r="51" spans="3:39" s="123" customFormat="1" ht="12" thickBot="1">
      <c r="C51" s="35" t="s">
        <v>12</v>
      </c>
      <c r="D51" s="36"/>
      <c r="E51" s="37"/>
      <c r="F51" s="75">
        <f t="shared" ref="F51:L52" si="110">F37+F40+F43+F46+F49</f>
        <v>477</v>
      </c>
      <c r="G51" s="75">
        <f t="shared" si="110"/>
        <v>440</v>
      </c>
      <c r="H51" s="75">
        <f t="shared" si="110"/>
        <v>349</v>
      </c>
      <c r="I51" s="75">
        <f t="shared" si="110"/>
        <v>310</v>
      </c>
      <c r="J51" s="75">
        <f t="shared" si="110"/>
        <v>107</v>
      </c>
      <c r="K51" s="75">
        <f t="shared" si="110"/>
        <v>4</v>
      </c>
      <c r="L51" s="75">
        <f t="shared" si="110"/>
        <v>268</v>
      </c>
      <c r="M51" s="66">
        <f t="shared" si="98"/>
        <v>8.4090909090908994E-2</v>
      </c>
      <c r="N51" s="66">
        <f t="shared" si="99"/>
        <v>0.36676217765042973</v>
      </c>
      <c r="O51" s="66">
        <f t="shared" si="100"/>
        <v>0.53870967741935494</v>
      </c>
      <c r="P51" s="66">
        <f t="shared" si="101"/>
        <v>3.4579439252336446</v>
      </c>
      <c r="Q51" s="66">
        <f t="shared" si="102"/>
        <v>118.25</v>
      </c>
      <c r="R51" s="66">
        <f t="shared" si="103"/>
        <v>0.7798507462686568</v>
      </c>
      <c r="S51" s="75">
        <f>S37+S40+S43+S46+S49</f>
        <v>2613</v>
      </c>
      <c r="T51" s="75">
        <f>T37+T40+T43+T46+T49</f>
        <v>2328</v>
      </c>
      <c r="U51" s="75">
        <f>U37+U40+U43+U46+U49</f>
        <v>1864</v>
      </c>
      <c r="V51" s="75">
        <f t="shared" ref="U51:Y52" si="111">V37+V40+V43+V46+V49</f>
        <v>1628</v>
      </c>
      <c r="W51" s="75">
        <f t="shared" si="111"/>
        <v>216</v>
      </c>
      <c r="X51" s="75">
        <f t="shared" si="111"/>
        <v>48</v>
      </c>
      <c r="Y51" s="75">
        <f t="shared" si="111"/>
        <v>1432</v>
      </c>
      <c r="Z51" s="66">
        <f t="shared" si="104"/>
        <v>0.12242268041237114</v>
      </c>
      <c r="AA51" s="66">
        <f>IFERROR(S51/U51-1,"n/a")</f>
        <v>0.40182403433476388</v>
      </c>
      <c r="AB51" s="66">
        <f t="shared" si="106"/>
        <v>0.605036855036855</v>
      </c>
      <c r="AC51" s="66">
        <f t="shared" si="107"/>
        <v>11.097222222222221</v>
      </c>
      <c r="AD51" s="66">
        <f t="shared" si="108"/>
        <v>53.4375</v>
      </c>
      <c r="AE51" s="66">
        <f t="shared" si="109"/>
        <v>0.82472067039106145</v>
      </c>
      <c r="AF51" s="46">
        <f t="shared" ref="AF51:AJ52" si="112">AF37+AF40+AF43+AF46+AF49</f>
        <v>6221</v>
      </c>
      <c r="AG51" s="46">
        <f t="shared" si="112"/>
        <v>4589</v>
      </c>
      <c r="AH51" s="46">
        <f t="shared" si="112"/>
        <v>3856</v>
      </c>
      <c r="AI51" s="46">
        <f t="shared" si="112"/>
        <v>1673</v>
      </c>
      <c r="AJ51" s="46">
        <f t="shared" si="112"/>
        <v>669</v>
      </c>
      <c r="AK51" s="80">
        <f>AK37+AK40+AK43+AK46+AK49</f>
        <v>3241</v>
      </c>
      <c r="AM51" s="122"/>
    </row>
    <row r="52" spans="3:39" s="123" customFormat="1" ht="12.75" thickTop="1" thickBot="1">
      <c r="C52" s="38" t="s">
        <v>13</v>
      </c>
      <c r="D52" s="39"/>
      <c r="E52" s="40"/>
      <c r="F52" s="76">
        <f t="shared" si="110"/>
        <v>1568873</v>
      </c>
      <c r="G52" s="76">
        <f t="shared" si="110"/>
        <v>1570543</v>
      </c>
      <c r="H52" s="76">
        <f t="shared" si="110"/>
        <v>1250698</v>
      </c>
      <c r="I52" s="76">
        <f t="shared" si="110"/>
        <v>889236</v>
      </c>
      <c r="J52" s="76">
        <f t="shared" si="110"/>
        <v>165520</v>
      </c>
      <c r="K52" s="76">
        <f t="shared" si="110"/>
        <v>2541</v>
      </c>
      <c r="L52" s="76">
        <f t="shared" si="110"/>
        <v>925256</v>
      </c>
      <c r="M52" s="67">
        <f t="shared" si="98"/>
        <v>-1.0633265055461916E-3</v>
      </c>
      <c r="N52" s="67">
        <f t="shared" si="99"/>
        <v>0.25439794418796535</v>
      </c>
      <c r="O52" s="67">
        <f t="shared" si="100"/>
        <v>0.76429316851769391</v>
      </c>
      <c r="P52" s="67">
        <f t="shared" si="101"/>
        <v>8.4784497341710967</v>
      </c>
      <c r="Q52" s="67">
        <f t="shared" si="102"/>
        <v>616.42345533254627</v>
      </c>
      <c r="R52" s="67">
        <f t="shared" si="103"/>
        <v>0.69560964749215359</v>
      </c>
      <c r="S52" s="76">
        <f t="shared" ref="S52:T52" si="113">S38+S41+S44+S47+S50</f>
        <v>7646508</v>
      </c>
      <c r="T52" s="76">
        <f t="shared" si="113"/>
        <v>7306459.4000000004</v>
      </c>
      <c r="U52" s="76">
        <f t="shared" si="111"/>
        <v>5642689</v>
      </c>
      <c r="V52" s="76">
        <f t="shared" si="111"/>
        <v>3511247</v>
      </c>
      <c r="W52" s="76">
        <f t="shared" si="111"/>
        <v>317904</v>
      </c>
      <c r="X52" s="76">
        <f t="shared" si="111"/>
        <v>10835</v>
      </c>
      <c r="Y52" s="76">
        <f t="shared" si="111"/>
        <v>4251522</v>
      </c>
      <c r="Z52" s="67">
        <f t="shared" si="104"/>
        <v>4.6540818388725924E-2</v>
      </c>
      <c r="AA52" s="67">
        <f>IFERROR(S52/U52-1,"n/a")</f>
        <v>0.35511774616676561</v>
      </c>
      <c r="AB52" s="67">
        <f t="shared" si="106"/>
        <v>1.1777186281682832</v>
      </c>
      <c r="AC52" s="67">
        <f t="shared" si="107"/>
        <v>23.052883889476067</v>
      </c>
      <c r="AD52" s="67">
        <f t="shared" si="108"/>
        <v>704.72293493308723</v>
      </c>
      <c r="AE52" s="67">
        <f t="shared" si="109"/>
        <v>0.79853426608165257</v>
      </c>
      <c r="AF52" s="47">
        <f t="shared" si="112"/>
        <v>17650949.399999999</v>
      </c>
      <c r="AG52" s="47">
        <f t="shared" si="112"/>
        <v>13408675</v>
      </c>
      <c r="AH52" s="47">
        <f t="shared" si="112"/>
        <v>9237323</v>
      </c>
      <c r="AI52" s="47">
        <f t="shared" si="112"/>
        <v>2410085</v>
      </c>
      <c r="AJ52" s="47">
        <f t="shared" si="112"/>
        <v>1324261</v>
      </c>
      <c r="AK52" s="81">
        <f>AK38+AK41+AK44+AK47+AK50</f>
        <v>8638971</v>
      </c>
      <c r="AM52" s="122"/>
    </row>
    <row r="53" spans="3:39" s="123" customFormat="1" ht="12" thickTop="1">
      <c r="T53" s="131"/>
      <c r="U53" s="131"/>
      <c r="V53" s="131"/>
      <c r="W53" s="131"/>
      <c r="X53" s="131"/>
      <c r="Y53" s="131"/>
      <c r="AM53" s="122"/>
    </row>
    <row r="54" spans="3:39" s="123" customFormat="1" ht="11.25">
      <c r="F54" s="131"/>
      <c r="S54" s="131"/>
      <c r="T54" s="131"/>
      <c r="U54" s="131"/>
      <c r="V54" s="131"/>
      <c r="W54" s="131"/>
      <c r="X54" s="131"/>
      <c r="Y54" s="131"/>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EC161-D086-4D1E-BA42-2C0EE19F2B60}">
  <dimension ref="A1:AM66"/>
  <sheetViews>
    <sheetView showGridLines="0" topLeftCell="O28" zoomScale="85" zoomScaleNormal="85" workbookViewId="0">
      <selection activeCell="Y37" sqref="Y3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9.14062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Occupancy_2026!AY3</f>
        <v>46154</v>
      </c>
      <c r="AL3" s="25"/>
      <c r="AM3" s="9"/>
    </row>
    <row r="4" spans="1:39" ht="15.75">
      <c r="A4" s="9"/>
      <c r="B4" s="11" t="s">
        <v>7</v>
      </c>
      <c r="C4" s="26"/>
      <c r="D4" s="93" t="s">
        <v>55</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July</v>
      </c>
      <c r="G9" s="167"/>
      <c r="H9" s="167"/>
      <c r="I9" s="167"/>
      <c r="J9" s="167"/>
      <c r="K9" s="167"/>
      <c r="L9" s="167"/>
      <c r="M9" s="167"/>
      <c r="N9" s="167"/>
      <c r="O9" s="167"/>
      <c r="P9" s="167"/>
      <c r="Q9" s="167"/>
      <c r="R9" s="168"/>
      <c r="S9" s="169" t="str">
        <f xml:space="preserve"> "January to "&amp; F9</f>
        <v>January to July</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168</v>
      </c>
      <c r="G13" s="71">
        <v>166</v>
      </c>
      <c r="H13" s="73">
        <v>105</v>
      </c>
      <c r="I13" s="71">
        <v>84</v>
      </c>
      <c r="J13" s="71">
        <v>28</v>
      </c>
      <c r="K13" s="71">
        <v>0</v>
      </c>
      <c r="L13" s="71">
        <v>101</v>
      </c>
      <c r="M13" s="64">
        <f>IFERROR(F13/G13-1,"n/a")</f>
        <v>1.2048192771084265E-2</v>
      </c>
      <c r="N13" s="64">
        <f>IFERROR(F13/H13-1,"n/a")</f>
        <v>0.60000000000000009</v>
      </c>
      <c r="O13" s="64">
        <f>IFERROR(F13/I13-1,"n/a")</f>
        <v>1</v>
      </c>
      <c r="P13" s="64">
        <f>IFERROR(F13/J13-1,"n/a")</f>
        <v>5</v>
      </c>
      <c r="Q13" s="64" t="str">
        <f>IFERROR(F13/K13-1,"n/a")</f>
        <v>n/a</v>
      </c>
      <c r="R13" s="60">
        <f>IFERROR(F13/L13-1,"n/a")</f>
        <v>0.66336633663366329</v>
      </c>
      <c r="S13" s="68">
        <f>'Jun-25'!S13+F13</f>
        <v>1822</v>
      </c>
      <c r="T13" s="68">
        <f>'Jun-25'!T13+G13</f>
        <v>1374</v>
      </c>
      <c r="U13" s="68">
        <f>'Jun-25'!U13+H13</f>
        <v>958</v>
      </c>
      <c r="V13" s="68">
        <f>'Jun-25'!V13+I13</f>
        <v>910</v>
      </c>
      <c r="W13" s="68">
        <f>'Jun-25'!W13+J13</f>
        <v>28</v>
      </c>
      <c r="X13" s="68">
        <f>'Jun-25'!X13+K13</f>
        <v>551</v>
      </c>
      <c r="Y13" s="68">
        <f>'Jun-25'!Y13+L13</f>
        <v>926</v>
      </c>
      <c r="Z13" s="64">
        <f>IFERROR(S13/T13-1,"n/a")</f>
        <v>0.32605531295487622</v>
      </c>
      <c r="AA13" s="64">
        <f>IFERROR(S13/U13-1,"n/a")</f>
        <v>0.90187891440501033</v>
      </c>
      <c r="AB13" s="64">
        <f>IFERROR(S13/V13-1,"n/a")</f>
        <v>1.0021978021978022</v>
      </c>
      <c r="AC13" s="64">
        <f>IFERROR(S13/W13-1,"n/a")</f>
        <v>64.071428571428569</v>
      </c>
      <c r="AD13" s="64">
        <f>IFERROR(S13/X13-1,"n/a")</f>
        <v>2.3067150635208713</v>
      </c>
      <c r="AE13" s="60">
        <f>IFERROR(S13/Y13-1,"n/a")</f>
        <v>0.96760259179265651</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664501</v>
      </c>
      <c r="G14" s="71">
        <v>639139</v>
      </c>
      <c r="H14" s="73">
        <v>396404</v>
      </c>
      <c r="I14" s="71">
        <v>292122</v>
      </c>
      <c r="J14" s="71">
        <v>30914</v>
      </c>
      <c r="K14" s="71">
        <v>0</v>
      </c>
      <c r="L14" s="71">
        <v>332464</v>
      </c>
      <c r="M14" s="64">
        <f>IFERROR(F14/G14-1,"n/a")</f>
        <v>3.9681509030117024E-2</v>
      </c>
      <c r="N14" s="64">
        <f>IFERROR(F14/H14-1,"n/a")</f>
        <v>0.6763226405384406</v>
      </c>
      <c r="O14" s="64">
        <f>IFERROR(F14/I14-1,"n/a")</f>
        <v>1.274737951951582</v>
      </c>
      <c r="P14" s="64">
        <f>IFERROR(F14/J14-1,"n/a")</f>
        <v>20.495147829462379</v>
      </c>
      <c r="Q14" s="64" t="str">
        <f>IFERROR(F14/K14-1,"n/a")</f>
        <v>n/a</v>
      </c>
      <c r="R14" s="60">
        <f>IFERROR(F14/L14-1,"n/a")</f>
        <v>0.99871565041628574</v>
      </c>
      <c r="S14" s="68">
        <f>'Jun-25'!S14+F14</f>
        <v>5569362</v>
      </c>
      <c r="T14" s="68">
        <f>'Jun-25'!T14+G14</f>
        <v>4594179</v>
      </c>
      <c r="U14" s="68">
        <f>'Jun-25'!U14+H14</f>
        <v>3097466</v>
      </c>
      <c r="V14" s="68">
        <f>'Jun-25'!V14+I14</f>
        <v>1836211</v>
      </c>
      <c r="W14" s="68">
        <f>'Jun-25'!W14+J14</f>
        <v>30914</v>
      </c>
      <c r="X14" s="68">
        <f>'Jun-25'!X14+K14</f>
        <v>1092884</v>
      </c>
      <c r="Y14" s="68">
        <f>'Jun-25'!Y14+L14</f>
        <v>2783719</v>
      </c>
      <c r="Z14" s="64">
        <f>IFERROR(S14/T14-1,"n/a")</f>
        <v>0.21226491175028217</v>
      </c>
      <c r="AA14" s="64">
        <f>IFERROR(S14/U14-1,"n/a")</f>
        <v>0.79803813827173564</v>
      </c>
      <c r="AB14" s="64">
        <f>IFERROR(S14/V14-1,"n/a")</f>
        <v>2.0330729965129279</v>
      </c>
      <c r="AC14" s="64">
        <f>IFERROR(S14/W14-1,"n/a")</f>
        <v>179.15662806495439</v>
      </c>
      <c r="AD14" s="64">
        <f>IFERROR(S14/X14-1,"n/a")</f>
        <v>4.096022999696217</v>
      </c>
      <c r="AE14" s="60">
        <f>IFERROR(S14/Y14-1,"n/a")</f>
        <v>1.0006911617156762</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141</v>
      </c>
      <c r="G16" s="71">
        <v>93</v>
      </c>
      <c r="H16" s="74">
        <v>71</v>
      </c>
      <c r="I16" s="71">
        <v>62</v>
      </c>
      <c r="J16" s="71">
        <v>22</v>
      </c>
      <c r="K16" s="71">
        <v>0</v>
      </c>
      <c r="L16" s="71">
        <v>59</v>
      </c>
      <c r="M16" s="64">
        <f t="shared" ref="M16:M17" si="0">IFERROR(F16/G16-1,"n/a")</f>
        <v>0.5161290322580645</v>
      </c>
      <c r="N16" s="64">
        <f t="shared" ref="N16:N17" si="1">IFERROR(F16/H16-1,"n/a")</f>
        <v>0.9859154929577465</v>
      </c>
      <c r="O16" s="64">
        <f t="shared" ref="O16:O17" si="2">IFERROR(F16/I16-1,"n/a")</f>
        <v>1.274193548387097</v>
      </c>
      <c r="P16" s="64">
        <f t="shared" ref="P16:P17" si="3">IFERROR(F16/J16-1,"n/a")</f>
        <v>5.4090909090909092</v>
      </c>
      <c r="Q16" s="64" t="str">
        <f t="shared" ref="Q16:Q17" si="4">IFERROR(F16/K16-1,"n/a")</f>
        <v>n/a</v>
      </c>
      <c r="R16" s="60">
        <f t="shared" ref="R16:R17" si="5">IFERROR(F16/L16-1,"n/a")</f>
        <v>1.3898305084745761</v>
      </c>
      <c r="S16" s="68">
        <f>'Jun-25'!S16+F16</f>
        <v>531</v>
      </c>
      <c r="T16" s="68">
        <f>'Jun-25'!T16+G16</f>
        <v>391</v>
      </c>
      <c r="U16" s="68">
        <f>'Jun-25'!U16+H16</f>
        <v>287</v>
      </c>
      <c r="V16" s="68">
        <f>'Jun-25'!V16+I16</f>
        <v>314</v>
      </c>
      <c r="W16" s="68">
        <f>'Jun-25'!W16+J16</f>
        <v>73</v>
      </c>
      <c r="X16" s="68">
        <f>'Jun-25'!X16+K16</f>
        <v>10</v>
      </c>
      <c r="Y16" s="68">
        <f>'Jun-25'!Y16+L16</f>
        <v>275</v>
      </c>
      <c r="Z16" s="64">
        <f t="shared" ref="Z16:Z17" si="6">IFERROR(S16/T16-1,"n/a")</f>
        <v>0.35805626598465468</v>
      </c>
      <c r="AA16" s="64">
        <f t="shared" ref="AA16:AA17" si="7">IFERROR(S16/U16-1,"n/a")</f>
        <v>0.85017421602787446</v>
      </c>
      <c r="AB16" s="64">
        <f t="shared" ref="AB16:AB17" si="8">IFERROR(S16/V16-1,"n/a")</f>
        <v>0.69108280254777066</v>
      </c>
      <c r="AC16" s="64">
        <f t="shared" ref="AC16:AC17" si="9">IFERROR(S16/W16-1,"n/a")</f>
        <v>6.2739726027397262</v>
      </c>
      <c r="AD16" s="64">
        <f t="shared" ref="AD16:AD17" si="10">IFERROR(S16/X16-1,"n/a")</f>
        <v>52.1</v>
      </c>
      <c r="AE16" s="60">
        <f t="shared" ref="AE16:AE17" si="11">IFERROR(S16/Y16-1,"n/a")</f>
        <v>0.93090909090909091</v>
      </c>
      <c r="AF16" s="68">
        <v>797</v>
      </c>
      <c r="AG16" s="68">
        <v>575</v>
      </c>
      <c r="AH16" s="68">
        <v>572</v>
      </c>
      <c r="AI16" s="68">
        <v>202</v>
      </c>
      <c r="AJ16" s="68">
        <v>54</v>
      </c>
      <c r="AK16" s="134">
        <v>586</v>
      </c>
      <c r="AL16" s="122"/>
      <c r="AM16" s="122"/>
    </row>
    <row r="17" spans="1:39" s="123" customFormat="1" ht="12.75">
      <c r="A17" s="122"/>
      <c r="B17" s="127"/>
      <c r="C17" s="33"/>
      <c r="D17" s="26" t="s">
        <v>11</v>
      </c>
      <c r="E17" s="32"/>
      <c r="F17" s="71">
        <v>388470</v>
      </c>
      <c r="G17" s="71">
        <v>287103</v>
      </c>
      <c r="H17" s="74">
        <v>271757</v>
      </c>
      <c r="I17" s="71">
        <v>137630</v>
      </c>
      <c r="J17" s="71">
        <v>37562</v>
      </c>
      <c r="K17" s="71">
        <v>0</v>
      </c>
      <c r="L17" s="71">
        <v>174121</v>
      </c>
      <c r="M17" s="64">
        <f t="shared" si="0"/>
        <v>0.35306841098839103</v>
      </c>
      <c r="N17" s="64">
        <f t="shared" si="1"/>
        <v>0.42947559768469623</v>
      </c>
      <c r="O17" s="64">
        <f t="shared" si="2"/>
        <v>1.8225677541233742</v>
      </c>
      <c r="P17" s="64">
        <f t="shared" si="3"/>
        <v>9.3421010595814913</v>
      </c>
      <c r="Q17" s="64" t="str">
        <f t="shared" si="4"/>
        <v>n/a</v>
      </c>
      <c r="R17" s="60">
        <f t="shared" si="5"/>
        <v>1.2310347402093944</v>
      </c>
      <c r="S17" s="68">
        <f>'Jun-25'!S17+F17</f>
        <v>1320712</v>
      </c>
      <c r="T17" s="68">
        <f>'Jun-25'!T17+G17</f>
        <v>1060856</v>
      </c>
      <c r="U17" s="68">
        <f>'Jun-25'!U17+H17</f>
        <v>848135</v>
      </c>
      <c r="V17" s="68">
        <f>'Jun-25'!V17+I17</f>
        <v>438192</v>
      </c>
      <c r="W17" s="68">
        <f>'Jun-25'!W17+J17</f>
        <v>102629</v>
      </c>
      <c r="X17" s="68">
        <f>'Jun-25'!X17+K17</f>
        <v>41113</v>
      </c>
      <c r="Y17" s="68">
        <f>'Jun-25'!Y17+L17</f>
        <v>732624</v>
      </c>
      <c r="Z17" s="64">
        <f t="shared" si="6"/>
        <v>0.24494936164757508</v>
      </c>
      <c r="AA17" s="64">
        <f t="shared" si="7"/>
        <v>0.5571954936419321</v>
      </c>
      <c r="AB17" s="64">
        <f t="shared" si="8"/>
        <v>2.0140029941212982</v>
      </c>
      <c r="AC17" s="64">
        <f t="shared" si="9"/>
        <v>11.86879926726364</v>
      </c>
      <c r="AD17" s="64">
        <f t="shared" si="10"/>
        <v>31.123951061707977</v>
      </c>
      <c r="AE17" s="60">
        <f t="shared" si="11"/>
        <v>0.80271462578348518</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136</v>
      </c>
      <c r="G19" s="71">
        <v>100</v>
      </c>
      <c r="H19" s="73">
        <v>93</v>
      </c>
      <c r="I19" s="71">
        <v>88</v>
      </c>
      <c r="J19" s="71">
        <v>3</v>
      </c>
      <c r="K19" s="71">
        <v>2</v>
      </c>
      <c r="L19" s="71">
        <v>50</v>
      </c>
      <c r="M19" s="64">
        <f t="shared" ref="M19:M20" si="12">IFERROR(F19/G19-1,"n/a")</f>
        <v>0.3600000000000001</v>
      </c>
      <c r="N19" s="64">
        <f t="shared" ref="N19:N20" si="13">IFERROR(F19/H19-1,"n/a")</f>
        <v>0.4623655913978495</v>
      </c>
      <c r="O19" s="64">
        <f t="shared" ref="O19:O20" si="14">IFERROR(F19/I19-1,"n/a")</f>
        <v>0.54545454545454541</v>
      </c>
      <c r="P19" s="64">
        <f t="shared" ref="P19:P20" si="15">IFERROR(F19/J19-1,"n/a")</f>
        <v>44.333333333333336</v>
      </c>
      <c r="Q19" s="64">
        <f t="shared" ref="Q19:Q20" si="16">IFERROR(F19/K19-1,"n/a")</f>
        <v>67</v>
      </c>
      <c r="R19" s="60">
        <f t="shared" ref="R19:R20" si="17">IFERROR(F19/L19-1,"n/a")</f>
        <v>1.7200000000000002</v>
      </c>
      <c r="S19" s="68">
        <f>'Jun-25'!S19+F19</f>
        <v>431</v>
      </c>
      <c r="T19" s="68">
        <f>'Jun-25'!T19+G19</f>
        <v>365</v>
      </c>
      <c r="U19" s="68">
        <f>'Jun-25'!U19+H19</f>
        <v>349</v>
      </c>
      <c r="V19" s="68">
        <f>'Jun-25'!V19+I19</f>
        <v>317</v>
      </c>
      <c r="W19" s="68">
        <f>'Jun-25'!W19+J19</f>
        <v>6</v>
      </c>
      <c r="X19" s="68">
        <f>'Jun-25'!X19+K19</f>
        <v>5</v>
      </c>
      <c r="Y19" s="68">
        <f>'Jun-25'!Y19+L19</f>
        <v>156</v>
      </c>
      <c r="Z19" s="64">
        <f t="shared" ref="Z19:Z20" si="18">IFERROR(S19/T19-1,"n/a")</f>
        <v>0.1808219178082191</v>
      </c>
      <c r="AA19" s="64">
        <f t="shared" ref="AA19:AA20" si="19">IFERROR(S19/U19-1,"n/a")</f>
        <v>0.23495702005730656</v>
      </c>
      <c r="AB19" s="64">
        <f t="shared" ref="AB19:AB20" si="20">IFERROR(S19/V19-1,"n/a")</f>
        <v>0.35962145110410093</v>
      </c>
      <c r="AC19" s="64">
        <f t="shared" ref="AC19:AC20" si="21">IFERROR(S19/W19-1,"n/a")</f>
        <v>70.833333333333329</v>
      </c>
      <c r="AD19" s="64">
        <f t="shared" ref="AD19:AD20" si="22">IFERROR(S19/X19-1,"n/a")</f>
        <v>85.2</v>
      </c>
      <c r="AE19" s="60">
        <f t="shared" ref="AE19:AE20" si="23">IFERROR(S19/Y19-1,"n/a")</f>
        <v>1.7628205128205128</v>
      </c>
      <c r="AF19" s="68">
        <v>733</v>
      </c>
      <c r="AG19" s="68">
        <v>708</v>
      </c>
      <c r="AH19" s="68">
        <v>658</v>
      </c>
      <c r="AI19" s="68">
        <v>47</v>
      </c>
      <c r="AJ19" s="68">
        <v>9</v>
      </c>
      <c r="AK19" s="134">
        <v>290</v>
      </c>
      <c r="AL19" s="122"/>
      <c r="AM19" s="122"/>
    </row>
    <row r="20" spans="1:39" s="123" customFormat="1" ht="12.75">
      <c r="A20" s="122"/>
      <c r="B20" s="127"/>
      <c r="C20" s="33"/>
      <c r="D20" s="26" t="s">
        <v>11</v>
      </c>
      <c r="E20" s="32"/>
      <c r="F20" s="71">
        <v>330493</v>
      </c>
      <c r="G20" s="71">
        <v>262595</v>
      </c>
      <c r="H20" s="73">
        <v>203881</v>
      </c>
      <c r="I20" s="71">
        <v>138433</v>
      </c>
      <c r="J20" s="71">
        <v>468</v>
      </c>
      <c r="K20" s="71">
        <v>6081</v>
      </c>
      <c r="L20" s="71">
        <v>97604</v>
      </c>
      <c r="M20" s="64">
        <f t="shared" si="12"/>
        <v>0.25856547154363185</v>
      </c>
      <c r="N20" s="64">
        <f t="shared" si="13"/>
        <v>0.6210093142568458</v>
      </c>
      <c r="O20" s="64">
        <f t="shared" si="14"/>
        <v>1.3873859556608612</v>
      </c>
      <c r="P20" s="64">
        <f t="shared" si="15"/>
        <v>705.1816239316239</v>
      </c>
      <c r="Q20" s="64">
        <f t="shared" si="16"/>
        <v>53.348462423943431</v>
      </c>
      <c r="R20" s="60">
        <f t="shared" si="17"/>
        <v>2.3860599975410843</v>
      </c>
      <c r="S20" s="68">
        <f>'Jun-25'!S20+F20</f>
        <v>853652</v>
      </c>
      <c r="T20" s="68">
        <f>'Jun-25'!T20+G20</f>
        <v>737983.4</v>
      </c>
      <c r="U20" s="68">
        <f>'Jun-25'!U20+H20</f>
        <v>597661</v>
      </c>
      <c r="V20" s="68">
        <f>'Jun-25'!V20+I20</f>
        <v>381024</v>
      </c>
      <c r="W20" s="68">
        <f>'Jun-25'!W20+J20</f>
        <v>468</v>
      </c>
      <c r="X20" s="68">
        <f>'Jun-25'!X20+K20</f>
        <v>10047</v>
      </c>
      <c r="Y20" s="68">
        <f>'Jun-25'!Y20+L20</f>
        <v>284386</v>
      </c>
      <c r="Z20" s="64">
        <f t="shared" si="18"/>
        <v>0.15673604582433698</v>
      </c>
      <c r="AA20" s="64">
        <f t="shared" si="19"/>
        <v>0.42832140628215654</v>
      </c>
      <c r="AB20" s="64">
        <f t="shared" si="20"/>
        <v>1.2404153019232385</v>
      </c>
      <c r="AC20" s="64">
        <f t="shared" si="21"/>
        <v>1823.0427350427351</v>
      </c>
      <c r="AD20" s="64">
        <f t="shared" si="22"/>
        <v>83.965860455857467</v>
      </c>
      <c r="AE20" s="60">
        <f t="shared" si="23"/>
        <v>2.0017370756647654</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71</v>
      </c>
      <c r="G22" s="71">
        <v>78</v>
      </c>
      <c r="H22" s="74">
        <v>81</v>
      </c>
      <c r="I22" s="71">
        <v>74</v>
      </c>
      <c r="J22" s="71">
        <v>10</v>
      </c>
      <c r="K22" s="71">
        <v>0</v>
      </c>
      <c r="L22" s="71">
        <v>68</v>
      </c>
      <c r="M22" s="64">
        <f t="shared" ref="M22:M23" si="24">IFERROR(F22/G22-1,"n/a")</f>
        <v>-8.9743589743589758E-2</v>
      </c>
      <c r="N22" s="64">
        <f t="shared" ref="N22:N23" si="25">IFERROR(F22/H22-1,"n/a")</f>
        <v>-0.12345679012345678</v>
      </c>
      <c r="O22" s="64">
        <f t="shared" ref="O22:O23" si="26">IFERROR(F22/I22-1,"n/a")</f>
        <v>-4.0540540540540571E-2</v>
      </c>
      <c r="P22" s="64">
        <f t="shared" ref="P22:P23" si="27">IFERROR(F22/J22-1,"n/a")</f>
        <v>6.1</v>
      </c>
      <c r="Q22" s="64" t="str">
        <f t="shared" ref="Q22:Q23" si="28">IFERROR(F22/K22-1,"n/a")</f>
        <v>n/a</v>
      </c>
      <c r="R22" s="60">
        <f t="shared" ref="R22:R23" si="29">IFERROR(F22/L22-1,"n/a")</f>
        <v>4.4117647058823595E-2</v>
      </c>
      <c r="S22" s="68">
        <f>'Jun-25'!S22+F22</f>
        <v>909</v>
      </c>
      <c r="T22" s="68">
        <f>'Jun-25'!T22+G22</f>
        <v>774</v>
      </c>
      <c r="U22" s="68">
        <f>'Jun-25'!U22+H22</f>
        <v>777</v>
      </c>
      <c r="V22" s="68">
        <f>'Jun-25'!V22+I22</f>
        <v>403</v>
      </c>
      <c r="W22" s="68">
        <f>'Jun-25'!W22+J22</f>
        <v>14</v>
      </c>
      <c r="X22" s="68">
        <f>'Jun-25'!X22+K22</f>
        <v>43</v>
      </c>
      <c r="Y22" s="68">
        <f>'Jun-25'!Y22+L22</f>
        <v>430</v>
      </c>
      <c r="Z22" s="64">
        <f t="shared" ref="Z22:Z23" si="30">IFERROR(S22/T22-1,"n/a")</f>
        <v>0.17441860465116288</v>
      </c>
      <c r="AA22" s="64">
        <f t="shared" ref="AA22:AA23" si="31">IFERROR(S22/U22-1,"n/a")</f>
        <v>0.16988416988416999</v>
      </c>
      <c r="AB22" s="64">
        <f t="shared" ref="AB22:AB23" si="32">IFERROR(S22/V22-1,"n/a")</f>
        <v>1.2555831265508686</v>
      </c>
      <c r="AC22" s="64">
        <f t="shared" ref="AC22:AC23" si="33">IFERROR(S22/W22-1,"n/a")</f>
        <v>63.928571428571431</v>
      </c>
      <c r="AD22" s="64">
        <f t="shared" ref="AD22:AD23" si="34">IFERROR(S22/X22-1,"n/a")</f>
        <v>20.13953488372093</v>
      </c>
      <c r="AE22" s="60">
        <f t="shared" ref="AE22:AE23" si="35">IFERROR(S22/Y22-1,"n/a")</f>
        <v>1.113953488372093</v>
      </c>
      <c r="AF22" s="68">
        <v>1651</v>
      </c>
      <c r="AG22" s="68">
        <v>1500</v>
      </c>
      <c r="AH22" s="68">
        <v>895</v>
      </c>
      <c r="AI22" s="68">
        <v>283</v>
      </c>
      <c r="AJ22" s="68">
        <v>43</v>
      </c>
      <c r="AK22" s="134">
        <v>827</v>
      </c>
      <c r="AL22" s="122"/>
      <c r="AM22" s="122"/>
    </row>
    <row r="23" spans="1:39" s="123" customFormat="1" ht="12.75">
      <c r="A23" s="122"/>
      <c r="B23" s="127"/>
      <c r="C23" s="33"/>
      <c r="D23" s="26" t="s">
        <v>11</v>
      </c>
      <c r="E23" s="32"/>
      <c r="F23" s="71">
        <v>285959</v>
      </c>
      <c r="G23" s="71">
        <v>391649</v>
      </c>
      <c r="H23" s="73">
        <v>393561</v>
      </c>
      <c r="I23" s="71">
        <v>283525</v>
      </c>
      <c r="J23" s="71">
        <v>23553</v>
      </c>
      <c r="K23" s="71">
        <v>0</v>
      </c>
      <c r="L23" s="71">
        <v>261197</v>
      </c>
      <c r="M23" s="64">
        <f t="shared" si="24"/>
        <v>-0.26985898087317983</v>
      </c>
      <c r="N23" s="64">
        <f t="shared" si="25"/>
        <v>-0.27340615558960368</v>
      </c>
      <c r="O23" s="64">
        <f t="shared" si="26"/>
        <v>8.5847808835199935E-3</v>
      </c>
      <c r="P23" s="64">
        <f t="shared" si="27"/>
        <v>11.141086061223623</v>
      </c>
      <c r="Q23" s="64" t="str">
        <f t="shared" si="28"/>
        <v>n/a</v>
      </c>
      <c r="R23" s="60">
        <f t="shared" si="29"/>
        <v>9.480200768002689E-2</v>
      </c>
      <c r="S23" s="68">
        <f>'Jun-25'!S23+F23</f>
        <v>2512677</v>
      </c>
      <c r="T23" s="68">
        <f>'Jun-25'!T23+G23</f>
        <v>2546374</v>
      </c>
      <c r="U23" s="68">
        <f>'Jun-25'!U23+H23</f>
        <v>2307313</v>
      </c>
      <c r="V23" s="68">
        <f>'Jun-25'!V23+I23</f>
        <v>825612</v>
      </c>
      <c r="W23" s="68">
        <f>'Jun-25'!W23+J23</f>
        <v>28476</v>
      </c>
      <c r="X23" s="68">
        <f>'Jun-25'!X23+K23</f>
        <v>140552</v>
      </c>
      <c r="Y23" s="68">
        <f>'Jun-25'!Y23+L23</f>
        <v>1301649</v>
      </c>
      <c r="Z23" s="64">
        <f t="shared" si="30"/>
        <v>-1.3233327076069723E-2</v>
      </c>
      <c r="AA23" s="64">
        <f t="shared" si="31"/>
        <v>8.9005696236271303E-2</v>
      </c>
      <c r="AB23" s="64">
        <f t="shared" si="32"/>
        <v>2.0434114329733579</v>
      </c>
      <c r="AC23" s="64">
        <f t="shared" si="33"/>
        <v>87.238411293721029</v>
      </c>
      <c r="AD23" s="64">
        <f t="shared" si="34"/>
        <v>16.877205589390403</v>
      </c>
      <c r="AE23" s="60">
        <f t="shared" si="35"/>
        <v>0.93037984894545311</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6</v>
      </c>
      <c r="G25" s="71">
        <v>4</v>
      </c>
      <c r="H25" s="71">
        <v>3</v>
      </c>
      <c r="I25" s="71">
        <v>3</v>
      </c>
      <c r="J25" s="71">
        <v>0</v>
      </c>
      <c r="K25" s="71">
        <v>0</v>
      </c>
      <c r="L25" s="71">
        <v>3</v>
      </c>
      <c r="M25" s="64">
        <f t="shared" ref="M25:M28" si="36">IFERROR(F25/G25-1,"n/a")</f>
        <v>0.5</v>
      </c>
      <c r="N25" s="64">
        <f t="shared" ref="N25:N28" si="37">IFERROR(F25/H25-1,"n/a")</f>
        <v>1</v>
      </c>
      <c r="O25" s="64">
        <f t="shared" ref="O25:O28" si="38">IFERROR(F25/I25-1,"n/a")</f>
        <v>1</v>
      </c>
      <c r="P25" s="64" t="str">
        <f t="shared" ref="P25:P28" si="39">IFERROR(F25/J25-1,"n/a")</f>
        <v>n/a</v>
      </c>
      <c r="Q25" s="64" t="str">
        <f t="shared" ref="Q25:Q28" si="40">IFERROR(F25/K25-1,"n/a")</f>
        <v>n/a</v>
      </c>
      <c r="R25" s="60">
        <f t="shared" ref="R25:R28" si="41">IFERROR(F25/L25-1,"n/a")</f>
        <v>1</v>
      </c>
      <c r="S25" s="68">
        <f>'Jun-25'!S25+F25</f>
        <v>11</v>
      </c>
      <c r="T25" s="68">
        <f>'Jun-25'!T25+G25</f>
        <v>9</v>
      </c>
      <c r="U25" s="68">
        <f>'Jun-25'!U25+H25</f>
        <v>11</v>
      </c>
      <c r="V25" s="68">
        <f>'Jun-25'!V25+I25</f>
        <v>5</v>
      </c>
      <c r="W25" s="68">
        <f>'Jun-25'!W25+J25</f>
        <v>0</v>
      </c>
      <c r="X25" s="68">
        <f>'Jun-25'!X25+K25</f>
        <v>0</v>
      </c>
      <c r="Y25" s="68">
        <f>'Jun-25'!Y25+L25</f>
        <v>11</v>
      </c>
      <c r="Z25" s="64">
        <f t="shared" ref="Z25:Z28" si="42">IFERROR(S25/T25-1,"n/a")</f>
        <v>0.22222222222222232</v>
      </c>
      <c r="AA25" s="64">
        <f t="shared" ref="AA25:AA28" si="43">IFERROR(S25/U25-1,"n/a")</f>
        <v>0</v>
      </c>
      <c r="AB25" s="64">
        <f t="shared" ref="AB25:AB28" si="44">IFERROR(S25/V25-1,"n/a")</f>
        <v>1.2000000000000002</v>
      </c>
      <c r="AC25" s="64" t="str">
        <f t="shared" ref="AC25:AC28" si="45">IFERROR(S25/W25-1,"n/a")</f>
        <v>n/a</v>
      </c>
      <c r="AD25" s="64" t="str">
        <f t="shared" ref="AD25:AD28" si="46">IFERROR(S25/X25-1,"n/a")</f>
        <v>n/a</v>
      </c>
      <c r="AE25" s="60">
        <f t="shared" ref="AE25:AE28" si="47">IFERROR(S25/Y25-1,"n/a")</f>
        <v>0</v>
      </c>
      <c r="AF25" s="68">
        <v>14</v>
      </c>
      <c r="AG25" s="68">
        <v>21</v>
      </c>
      <c r="AH25" s="68">
        <v>9</v>
      </c>
      <c r="AI25" s="68">
        <v>0</v>
      </c>
      <c r="AJ25" s="68">
        <v>0</v>
      </c>
      <c r="AK25" s="134">
        <v>16</v>
      </c>
      <c r="AL25" s="122"/>
      <c r="AM25" s="122"/>
    </row>
    <row r="26" spans="1:39" s="123" customFormat="1" ht="12.75">
      <c r="A26" s="122"/>
      <c r="B26" s="127"/>
      <c r="C26" s="33"/>
      <c r="D26" s="26" t="s">
        <v>11</v>
      </c>
      <c r="E26" s="32"/>
      <c r="F26" s="71">
        <v>20505</v>
      </c>
      <c r="G26" s="71">
        <v>15059</v>
      </c>
      <c r="H26" s="71">
        <v>6188</v>
      </c>
      <c r="I26" s="71">
        <v>5526</v>
      </c>
      <c r="J26" s="71">
        <v>0</v>
      </c>
      <c r="K26" s="71">
        <v>0</v>
      </c>
      <c r="L26" s="71">
        <v>3523</v>
      </c>
      <c r="M26" s="64">
        <f t="shared" si="36"/>
        <v>0.36164419948203741</v>
      </c>
      <c r="N26" s="64">
        <f t="shared" si="37"/>
        <v>2.3136716224951521</v>
      </c>
      <c r="O26" s="64">
        <f t="shared" si="38"/>
        <v>2.7106406080347449</v>
      </c>
      <c r="P26" s="64" t="str">
        <f t="shared" si="39"/>
        <v>n/a</v>
      </c>
      <c r="Q26" s="64" t="str">
        <f t="shared" si="40"/>
        <v>n/a</v>
      </c>
      <c r="R26" s="60">
        <f t="shared" si="41"/>
        <v>4.8203235878512629</v>
      </c>
      <c r="S26" s="68">
        <f>'Jun-25'!S26+F26</f>
        <v>41409</v>
      </c>
      <c r="T26" s="68">
        <f>'Jun-25'!T26+G26</f>
        <v>33718</v>
      </c>
      <c r="U26" s="68">
        <f>'Jun-25'!U26+H26</f>
        <v>19775</v>
      </c>
      <c r="V26" s="68">
        <f>'Jun-25'!V26+I26</f>
        <v>8677</v>
      </c>
      <c r="W26" s="68">
        <f>'Jun-25'!W26+J26</f>
        <v>0</v>
      </c>
      <c r="X26" s="68">
        <f>'Jun-25'!X26+K26</f>
        <v>0</v>
      </c>
      <c r="Y26" s="68">
        <f>'Jun-25'!Y26+L26</f>
        <v>13750</v>
      </c>
      <c r="Z26" s="64">
        <f t="shared" si="42"/>
        <v>0.22809775194258264</v>
      </c>
      <c r="AA26" s="64">
        <f t="shared" si="43"/>
        <v>1.0940075853350191</v>
      </c>
      <c r="AB26" s="64">
        <f t="shared" si="44"/>
        <v>3.7722715224155818</v>
      </c>
      <c r="AC26" s="64" t="str">
        <f t="shared" si="45"/>
        <v>n/a</v>
      </c>
      <c r="AD26" s="64" t="str">
        <f t="shared" si="46"/>
        <v>n/a</v>
      </c>
      <c r="AE26" s="60">
        <f t="shared" si="47"/>
        <v>2.0115636363636362</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522</v>
      </c>
      <c r="G27" s="75">
        <f t="shared" si="48"/>
        <v>441</v>
      </c>
      <c r="H27" s="75">
        <f t="shared" si="48"/>
        <v>353</v>
      </c>
      <c r="I27" s="75">
        <f t="shared" si="48"/>
        <v>311</v>
      </c>
      <c r="J27" s="75">
        <f t="shared" si="48"/>
        <v>63</v>
      </c>
      <c r="K27" s="75">
        <f t="shared" si="48"/>
        <v>2</v>
      </c>
      <c r="L27" s="75">
        <f t="shared" si="48"/>
        <v>281</v>
      </c>
      <c r="M27" s="66">
        <f t="shared" si="36"/>
        <v>0.18367346938775508</v>
      </c>
      <c r="N27" s="66">
        <f t="shared" si="37"/>
        <v>0.47875354107648715</v>
      </c>
      <c r="O27" s="66">
        <f t="shared" si="38"/>
        <v>0.67845659163987149</v>
      </c>
      <c r="P27" s="66">
        <f t="shared" si="39"/>
        <v>7.2857142857142865</v>
      </c>
      <c r="Q27" s="66">
        <f t="shared" si="40"/>
        <v>260</v>
      </c>
      <c r="R27" s="62">
        <f t="shared" si="41"/>
        <v>0.85765124555160144</v>
      </c>
      <c r="S27" s="75">
        <f t="shared" ref="S27:Y28" si="49">S13+S16+S19+S22+S25</f>
        <v>3704</v>
      </c>
      <c r="T27" s="75">
        <f t="shared" si="49"/>
        <v>2913</v>
      </c>
      <c r="U27" s="75">
        <f t="shared" si="49"/>
        <v>2382</v>
      </c>
      <c r="V27" s="75">
        <f t="shared" si="49"/>
        <v>1949</v>
      </c>
      <c r="W27" s="75">
        <f t="shared" si="49"/>
        <v>121</v>
      </c>
      <c r="X27" s="75">
        <f t="shared" si="49"/>
        <v>609</v>
      </c>
      <c r="Y27" s="75">
        <f t="shared" si="49"/>
        <v>1798</v>
      </c>
      <c r="Z27" s="66">
        <f t="shared" si="42"/>
        <v>0.27154136628904912</v>
      </c>
      <c r="AA27" s="66">
        <f t="shared" si="43"/>
        <v>0.55499580184718722</v>
      </c>
      <c r="AB27" s="66">
        <f t="shared" si="44"/>
        <v>0.90046177526936888</v>
      </c>
      <c r="AC27" s="66">
        <f t="shared" si="45"/>
        <v>29.611570247933884</v>
      </c>
      <c r="AD27" s="66">
        <f t="shared" si="46"/>
        <v>5.082101806239737</v>
      </c>
      <c r="AE27" s="62">
        <f t="shared" si="47"/>
        <v>1.060066740823137</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1689928</v>
      </c>
      <c r="G28" s="76">
        <f t="shared" si="48"/>
        <v>1595545</v>
      </c>
      <c r="H28" s="76">
        <f t="shared" si="48"/>
        <v>1271791</v>
      </c>
      <c r="I28" s="76">
        <f t="shared" si="48"/>
        <v>857236</v>
      </c>
      <c r="J28" s="76">
        <f t="shared" si="48"/>
        <v>92497</v>
      </c>
      <c r="K28" s="76">
        <f t="shared" si="48"/>
        <v>6081</v>
      </c>
      <c r="L28" s="76">
        <f t="shared" si="48"/>
        <v>868909</v>
      </c>
      <c r="M28" s="67">
        <f t="shared" si="36"/>
        <v>5.9154082147479414E-2</v>
      </c>
      <c r="N28" s="67">
        <f t="shared" si="37"/>
        <v>0.32877807753003441</v>
      </c>
      <c r="O28" s="67">
        <f t="shared" si="38"/>
        <v>0.97136844462901695</v>
      </c>
      <c r="P28" s="67">
        <f t="shared" si="39"/>
        <v>17.270084435170869</v>
      </c>
      <c r="Q28" s="67">
        <f t="shared" si="40"/>
        <v>276.90297648413087</v>
      </c>
      <c r="R28" s="63">
        <f t="shared" si="41"/>
        <v>0.94488490739536601</v>
      </c>
      <c r="S28" s="76">
        <f t="shared" si="49"/>
        <v>10297812</v>
      </c>
      <c r="T28" s="76">
        <f t="shared" si="49"/>
        <v>8973110.4000000004</v>
      </c>
      <c r="U28" s="76">
        <f t="shared" si="49"/>
        <v>6870350</v>
      </c>
      <c r="V28" s="76">
        <f t="shared" si="49"/>
        <v>3489716</v>
      </c>
      <c r="W28" s="76">
        <f t="shared" si="49"/>
        <v>162487</v>
      </c>
      <c r="X28" s="76">
        <f t="shared" si="49"/>
        <v>1284596</v>
      </c>
      <c r="Y28" s="76">
        <f t="shared" si="49"/>
        <v>5116128</v>
      </c>
      <c r="Z28" s="67">
        <f t="shared" si="42"/>
        <v>0.14763014617539971</v>
      </c>
      <c r="AA28" s="67">
        <f t="shared" si="43"/>
        <v>0.49887734977111786</v>
      </c>
      <c r="AB28" s="67">
        <f t="shared" si="44"/>
        <v>1.9509025949389578</v>
      </c>
      <c r="AC28" s="67">
        <f t="shared" si="45"/>
        <v>62.37622086690012</v>
      </c>
      <c r="AD28" s="67">
        <f t="shared" si="46"/>
        <v>7.016381804084709</v>
      </c>
      <c r="AE28" s="63">
        <f t="shared" si="47"/>
        <v>1.0128135965323777</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'Jun-25'!S27+'Jun-25'!S28+'Jul-25'!F27+'Jul-25'!F28-'Jul-25'!S27-'Jul-25'!S28</f>
        <v>0</v>
      </c>
      <c r="T30" s="128">
        <f>'Jun-25'!T27+'Jun-25'!T28+'Jul-25'!G27+'Jul-25'!G28-'Jul-25'!T27-'Jul-25'!T28</f>
        <v>0</v>
      </c>
      <c r="U30" s="128">
        <f>'Jun-25'!U27+'Jun-25'!U28+'Jul-25'!H27+'Jul-25'!H28-'Jul-25'!U27-'Jul-25'!U28</f>
        <v>0</v>
      </c>
      <c r="V30" s="128">
        <f>'Jun-25'!V27+'Jun-25'!V28+'Jul-25'!I27+'Jul-25'!I28-'Jul-25'!V27-'Jul-25'!V28</f>
        <v>0</v>
      </c>
      <c r="W30" s="128">
        <f>'Jun-25'!W27+'Jun-25'!W28+'Jul-25'!J27+'Jul-25'!J28-'Jul-25'!W27-'Jul-25'!W28</f>
        <v>0</v>
      </c>
      <c r="X30" s="128">
        <f>'Jun-25'!X27+'Jun-25'!X28+'Jul-25'!K27+'Jul-25'!K28-'Jul-25'!X27-'Jul-25'!X28</f>
        <v>0</v>
      </c>
      <c r="Y30" s="128">
        <f>'Jun-25'!Y27+'Jun-25'!Y28+'Jul-25'!L27+'Jul-25'!L28-'Jul-25'!Y27-'Jul-25'!Y28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July</v>
      </c>
      <c r="G33" s="170"/>
      <c r="H33" s="170"/>
      <c r="I33" s="170"/>
      <c r="J33" s="170"/>
      <c r="K33" s="170"/>
      <c r="L33" s="170"/>
      <c r="M33" s="170"/>
      <c r="N33" s="170"/>
      <c r="O33" s="170"/>
      <c r="P33" s="170"/>
      <c r="Q33" s="170"/>
      <c r="R33" s="171"/>
      <c r="S33" s="176" t="str">
        <f>"April to "&amp;D4&amp;" (YTD)"</f>
        <v>April to July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3" t="s">
        <v>146</v>
      </c>
      <c r="AA35" s="53" t="s">
        <v>147</v>
      </c>
      <c r="AB35" s="53" t="s">
        <v>148</v>
      </c>
      <c r="AC35" s="53" t="s">
        <v>149</v>
      </c>
      <c r="AD35" s="53" t="s">
        <v>150</v>
      </c>
      <c r="AE35" s="57" t="s">
        <v>151</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168</v>
      </c>
      <c r="G37" s="74">
        <f t="shared" ref="G37:L38" si="51">G13</f>
        <v>166</v>
      </c>
      <c r="H37" s="74">
        <f t="shared" si="51"/>
        <v>105</v>
      </c>
      <c r="I37" s="74">
        <f t="shared" si="51"/>
        <v>84</v>
      </c>
      <c r="J37" s="74">
        <f t="shared" si="51"/>
        <v>28</v>
      </c>
      <c r="K37" s="74">
        <f t="shared" si="51"/>
        <v>0</v>
      </c>
      <c r="L37" s="74">
        <f t="shared" si="51"/>
        <v>101</v>
      </c>
      <c r="M37" s="64">
        <f t="shared" ref="M37:M38" si="52">IFERROR(F37/G37-1,"n/a")</f>
        <v>1.2048192771084265E-2</v>
      </c>
      <c r="N37" s="64">
        <f t="shared" ref="N37:N38" si="53">IFERROR(F37/H37-1,"n/a")</f>
        <v>0.60000000000000009</v>
      </c>
      <c r="O37" s="64">
        <f t="shared" ref="O37:O38" si="54">IFERROR(F37/I37-1,"n/a")</f>
        <v>1</v>
      </c>
      <c r="P37" s="64">
        <f t="shared" ref="P37:P38" si="55">IFERROR(F37/J37-1,"n/a")</f>
        <v>5</v>
      </c>
      <c r="Q37" s="64" t="str">
        <f t="shared" ref="Q37:Q38" si="56">IFERROR(F37/K37-1,"n/a")</f>
        <v>n/a</v>
      </c>
      <c r="R37" s="60">
        <f t="shared" ref="R37:R38" si="57">IFERROR(F37/L37-1,"n/a")</f>
        <v>0.66336633663366329</v>
      </c>
      <c r="S37" s="74">
        <f>'Jun-25'!S37+F37</f>
        <v>729</v>
      </c>
      <c r="T37" s="74">
        <f>'Jun-25'!T37+G37</f>
        <v>672</v>
      </c>
      <c r="U37" s="74">
        <f>'Jun-25'!U37+H37</f>
        <v>428</v>
      </c>
      <c r="V37" s="74">
        <f>'Jun-25'!V37+I37</f>
        <v>380</v>
      </c>
      <c r="W37" s="74">
        <f>'Jun-25'!W37+J37</f>
        <v>28</v>
      </c>
      <c r="X37" s="74">
        <f>'Jun-25'!X37+K37</f>
        <v>42</v>
      </c>
      <c r="Y37" s="74">
        <f>'Jun-25'!Y37+L37</f>
        <v>410</v>
      </c>
      <c r="Z37" s="147">
        <f>IFERROR(S37/T37-1,"n/a")</f>
        <v>8.4821428571428603E-2</v>
      </c>
      <c r="AA37" s="147">
        <f>IFERROR(S37/U37-1,"n/a")</f>
        <v>0.70327102803738328</v>
      </c>
      <c r="AB37" s="147">
        <f>IFERROR(S37/V37-1,"n/a")</f>
        <v>0.91842105263157903</v>
      </c>
      <c r="AC37" s="147">
        <f>IFERROR(S37/W37-1,"n/a")</f>
        <v>25.035714285714285</v>
      </c>
      <c r="AD37" s="147">
        <f>IFERROR(S37/X37-1,"n/a")</f>
        <v>16.357142857142858</v>
      </c>
      <c r="AE37" s="158">
        <f>IFERROR(S37/Y37-1,"n/a")</f>
        <v>0.7780487804878049</v>
      </c>
      <c r="AF37" s="154">
        <v>2874</v>
      </c>
      <c r="AG37" s="89">
        <v>1802</v>
      </c>
      <c r="AH37" s="89">
        <v>1486</v>
      </c>
      <c r="AI37" s="89">
        <v>1052</v>
      </c>
      <c r="AJ37" s="70">
        <v>551</v>
      </c>
      <c r="AK37" s="78">
        <v>1584</v>
      </c>
      <c r="AM37" s="122"/>
    </row>
    <row r="38" spans="1:39" s="123" customFormat="1" ht="11.25">
      <c r="A38" s="122"/>
      <c r="B38" s="122"/>
      <c r="C38" s="33"/>
      <c r="D38" s="26" t="s">
        <v>11</v>
      </c>
      <c r="E38" s="32"/>
      <c r="F38" s="74">
        <f>F14</f>
        <v>664501</v>
      </c>
      <c r="G38" s="74">
        <f t="shared" si="51"/>
        <v>639139</v>
      </c>
      <c r="H38" s="74">
        <f t="shared" si="51"/>
        <v>396404</v>
      </c>
      <c r="I38" s="74">
        <f t="shared" si="51"/>
        <v>292122</v>
      </c>
      <c r="J38" s="74">
        <f t="shared" si="51"/>
        <v>30914</v>
      </c>
      <c r="K38" s="74">
        <f t="shared" si="51"/>
        <v>0</v>
      </c>
      <c r="L38" s="74">
        <f t="shared" si="51"/>
        <v>332464</v>
      </c>
      <c r="M38" s="64">
        <f t="shared" si="52"/>
        <v>3.9681509030117024E-2</v>
      </c>
      <c r="N38" s="64">
        <f t="shared" si="53"/>
        <v>0.6763226405384406</v>
      </c>
      <c r="O38" s="64">
        <f t="shared" si="54"/>
        <v>1.274737951951582</v>
      </c>
      <c r="P38" s="64">
        <f t="shared" si="55"/>
        <v>20.495147829462379</v>
      </c>
      <c r="Q38" s="64" t="str">
        <f t="shared" si="56"/>
        <v>n/a</v>
      </c>
      <c r="R38" s="60">
        <f t="shared" si="57"/>
        <v>0.99871565041628574</v>
      </c>
      <c r="S38" s="74">
        <f>'Jun-25'!S38+F38</f>
        <v>2643781</v>
      </c>
      <c r="T38" s="74">
        <f>'Jun-25'!T38+G38</f>
        <v>2440355</v>
      </c>
      <c r="U38" s="74">
        <f>'Jun-25'!U38+H38</f>
        <v>1559282</v>
      </c>
      <c r="V38" s="74">
        <f>'Jun-25'!V38+I38</f>
        <v>1076553</v>
      </c>
      <c r="W38" s="74">
        <f>'Jun-25'!W38+J38</f>
        <v>30914</v>
      </c>
      <c r="X38" s="74">
        <f>'Jun-25'!X38+K38</f>
        <v>0</v>
      </c>
      <c r="Y38" s="74">
        <f>'Jun-25'!Y38+L38</f>
        <v>1332615</v>
      </c>
      <c r="Z38" s="147">
        <f>IFERROR(S38/T38-1,"n/a")</f>
        <v>8.3359183397497594E-2</v>
      </c>
      <c r="AA38" s="147">
        <f>IFERROR(S38/U38-1,"n/a")</f>
        <v>0.69551178042201478</v>
      </c>
      <c r="AB38" s="147">
        <f>IFERROR(S38/V38-1,"n/a")</f>
        <v>1.4557834124283708</v>
      </c>
      <c r="AC38" s="147">
        <f>IFERROR(S38/W38-1,"n/a")</f>
        <v>84.520508507472343</v>
      </c>
      <c r="AD38" s="147" t="str">
        <f>IFERROR(S38/X38-1,"n/a")</f>
        <v>n/a</v>
      </c>
      <c r="AE38" s="158">
        <f>IFERROR(S38/Y38-1,"n/a")</f>
        <v>0.98390457859171621</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26"/>
      <c r="T39" s="26"/>
      <c r="U39" s="26"/>
      <c r="V39" s="26"/>
      <c r="W39" s="26"/>
      <c r="X39" s="26"/>
      <c r="Y39" s="26"/>
      <c r="Z39" s="146"/>
      <c r="AA39" s="148"/>
      <c r="AB39" s="148"/>
      <c r="AC39" s="148"/>
      <c r="AD39" s="148"/>
      <c r="AE39" s="159"/>
      <c r="AF39" s="44"/>
      <c r="AG39" s="90"/>
      <c r="AH39" s="90"/>
      <c r="AI39" s="90"/>
      <c r="AJ39" s="44"/>
      <c r="AK39" s="79"/>
      <c r="AM39" s="122"/>
    </row>
    <row r="40" spans="1:39" s="123" customFormat="1" ht="11.25">
      <c r="A40" s="122"/>
      <c r="B40" s="122"/>
      <c r="C40" s="33"/>
      <c r="D40" s="26" t="s">
        <v>5</v>
      </c>
      <c r="E40" s="32"/>
      <c r="F40" s="74">
        <f t="shared" ref="F40:L41" si="58">F16</f>
        <v>141</v>
      </c>
      <c r="G40" s="74">
        <f t="shared" si="58"/>
        <v>93</v>
      </c>
      <c r="H40" s="74">
        <f t="shared" si="58"/>
        <v>71</v>
      </c>
      <c r="I40" s="74">
        <f t="shared" si="58"/>
        <v>62</v>
      </c>
      <c r="J40" s="74">
        <f t="shared" si="58"/>
        <v>22</v>
      </c>
      <c r="K40" s="74">
        <f t="shared" si="58"/>
        <v>0</v>
      </c>
      <c r="L40" s="74">
        <f t="shared" si="58"/>
        <v>59</v>
      </c>
      <c r="M40" s="64">
        <f t="shared" ref="M40:M41" si="59">IFERROR(F40/G40-1,"n/a")</f>
        <v>0.5161290322580645</v>
      </c>
      <c r="N40" s="64">
        <f t="shared" ref="N40:N41" si="60">IFERROR(F40/H40-1,"n/a")</f>
        <v>0.9859154929577465</v>
      </c>
      <c r="O40" s="64">
        <f t="shared" ref="O40:O41" si="61">IFERROR(F40/I40-1,"n/a")</f>
        <v>1.274193548387097</v>
      </c>
      <c r="P40" s="64">
        <f t="shared" ref="P40:P41" si="62">IFERROR(F40/J40-1,"n/a")</f>
        <v>5.4090909090909092</v>
      </c>
      <c r="Q40" s="64" t="str">
        <f t="shared" ref="Q40:Q41" si="63">IFERROR(F40/K40-1,"n/a")</f>
        <v>n/a</v>
      </c>
      <c r="R40" s="60">
        <f t="shared" ref="R40:R41" si="64">IFERROR(F40/L40-1,"n/a")</f>
        <v>1.3898305084745761</v>
      </c>
      <c r="S40" s="74">
        <f>'Jun-25'!S40+F40</f>
        <v>474</v>
      </c>
      <c r="T40" s="74">
        <f>'Jun-25'!T40+G40</f>
        <v>354</v>
      </c>
      <c r="U40" s="74">
        <f>'Jun-25'!U40+H40</f>
        <v>260</v>
      </c>
      <c r="V40" s="74">
        <f>'Jun-25'!V40+I40</f>
        <v>278</v>
      </c>
      <c r="W40" s="74">
        <f>'Jun-25'!W40+J40</f>
        <v>61</v>
      </c>
      <c r="X40" s="74">
        <f>'Jun-25'!X40+K40</f>
        <v>0</v>
      </c>
      <c r="Y40" s="74">
        <f>'Jun-25'!Y40+L40</f>
        <v>252</v>
      </c>
      <c r="Z40" s="147">
        <f t="shared" ref="Z40:Z41" si="65">IFERROR(S40/T40-1,"n/a")</f>
        <v>0.33898305084745761</v>
      </c>
      <c r="AA40" s="147">
        <f t="shared" ref="AA40:AA41" si="66">IFERROR(S40/U40-1,"n/a")</f>
        <v>0.82307692307692304</v>
      </c>
      <c r="AB40" s="147">
        <f t="shared" ref="AB40:AB41" si="67">IFERROR(S40/V40-1,"n/a")</f>
        <v>0.70503597122302164</v>
      </c>
      <c r="AC40" s="147">
        <f t="shared" ref="AC40:AC41" si="68">IFERROR(S40/W40-1,"n/a")</f>
        <v>6.7704918032786887</v>
      </c>
      <c r="AD40" s="147" t="str">
        <f t="shared" ref="AD40:AD41" si="69">IFERROR(S40/X40-1,"n/a")</f>
        <v>n/a</v>
      </c>
      <c r="AE40" s="158">
        <f t="shared" ref="AE40:AE41" si="70">IFERROR(S40/Y40-1,"n/a")</f>
        <v>0.88095238095238093</v>
      </c>
      <c r="AF40" s="154">
        <v>817</v>
      </c>
      <c r="AG40" s="89">
        <v>583</v>
      </c>
      <c r="AH40" s="89">
        <v>563</v>
      </c>
      <c r="AI40" s="89">
        <v>226</v>
      </c>
      <c r="AJ40" s="70">
        <v>66</v>
      </c>
      <c r="AK40" s="78">
        <v>573</v>
      </c>
      <c r="AM40" s="122"/>
    </row>
    <row r="41" spans="1:39" s="123" customFormat="1" ht="11.25">
      <c r="A41" s="122"/>
      <c r="B41" s="122"/>
      <c r="C41" s="33"/>
      <c r="D41" s="26" t="s">
        <v>11</v>
      </c>
      <c r="E41" s="32"/>
      <c r="F41" s="74">
        <f t="shared" si="58"/>
        <v>388470</v>
      </c>
      <c r="G41" s="74">
        <f t="shared" si="58"/>
        <v>287103</v>
      </c>
      <c r="H41" s="74">
        <f t="shared" si="58"/>
        <v>271757</v>
      </c>
      <c r="I41" s="74">
        <f t="shared" si="58"/>
        <v>137630</v>
      </c>
      <c r="J41" s="74">
        <f t="shared" si="58"/>
        <v>37562</v>
      </c>
      <c r="K41" s="74">
        <f t="shared" si="58"/>
        <v>0</v>
      </c>
      <c r="L41" s="74">
        <f t="shared" si="58"/>
        <v>174121</v>
      </c>
      <c r="M41" s="64">
        <f t="shared" si="59"/>
        <v>0.35306841098839103</v>
      </c>
      <c r="N41" s="64">
        <f t="shared" si="60"/>
        <v>0.42947559768469623</v>
      </c>
      <c r="O41" s="64">
        <f t="shared" si="61"/>
        <v>1.8225677541233742</v>
      </c>
      <c r="P41" s="64">
        <f t="shared" si="62"/>
        <v>9.3421010595814913</v>
      </c>
      <c r="Q41" s="64" t="str">
        <f t="shared" si="63"/>
        <v>n/a</v>
      </c>
      <c r="R41" s="60">
        <f t="shared" si="64"/>
        <v>1.2310347402093944</v>
      </c>
      <c r="S41" s="74">
        <f>'Jun-25'!S41+F41</f>
        <v>1171131</v>
      </c>
      <c r="T41" s="74">
        <f>'Jun-25'!T41+G41</f>
        <v>930282</v>
      </c>
      <c r="U41" s="74">
        <f>'Jun-25'!U41+H41</f>
        <v>765080</v>
      </c>
      <c r="V41" s="74">
        <f>'Jun-25'!V41+I41</f>
        <v>401684</v>
      </c>
      <c r="W41" s="74">
        <f>'Jun-25'!W41+J41</f>
        <v>92526</v>
      </c>
      <c r="X41" s="74">
        <f>'Jun-25'!X41+K41</f>
        <v>0</v>
      </c>
      <c r="Y41" s="74">
        <f>'Jun-25'!Y41+L41</f>
        <v>652250</v>
      </c>
      <c r="Z41" s="147">
        <f t="shared" si="65"/>
        <v>0.2588989145226932</v>
      </c>
      <c r="AA41" s="147">
        <f t="shared" si="66"/>
        <v>0.53073011972604167</v>
      </c>
      <c r="AB41" s="147">
        <f t="shared" si="67"/>
        <v>1.9155530217783134</v>
      </c>
      <c r="AC41" s="147">
        <f t="shared" si="68"/>
        <v>11.657317943064653</v>
      </c>
      <c r="AD41" s="147" t="str">
        <f t="shared" si="69"/>
        <v>n/a</v>
      </c>
      <c r="AE41" s="158">
        <f t="shared" si="70"/>
        <v>0.79552472211575309</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110"/>
      <c r="AA42" s="147"/>
      <c r="AB42" s="147"/>
      <c r="AC42" s="147"/>
      <c r="AD42" s="147"/>
      <c r="AE42" s="158"/>
      <c r="AF42" s="155"/>
      <c r="AG42" s="90"/>
      <c r="AH42" s="90"/>
      <c r="AI42" s="90"/>
      <c r="AJ42" s="44"/>
      <c r="AK42" s="79"/>
      <c r="AM42" s="122"/>
    </row>
    <row r="43" spans="1:39" s="123" customFormat="1" ht="11.25">
      <c r="A43" s="122"/>
      <c r="B43" s="122"/>
      <c r="C43" s="33"/>
      <c r="D43" s="26" t="s">
        <v>5</v>
      </c>
      <c r="E43" s="32"/>
      <c r="F43" s="74">
        <f>F19</f>
        <v>136</v>
      </c>
      <c r="G43" s="74">
        <f t="shared" ref="G43:L44" si="71">G19</f>
        <v>100</v>
      </c>
      <c r="H43" s="74">
        <f t="shared" si="71"/>
        <v>93</v>
      </c>
      <c r="I43" s="74">
        <f t="shared" si="71"/>
        <v>88</v>
      </c>
      <c r="J43" s="74">
        <f t="shared" si="71"/>
        <v>3</v>
      </c>
      <c r="K43" s="74">
        <f t="shared" si="71"/>
        <v>2</v>
      </c>
      <c r="L43" s="74">
        <f t="shared" si="71"/>
        <v>50</v>
      </c>
      <c r="M43" s="64">
        <f t="shared" ref="M43:M44" si="72">IFERROR(F43/G43-1,"n/a")</f>
        <v>0.3600000000000001</v>
      </c>
      <c r="N43" s="64">
        <f t="shared" ref="N43:N44" si="73">IFERROR(F43/H43-1,"n/a")</f>
        <v>0.4623655913978495</v>
      </c>
      <c r="O43" s="64">
        <f t="shared" ref="O43:O44" si="74">IFERROR(F43/I43-1,"n/a")</f>
        <v>0.54545454545454541</v>
      </c>
      <c r="P43" s="64">
        <f t="shared" ref="P43:P44" si="75">IFERROR(F43/J43-1,"n/a")</f>
        <v>44.333333333333336</v>
      </c>
      <c r="Q43" s="64">
        <f t="shared" ref="Q43:Q44" si="76">IFERROR(F43/K43-1,"n/a")</f>
        <v>67</v>
      </c>
      <c r="R43" s="60">
        <f t="shared" ref="R43:R44" si="77">IFERROR(F43/L43-1,"n/a")</f>
        <v>1.7200000000000002</v>
      </c>
      <c r="S43" s="74">
        <f>'Jun-25'!S43+F43</f>
        <v>409</v>
      </c>
      <c r="T43" s="74">
        <f>'Jun-25'!T43+G43</f>
        <v>338</v>
      </c>
      <c r="U43" s="74">
        <f>'Jun-25'!U43+H43</f>
        <v>326</v>
      </c>
      <c r="V43" s="74">
        <f>'Jun-25'!V43+I43</f>
        <v>305</v>
      </c>
      <c r="W43" s="74">
        <f>'Jun-25'!W43+J43</f>
        <v>6</v>
      </c>
      <c r="X43" s="74">
        <f>'Jun-25'!X43+K43</f>
        <v>2</v>
      </c>
      <c r="Y43" s="74">
        <f>'Jun-25'!Y43+L43</f>
        <v>150</v>
      </c>
      <c r="Z43" s="147">
        <f t="shared" ref="Z43:Z44" si="78">IFERROR(S43/T43-1,"n/a")</f>
        <v>0.21005917159763321</v>
      </c>
      <c r="AA43" s="147">
        <f t="shared" ref="AA43:AA44" si="79">IFERROR(S43/U43-1,"n/a")</f>
        <v>0.25460122699386512</v>
      </c>
      <c r="AB43" s="147">
        <f t="shared" ref="AB43:AB44" si="80">IFERROR(S43/V43-1,"n/a")</f>
        <v>0.34098360655737703</v>
      </c>
      <c r="AC43" s="147">
        <f t="shared" ref="AC43:AC44" si="81">IFERROR(S43/W43-1,"n/a")</f>
        <v>67.166666666666671</v>
      </c>
      <c r="AD43" s="147">
        <f t="shared" ref="AD43:AD44" si="82">IFERROR(S43/X43-1,"n/a")</f>
        <v>203.5</v>
      </c>
      <c r="AE43" s="158">
        <f t="shared" ref="AE43:AE44" si="83">IFERROR(S43/Y43-1,"n/a")</f>
        <v>1.7266666666666666</v>
      </c>
      <c r="AF43" s="154">
        <v>728</v>
      </c>
      <c r="AG43" s="89">
        <v>712</v>
      </c>
      <c r="AH43" s="89">
        <v>669</v>
      </c>
      <c r="AI43" s="89">
        <v>59</v>
      </c>
      <c r="AJ43" s="70">
        <v>9</v>
      </c>
      <c r="AK43" s="78">
        <v>287</v>
      </c>
      <c r="AM43" s="122"/>
    </row>
    <row r="44" spans="1:39" s="123" customFormat="1" ht="11.25">
      <c r="A44" s="122"/>
      <c r="B44" s="122"/>
      <c r="C44" s="33"/>
      <c r="D44" s="26" t="s">
        <v>11</v>
      </c>
      <c r="E44" s="32"/>
      <c r="F44" s="74">
        <f>F20</f>
        <v>330493</v>
      </c>
      <c r="G44" s="74">
        <f t="shared" si="71"/>
        <v>262595</v>
      </c>
      <c r="H44" s="74">
        <f t="shared" si="71"/>
        <v>203881</v>
      </c>
      <c r="I44" s="74">
        <f t="shared" si="71"/>
        <v>138433</v>
      </c>
      <c r="J44" s="74">
        <f t="shared" si="71"/>
        <v>468</v>
      </c>
      <c r="K44" s="74">
        <f t="shared" si="71"/>
        <v>6081</v>
      </c>
      <c r="L44" s="74">
        <f t="shared" si="71"/>
        <v>97604</v>
      </c>
      <c r="M44" s="64">
        <f t="shared" si="72"/>
        <v>0.25856547154363185</v>
      </c>
      <c r="N44" s="64">
        <f t="shared" si="73"/>
        <v>0.6210093142568458</v>
      </c>
      <c r="O44" s="64">
        <f t="shared" si="74"/>
        <v>1.3873859556608612</v>
      </c>
      <c r="P44" s="64">
        <f t="shared" si="75"/>
        <v>705.1816239316239</v>
      </c>
      <c r="Q44" s="64">
        <f t="shared" si="76"/>
        <v>53.348462423943431</v>
      </c>
      <c r="R44" s="60">
        <f t="shared" si="77"/>
        <v>2.3860599975410843</v>
      </c>
      <c r="S44" s="74">
        <f>'Jun-25'!S44+F44</f>
        <v>825670</v>
      </c>
      <c r="T44" s="74">
        <f>'Jun-25'!T44+G44</f>
        <v>698242.4</v>
      </c>
      <c r="U44" s="74">
        <f>'Jun-25'!U44+H44</f>
        <v>576815</v>
      </c>
      <c r="V44" s="74">
        <f>'Jun-25'!V44+I44</f>
        <v>377939</v>
      </c>
      <c r="W44" s="74">
        <f>'Jun-25'!W44+J44</f>
        <v>468</v>
      </c>
      <c r="X44" s="74">
        <f>'Jun-25'!X44+K44</f>
        <v>8294</v>
      </c>
      <c r="Y44" s="74">
        <f>'Jun-25'!Y44+L44</f>
        <v>277902</v>
      </c>
      <c r="Z44" s="147">
        <f t="shared" si="78"/>
        <v>0.1824976541098049</v>
      </c>
      <c r="AA44" s="147">
        <f t="shared" si="79"/>
        <v>0.43142948779071277</v>
      </c>
      <c r="AB44" s="147">
        <f t="shared" si="80"/>
        <v>1.184664721026409</v>
      </c>
      <c r="AC44" s="147">
        <f t="shared" si="81"/>
        <v>1763.2521367521367</v>
      </c>
      <c r="AD44" s="147">
        <f t="shared" si="82"/>
        <v>98.550277308898004</v>
      </c>
      <c r="AE44" s="158">
        <f t="shared" si="83"/>
        <v>1.9710833315341381</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160"/>
      <c r="AA45" s="147"/>
      <c r="AB45" s="147"/>
      <c r="AC45" s="147"/>
      <c r="AD45" s="147"/>
      <c r="AE45" s="158"/>
      <c r="AF45" s="155"/>
      <c r="AG45" s="90"/>
      <c r="AH45" s="90"/>
      <c r="AI45" s="90"/>
      <c r="AJ45" s="44"/>
      <c r="AK45" s="79"/>
      <c r="AM45" s="122"/>
    </row>
    <row r="46" spans="1:39" s="123" customFormat="1" ht="11.25">
      <c r="A46" s="122"/>
      <c r="B46" s="122"/>
      <c r="C46" s="33"/>
      <c r="D46" s="26" t="s">
        <v>5</v>
      </c>
      <c r="E46" s="34"/>
      <c r="F46" s="74">
        <f>F22</f>
        <v>71</v>
      </c>
      <c r="G46" s="74">
        <f t="shared" ref="G46:L47" si="84">G22</f>
        <v>78</v>
      </c>
      <c r="H46" s="74">
        <f t="shared" si="84"/>
        <v>81</v>
      </c>
      <c r="I46" s="74">
        <f t="shared" si="84"/>
        <v>74</v>
      </c>
      <c r="J46" s="74">
        <f t="shared" si="84"/>
        <v>10</v>
      </c>
      <c r="K46" s="74">
        <f t="shared" si="84"/>
        <v>0</v>
      </c>
      <c r="L46" s="74">
        <f t="shared" si="84"/>
        <v>68</v>
      </c>
      <c r="M46" s="64">
        <f t="shared" ref="M46:M47" si="85">IFERROR(F46/G46-1,"n/a")</f>
        <v>-8.9743589743589758E-2</v>
      </c>
      <c r="N46" s="64">
        <f t="shared" ref="N46:N47" si="86">IFERROR(F46/H46-1,"n/a")</f>
        <v>-0.12345679012345678</v>
      </c>
      <c r="O46" s="64">
        <f t="shared" ref="O46:O47" si="87">IFERROR(F46/I46-1,"n/a")</f>
        <v>-4.0540540540540571E-2</v>
      </c>
      <c r="P46" s="64">
        <f t="shared" ref="P46:P47" si="88">IFERROR(F46/J46-1,"n/a")</f>
        <v>6.1</v>
      </c>
      <c r="Q46" s="64" t="str">
        <f t="shared" ref="Q46:Q47" si="89">IFERROR(F46/K46-1,"n/a")</f>
        <v>n/a</v>
      </c>
      <c r="R46" s="60">
        <f t="shared" ref="R46:R47" si="90">IFERROR(F46/L46-1,"n/a")</f>
        <v>4.4117647058823595E-2</v>
      </c>
      <c r="S46" s="74">
        <f>'Jun-25'!S46+F46</f>
        <v>513</v>
      </c>
      <c r="T46" s="74">
        <f>'Jun-25'!T46+G46</f>
        <v>515</v>
      </c>
      <c r="U46" s="74">
        <f>'Jun-25'!U46+H46</f>
        <v>490</v>
      </c>
      <c r="V46" s="74">
        <f>'Jun-25'!V46+I46</f>
        <v>350</v>
      </c>
      <c r="W46" s="74">
        <f>'Jun-25'!W46+J46</f>
        <v>14</v>
      </c>
      <c r="X46" s="74">
        <f>'Jun-25'!X46+K46</f>
        <v>0</v>
      </c>
      <c r="Y46" s="74">
        <f>'Jun-25'!Y46+L46</f>
        <v>341</v>
      </c>
      <c r="Z46" s="147">
        <f t="shared" ref="Z46:Z47" si="91">IFERROR(S46/T46-1,"n/a")</f>
        <v>-3.8834951456310218E-3</v>
      </c>
      <c r="AA46" s="147">
        <f t="shared" ref="AA46:AA47" si="92">IFERROR(S46/U46-1,"n/a")</f>
        <v>4.6938775510203978E-2</v>
      </c>
      <c r="AB46" s="147">
        <f t="shared" ref="AB46:AB47" si="93">IFERROR(S46/V46-1,"n/a")</f>
        <v>0.46571428571428575</v>
      </c>
      <c r="AC46" s="147">
        <f t="shared" ref="AC46:AC47" si="94">IFERROR(S46/W46-1,"n/a")</f>
        <v>35.642857142857146</v>
      </c>
      <c r="AD46" s="147" t="str">
        <f t="shared" ref="AD46:AD47" si="95">IFERROR(S46/X46-1,"n/a")</f>
        <v>n/a</v>
      </c>
      <c r="AE46" s="158">
        <f t="shared" ref="AE46:AE47" si="96">IFERROR(S46/Y46-1,"n/a")</f>
        <v>0.50439882697947214</v>
      </c>
      <c r="AF46" s="154">
        <v>1788</v>
      </c>
      <c r="AG46" s="89">
        <v>1471</v>
      </c>
      <c r="AH46" s="89">
        <v>1129</v>
      </c>
      <c r="AI46" s="89">
        <v>336</v>
      </c>
      <c r="AJ46" s="84">
        <v>43</v>
      </c>
      <c r="AK46" s="78">
        <v>781</v>
      </c>
      <c r="AM46" s="122"/>
    </row>
    <row r="47" spans="1:39" s="123" customFormat="1" ht="11.25">
      <c r="A47" s="122"/>
      <c r="B47" s="122"/>
      <c r="C47" s="33"/>
      <c r="D47" s="26" t="s">
        <v>11</v>
      </c>
      <c r="E47" s="32"/>
      <c r="F47" s="74">
        <f>F23</f>
        <v>285959</v>
      </c>
      <c r="G47" s="74">
        <f t="shared" si="84"/>
        <v>391649</v>
      </c>
      <c r="H47" s="74">
        <f t="shared" si="84"/>
        <v>393561</v>
      </c>
      <c r="I47" s="74">
        <f t="shared" si="84"/>
        <v>283525</v>
      </c>
      <c r="J47" s="74">
        <f t="shared" si="84"/>
        <v>23553</v>
      </c>
      <c r="K47" s="74">
        <f t="shared" si="84"/>
        <v>0</v>
      </c>
      <c r="L47" s="74">
        <f t="shared" si="84"/>
        <v>261197</v>
      </c>
      <c r="M47" s="64">
        <f t="shared" si="85"/>
        <v>-0.26985898087317983</v>
      </c>
      <c r="N47" s="64">
        <f t="shared" si="86"/>
        <v>-0.27340615558960368</v>
      </c>
      <c r="O47" s="64">
        <f t="shared" si="87"/>
        <v>8.5847808835199935E-3</v>
      </c>
      <c r="P47" s="64">
        <f t="shared" si="88"/>
        <v>11.141086061223623</v>
      </c>
      <c r="Q47" s="64" t="str">
        <f t="shared" si="89"/>
        <v>n/a</v>
      </c>
      <c r="R47" s="60">
        <f t="shared" si="90"/>
        <v>9.480200768002689E-2</v>
      </c>
      <c r="S47" s="74">
        <f>'Jun-25'!S47+F47</f>
        <v>1398686</v>
      </c>
      <c r="T47" s="74">
        <f>'Jun-25'!T47+G47</f>
        <v>1633319</v>
      </c>
      <c r="U47" s="74">
        <f>'Jun-25'!U47+H47</f>
        <v>1471039</v>
      </c>
      <c r="V47" s="74">
        <f>'Jun-25'!V47+I47</f>
        <v>757158</v>
      </c>
      <c r="W47" s="74">
        <f>'Jun-25'!W47+J47</f>
        <v>28476</v>
      </c>
      <c r="X47" s="74">
        <f>'Jun-25'!X47+K47</f>
        <v>0</v>
      </c>
      <c r="Y47" s="74">
        <f>'Jun-25'!Y47+L47</f>
        <v>1049749</v>
      </c>
      <c r="Z47" s="147">
        <f t="shared" si="91"/>
        <v>-0.14365411778103354</v>
      </c>
      <c r="AA47" s="147">
        <f t="shared" si="92"/>
        <v>-4.918496382488835E-2</v>
      </c>
      <c r="AB47" s="147">
        <f t="shared" si="93"/>
        <v>0.84728418639174397</v>
      </c>
      <c r="AC47" s="147">
        <f t="shared" si="94"/>
        <v>48.118064334878497</v>
      </c>
      <c r="AD47" s="147" t="str">
        <f t="shared" si="95"/>
        <v>n/a</v>
      </c>
      <c r="AE47" s="158">
        <f t="shared" si="96"/>
        <v>0.33240041190798952</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160"/>
      <c r="AA48" s="147"/>
      <c r="AB48" s="147"/>
      <c r="AC48" s="147"/>
      <c r="AD48" s="147"/>
      <c r="AE48" s="158"/>
      <c r="AF48" s="155"/>
      <c r="AG48" s="90"/>
      <c r="AH48" s="90"/>
      <c r="AI48" s="90"/>
      <c r="AJ48" s="44"/>
      <c r="AK48" s="79"/>
      <c r="AM48" s="122"/>
    </row>
    <row r="49" spans="3:39" s="123" customFormat="1" ht="11.25">
      <c r="C49" s="33"/>
      <c r="D49" s="26" t="s">
        <v>5</v>
      </c>
      <c r="E49" s="32"/>
      <c r="F49" s="74">
        <f>F25</f>
        <v>6</v>
      </c>
      <c r="G49" s="74">
        <f t="shared" ref="G49:L50" si="97">G25</f>
        <v>4</v>
      </c>
      <c r="H49" s="74">
        <f t="shared" si="97"/>
        <v>3</v>
      </c>
      <c r="I49" s="74">
        <f t="shared" si="97"/>
        <v>3</v>
      </c>
      <c r="J49" s="74">
        <f t="shared" si="97"/>
        <v>0</v>
      </c>
      <c r="K49" s="74">
        <f t="shared" si="97"/>
        <v>0</v>
      </c>
      <c r="L49" s="74">
        <f t="shared" si="97"/>
        <v>3</v>
      </c>
      <c r="M49" s="64">
        <f t="shared" ref="M49:M52" si="98">IFERROR(F49/G49-1,"n/a")</f>
        <v>0.5</v>
      </c>
      <c r="N49" s="64">
        <f t="shared" ref="N49:N52" si="99">IFERROR(F49/H49-1,"n/a")</f>
        <v>1</v>
      </c>
      <c r="O49" s="64">
        <f t="shared" ref="O49:O52" si="100">IFERROR(F49/I49-1,"n/a")</f>
        <v>1</v>
      </c>
      <c r="P49" s="64" t="str">
        <f t="shared" ref="P49:P52" si="101">IFERROR(F49/J49-1,"n/a")</f>
        <v>n/a</v>
      </c>
      <c r="Q49" s="64" t="str">
        <f t="shared" ref="Q49:Q52" si="102">IFERROR(F49/K49-1,"n/a")</f>
        <v>n/a</v>
      </c>
      <c r="R49" s="60">
        <f t="shared" ref="R49:R52" si="103">IFERROR(F49/L49-1,"n/a")</f>
        <v>1</v>
      </c>
      <c r="S49" s="74">
        <f>'Jun-25'!S49+F49</f>
        <v>11</v>
      </c>
      <c r="T49" s="74">
        <f>'Jun-25'!T49+G49</f>
        <v>9</v>
      </c>
      <c r="U49" s="74">
        <f>'Jun-25'!U49+H49</f>
        <v>11</v>
      </c>
      <c r="V49" s="74">
        <f>'Jun-25'!V49+I49</f>
        <v>5</v>
      </c>
      <c r="W49" s="74">
        <f>'Jun-25'!W49+J49</f>
        <v>0</v>
      </c>
      <c r="X49" s="74">
        <f>'Jun-25'!X49+K49</f>
        <v>0</v>
      </c>
      <c r="Y49" s="74">
        <f>'Jun-25'!Y49+L49</f>
        <v>11</v>
      </c>
      <c r="Z49" s="147">
        <f t="shared" ref="Z49:Z52" si="104">IFERROR(S49/T49-1,"n/a")</f>
        <v>0.22222222222222232</v>
      </c>
      <c r="AA49" s="147">
        <f t="shared" ref="AA49:AA50" si="105">IFERROR(S49/U49-1,"n/a")</f>
        <v>0</v>
      </c>
      <c r="AB49" s="147">
        <f t="shared" ref="AB49:AB52" si="106">IFERROR(S49/V49-1,"n/a")</f>
        <v>1.2000000000000002</v>
      </c>
      <c r="AC49" s="147" t="str">
        <f t="shared" ref="AC49:AC52" si="107">IFERROR(S49/W49-1,"n/a")</f>
        <v>n/a</v>
      </c>
      <c r="AD49" s="147" t="str">
        <f t="shared" ref="AD49:AD52" si="108">IFERROR(S49/X49-1,"n/a")</f>
        <v>n/a</v>
      </c>
      <c r="AE49" s="158">
        <f t="shared" ref="AE49:AE52" si="109">IFERROR(S49/Y49-1,"n/a")</f>
        <v>0</v>
      </c>
      <c r="AF49" s="154">
        <v>14</v>
      </c>
      <c r="AG49" s="89">
        <v>21</v>
      </c>
      <c r="AH49" s="89">
        <v>9</v>
      </c>
      <c r="AI49" s="68">
        <v>0</v>
      </c>
      <c r="AJ49" s="68">
        <v>0</v>
      </c>
      <c r="AK49" s="78">
        <v>16</v>
      </c>
      <c r="AM49" s="122"/>
    </row>
    <row r="50" spans="3:39" s="123" customFormat="1" ht="11.25">
      <c r="C50" s="33"/>
      <c r="D50" s="26" t="s">
        <v>11</v>
      </c>
      <c r="E50" s="32"/>
      <c r="F50" s="74">
        <f>F26</f>
        <v>20505</v>
      </c>
      <c r="G50" s="74">
        <f t="shared" si="97"/>
        <v>15059</v>
      </c>
      <c r="H50" s="74">
        <f t="shared" si="97"/>
        <v>6188</v>
      </c>
      <c r="I50" s="74">
        <f t="shared" si="97"/>
        <v>5526</v>
      </c>
      <c r="J50" s="74">
        <f t="shared" si="97"/>
        <v>0</v>
      </c>
      <c r="K50" s="74">
        <f t="shared" si="97"/>
        <v>0</v>
      </c>
      <c r="L50" s="74">
        <f t="shared" si="97"/>
        <v>3523</v>
      </c>
      <c r="M50" s="64">
        <f t="shared" si="98"/>
        <v>0.36164419948203741</v>
      </c>
      <c r="N50" s="64">
        <f t="shared" si="99"/>
        <v>2.3136716224951521</v>
      </c>
      <c r="O50" s="64">
        <f t="shared" si="100"/>
        <v>2.7106406080347449</v>
      </c>
      <c r="P50" s="64" t="str">
        <f t="shared" si="101"/>
        <v>n/a</v>
      </c>
      <c r="Q50" s="64" t="str">
        <f t="shared" si="102"/>
        <v>n/a</v>
      </c>
      <c r="R50" s="60">
        <f t="shared" si="103"/>
        <v>4.8203235878512629</v>
      </c>
      <c r="S50" s="74">
        <f>'Jun-25'!S50+F50</f>
        <v>41409</v>
      </c>
      <c r="T50" s="74">
        <f>'Jun-25'!T50+G50</f>
        <v>33718</v>
      </c>
      <c r="U50" s="74">
        <f>'Jun-25'!U50+H50</f>
        <v>19775</v>
      </c>
      <c r="V50" s="74">
        <f>'Jun-25'!V50+I50</f>
        <v>8677</v>
      </c>
      <c r="W50" s="74">
        <f>'Jun-25'!W50+J50</f>
        <v>0</v>
      </c>
      <c r="X50" s="74">
        <f>'Jun-25'!X50+K50</f>
        <v>0</v>
      </c>
      <c r="Y50" s="74">
        <f>'Jun-25'!Y50+L50</f>
        <v>13750</v>
      </c>
      <c r="Z50" s="147">
        <f t="shared" si="104"/>
        <v>0.22809775194258264</v>
      </c>
      <c r="AA50" s="147">
        <f t="shared" si="105"/>
        <v>1.0940075853350191</v>
      </c>
      <c r="AB50" s="147">
        <f t="shared" si="106"/>
        <v>3.7722715224155818</v>
      </c>
      <c r="AC50" s="147" t="str">
        <f t="shared" si="107"/>
        <v>n/a</v>
      </c>
      <c r="AD50" s="147" t="str">
        <f t="shared" si="108"/>
        <v>n/a</v>
      </c>
      <c r="AE50" s="158">
        <f t="shared" si="109"/>
        <v>2.0115636363636362</v>
      </c>
      <c r="AF50" s="154">
        <v>47798</v>
      </c>
      <c r="AG50" s="82">
        <v>38626</v>
      </c>
      <c r="AH50" s="82">
        <v>15637</v>
      </c>
      <c r="AI50" s="68">
        <v>0</v>
      </c>
      <c r="AJ50" s="68">
        <v>0</v>
      </c>
      <c r="AK50" s="78">
        <v>20248</v>
      </c>
      <c r="AM50" s="122"/>
    </row>
    <row r="51" spans="3:39" s="123" customFormat="1" ht="12" thickBot="1">
      <c r="C51" s="35" t="s">
        <v>12</v>
      </c>
      <c r="D51" s="36"/>
      <c r="E51" s="37"/>
      <c r="F51" s="75">
        <f t="shared" ref="F51:L52" si="110">F37+F40+F43+F46+F49</f>
        <v>522</v>
      </c>
      <c r="G51" s="75">
        <f t="shared" si="110"/>
        <v>441</v>
      </c>
      <c r="H51" s="75">
        <f t="shared" si="110"/>
        <v>353</v>
      </c>
      <c r="I51" s="75">
        <f t="shared" si="110"/>
        <v>311</v>
      </c>
      <c r="J51" s="75">
        <f t="shared" si="110"/>
        <v>63</v>
      </c>
      <c r="K51" s="75">
        <f t="shared" si="110"/>
        <v>2</v>
      </c>
      <c r="L51" s="75">
        <f t="shared" si="110"/>
        <v>281</v>
      </c>
      <c r="M51" s="66">
        <f t="shared" si="98"/>
        <v>0.18367346938775508</v>
      </c>
      <c r="N51" s="66">
        <f t="shared" si="99"/>
        <v>0.47875354107648715</v>
      </c>
      <c r="O51" s="66">
        <f t="shared" si="100"/>
        <v>0.67845659163987149</v>
      </c>
      <c r="P51" s="66">
        <f t="shared" si="101"/>
        <v>7.2857142857142865</v>
      </c>
      <c r="Q51" s="66">
        <f t="shared" si="102"/>
        <v>260</v>
      </c>
      <c r="R51" s="66">
        <f t="shared" si="103"/>
        <v>0.85765124555160144</v>
      </c>
      <c r="S51" s="75">
        <f>S37+S40+S43+S46+S49</f>
        <v>2136</v>
      </c>
      <c r="T51" s="75">
        <f>T37+T40+T43+T46+T49</f>
        <v>1888</v>
      </c>
      <c r="U51" s="75">
        <f>U37+U40+U43+U46+U49</f>
        <v>1515</v>
      </c>
      <c r="V51" s="75">
        <f t="shared" ref="U51:Y52" si="111">V37+V40+V43+V46+V49</f>
        <v>1318</v>
      </c>
      <c r="W51" s="75">
        <f t="shared" si="111"/>
        <v>109</v>
      </c>
      <c r="X51" s="75">
        <f t="shared" si="111"/>
        <v>44</v>
      </c>
      <c r="Y51" s="75">
        <f t="shared" si="111"/>
        <v>1164</v>
      </c>
      <c r="Z51" s="66">
        <f t="shared" si="104"/>
        <v>0.13135593220338992</v>
      </c>
      <c r="AA51" s="66">
        <f>IFERROR(S51/U51-1,"n/a")</f>
        <v>0.40990099009900982</v>
      </c>
      <c r="AB51" s="66">
        <f t="shared" si="106"/>
        <v>0.62063732928679816</v>
      </c>
      <c r="AC51" s="66">
        <f t="shared" si="107"/>
        <v>18.596330275229359</v>
      </c>
      <c r="AD51" s="66">
        <f t="shared" si="108"/>
        <v>47.545454545454547</v>
      </c>
      <c r="AE51" s="66">
        <f t="shared" si="109"/>
        <v>0.8350515463917525</v>
      </c>
      <c r="AF51" s="46">
        <f t="shared" ref="AF51:AJ52" si="112">AF37+AF40+AF43+AF46+AF49</f>
        <v>6221</v>
      </c>
      <c r="AG51" s="46">
        <f t="shared" si="112"/>
        <v>4589</v>
      </c>
      <c r="AH51" s="46">
        <f t="shared" si="112"/>
        <v>3856</v>
      </c>
      <c r="AI51" s="46">
        <f t="shared" si="112"/>
        <v>1673</v>
      </c>
      <c r="AJ51" s="46">
        <f t="shared" si="112"/>
        <v>669</v>
      </c>
      <c r="AK51" s="80">
        <f>AK37+AK40+AK43+AK46+AK49</f>
        <v>3241</v>
      </c>
      <c r="AM51" s="122"/>
    </row>
    <row r="52" spans="3:39" s="123" customFormat="1" ht="12.75" thickTop="1" thickBot="1">
      <c r="C52" s="38" t="s">
        <v>13</v>
      </c>
      <c r="D52" s="39"/>
      <c r="E52" s="40"/>
      <c r="F52" s="76">
        <f t="shared" si="110"/>
        <v>1689928</v>
      </c>
      <c r="G52" s="76">
        <f t="shared" si="110"/>
        <v>1595545</v>
      </c>
      <c r="H52" s="76">
        <f t="shared" si="110"/>
        <v>1271791</v>
      </c>
      <c r="I52" s="76">
        <f t="shared" si="110"/>
        <v>857236</v>
      </c>
      <c r="J52" s="76">
        <f t="shared" si="110"/>
        <v>92497</v>
      </c>
      <c r="K52" s="76">
        <f t="shared" si="110"/>
        <v>6081</v>
      </c>
      <c r="L52" s="76">
        <f t="shared" si="110"/>
        <v>868909</v>
      </c>
      <c r="M52" s="67">
        <f t="shared" si="98"/>
        <v>5.9154082147479414E-2</v>
      </c>
      <c r="N52" s="67">
        <f t="shared" si="99"/>
        <v>0.32877807753003441</v>
      </c>
      <c r="O52" s="67">
        <f t="shared" si="100"/>
        <v>0.97136844462901695</v>
      </c>
      <c r="P52" s="67">
        <f t="shared" si="101"/>
        <v>17.270084435170869</v>
      </c>
      <c r="Q52" s="67">
        <f t="shared" si="102"/>
        <v>276.90297648413087</v>
      </c>
      <c r="R52" s="67">
        <f t="shared" si="103"/>
        <v>0.94488490739536601</v>
      </c>
      <c r="S52" s="76">
        <f t="shared" ref="S52:T52" si="113">S38+S41+S44+S47+S50</f>
        <v>6080677</v>
      </c>
      <c r="T52" s="76">
        <f t="shared" si="113"/>
        <v>5735916.4000000004</v>
      </c>
      <c r="U52" s="76">
        <f t="shared" si="111"/>
        <v>4391991</v>
      </c>
      <c r="V52" s="76">
        <f t="shared" si="111"/>
        <v>2622011</v>
      </c>
      <c r="W52" s="76">
        <f t="shared" si="111"/>
        <v>152384</v>
      </c>
      <c r="X52" s="76">
        <f t="shared" si="111"/>
        <v>8294</v>
      </c>
      <c r="Y52" s="76">
        <f t="shared" si="111"/>
        <v>3326266</v>
      </c>
      <c r="Z52" s="67">
        <f t="shared" si="104"/>
        <v>6.0105583128791773E-2</v>
      </c>
      <c r="AA52" s="67">
        <f>IFERROR(S52/U52-1,"n/a")</f>
        <v>0.38449213579900321</v>
      </c>
      <c r="AB52" s="67">
        <f t="shared" si="106"/>
        <v>1.3190890503510473</v>
      </c>
      <c r="AC52" s="67">
        <f t="shared" si="107"/>
        <v>38.903644739605205</v>
      </c>
      <c r="AD52" s="67">
        <f t="shared" si="108"/>
        <v>732.14166867615143</v>
      </c>
      <c r="AE52" s="67">
        <f t="shared" si="109"/>
        <v>0.82807899308113053</v>
      </c>
      <c r="AF52" s="47">
        <f t="shared" si="112"/>
        <v>17650949.399999999</v>
      </c>
      <c r="AG52" s="47">
        <f t="shared" si="112"/>
        <v>13408675</v>
      </c>
      <c r="AH52" s="47">
        <f t="shared" si="112"/>
        <v>9237323</v>
      </c>
      <c r="AI52" s="47">
        <f t="shared" si="112"/>
        <v>2410085</v>
      </c>
      <c r="AJ52" s="47">
        <f t="shared" si="112"/>
        <v>1324261</v>
      </c>
      <c r="AK52" s="81">
        <f>AK38+AK41+AK44+AK47+AK50</f>
        <v>8638971</v>
      </c>
      <c r="AM52" s="122"/>
    </row>
    <row r="53" spans="3:39" s="123" customFormat="1" ht="12" thickTop="1">
      <c r="T53" s="131"/>
      <c r="U53" s="131"/>
      <c r="V53" s="131"/>
      <c r="W53" s="131"/>
      <c r="X53" s="131"/>
      <c r="Y53" s="131"/>
      <c r="AM53" s="122"/>
    </row>
    <row r="54" spans="3:39" s="123" customFormat="1" ht="11.25">
      <c r="F54" s="131"/>
      <c r="S54" s="131">
        <f>'Jun-25'!S51+'Jul-25'!F51+'Jul-25'!F52-'Jul-25'!S51-'Jul-25'!S52+'Jun-25'!S52</f>
        <v>0</v>
      </c>
      <c r="T54" s="131">
        <f>'Jun-25'!T51+'Jul-25'!G51+'Jul-25'!G52-'Jul-25'!T51-'Jul-25'!T52+'Jun-25'!T52</f>
        <v>0</v>
      </c>
      <c r="U54" s="131">
        <f>'Jun-25'!U51+'Jul-25'!H51+'Jul-25'!H52-'Jul-25'!U51-'Jul-25'!U52+'Jun-25'!U52</f>
        <v>0</v>
      </c>
      <c r="V54" s="131">
        <f>'Jun-25'!V51+'Jul-25'!I51+'Jul-25'!I52-'Jul-25'!V51-'Jul-25'!V52+'Jun-25'!V52</f>
        <v>0</v>
      </c>
      <c r="W54" s="131">
        <f>'Jun-25'!W51+'Jul-25'!J51+'Jul-25'!J52-'Jul-25'!W51-'Jul-25'!W52+'Jun-25'!W52</f>
        <v>0</v>
      </c>
      <c r="X54" s="131">
        <f>'Jun-25'!X51+'Jul-25'!K51+'Jul-25'!K52-'Jul-25'!X51-'Jul-25'!X52+'Jun-25'!X52</f>
        <v>0</v>
      </c>
      <c r="Y54" s="131">
        <f>'Jun-25'!Y51+'Jul-25'!L51+'Jul-25'!L52-'Jul-25'!Y51-'Jul-25'!Y52+'Jun-25'!Y52</f>
        <v>0</v>
      </c>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D2773-D143-491F-B92C-420E2F2CDA4F}">
  <dimension ref="A1:AM66"/>
  <sheetViews>
    <sheetView showGridLines="0" topLeftCell="O24" zoomScale="85" zoomScaleNormal="85" workbookViewId="0">
      <selection activeCell="Y37" sqref="Y3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9.14062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Occupancy_2026!AY3</f>
        <v>46154</v>
      </c>
      <c r="AL3" s="25"/>
      <c r="AM3" s="9"/>
    </row>
    <row r="4" spans="1:39" ht="15.75">
      <c r="A4" s="9"/>
      <c r="B4" s="11" t="s">
        <v>7</v>
      </c>
      <c r="C4" s="26"/>
      <c r="D4" s="93" t="s">
        <v>51</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June</v>
      </c>
      <c r="G9" s="167"/>
      <c r="H9" s="167"/>
      <c r="I9" s="167"/>
      <c r="J9" s="167"/>
      <c r="K9" s="167"/>
      <c r="L9" s="167"/>
      <c r="M9" s="167"/>
      <c r="N9" s="167"/>
      <c r="O9" s="167"/>
      <c r="P9" s="167"/>
      <c r="Q9" s="167"/>
      <c r="R9" s="168"/>
      <c r="S9" s="169" t="str">
        <f xml:space="preserve"> "January to "&amp; F9</f>
        <v>January to June</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171</v>
      </c>
      <c r="G13" s="71">
        <v>156</v>
      </c>
      <c r="H13" s="73">
        <v>95</v>
      </c>
      <c r="I13" s="71">
        <v>77</v>
      </c>
      <c r="J13" s="71">
        <v>0</v>
      </c>
      <c r="K13" s="71">
        <v>0</v>
      </c>
      <c r="L13" s="71">
        <v>90</v>
      </c>
      <c r="M13" s="64">
        <f>IFERROR(F13/G13-1,"n/a")</f>
        <v>9.6153846153846256E-2</v>
      </c>
      <c r="N13" s="64">
        <f>IFERROR(F13/H13-1,"n/a")</f>
        <v>0.8</v>
      </c>
      <c r="O13" s="64">
        <f>IFERROR(F13/I13-1,"n/a")</f>
        <v>1.220779220779221</v>
      </c>
      <c r="P13" s="64" t="str">
        <f>IFERROR(F13/J13-1,"n/a")</f>
        <v>n/a</v>
      </c>
      <c r="Q13" s="64" t="str">
        <f>IFERROR(F13/K13-1,"n/a")</f>
        <v>n/a</v>
      </c>
      <c r="R13" s="60">
        <f>IFERROR(F13/L13-1,"n/a")</f>
        <v>0.89999999999999991</v>
      </c>
      <c r="S13" s="68">
        <f>'May-25'!S13+F13</f>
        <v>1654</v>
      </c>
      <c r="T13" s="68">
        <f>'May-25'!T13+G13</f>
        <v>1208</v>
      </c>
      <c r="U13" s="68">
        <f>'May-25'!U13+H13</f>
        <v>853</v>
      </c>
      <c r="V13" s="68">
        <f>'May-25'!V13+I13</f>
        <v>826</v>
      </c>
      <c r="W13" s="68">
        <f>'May-25'!W13+J13</f>
        <v>0</v>
      </c>
      <c r="X13" s="68">
        <f>'May-25'!X13+K13</f>
        <v>551</v>
      </c>
      <c r="Y13" s="68">
        <f>'May-25'!Y13+L13</f>
        <v>825</v>
      </c>
      <c r="Z13" s="64">
        <f>IFERROR(S13/T13-1,"n/a")</f>
        <v>0.36920529801324498</v>
      </c>
      <c r="AA13" s="64">
        <f>IFERROR(S13/U13-1,"n/a")</f>
        <v>0.93903868698710435</v>
      </c>
      <c r="AB13" s="64">
        <f>IFERROR(S13/V13-1,"n/a")</f>
        <v>1.0024213075060531</v>
      </c>
      <c r="AC13" s="64" t="str">
        <f>IFERROR(S13/W13-1,"n/a")</f>
        <v>n/a</v>
      </c>
      <c r="AD13" s="64">
        <f>IFERROR(S13/X13-1,"n/a")</f>
        <v>2.0018148820326678</v>
      </c>
      <c r="AE13" s="60">
        <f>IFERROR(S13/Y13-1,"n/a")</f>
        <v>1.0048484848484849</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629204</v>
      </c>
      <c r="G14" s="71">
        <v>557443</v>
      </c>
      <c r="H14" s="73">
        <v>359885</v>
      </c>
      <c r="I14" s="71">
        <v>251675</v>
      </c>
      <c r="J14" s="71">
        <v>0</v>
      </c>
      <c r="K14" s="71">
        <v>0</v>
      </c>
      <c r="L14" s="71">
        <v>303053</v>
      </c>
      <c r="M14" s="64">
        <f>IFERROR(F14/G14-1,"n/a")</f>
        <v>0.12873244439341791</v>
      </c>
      <c r="N14" s="64">
        <f>IFERROR(F14/H14-1,"n/a")</f>
        <v>0.74834738874918383</v>
      </c>
      <c r="O14" s="64">
        <f>IFERROR(F14/I14-1,"n/a")</f>
        <v>1.5000655607430216</v>
      </c>
      <c r="P14" s="64" t="str">
        <f>IFERROR(F14/J14-1,"n/a")</f>
        <v>n/a</v>
      </c>
      <c r="Q14" s="64" t="str">
        <f>IFERROR(F14/K14-1,"n/a")</f>
        <v>n/a</v>
      </c>
      <c r="R14" s="60">
        <f>IFERROR(F14/L14-1,"n/a")</f>
        <v>1.076217691294922</v>
      </c>
      <c r="S14" s="68">
        <f>'May-25'!S14+F14</f>
        <v>4904861</v>
      </c>
      <c r="T14" s="68">
        <f>'May-25'!T14+G14</f>
        <v>3955040</v>
      </c>
      <c r="U14" s="68">
        <f>'May-25'!U14+H14</f>
        <v>2701062</v>
      </c>
      <c r="V14" s="68">
        <f>'May-25'!V14+I14</f>
        <v>1544089</v>
      </c>
      <c r="W14" s="68">
        <f>'May-25'!W14+J14</f>
        <v>0</v>
      </c>
      <c r="X14" s="68">
        <f>'May-25'!X14+K14</f>
        <v>1092884</v>
      </c>
      <c r="Y14" s="68">
        <f>'May-25'!Y14+L14</f>
        <v>2451255</v>
      </c>
      <c r="Z14" s="64">
        <f>IFERROR(S14/T14-1,"n/a")</f>
        <v>0.24015458756422192</v>
      </c>
      <c r="AA14" s="64">
        <f>IFERROR(S14/U14-1,"n/a")</f>
        <v>0.81590093081906301</v>
      </c>
      <c r="AB14" s="64">
        <f>IFERROR(S14/V14-1,"n/a")</f>
        <v>2.1765403419103433</v>
      </c>
      <c r="AC14" s="64" t="str">
        <f>IFERROR(S14/W14-1,"n/a")</f>
        <v>n/a</v>
      </c>
      <c r="AD14" s="64">
        <f>IFERROR(S14/X14-1,"n/a")</f>
        <v>3.4879978112956183</v>
      </c>
      <c r="AE14" s="60">
        <f>IFERROR(S14/Y14-1,"n/a")</f>
        <v>1.0009591005423752</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119</v>
      </c>
      <c r="G16" s="71">
        <v>114</v>
      </c>
      <c r="H16" s="74">
        <v>73</v>
      </c>
      <c r="I16" s="71">
        <v>89</v>
      </c>
      <c r="J16" s="71">
        <v>17</v>
      </c>
      <c r="K16" s="71">
        <v>0</v>
      </c>
      <c r="L16" s="71">
        <v>71</v>
      </c>
      <c r="M16" s="64">
        <f t="shared" ref="M16:M17" si="0">IFERROR(F16/G16-1,"n/a")</f>
        <v>4.3859649122806932E-2</v>
      </c>
      <c r="N16" s="64">
        <f t="shared" ref="N16:N17" si="1">IFERROR(F16/H16-1,"n/a")</f>
        <v>0.63013698630136994</v>
      </c>
      <c r="O16" s="64">
        <f t="shared" ref="O16:O17" si="2">IFERROR(F16/I16-1,"n/a")</f>
        <v>0.33707865168539319</v>
      </c>
      <c r="P16" s="64">
        <f t="shared" ref="P16:P17" si="3">IFERROR(F16/J16-1,"n/a")</f>
        <v>6</v>
      </c>
      <c r="Q16" s="64" t="str">
        <f t="shared" ref="Q16:Q17" si="4">IFERROR(F16/K16-1,"n/a")</f>
        <v>n/a</v>
      </c>
      <c r="R16" s="60">
        <f t="shared" ref="R16:R17" si="5">IFERROR(F16/L16-1,"n/a")</f>
        <v>0.676056338028169</v>
      </c>
      <c r="S16" s="68">
        <f>'May-25'!S16+F16</f>
        <v>390</v>
      </c>
      <c r="T16" s="68">
        <f>'May-25'!T16+G16</f>
        <v>298</v>
      </c>
      <c r="U16" s="68">
        <f>'May-25'!U16+H16</f>
        <v>216</v>
      </c>
      <c r="V16" s="68">
        <f>'May-25'!V16+I16</f>
        <v>252</v>
      </c>
      <c r="W16" s="68">
        <f>'May-25'!W16+J16</f>
        <v>51</v>
      </c>
      <c r="X16" s="68">
        <f>'May-25'!X16+K16</f>
        <v>10</v>
      </c>
      <c r="Y16" s="68">
        <f>'May-25'!Y16+L16</f>
        <v>216</v>
      </c>
      <c r="Z16" s="64">
        <f t="shared" ref="Z16:Z17" si="6">IFERROR(S16/T16-1,"n/a")</f>
        <v>0.3087248322147651</v>
      </c>
      <c r="AA16" s="64">
        <f t="shared" ref="AA16:AA17" si="7">IFERROR(S16/U16-1,"n/a")</f>
        <v>0.80555555555555558</v>
      </c>
      <c r="AB16" s="64">
        <f t="shared" ref="AB16:AB17" si="8">IFERROR(S16/V16-1,"n/a")</f>
        <v>0.54761904761904767</v>
      </c>
      <c r="AC16" s="64">
        <f t="shared" ref="AC16:AC17" si="9">IFERROR(S16/W16-1,"n/a")</f>
        <v>6.6470588235294121</v>
      </c>
      <c r="AD16" s="64">
        <f t="shared" ref="AD16:AD17" si="10">IFERROR(S16/X16-1,"n/a")</f>
        <v>38</v>
      </c>
      <c r="AE16" s="60">
        <f t="shared" ref="AE16:AE17" si="11">IFERROR(S16/Y16-1,"n/a")</f>
        <v>0.80555555555555558</v>
      </c>
      <c r="AF16" s="68">
        <v>797</v>
      </c>
      <c r="AG16" s="68">
        <v>575</v>
      </c>
      <c r="AH16" s="68">
        <v>572</v>
      </c>
      <c r="AI16" s="68">
        <v>202</v>
      </c>
      <c r="AJ16" s="68">
        <v>54</v>
      </c>
      <c r="AK16" s="134">
        <v>586</v>
      </c>
      <c r="AL16" s="122"/>
      <c r="AM16" s="122"/>
    </row>
    <row r="17" spans="1:39" s="123" customFormat="1" ht="12.75">
      <c r="A17" s="122"/>
      <c r="B17" s="127"/>
      <c r="C17" s="33"/>
      <c r="D17" s="26" t="s">
        <v>11</v>
      </c>
      <c r="E17" s="32"/>
      <c r="F17" s="71">
        <v>329577</v>
      </c>
      <c r="G17" s="71">
        <v>313005</v>
      </c>
      <c r="H17" s="74">
        <v>224892</v>
      </c>
      <c r="I17" s="71">
        <v>121649</v>
      </c>
      <c r="J17" s="71">
        <v>24481</v>
      </c>
      <c r="K17" s="71">
        <v>0</v>
      </c>
      <c r="L17" s="71">
        <v>165399</v>
      </c>
      <c r="M17" s="64">
        <f t="shared" si="0"/>
        <v>5.2944841136723042E-2</v>
      </c>
      <c r="N17" s="64">
        <f t="shared" si="1"/>
        <v>0.46549010191558615</v>
      </c>
      <c r="O17" s="64">
        <f t="shared" si="2"/>
        <v>1.709245452079343</v>
      </c>
      <c r="P17" s="64">
        <f t="shared" si="3"/>
        <v>12.462562803807034</v>
      </c>
      <c r="Q17" s="64" t="str">
        <f t="shared" si="4"/>
        <v>n/a</v>
      </c>
      <c r="R17" s="60">
        <f t="shared" si="5"/>
        <v>0.99261785137757785</v>
      </c>
      <c r="S17" s="68">
        <f>'May-25'!S17+F17</f>
        <v>932242</v>
      </c>
      <c r="T17" s="68">
        <f>'May-25'!T17+G17</f>
        <v>773753</v>
      </c>
      <c r="U17" s="68">
        <f>'May-25'!U17+H17</f>
        <v>576378</v>
      </c>
      <c r="V17" s="68">
        <f>'May-25'!V17+I17</f>
        <v>300562</v>
      </c>
      <c r="W17" s="68">
        <f>'May-25'!W17+J17</f>
        <v>65067</v>
      </c>
      <c r="X17" s="68">
        <f>'May-25'!X17+K17</f>
        <v>41113</v>
      </c>
      <c r="Y17" s="68">
        <f>'May-25'!Y17+L17</f>
        <v>558503</v>
      </c>
      <c r="Z17" s="64">
        <f t="shared" si="6"/>
        <v>0.20483151600058425</v>
      </c>
      <c r="AA17" s="64">
        <f t="shared" si="7"/>
        <v>0.61741426633216401</v>
      </c>
      <c r="AB17" s="64">
        <f t="shared" si="8"/>
        <v>2.1016628848623577</v>
      </c>
      <c r="AC17" s="64">
        <f t="shared" si="9"/>
        <v>13.327416355448999</v>
      </c>
      <c r="AD17" s="64">
        <f t="shared" si="10"/>
        <v>21.675114927151995</v>
      </c>
      <c r="AE17" s="60">
        <f t="shared" si="11"/>
        <v>0.66917993278460464</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117</v>
      </c>
      <c r="G19" s="71">
        <v>95</v>
      </c>
      <c r="H19" s="73">
        <v>87</v>
      </c>
      <c r="I19" s="71">
        <v>91</v>
      </c>
      <c r="J19" s="71">
        <v>0</v>
      </c>
      <c r="K19" s="71">
        <v>0</v>
      </c>
      <c r="L19" s="71">
        <v>42</v>
      </c>
      <c r="M19" s="64">
        <f t="shared" ref="M19:M20" si="12">IFERROR(F19/G19-1,"n/a")</f>
        <v>0.23157894736842111</v>
      </c>
      <c r="N19" s="64">
        <f t="shared" ref="N19:N20" si="13">IFERROR(F19/H19-1,"n/a")</f>
        <v>0.34482758620689657</v>
      </c>
      <c r="O19" s="64">
        <f t="shared" ref="O19:O20" si="14">IFERROR(F19/I19-1,"n/a")</f>
        <v>0.28571428571428581</v>
      </c>
      <c r="P19" s="64" t="str">
        <f t="shared" ref="P19:P20" si="15">IFERROR(F19/J19-1,"n/a")</f>
        <v>n/a</v>
      </c>
      <c r="Q19" s="64" t="str">
        <f t="shared" ref="Q19:Q20" si="16">IFERROR(F19/K19-1,"n/a")</f>
        <v>n/a</v>
      </c>
      <c r="R19" s="60">
        <f t="shared" ref="R19:R20" si="17">IFERROR(F19/L19-1,"n/a")</f>
        <v>1.7857142857142856</v>
      </c>
      <c r="S19" s="68">
        <f>'May-25'!S19+F19</f>
        <v>295</v>
      </c>
      <c r="T19" s="68">
        <f>'May-25'!T19+G19</f>
        <v>265</v>
      </c>
      <c r="U19" s="68">
        <f>'May-25'!U19+H19</f>
        <v>256</v>
      </c>
      <c r="V19" s="68">
        <f>'May-25'!V19+I19</f>
        <v>229</v>
      </c>
      <c r="W19" s="68">
        <f>'May-25'!W19+J19</f>
        <v>3</v>
      </c>
      <c r="X19" s="68">
        <f>'May-25'!X19+K19</f>
        <v>3</v>
      </c>
      <c r="Y19" s="68">
        <f>'May-25'!Y19+L19</f>
        <v>106</v>
      </c>
      <c r="Z19" s="64">
        <f t="shared" ref="Z19:Z20" si="18">IFERROR(S19/T19-1,"n/a")</f>
        <v>0.1132075471698113</v>
      </c>
      <c r="AA19" s="64">
        <f t="shared" ref="AA19:AA20" si="19">IFERROR(S19/U19-1,"n/a")</f>
        <v>0.15234375</v>
      </c>
      <c r="AB19" s="64">
        <f t="shared" ref="AB19:AB20" si="20">IFERROR(S19/V19-1,"n/a")</f>
        <v>0.28820960698689957</v>
      </c>
      <c r="AC19" s="64">
        <f t="shared" ref="AC19:AC20" si="21">IFERROR(S19/W19-1,"n/a")</f>
        <v>97.333333333333329</v>
      </c>
      <c r="AD19" s="64">
        <f t="shared" ref="AD19:AD20" si="22">IFERROR(S19/X19-1,"n/a")</f>
        <v>97.333333333333329</v>
      </c>
      <c r="AE19" s="60">
        <f t="shared" ref="AE19:AE20" si="23">IFERROR(S19/Y19-1,"n/a")</f>
        <v>1.7830188679245285</v>
      </c>
      <c r="AF19" s="68">
        <v>733</v>
      </c>
      <c r="AG19" s="68">
        <v>708</v>
      </c>
      <c r="AH19" s="68">
        <v>658</v>
      </c>
      <c r="AI19" s="68">
        <v>47</v>
      </c>
      <c r="AJ19" s="68">
        <v>9</v>
      </c>
      <c r="AK19" s="134">
        <v>290</v>
      </c>
      <c r="AL19" s="122"/>
      <c r="AM19" s="122"/>
    </row>
    <row r="20" spans="1:39" s="123" customFormat="1" ht="12.75">
      <c r="A20" s="122"/>
      <c r="B20" s="127"/>
      <c r="C20" s="33"/>
      <c r="D20" s="26" t="s">
        <v>11</v>
      </c>
      <c r="E20" s="32"/>
      <c r="F20" s="71">
        <v>232927</v>
      </c>
      <c r="G20" s="71">
        <v>203091</v>
      </c>
      <c r="H20" s="73">
        <f>132170+37144</f>
        <v>169314</v>
      </c>
      <c r="I20" s="71">
        <v>118355</v>
      </c>
      <c r="J20" s="71">
        <v>0</v>
      </c>
      <c r="K20" s="71">
        <v>2213</v>
      </c>
      <c r="L20" s="71">
        <f>46798+31061</f>
        <v>77859</v>
      </c>
      <c r="M20" s="64">
        <f t="shared" si="12"/>
        <v>0.14690951346933145</v>
      </c>
      <c r="N20" s="64">
        <f t="shared" si="13"/>
        <v>0.3757102188832584</v>
      </c>
      <c r="O20" s="64">
        <f t="shared" si="14"/>
        <v>0.96803683832537701</v>
      </c>
      <c r="P20" s="64" t="str">
        <f t="shared" si="15"/>
        <v>n/a</v>
      </c>
      <c r="Q20" s="64">
        <f t="shared" si="16"/>
        <v>104.25395390872119</v>
      </c>
      <c r="R20" s="60">
        <f t="shared" si="17"/>
        <v>1.9916515752835253</v>
      </c>
      <c r="S20" s="68">
        <f>'May-25'!S20+F20</f>
        <v>523159</v>
      </c>
      <c r="T20" s="68">
        <f>'May-25'!T20+G20</f>
        <v>475388.4</v>
      </c>
      <c r="U20" s="68">
        <f>'May-25'!U20+H20</f>
        <v>393780</v>
      </c>
      <c r="V20" s="68">
        <f>'May-25'!V20+I20</f>
        <v>242591</v>
      </c>
      <c r="W20" s="68">
        <f>'May-25'!W20+J20</f>
        <v>0</v>
      </c>
      <c r="X20" s="68">
        <f>'May-25'!X20+K20</f>
        <v>3966</v>
      </c>
      <c r="Y20" s="68">
        <f>'May-25'!Y20+L20</f>
        <v>186782</v>
      </c>
      <c r="Z20" s="64">
        <f t="shared" si="18"/>
        <v>0.10048751715439419</v>
      </c>
      <c r="AA20" s="64">
        <f t="shared" si="19"/>
        <v>0.32855655442125054</v>
      </c>
      <c r="AB20" s="64">
        <f t="shared" si="20"/>
        <v>1.1565474399297582</v>
      </c>
      <c r="AC20" s="64" t="str">
        <f t="shared" si="21"/>
        <v>n/a</v>
      </c>
      <c r="AD20" s="64">
        <f t="shared" si="22"/>
        <v>130.91099344427636</v>
      </c>
      <c r="AE20" s="60">
        <f t="shared" si="23"/>
        <v>1.8009069396408646</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89</v>
      </c>
      <c r="G22" s="71">
        <v>96</v>
      </c>
      <c r="H22" s="74">
        <v>88</v>
      </c>
      <c r="I22" s="71">
        <v>69</v>
      </c>
      <c r="J22" s="71">
        <v>4</v>
      </c>
      <c r="K22" s="71">
        <v>0</v>
      </c>
      <c r="L22" s="71">
        <v>70</v>
      </c>
      <c r="M22" s="64">
        <f t="shared" ref="M22:M23" si="24">IFERROR(F22/G22-1,"n/a")</f>
        <v>-7.291666666666663E-2</v>
      </c>
      <c r="N22" s="64">
        <f t="shared" ref="N22:N23" si="25">IFERROR(F22/H22-1,"n/a")</f>
        <v>1.1363636363636465E-2</v>
      </c>
      <c r="O22" s="64">
        <f t="shared" ref="O22:O23" si="26">IFERROR(F22/I22-1,"n/a")</f>
        <v>0.28985507246376807</v>
      </c>
      <c r="P22" s="64">
        <f t="shared" ref="P22:P23" si="27">IFERROR(F22/J22-1,"n/a")</f>
        <v>21.25</v>
      </c>
      <c r="Q22" s="64" t="str">
        <f t="shared" ref="Q22:Q23" si="28">IFERROR(F22/K22-1,"n/a")</f>
        <v>n/a</v>
      </c>
      <c r="R22" s="60">
        <f t="shared" ref="R22:R23" si="29">IFERROR(F22/L22-1,"n/a")</f>
        <v>0.27142857142857135</v>
      </c>
      <c r="S22" s="68">
        <f>'May-25'!S22+F22</f>
        <v>838</v>
      </c>
      <c r="T22" s="68">
        <f>'May-25'!T22+G22</f>
        <v>696</v>
      </c>
      <c r="U22" s="68">
        <f>'May-25'!U22+H22</f>
        <v>696</v>
      </c>
      <c r="V22" s="68">
        <f>'May-25'!V22+I22</f>
        <v>329</v>
      </c>
      <c r="W22" s="68">
        <f>'May-25'!W22+J22</f>
        <v>4</v>
      </c>
      <c r="X22" s="68">
        <f>'May-25'!X22+K22</f>
        <v>43</v>
      </c>
      <c r="Y22" s="68">
        <f>'May-25'!Y22+L22</f>
        <v>362</v>
      </c>
      <c r="Z22" s="64">
        <f t="shared" ref="Z22:Z23" si="30">IFERROR(S22/T22-1,"n/a")</f>
        <v>0.20402298850574718</v>
      </c>
      <c r="AA22" s="64">
        <f t="shared" ref="AA22:AA23" si="31">IFERROR(S22/U22-1,"n/a")</f>
        <v>0.20402298850574718</v>
      </c>
      <c r="AB22" s="64">
        <f t="shared" ref="AB22:AB23" si="32">IFERROR(S22/V22-1,"n/a")</f>
        <v>1.547112462006079</v>
      </c>
      <c r="AC22" s="64">
        <f t="shared" ref="AC22:AC23" si="33">IFERROR(S22/W22-1,"n/a")</f>
        <v>208.5</v>
      </c>
      <c r="AD22" s="64">
        <f t="shared" ref="AD22:AD23" si="34">IFERROR(S22/X22-1,"n/a")</f>
        <v>18.488372093023255</v>
      </c>
      <c r="AE22" s="60">
        <f t="shared" ref="AE22:AE23" si="35">IFERROR(S22/Y22-1,"n/a")</f>
        <v>1.3149171270718232</v>
      </c>
      <c r="AF22" s="68">
        <v>1651</v>
      </c>
      <c r="AG22" s="68">
        <v>1500</v>
      </c>
      <c r="AH22" s="68">
        <v>895</v>
      </c>
      <c r="AI22" s="68">
        <v>283</v>
      </c>
      <c r="AJ22" s="68">
        <v>43</v>
      </c>
      <c r="AK22" s="134">
        <v>827</v>
      </c>
      <c r="AL22" s="122"/>
      <c r="AM22" s="122"/>
    </row>
    <row r="23" spans="1:39" s="123" customFormat="1" ht="12.75">
      <c r="A23" s="122"/>
      <c r="B23" s="127"/>
      <c r="C23" s="33"/>
      <c r="D23" s="26" t="s">
        <v>11</v>
      </c>
      <c r="E23" s="32"/>
      <c r="F23" s="71">
        <v>281722</v>
      </c>
      <c r="G23" s="71">
        <v>382725</v>
      </c>
      <c r="H23" s="73">
        <v>334459</v>
      </c>
      <c r="I23" s="71">
        <v>183895</v>
      </c>
      <c r="J23" s="71">
        <v>4923</v>
      </c>
      <c r="K23" s="71">
        <v>0</v>
      </c>
      <c r="L23" s="71">
        <v>275367</v>
      </c>
      <c r="M23" s="64">
        <f t="shared" si="24"/>
        <v>-0.26390489254686789</v>
      </c>
      <c r="N23" s="64">
        <f t="shared" si="25"/>
        <v>-0.15767851963917845</v>
      </c>
      <c r="O23" s="64">
        <f t="shared" si="26"/>
        <v>0.53197204926724484</v>
      </c>
      <c r="P23" s="64">
        <f t="shared" si="27"/>
        <v>56.225675401178144</v>
      </c>
      <c r="Q23" s="64" t="str">
        <f t="shared" si="28"/>
        <v>n/a</v>
      </c>
      <c r="R23" s="60">
        <f t="shared" si="29"/>
        <v>2.307829187956445E-2</v>
      </c>
      <c r="S23" s="68">
        <f>'May-25'!S23+F23</f>
        <v>2226718</v>
      </c>
      <c r="T23" s="68">
        <f>'May-25'!T23+G23</f>
        <v>2154725</v>
      </c>
      <c r="U23" s="68">
        <f>'May-25'!U23+H23</f>
        <v>1913752</v>
      </c>
      <c r="V23" s="68">
        <f>'May-25'!V23+I23</f>
        <v>542087</v>
      </c>
      <c r="W23" s="68">
        <f>'May-25'!W23+J23</f>
        <v>4923</v>
      </c>
      <c r="X23" s="68">
        <f>'May-25'!X23+K23</f>
        <v>140552</v>
      </c>
      <c r="Y23" s="68">
        <f>'May-25'!Y23+L23</f>
        <v>1040452</v>
      </c>
      <c r="Z23" s="64">
        <f t="shared" si="30"/>
        <v>3.3411688266484108E-2</v>
      </c>
      <c r="AA23" s="64">
        <f t="shared" si="31"/>
        <v>0.16353529610942275</v>
      </c>
      <c r="AB23" s="64">
        <f t="shared" si="32"/>
        <v>3.1076764430801695</v>
      </c>
      <c r="AC23" s="64">
        <f t="shared" si="33"/>
        <v>451.3091610806419</v>
      </c>
      <c r="AD23" s="64">
        <f t="shared" si="34"/>
        <v>14.842663213614889</v>
      </c>
      <c r="AE23" s="60">
        <f t="shared" si="35"/>
        <v>1.1401448601184869</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2</v>
      </c>
      <c r="G25" s="71">
        <v>2</v>
      </c>
      <c r="H25" s="71">
        <v>4</v>
      </c>
      <c r="I25" s="71">
        <v>1</v>
      </c>
      <c r="J25" s="71">
        <v>0</v>
      </c>
      <c r="K25" s="71">
        <v>0</v>
      </c>
      <c r="L25" s="71">
        <v>5</v>
      </c>
      <c r="M25" s="64">
        <f t="shared" ref="M25:M28" si="36">IFERROR(F25/G25-1,"n/a")</f>
        <v>0</v>
      </c>
      <c r="N25" s="64">
        <f t="shared" ref="N25:N28" si="37">IFERROR(F25/H25-1,"n/a")</f>
        <v>-0.5</v>
      </c>
      <c r="O25" s="64">
        <f t="shared" ref="O25:O28" si="38">IFERROR(F25/I25-1,"n/a")</f>
        <v>1</v>
      </c>
      <c r="P25" s="64" t="str">
        <f t="shared" ref="P25:P28" si="39">IFERROR(F25/J25-1,"n/a")</f>
        <v>n/a</v>
      </c>
      <c r="Q25" s="64" t="str">
        <f t="shared" ref="Q25:Q28" si="40">IFERROR(F25/K25-1,"n/a")</f>
        <v>n/a</v>
      </c>
      <c r="R25" s="60">
        <f t="shared" ref="R25:R28" si="41">IFERROR(F25/L25-1,"n/a")</f>
        <v>-0.6</v>
      </c>
      <c r="S25" s="68">
        <f>'May-25'!S25+F25</f>
        <v>5</v>
      </c>
      <c r="T25" s="68">
        <f>'May-25'!T25+G25</f>
        <v>5</v>
      </c>
      <c r="U25" s="68">
        <f>'May-25'!U25+H25</f>
        <v>8</v>
      </c>
      <c r="V25" s="68">
        <f>'May-25'!V25+I25</f>
        <v>2</v>
      </c>
      <c r="W25" s="68">
        <f>'May-25'!W25+J25</f>
        <v>0</v>
      </c>
      <c r="X25" s="68">
        <f>'May-25'!X25+K25</f>
        <v>0</v>
      </c>
      <c r="Y25" s="68">
        <f>'May-25'!Y25+L25</f>
        <v>8</v>
      </c>
      <c r="Z25" s="64">
        <f t="shared" ref="Z25:Z28" si="42">IFERROR(S25/T25-1,"n/a")</f>
        <v>0</v>
      </c>
      <c r="AA25" s="64">
        <f t="shared" ref="AA25:AA28" si="43">IFERROR(S25/U25-1,"n/a")</f>
        <v>-0.375</v>
      </c>
      <c r="AB25" s="64">
        <f t="shared" ref="AB25:AB28" si="44">IFERROR(S25/V25-1,"n/a")</f>
        <v>1.5</v>
      </c>
      <c r="AC25" s="64" t="str">
        <f t="shared" ref="AC25:AC28" si="45">IFERROR(S25/W25-1,"n/a")</f>
        <v>n/a</v>
      </c>
      <c r="AD25" s="64" t="str">
        <f t="shared" ref="AD25:AD28" si="46">IFERROR(S25/X25-1,"n/a")</f>
        <v>n/a</v>
      </c>
      <c r="AE25" s="60">
        <f t="shared" ref="AE25:AE28" si="47">IFERROR(S25/Y25-1,"n/a")</f>
        <v>-0.375</v>
      </c>
      <c r="AF25" s="68">
        <v>14</v>
      </c>
      <c r="AG25" s="68">
        <v>21</v>
      </c>
      <c r="AH25" s="68">
        <v>9</v>
      </c>
      <c r="AI25" s="68">
        <v>0</v>
      </c>
      <c r="AJ25" s="68">
        <v>0</v>
      </c>
      <c r="AK25" s="134">
        <v>16</v>
      </c>
      <c r="AL25" s="122"/>
      <c r="AM25" s="122"/>
    </row>
    <row r="26" spans="1:39" s="123" customFormat="1" ht="12.75">
      <c r="A26" s="122"/>
      <c r="B26" s="127"/>
      <c r="C26" s="33"/>
      <c r="D26" s="26" t="s">
        <v>11</v>
      </c>
      <c r="E26" s="32"/>
      <c r="F26" s="71">
        <v>9015</v>
      </c>
      <c r="G26" s="71">
        <v>6222</v>
      </c>
      <c r="H26" s="71">
        <v>9205</v>
      </c>
      <c r="I26" s="71">
        <v>2226</v>
      </c>
      <c r="J26" s="71">
        <v>0</v>
      </c>
      <c r="K26" s="71">
        <v>0</v>
      </c>
      <c r="L26" s="71">
        <v>6817</v>
      </c>
      <c r="M26" s="64">
        <f t="shared" si="36"/>
        <v>0.44889103182256518</v>
      </c>
      <c r="N26" s="64">
        <f t="shared" si="37"/>
        <v>-2.064095600217275E-2</v>
      </c>
      <c r="O26" s="64">
        <f t="shared" si="38"/>
        <v>3.0498652291105124</v>
      </c>
      <c r="P26" s="64" t="str">
        <f t="shared" si="39"/>
        <v>n/a</v>
      </c>
      <c r="Q26" s="64" t="str">
        <f t="shared" si="40"/>
        <v>n/a</v>
      </c>
      <c r="R26" s="60">
        <f t="shared" si="41"/>
        <v>0.32242922106498462</v>
      </c>
      <c r="S26" s="68">
        <f>'May-25'!S26+F26</f>
        <v>20904</v>
      </c>
      <c r="T26" s="68">
        <f>'May-25'!T26+G26</f>
        <v>18659</v>
      </c>
      <c r="U26" s="68">
        <f>'May-25'!U26+H26</f>
        <v>13587</v>
      </c>
      <c r="V26" s="68">
        <f>'May-25'!V26+I26</f>
        <v>3151</v>
      </c>
      <c r="W26" s="68">
        <f>'May-25'!W26+J26</f>
        <v>0</v>
      </c>
      <c r="X26" s="68">
        <f>'May-25'!X26+K26</f>
        <v>0</v>
      </c>
      <c r="Y26" s="68">
        <f>'May-25'!Y26+L26</f>
        <v>10227</v>
      </c>
      <c r="Z26" s="64">
        <f t="shared" si="42"/>
        <v>0.12031727316576446</v>
      </c>
      <c r="AA26" s="64">
        <f t="shared" si="43"/>
        <v>0.53852947670567453</v>
      </c>
      <c r="AB26" s="64">
        <f t="shared" si="44"/>
        <v>5.6340844176451919</v>
      </c>
      <c r="AC26" s="64" t="str">
        <f t="shared" si="45"/>
        <v>n/a</v>
      </c>
      <c r="AD26" s="64" t="str">
        <f t="shared" si="46"/>
        <v>n/a</v>
      </c>
      <c r="AE26" s="60">
        <f t="shared" si="47"/>
        <v>1.0440011733646228</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498</v>
      </c>
      <c r="G27" s="75">
        <f t="shared" si="48"/>
        <v>463</v>
      </c>
      <c r="H27" s="75">
        <f t="shared" si="48"/>
        <v>347</v>
      </c>
      <c r="I27" s="75">
        <f t="shared" si="48"/>
        <v>327</v>
      </c>
      <c r="J27" s="75">
        <f t="shared" si="48"/>
        <v>21</v>
      </c>
      <c r="K27" s="75">
        <f t="shared" si="48"/>
        <v>0</v>
      </c>
      <c r="L27" s="75">
        <f t="shared" si="48"/>
        <v>278</v>
      </c>
      <c r="M27" s="66">
        <f t="shared" si="36"/>
        <v>7.5593952483801186E-2</v>
      </c>
      <c r="N27" s="66">
        <f t="shared" si="37"/>
        <v>0.43515850144092227</v>
      </c>
      <c r="O27" s="66">
        <f t="shared" si="38"/>
        <v>0.52293577981651373</v>
      </c>
      <c r="P27" s="66">
        <f t="shared" si="39"/>
        <v>22.714285714285715</v>
      </c>
      <c r="Q27" s="66" t="str">
        <f t="shared" si="40"/>
        <v>n/a</v>
      </c>
      <c r="R27" s="62">
        <f t="shared" si="41"/>
        <v>0.79136690647482011</v>
      </c>
      <c r="S27" s="75">
        <f t="shared" ref="S27:Y28" si="49">S13+S16+S19+S22+S25</f>
        <v>3182</v>
      </c>
      <c r="T27" s="75">
        <f t="shared" si="49"/>
        <v>2472</v>
      </c>
      <c r="U27" s="75">
        <f t="shared" si="49"/>
        <v>2029</v>
      </c>
      <c r="V27" s="75">
        <f t="shared" si="49"/>
        <v>1638</v>
      </c>
      <c r="W27" s="75">
        <f t="shared" si="49"/>
        <v>58</v>
      </c>
      <c r="X27" s="75">
        <f t="shared" si="49"/>
        <v>607</v>
      </c>
      <c r="Y27" s="75">
        <f t="shared" si="49"/>
        <v>1517</v>
      </c>
      <c r="Z27" s="66">
        <f t="shared" si="42"/>
        <v>0.28721682847896446</v>
      </c>
      <c r="AA27" s="66">
        <f t="shared" si="43"/>
        <v>0.56826022671266641</v>
      </c>
      <c r="AB27" s="66">
        <f t="shared" si="44"/>
        <v>0.94261294261294259</v>
      </c>
      <c r="AC27" s="66">
        <f t="shared" si="45"/>
        <v>53.862068965517238</v>
      </c>
      <c r="AD27" s="66">
        <f t="shared" si="46"/>
        <v>4.2421746293245466</v>
      </c>
      <c r="AE27" s="62">
        <f t="shared" si="47"/>
        <v>1.0975609756097562</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1482445</v>
      </c>
      <c r="G28" s="76">
        <f t="shared" si="48"/>
        <v>1462486</v>
      </c>
      <c r="H28" s="76">
        <f t="shared" si="48"/>
        <v>1097755</v>
      </c>
      <c r="I28" s="76">
        <f t="shared" si="48"/>
        <v>677800</v>
      </c>
      <c r="J28" s="76">
        <f t="shared" si="48"/>
        <v>29404</v>
      </c>
      <c r="K28" s="76">
        <f t="shared" si="48"/>
        <v>2213</v>
      </c>
      <c r="L28" s="76">
        <f t="shared" si="48"/>
        <v>828495</v>
      </c>
      <c r="M28" s="67">
        <f t="shared" si="36"/>
        <v>1.3647310128096946E-2</v>
      </c>
      <c r="N28" s="67">
        <f t="shared" si="37"/>
        <v>0.35043338449836248</v>
      </c>
      <c r="O28" s="67">
        <f t="shared" si="38"/>
        <v>1.1871422248450871</v>
      </c>
      <c r="P28" s="67">
        <f t="shared" si="39"/>
        <v>49.416439940144201</v>
      </c>
      <c r="Q28" s="67">
        <f t="shared" si="40"/>
        <v>668.8802530501581</v>
      </c>
      <c r="R28" s="63">
        <f t="shared" si="41"/>
        <v>0.78932280822455181</v>
      </c>
      <c r="S28" s="76">
        <f t="shared" si="49"/>
        <v>8607884</v>
      </c>
      <c r="T28" s="76">
        <f t="shared" si="49"/>
        <v>7377565.4000000004</v>
      </c>
      <c r="U28" s="76">
        <f t="shared" si="49"/>
        <v>5598559</v>
      </c>
      <c r="V28" s="76">
        <f t="shared" si="49"/>
        <v>2632480</v>
      </c>
      <c r="W28" s="76">
        <f t="shared" si="49"/>
        <v>69990</v>
      </c>
      <c r="X28" s="76">
        <f t="shared" si="49"/>
        <v>1278515</v>
      </c>
      <c r="Y28" s="76">
        <f t="shared" si="49"/>
        <v>4247219</v>
      </c>
      <c r="Z28" s="67">
        <f t="shared" si="42"/>
        <v>0.16676485172195155</v>
      </c>
      <c r="AA28" s="67">
        <f t="shared" si="43"/>
        <v>0.53751777912852217</v>
      </c>
      <c r="AB28" s="67">
        <f t="shared" si="44"/>
        <v>2.2698763143499665</v>
      </c>
      <c r="AC28" s="67">
        <f t="shared" si="45"/>
        <v>121.98734104872125</v>
      </c>
      <c r="AD28" s="67">
        <f t="shared" si="46"/>
        <v>5.7327203826314124</v>
      </c>
      <c r="AE28" s="63">
        <f t="shared" si="47"/>
        <v>1.0267106546660298</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'May-25'!S27+'May-25'!S28+'Jun-25'!F27+'Jun-25'!F28-'Jun-25'!S27-'Jun-25'!S28</f>
        <v>0</v>
      </c>
      <c r="T30" s="128">
        <f>'May-25'!T27+'May-25'!T28+'Jun-25'!G27+'Jun-25'!G28-'Jun-25'!T27-'Jun-25'!T28</f>
        <v>0</v>
      </c>
      <c r="U30" s="128">
        <f>'May-25'!U27+'May-25'!U28+'Jun-25'!H27+'Jun-25'!H28-'Jun-25'!U27-'Jun-25'!U28</f>
        <v>0</v>
      </c>
      <c r="V30" s="128">
        <f>'May-25'!V27+'May-25'!V28+'Jun-25'!I27+'Jun-25'!I28-'Jun-25'!V27-'Jun-25'!V28</f>
        <v>0</v>
      </c>
      <c r="W30" s="128">
        <f>'May-25'!W27+'May-25'!W28+'Jun-25'!J27+'Jun-25'!J28-'Jun-25'!W27-'Jun-25'!W28</f>
        <v>0</v>
      </c>
      <c r="X30" s="128">
        <f>'May-25'!X27+'May-25'!X28+'Jun-25'!K27+'Jun-25'!K28-'Jun-25'!X27-'Jun-25'!X28</f>
        <v>0</v>
      </c>
      <c r="Y30" s="128">
        <f>'May-25'!Y27+'May-25'!Y28+'Jun-25'!L27+'Jun-25'!L28-'Jun-25'!Y27-'Jun-25'!Y28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June</v>
      </c>
      <c r="G33" s="170"/>
      <c r="H33" s="170"/>
      <c r="I33" s="170"/>
      <c r="J33" s="170"/>
      <c r="K33" s="170"/>
      <c r="L33" s="170"/>
      <c r="M33" s="170"/>
      <c r="N33" s="170"/>
      <c r="O33" s="170"/>
      <c r="P33" s="170"/>
      <c r="Q33" s="170"/>
      <c r="R33" s="171"/>
      <c r="S33" s="176" t="str">
        <f>"April to "&amp;D4&amp;" (YTD)"</f>
        <v>April to June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3" t="s">
        <v>146</v>
      </c>
      <c r="AA35" s="53" t="s">
        <v>147</v>
      </c>
      <c r="AB35" s="53" t="s">
        <v>148</v>
      </c>
      <c r="AC35" s="53" t="s">
        <v>149</v>
      </c>
      <c r="AD35" s="53" t="s">
        <v>150</v>
      </c>
      <c r="AE35" s="57" t="s">
        <v>151</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171</v>
      </c>
      <c r="G37" s="74">
        <f t="shared" ref="G37:L38" si="51">G13</f>
        <v>156</v>
      </c>
      <c r="H37" s="74">
        <f t="shared" si="51"/>
        <v>95</v>
      </c>
      <c r="I37" s="74">
        <f t="shared" si="51"/>
        <v>77</v>
      </c>
      <c r="J37" s="74">
        <f t="shared" si="51"/>
        <v>0</v>
      </c>
      <c r="K37" s="74">
        <f t="shared" si="51"/>
        <v>0</v>
      </c>
      <c r="L37" s="74">
        <f t="shared" si="51"/>
        <v>90</v>
      </c>
      <c r="M37" s="64">
        <f t="shared" ref="M37:M38" si="52">IFERROR(F37/G37-1,"n/a")</f>
        <v>9.6153846153846256E-2</v>
      </c>
      <c r="N37" s="64">
        <f t="shared" ref="N37:N38" si="53">IFERROR(F37/H37-1,"n/a")</f>
        <v>0.8</v>
      </c>
      <c r="O37" s="64">
        <f t="shared" ref="O37:O38" si="54">IFERROR(F37/I37-1,"n/a")</f>
        <v>1.220779220779221</v>
      </c>
      <c r="P37" s="64" t="str">
        <f t="shared" ref="P37:P38" si="55">IFERROR(F37/J37-1,"n/a")</f>
        <v>n/a</v>
      </c>
      <c r="Q37" s="64" t="str">
        <f t="shared" ref="Q37:Q38" si="56">IFERROR(F37/K37-1,"n/a")</f>
        <v>n/a</v>
      </c>
      <c r="R37" s="60">
        <f t="shared" ref="R37:R38" si="57">IFERROR(F37/L37-1,"n/a")</f>
        <v>0.89999999999999991</v>
      </c>
      <c r="S37" s="74">
        <f>'May-25'!S37+F37</f>
        <v>561</v>
      </c>
      <c r="T37" s="74">
        <f>'May-25'!T37+G37</f>
        <v>506</v>
      </c>
      <c r="U37" s="74">
        <f>'May-25'!U37+H37</f>
        <v>323</v>
      </c>
      <c r="V37" s="74">
        <f>'May-25'!V37+I37</f>
        <v>296</v>
      </c>
      <c r="W37" s="74">
        <f>'May-25'!W37+J37</f>
        <v>0</v>
      </c>
      <c r="X37" s="74">
        <f>'May-25'!X37+K37</f>
        <v>42</v>
      </c>
      <c r="Y37" s="74">
        <f>'May-25'!Y37+L37</f>
        <v>309</v>
      </c>
      <c r="Z37" s="147">
        <f>IFERROR(S37/T37-1,"n/a")</f>
        <v>0.10869565217391308</v>
      </c>
      <c r="AA37" s="147">
        <f>IFERROR(S37/U37-1,"n/a")</f>
        <v>0.73684210526315796</v>
      </c>
      <c r="AB37" s="147">
        <f>IFERROR(S37/V37-1,"n/a")</f>
        <v>0.89527027027027017</v>
      </c>
      <c r="AC37" s="147" t="str">
        <f>IFERROR(S37/W37-1,"n/a")</f>
        <v>n/a</v>
      </c>
      <c r="AD37" s="147">
        <f>IFERROR(S37/X37-1,"n/a")</f>
        <v>12.357142857142858</v>
      </c>
      <c r="AE37" s="158">
        <f>IFERROR(S37/Y37-1,"n/a")</f>
        <v>0.81553398058252435</v>
      </c>
      <c r="AF37" s="154">
        <v>2874</v>
      </c>
      <c r="AG37" s="89">
        <v>1802</v>
      </c>
      <c r="AH37" s="89">
        <v>1486</v>
      </c>
      <c r="AI37" s="89">
        <v>1052</v>
      </c>
      <c r="AJ37" s="70">
        <v>551</v>
      </c>
      <c r="AK37" s="78">
        <v>1584</v>
      </c>
      <c r="AM37" s="122"/>
    </row>
    <row r="38" spans="1:39" s="123" customFormat="1" ht="11.25">
      <c r="A38" s="122"/>
      <c r="B38" s="122"/>
      <c r="C38" s="33"/>
      <c r="D38" s="26" t="s">
        <v>11</v>
      </c>
      <c r="E38" s="32"/>
      <c r="F38" s="74">
        <f>F14</f>
        <v>629204</v>
      </c>
      <c r="G38" s="74">
        <f t="shared" si="51"/>
        <v>557443</v>
      </c>
      <c r="H38" s="74">
        <f t="shared" si="51"/>
        <v>359885</v>
      </c>
      <c r="I38" s="74">
        <f t="shared" si="51"/>
        <v>251675</v>
      </c>
      <c r="J38" s="74">
        <f t="shared" si="51"/>
        <v>0</v>
      </c>
      <c r="K38" s="74">
        <f t="shared" si="51"/>
        <v>0</v>
      </c>
      <c r="L38" s="74">
        <f t="shared" si="51"/>
        <v>303053</v>
      </c>
      <c r="M38" s="64">
        <f t="shared" si="52"/>
        <v>0.12873244439341791</v>
      </c>
      <c r="N38" s="64">
        <f t="shared" si="53"/>
        <v>0.74834738874918383</v>
      </c>
      <c r="O38" s="64">
        <f t="shared" si="54"/>
        <v>1.5000655607430216</v>
      </c>
      <c r="P38" s="64" t="str">
        <f t="shared" si="55"/>
        <v>n/a</v>
      </c>
      <c r="Q38" s="64" t="str">
        <f t="shared" si="56"/>
        <v>n/a</v>
      </c>
      <c r="R38" s="60">
        <f t="shared" si="57"/>
        <v>1.076217691294922</v>
      </c>
      <c r="S38" s="74">
        <f>'May-25'!S38+F38</f>
        <v>1979280</v>
      </c>
      <c r="T38" s="74">
        <f>'May-25'!T38+G38</f>
        <v>1801216</v>
      </c>
      <c r="U38" s="74">
        <f>'May-25'!U38+H38</f>
        <v>1162878</v>
      </c>
      <c r="V38" s="74">
        <f>'May-25'!V38+I38</f>
        <v>784431</v>
      </c>
      <c r="W38" s="74">
        <f>'May-25'!W38+J38</f>
        <v>0</v>
      </c>
      <c r="X38" s="74">
        <f>'May-25'!X38+K38</f>
        <v>0</v>
      </c>
      <c r="Y38" s="74">
        <f>'May-25'!Y38+L38</f>
        <v>1000151</v>
      </c>
      <c r="Z38" s="147">
        <f>IFERROR(S38/T38-1,"n/a")</f>
        <v>9.8857660602615027E-2</v>
      </c>
      <c r="AA38" s="147">
        <f>IFERROR(S38/U38-1,"n/a")</f>
        <v>0.70205300986001973</v>
      </c>
      <c r="AB38" s="147">
        <f>IFERROR(S38/V38-1,"n/a")</f>
        <v>1.5232047178145689</v>
      </c>
      <c r="AC38" s="147" t="str">
        <f>IFERROR(S38/W38-1,"n/a")</f>
        <v>n/a</v>
      </c>
      <c r="AD38" s="147" t="str">
        <f>IFERROR(S38/X38-1,"n/a")</f>
        <v>n/a</v>
      </c>
      <c r="AE38" s="158">
        <f>IFERROR(S38/Y38-1,"n/a")</f>
        <v>0.97898117384274985</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26"/>
      <c r="T39" s="26"/>
      <c r="U39" s="26"/>
      <c r="V39" s="26"/>
      <c r="W39" s="26"/>
      <c r="X39" s="26"/>
      <c r="Y39" s="26"/>
      <c r="Z39" s="146"/>
      <c r="AA39" s="148"/>
      <c r="AB39" s="148"/>
      <c r="AC39" s="148"/>
      <c r="AD39" s="148"/>
      <c r="AE39" s="159"/>
      <c r="AF39" s="44"/>
      <c r="AG39" s="90"/>
      <c r="AH39" s="90"/>
      <c r="AI39" s="90"/>
      <c r="AJ39" s="44"/>
      <c r="AK39" s="79"/>
      <c r="AM39" s="122"/>
    </row>
    <row r="40" spans="1:39" s="123" customFormat="1" ht="11.25">
      <c r="A40" s="122"/>
      <c r="B40" s="122"/>
      <c r="C40" s="33"/>
      <c r="D40" s="26" t="s">
        <v>5</v>
      </c>
      <c r="E40" s="32"/>
      <c r="F40" s="74">
        <f t="shared" ref="F40:L41" si="58">F16</f>
        <v>119</v>
      </c>
      <c r="G40" s="74">
        <f t="shared" si="58"/>
        <v>114</v>
      </c>
      <c r="H40" s="74">
        <f t="shared" si="58"/>
        <v>73</v>
      </c>
      <c r="I40" s="74">
        <f t="shared" si="58"/>
        <v>89</v>
      </c>
      <c r="J40" s="74">
        <f t="shared" si="58"/>
        <v>17</v>
      </c>
      <c r="K40" s="74">
        <f t="shared" si="58"/>
        <v>0</v>
      </c>
      <c r="L40" s="74">
        <f t="shared" si="58"/>
        <v>71</v>
      </c>
      <c r="M40" s="64">
        <f t="shared" ref="M40:M41" si="59">IFERROR(F40/G40-1,"n/a")</f>
        <v>4.3859649122806932E-2</v>
      </c>
      <c r="N40" s="64">
        <f t="shared" ref="N40:N41" si="60">IFERROR(F40/H40-1,"n/a")</f>
        <v>0.63013698630136994</v>
      </c>
      <c r="O40" s="64">
        <f t="shared" ref="O40:O41" si="61">IFERROR(F40/I40-1,"n/a")</f>
        <v>0.33707865168539319</v>
      </c>
      <c r="P40" s="64">
        <f t="shared" ref="P40:P41" si="62">IFERROR(F40/J40-1,"n/a")</f>
        <v>6</v>
      </c>
      <c r="Q40" s="64" t="str">
        <f t="shared" ref="Q40:Q41" si="63">IFERROR(F40/K40-1,"n/a")</f>
        <v>n/a</v>
      </c>
      <c r="R40" s="60">
        <f t="shared" ref="R40:R41" si="64">IFERROR(F40/L40-1,"n/a")</f>
        <v>0.676056338028169</v>
      </c>
      <c r="S40" s="74">
        <f>'May-25'!S40+F40</f>
        <v>333</v>
      </c>
      <c r="T40" s="74">
        <f>'May-25'!T40+G40</f>
        <v>261</v>
      </c>
      <c r="U40" s="74">
        <f>'May-25'!U40+H40</f>
        <v>189</v>
      </c>
      <c r="V40" s="74">
        <f>'May-25'!V40+I40</f>
        <v>216</v>
      </c>
      <c r="W40" s="74">
        <f>'May-25'!W40+J40</f>
        <v>39</v>
      </c>
      <c r="X40" s="74">
        <f>'May-25'!X40+K40</f>
        <v>0</v>
      </c>
      <c r="Y40" s="74">
        <f>'May-25'!Y40+L40</f>
        <v>193</v>
      </c>
      <c r="Z40" s="147">
        <f t="shared" ref="Z40:Z41" si="65">IFERROR(S40/T40-1,"n/a")</f>
        <v>0.27586206896551735</v>
      </c>
      <c r="AA40" s="147">
        <f t="shared" ref="AA40:AA41" si="66">IFERROR(S40/U40-1,"n/a")</f>
        <v>0.76190476190476186</v>
      </c>
      <c r="AB40" s="147">
        <f t="shared" ref="AB40:AB41" si="67">IFERROR(S40/V40-1,"n/a")</f>
        <v>0.54166666666666674</v>
      </c>
      <c r="AC40" s="147">
        <f t="shared" ref="AC40:AC41" si="68">IFERROR(S40/W40-1,"n/a")</f>
        <v>7.5384615384615383</v>
      </c>
      <c r="AD40" s="147" t="str">
        <f t="shared" ref="AD40:AD41" si="69">IFERROR(S40/X40-1,"n/a")</f>
        <v>n/a</v>
      </c>
      <c r="AE40" s="158">
        <f t="shared" ref="AE40:AE41" si="70">IFERROR(S40/Y40-1,"n/a")</f>
        <v>0.72538860103626934</v>
      </c>
      <c r="AF40" s="154">
        <v>817</v>
      </c>
      <c r="AG40" s="89">
        <v>583</v>
      </c>
      <c r="AH40" s="89">
        <v>563</v>
      </c>
      <c r="AI40" s="89">
        <v>226</v>
      </c>
      <c r="AJ40" s="70">
        <v>66</v>
      </c>
      <c r="AK40" s="78">
        <v>573</v>
      </c>
      <c r="AM40" s="122"/>
    </row>
    <row r="41" spans="1:39" s="123" customFormat="1" ht="11.25">
      <c r="A41" s="122"/>
      <c r="B41" s="122"/>
      <c r="C41" s="33"/>
      <c r="D41" s="26" t="s">
        <v>11</v>
      </c>
      <c r="E41" s="32"/>
      <c r="F41" s="74">
        <f t="shared" si="58"/>
        <v>329577</v>
      </c>
      <c r="G41" s="74">
        <f t="shared" si="58"/>
        <v>313005</v>
      </c>
      <c r="H41" s="74">
        <f t="shared" si="58"/>
        <v>224892</v>
      </c>
      <c r="I41" s="74">
        <f t="shared" si="58"/>
        <v>121649</v>
      </c>
      <c r="J41" s="74">
        <f t="shared" si="58"/>
        <v>24481</v>
      </c>
      <c r="K41" s="74">
        <f t="shared" si="58"/>
        <v>0</v>
      </c>
      <c r="L41" s="74">
        <f t="shared" si="58"/>
        <v>165399</v>
      </c>
      <c r="M41" s="64">
        <f t="shared" si="59"/>
        <v>5.2944841136723042E-2</v>
      </c>
      <c r="N41" s="64">
        <f t="shared" si="60"/>
        <v>0.46549010191558615</v>
      </c>
      <c r="O41" s="64">
        <f t="shared" si="61"/>
        <v>1.709245452079343</v>
      </c>
      <c r="P41" s="64">
        <f t="shared" si="62"/>
        <v>12.462562803807034</v>
      </c>
      <c r="Q41" s="64" t="str">
        <f t="shared" si="63"/>
        <v>n/a</v>
      </c>
      <c r="R41" s="60">
        <f t="shared" si="64"/>
        <v>0.99261785137757785</v>
      </c>
      <c r="S41" s="74">
        <f>'May-25'!S41+F41</f>
        <v>782661</v>
      </c>
      <c r="T41" s="74">
        <f>'May-25'!T41+G41</f>
        <v>643179</v>
      </c>
      <c r="U41" s="74">
        <f>'May-25'!U41+H41</f>
        <v>493323</v>
      </c>
      <c r="V41" s="74">
        <f>'May-25'!V41+I41</f>
        <v>264054</v>
      </c>
      <c r="W41" s="74">
        <f>'May-25'!W41+J41</f>
        <v>54964</v>
      </c>
      <c r="X41" s="74">
        <f>'May-25'!X41+K41</f>
        <v>0</v>
      </c>
      <c r="Y41" s="74">
        <f>'May-25'!Y41+L41</f>
        <v>478129</v>
      </c>
      <c r="Z41" s="147">
        <f t="shared" si="65"/>
        <v>0.21686342371252798</v>
      </c>
      <c r="AA41" s="147">
        <f t="shared" si="66"/>
        <v>0.58650823091564752</v>
      </c>
      <c r="AB41" s="147">
        <f t="shared" si="67"/>
        <v>1.964018723442932</v>
      </c>
      <c r="AC41" s="147">
        <f t="shared" si="68"/>
        <v>13.239520413361474</v>
      </c>
      <c r="AD41" s="147" t="str">
        <f t="shared" si="69"/>
        <v>n/a</v>
      </c>
      <c r="AE41" s="158">
        <f t="shared" si="70"/>
        <v>0.63692434468522086</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110"/>
      <c r="AA42" s="147"/>
      <c r="AB42" s="147"/>
      <c r="AC42" s="147"/>
      <c r="AD42" s="147"/>
      <c r="AE42" s="158"/>
      <c r="AF42" s="155"/>
      <c r="AG42" s="90"/>
      <c r="AH42" s="90"/>
      <c r="AI42" s="90"/>
      <c r="AJ42" s="44"/>
      <c r="AK42" s="79"/>
      <c r="AM42" s="122"/>
    </row>
    <row r="43" spans="1:39" s="123" customFormat="1" ht="11.25">
      <c r="A43" s="122"/>
      <c r="B43" s="122"/>
      <c r="C43" s="33"/>
      <c r="D43" s="26" t="s">
        <v>5</v>
      </c>
      <c r="E43" s="32"/>
      <c r="F43" s="74">
        <f>F19</f>
        <v>117</v>
      </c>
      <c r="G43" s="74">
        <f t="shared" ref="G43:L44" si="71">G19</f>
        <v>95</v>
      </c>
      <c r="H43" s="74">
        <f t="shared" si="71"/>
        <v>87</v>
      </c>
      <c r="I43" s="74">
        <f t="shared" si="71"/>
        <v>91</v>
      </c>
      <c r="J43" s="74">
        <f t="shared" si="71"/>
        <v>0</v>
      </c>
      <c r="K43" s="74">
        <f t="shared" si="71"/>
        <v>0</v>
      </c>
      <c r="L43" s="74">
        <f t="shared" si="71"/>
        <v>42</v>
      </c>
      <c r="M43" s="64">
        <f t="shared" ref="M43:M44" si="72">IFERROR(F43/G43-1,"n/a")</f>
        <v>0.23157894736842111</v>
      </c>
      <c r="N43" s="64">
        <f t="shared" ref="N43:N44" si="73">IFERROR(F43/H43-1,"n/a")</f>
        <v>0.34482758620689657</v>
      </c>
      <c r="O43" s="64">
        <f t="shared" ref="O43:O44" si="74">IFERROR(F43/I43-1,"n/a")</f>
        <v>0.28571428571428581</v>
      </c>
      <c r="P43" s="64" t="str">
        <f t="shared" ref="P43:P44" si="75">IFERROR(F43/J43-1,"n/a")</f>
        <v>n/a</v>
      </c>
      <c r="Q43" s="64" t="str">
        <f t="shared" ref="Q43:Q44" si="76">IFERROR(F43/K43-1,"n/a")</f>
        <v>n/a</v>
      </c>
      <c r="R43" s="60">
        <f t="shared" ref="R43:R44" si="77">IFERROR(F43/L43-1,"n/a")</f>
        <v>1.7857142857142856</v>
      </c>
      <c r="S43" s="74">
        <f>'May-25'!S43+F43</f>
        <v>273</v>
      </c>
      <c r="T43" s="74">
        <f>'May-25'!T43+G43</f>
        <v>238</v>
      </c>
      <c r="U43" s="74">
        <f>'May-25'!U43+H43</f>
        <v>233</v>
      </c>
      <c r="V43" s="74">
        <f>'May-25'!V43+I43</f>
        <v>217</v>
      </c>
      <c r="W43" s="74">
        <f>'May-25'!W43+J43</f>
        <v>3</v>
      </c>
      <c r="X43" s="74">
        <f>'May-25'!X43+K43</f>
        <v>0</v>
      </c>
      <c r="Y43" s="74">
        <f>'May-25'!Y43+L43</f>
        <v>100</v>
      </c>
      <c r="Z43" s="147">
        <f t="shared" ref="Z43:Z44" si="78">IFERROR(S43/T43-1,"n/a")</f>
        <v>0.14705882352941169</v>
      </c>
      <c r="AA43" s="147">
        <f t="shared" ref="AA43:AA44" si="79">IFERROR(S43/U43-1,"n/a")</f>
        <v>0.17167381974248919</v>
      </c>
      <c r="AB43" s="147">
        <f t="shared" ref="AB43:AB44" si="80">IFERROR(S43/V43-1,"n/a")</f>
        <v>0.25806451612903225</v>
      </c>
      <c r="AC43" s="147">
        <f t="shared" ref="AC43:AC44" si="81">IFERROR(S43/W43-1,"n/a")</f>
        <v>90</v>
      </c>
      <c r="AD43" s="147" t="str">
        <f t="shared" ref="AD43:AD44" si="82">IFERROR(S43/X43-1,"n/a")</f>
        <v>n/a</v>
      </c>
      <c r="AE43" s="158">
        <f t="shared" ref="AE43:AE44" si="83">IFERROR(S43/Y43-1,"n/a")</f>
        <v>1.73</v>
      </c>
      <c r="AF43" s="154">
        <v>728</v>
      </c>
      <c r="AG43" s="89">
        <v>712</v>
      </c>
      <c r="AH43" s="89">
        <v>669</v>
      </c>
      <c r="AI43" s="89">
        <v>59</v>
      </c>
      <c r="AJ43" s="70">
        <v>9</v>
      </c>
      <c r="AK43" s="78">
        <v>287</v>
      </c>
      <c r="AM43" s="122"/>
    </row>
    <row r="44" spans="1:39" s="123" customFormat="1" ht="11.25">
      <c r="A44" s="122"/>
      <c r="B44" s="122"/>
      <c r="C44" s="33"/>
      <c r="D44" s="26" t="s">
        <v>11</v>
      </c>
      <c r="E44" s="32"/>
      <c r="F44" s="74">
        <f>F20</f>
        <v>232927</v>
      </c>
      <c r="G44" s="74">
        <f t="shared" si="71"/>
        <v>203091</v>
      </c>
      <c r="H44" s="74">
        <f t="shared" si="71"/>
        <v>169314</v>
      </c>
      <c r="I44" s="74">
        <f t="shared" si="71"/>
        <v>118355</v>
      </c>
      <c r="J44" s="74">
        <f t="shared" si="71"/>
        <v>0</v>
      </c>
      <c r="K44" s="74">
        <f t="shared" si="71"/>
        <v>2213</v>
      </c>
      <c r="L44" s="74">
        <f t="shared" si="71"/>
        <v>77859</v>
      </c>
      <c r="M44" s="64">
        <f t="shared" si="72"/>
        <v>0.14690951346933145</v>
      </c>
      <c r="N44" s="64">
        <f t="shared" si="73"/>
        <v>0.3757102188832584</v>
      </c>
      <c r="O44" s="64">
        <f t="shared" si="74"/>
        <v>0.96803683832537701</v>
      </c>
      <c r="P44" s="64" t="str">
        <f t="shared" si="75"/>
        <v>n/a</v>
      </c>
      <c r="Q44" s="64">
        <f t="shared" si="76"/>
        <v>104.25395390872119</v>
      </c>
      <c r="R44" s="60">
        <f t="shared" si="77"/>
        <v>1.9916515752835253</v>
      </c>
      <c r="S44" s="74">
        <f>'May-25'!S44+F44</f>
        <v>495177</v>
      </c>
      <c r="T44" s="74">
        <f>'May-25'!T44+G44</f>
        <v>435647.4</v>
      </c>
      <c r="U44" s="74">
        <f>'May-25'!U44+H44</f>
        <v>372934</v>
      </c>
      <c r="V44" s="74">
        <f>'May-25'!V44+I44</f>
        <v>239506</v>
      </c>
      <c r="W44" s="74">
        <f>'May-25'!W44+J44</f>
        <v>0</v>
      </c>
      <c r="X44" s="74">
        <f>'May-25'!X44+K44</f>
        <v>2213</v>
      </c>
      <c r="Y44" s="74">
        <f>'May-25'!Y44+L44</f>
        <v>180298</v>
      </c>
      <c r="Z44" s="147">
        <f t="shared" si="78"/>
        <v>0.1366462878006387</v>
      </c>
      <c r="AA44" s="147">
        <f t="shared" si="79"/>
        <v>0.32778722240396418</v>
      </c>
      <c r="AB44" s="147">
        <f t="shared" si="80"/>
        <v>1.0674930899434671</v>
      </c>
      <c r="AC44" s="147" t="str">
        <f t="shared" si="81"/>
        <v>n/a</v>
      </c>
      <c r="AD44" s="147">
        <f t="shared" si="82"/>
        <v>222.75824672390419</v>
      </c>
      <c r="AE44" s="158">
        <f t="shared" si="83"/>
        <v>1.7464364552019433</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160"/>
      <c r="AA45" s="147"/>
      <c r="AB45" s="147"/>
      <c r="AC45" s="147"/>
      <c r="AD45" s="147"/>
      <c r="AE45" s="158"/>
      <c r="AF45" s="155"/>
      <c r="AG45" s="90"/>
      <c r="AH45" s="90"/>
      <c r="AI45" s="90"/>
      <c r="AJ45" s="44"/>
      <c r="AK45" s="79"/>
      <c r="AM45" s="122"/>
    </row>
    <row r="46" spans="1:39" s="123" customFormat="1" ht="11.25">
      <c r="A46" s="122"/>
      <c r="B46" s="122"/>
      <c r="C46" s="33"/>
      <c r="D46" s="26" t="s">
        <v>5</v>
      </c>
      <c r="E46" s="34"/>
      <c r="F46" s="74">
        <f>F22</f>
        <v>89</v>
      </c>
      <c r="G46" s="74">
        <f t="shared" ref="G46:L47" si="84">G22</f>
        <v>96</v>
      </c>
      <c r="H46" s="74">
        <f t="shared" si="84"/>
        <v>88</v>
      </c>
      <c r="I46" s="74">
        <f t="shared" si="84"/>
        <v>69</v>
      </c>
      <c r="J46" s="74">
        <f t="shared" si="84"/>
        <v>4</v>
      </c>
      <c r="K46" s="74">
        <f t="shared" si="84"/>
        <v>0</v>
      </c>
      <c r="L46" s="74">
        <f t="shared" si="84"/>
        <v>70</v>
      </c>
      <c r="M46" s="64">
        <f t="shared" ref="M46:M47" si="85">IFERROR(F46/G46-1,"n/a")</f>
        <v>-7.291666666666663E-2</v>
      </c>
      <c r="N46" s="64">
        <f t="shared" ref="N46:N47" si="86">IFERROR(F46/H46-1,"n/a")</f>
        <v>1.1363636363636465E-2</v>
      </c>
      <c r="O46" s="64">
        <f t="shared" ref="O46:O47" si="87">IFERROR(F46/I46-1,"n/a")</f>
        <v>0.28985507246376807</v>
      </c>
      <c r="P46" s="64">
        <f t="shared" ref="P46:P47" si="88">IFERROR(F46/J46-1,"n/a")</f>
        <v>21.25</v>
      </c>
      <c r="Q46" s="64" t="str">
        <f t="shared" ref="Q46:Q47" si="89">IFERROR(F46/K46-1,"n/a")</f>
        <v>n/a</v>
      </c>
      <c r="R46" s="60">
        <f t="shared" ref="R46:R47" si="90">IFERROR(F46/L46-1,"n/a")</f>
        <v>0.27142857142857135</v>
      </c>
      <c r="S46" s="74">
        <f>'May-25'!S46+F46</f>
        <v>442</v>
      </c>
      <c r="T46" s="74">
        <f>'May-25'!T46+G46</f>
        <v>437</v>
      </c>
      <c r="U46" s="74">
        <f>'May-25'!U46+H46</f>
        <v>409</v>
      </c>
      <c r="V46" s="74">
        <f>'May-25'!V46+I46</f>
        <v>276</v>
      </c>
      <c r="W46" s="74">
        <f>'May-25'!W46+J46</f>
        <v>4</v>
      </c>
      <c r="X46" s="74">
        <f>'May-25'!X46+K46</f>
        <v>0</v>
      </c>
      <c r="Y46" s="74">
        <f>'May-25'!Y46+L46</f>
        <v>273</v>
      </c>
      <c r="Z46" s="147">
        <f t="shared" ref="Z46:Z47" si="91">IFERROR(S46/T46-1,"n/a")</f>
        <v>1.1441647597254079E-2</v>
      </c>
      <c r="AA46" s="147">
        <f t="shared" ref="AA46:AA47" si="92">IFERROR(S46/U46-1,"n/a")</f>
        <v>8.0684596577017098E-2</v>
      </c>
      <c r="AB46" s="147">
        <f t="shared" ref="AB46:AB47" si="93">IFERROR(S46/V46-1,"n/a")</f>
        <v>0.60144927536231885</v>
      </c>
      <c r="AC46" s="147">
        <f t="shared" ref="AC46:AC47" si="94">IFERROR(S46/W46-1,"n/a")</f>
        <v>109.5</v>
      </c>
      <c r="AD46" s="147" t="str">
        <f t="shared" ref="AD46:AD47" si="95">IFERROR(S46/X46-1,"n/a")</f>
        <v>n/a</v>
      </c>
      <c r="AE46" s="158">
        <f t="shared" ref="AE46:AE47" si="96">IFERROR(S46/Y46-1,"n/a")</f>
        <v>0.61904761904761907</v>
      </c>
      <c r="AF46" s="154">
        <v>1788</v>
      </c>
      <c r="AG46" s="89">
        <v>1471</v>
      </c>
      <c r="AH46" s="89">
        <v>1129</v>
      </c>
      <c r="AI46" s="89">
        <v>336</v>
      </c>
      <c r="AJ46" s="84">
        <v>43</v>
      </c>
      <c r="AK46" s="78">
        <v>781</v>
      </c>
      <c r="AM46" s="122"/>
    </row>
    <row r="47" spans="1:39" s="123" customFormat="1" ht="11.25">
      <c r="A47" s="122"/>
      <c r="B47" s="122"/>
      <c r="C47" s="33"/>
      <c r="D47" s="26" t="s">
        <v>11</v>
      </c>
      <c r="E47" s="32"/>
      <c r="F47" s="74">
        <f>F23</f>
        <v>281722</v>
      </c>
      <c r="G47" s="74">
        <f t="shared" si="84"/>
        <v>382725</v>
      </c>
      <c r="H47" s="74">
        <f t="shared" si="84"/>
        <v>334459</v>
      </c>
      <c r="I47" s="74">
        <f t="shared" si="84"/>
        <v>183895</v>
      </c>
      <c r="J47" s="74">
        <f t="shared" si="84"/>
        <v>4923</v>
      </c>
      <c r="K47" s="74">
        <f t="shared" si="84"/>
        <v>0</v>
      </c>
      <c r="L47" s="74">
        <f t="shared" si="84"/>
        <v>275367</v>
      </c>
      <c r="M47" s="64">
        <f t="shared" si="85"/>
        <v>-0.26390489254686789</v>
      </c>
      <c r="N47" s="64">
        <f t="shared" si="86"/>
        <v>-0.15767851963917845</v>
      </c>
      <c r="O47" s="64">
        <f t="shared" si="87"/>
        <v>0.53197204926724484</v>
      </c>
      <c r="P47" s="64">
        <f t="shared" si="88"/>
        <v>56.225675401178144</v>
      </c>
      <c r="Q47" s="64" t="str">
        <f t="shared" si="89"/>
        <v>n/a</v>
      </c>
      <c r="R47" s="60">
        <f t="shared" si="90"/>
        <v>2.307829187956445E-2</v>
      </c>
      <c r="S47" s="74">
        <f>'May-25'!S47+F47</f>
        <v>1112727</v>
      </c>
      <c r="T47" s="74">
        <f>'May-25'!T47+G47</f>
        <v>1241670</v>
      </c>
      <c r="U47" s="74">
        <f>'May-25'!U47+H47</f>
        <v>1077478</v>
      </c>
      <c r="V47" s="74">
        <f>'May-25'!V47+I47</f>
        <v>473633</v>
      </c>
      <c r="W47" s="74">
        <f>'May-25'!W47+J47</f>
        <v>4923</v>
      </c>
      <c r="X47" s="74">
        <f>'May-25'!X47+K47</f>
        <v>0</v>
      </c>
      <c r="Y47" s="74">
        <f>'May-25'!Y47+L47</f>
        <v>788552</v>
      </c>
      <c r="Z47" s="147">
        <f t="shared" si="91"/>
        <v>-0.10384643262702653</v>
      </c>
      <c r="AA47" s="147">
        <f t="shared" si="92"/>
        <v>3.2714357044877129E-2</v>
      </c>
      <c r="AB47" s="147">
        <f t="shared" si="93"/>
        <v>1.3493443235585358</v>
      </c>
      <c r="AC47" s="147">
        <f t="shared" si="94"/>
        <v>225.02620353443024</v>
      </c>
      <c r="AD47" s="147" t="str">
        <f t="shared" si="95"/>
        <v>n/a</v>
      </c>
      <c r="AE47" s="158">
        <f t="shared" si="96"/>
        <v>0.4111016140977386</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160"/>
      <c r="AA48" s="147"/>
      <c r="AB48" s="147"/>
      <c r="AC48" s="147"/>
      <c r="AD48" s="147"/>
      <c r="AE48" s="158"/>
      <c r="AF48" s="155"/>
      <c r="AG48" s="90"/>
      <c r="AH48" s="90"/>
      <c r="AI48" s="90"/>
      <c r="AJ48" s="44"/>
      <c r="AK48" s="79"/>
      <c r="AM48" s="122"/>
    </row>
    <row r="49" spans="3:39" s="123" customFormat="1" ht="11.25">
      <c r="C49" s="33"/>
      <c r="D49" s="26" t="s">
        <v>5</v>
      </c>
      <c r="E49" s="32"/>
      <c r="F49" s="74">
        <f>F25</f>
        <v>2</v>
      </c>
      <c r="G49" s="74">
        <f t="shared" ref="G49:L50" si="97">G25</f>
        <v>2</v>
      </c>
      <c r="H49" s="74">
        <f t="shared" si="97"/>
        <v>4</v>
      </c>
      <c r="I49" s="74">
        <f t="shared" si="97"/>
        <v>1</v>
      </c>
      <c r="J49" s="74">
        <f t="shared" si="97"/>
        <v>0</v>
      </c>
      <c r="K49" s="74">
        <f t="shared" si="97"/>
        <v>0</v>
      </c>
      <c r="L49" s="74">
        <f t="shared" si="97"/>
        <v>5</v>
      </c>
      <c r="M49" s="64">
        <f t="shared" ref="M49:M52" si="98">IFERROR(F49/G49-1,"n/a")</f>
        <v>0</v>
      </c>
      <c r="N49" s="64">
        <f t="shared" ref="N49:N52" si="99">IFERROR(F49/H49-1,"n/a")</f>
        <v>-0.5</v>
      </c>
      <c r="O49" s="64">
        <f t="shared" ref="O49:O52" si="100">IFERROR(F49/I49-1,"n/a")</f>
        <v>1</v>
      </c>
      <c r="P49" s="64" t="str">
        <f t="shared" ref="P49:P52" si="101">IFERROR(F49/J49-1,"n/a")</f>
        <v>n/a</v>
      </c>
      <c r="Q49" s="64" t="str">
        <f t="shared" ref="Q49:Q52" si="102">IFERROR(F49/K49-1,"n/a")</f>
        <v>n/a</v>
      </c>
      <c r="R49" s="60">
        <f t="shared" ref="R49:R52" si="103">IFERROR(F49/L49-1,"n/a")</f>
        <v>-0.6</v>
      </c>
      <c r="S49" s="74">
        <f>'May-25'!S49+F49</f>
        <v>5</v>
      </c>
      <c r="T49" s="74">
        <f>'May-25'!T49+G49</f>
        <v>5</v>
      </c>
      <c r="U49" s="74">
        <f>'May-25'!U49+H49</f>
        <v>8</v>
      </c>
      <c r="V49" s="74">
        <f>'May-25'!V49+I49</f>
        <v>2</v>
      </c>
      <c r="W49" s="74">
        <f>'May-25'!W49+J49</f>
        <v>0</v>
      </c>
      <c r="X49" s="74">
        <f>'May-25'!X49+K49</f>
        <v>0</v>
      </c>
      <c r="Y49" s="74">
        <f>'May-25'!Y49+L49</f>
        <v>8</v>
      </c>
      <c r="Z49" s="147">
        <f t="shared" ref="Z49:Z50" si="104">IFERROR(S49/T49-1,"n/a")</f>
        <v>0</v>
      </c>
      <c r="AA49" s="147">
        <f t="shared" ref="AA49:AA50" si="105">IFERROR(S49/U49-1,"n/a")</f>
        <v>-0.375</v>
      </c>
      <c r="AB49" s="147">
        <f t="shared" ref="AB49:AB52" si="106">IFERROR(S49/V49-1,"n/a")</f>
        <v>1.5</v>
      </c>
      <c r="AC49" s="147" t="str">
        <f t="shared" ref="AC49:AC52" si="107">IFERROR(S49/W49-1,"n/a")</f>
        <v>n/a</v>
      </c>
      <c r="AD49" s="147" t="str">
        <f t="shared" ref="AD49:AD52" si="108">IFERROR(S49/X49-1,"n/a")</f>
        <v>n/a</v>
      </c>
      <c r="AE49" s="158">
        <f t="shared" ref="AE49:AE52" si="109">IFERROR(S49/Y49-1,"n/a")</f>
        <v>-0.375</v>
      </c>
      <c r="AF49" s="154">
        <v>14</v>
      </c>
      <c r="AG49" s="89">
        <v>21</v>
      </c>
      <c r="AH49" s="89">
        <v>9</v>
      </c>
      <c r="AI49" s="68">
        <v>0</v>
      </c>
      <c r="AJ49" s="68">
        <v>0</v>
      </c>
      <c r="AK49" s="78">
        <v>16</v>
      </c>
      <c r="AM49" s="122"/>
    </row>
    <row r="50" spans="3:39" s="123" customFormat="1" ht="11.25">
      <c r="C50" s="33"/>
      <c r="D50" s="26" t="s">
        <v>11</v>
      </c>
      <c r="E50" s="32"/>
      <c r="F50" s="74">
        <f>F26</f>
        <v>9015</v>
      </c>
      <c r="G50" s="74">
        <f t="shared" si="97"/>
        <v>6222</v>
      </c>
      <c r="H50" s="74">
        <f t="shared" si="97"/>
        <v>9205</v>
      </c>
      <c r="I50" s="74">
        <f t="shared" si="97"/>
        <v>2226</v>
      </c>
      <c r="J50" s="74">
        <f t="shared" si="97"/>
        <v>0</v>
      </c>
      <c r="K50" s="74">
        <f t="shared" si="97"/>
        <v>0</v>
      </c>
      <c r="L50" s="74">
        <f t="shared" si="97"/>
        <v>6817</v>
      </c>
      <c r="M50" s="64">
        <f t="shared" si="98"/>
        <v>0.44889103182256518</v>
      </c>
      <c r="N50" s="64">
        <f t="shared" si="99"/>
        <v>-2.064095600217275E-2</v>
      </c>
      <c r="O50" s="64">
        <f t="shared" si="100"/>
        <v>3.0498652291105124</v>
      </c>
      <c r="P50" s="64" t="str">
        <f t="shared" si="101"/>
        <v>n/a</v>
      </c>
      <c r="Q50" s="64" t="str">
        <f t="shared" si="102"/>
        <v>n/a</v>
      </c>
      <c r="R50" s="60">
        <f t="shared" si="103"/>
        <v>0.32242922106498462</v>
      </c>
      <c r="S50" s="74">
        <f>'May-25'!S50+F50</f>
        <v>20904</v>
      </c>
      <c r="T50" s="74">
        <f>'May-25'!T50+G50</f>
        <v>18659</v>
      </c>
      <c r="U50" s="74">
        <f>'May-25'!U50+H50</f>
        <v>13587</v>
      </c>
      <c r="V50" s="74">
        <f>'May-25'!V50+I50</f>
        <v>3151</v>
      </c>
      <c r="W50" s="74">
        <f>'May-25'!W50+J50</f>
        <v>0</v>
      </c>
      <c r="X50" s="74">
        <f>'May-25'!X50+K50</f>
        <v>0</v>
      </c>
      <c r="Y50" s="74">
        <f>'May-25'!Y50+L50</f>
        <v>10227</v>
      </c>
      <c r="Z50" s="147">
        <f t="shared" si="104"/>
        <v>0.12031727316576446</v>
      </c>
      <c r="AA50" s="147">
        <f t="shared" si="105"/>
        <v>0.53852947670567453</v>
      </c>
      <c r="AB50" s="147">
        <f t="shared" si="106"/>
        <v>5.6340844176451919</v>
      </c>
      <c r="AC50" s="147" t="str">
        <f t="shared" si="107"/>
        <v>n/a</v>
      </c>
      <c r="AD50" s="147" t="str">
        <f t="shared" si="108"/>
        <v>n/a</v>
      </c>
      <c r="AE50" s="158">
        <f t="shared" si="109"/>
        <v>1.0440011733646228</v>
      </c>
      <c r="AF50" s="154">
        <v>47798</v>
      </c>
      <c r="AG50" s="82">
        <v>38626</v>
      </c>
      <c r="AH50" s="82">
        <v>15637</v>
      </c>
      <c r="AI50" s="68">
        <v>0</v>
      </c>
      <c r="AJ50" s="68">
        <v>0</v>
      </c>
      <c r="AK50" s="78">
        <v>20248</v>
      </c>
      <c r="AM50" s="122"/>
    </row>
    <row r="51" spans="3:39" s="123" customFormat="1" ht="12" thickBot="1">
      <c r="C51" s="35" t="s">
        <v>12</v>
      </c>
      <c r="D51" s="36"/>
      <c r="E51" s="37"/>
      <c r="F51" s="75">
        <f t="shared" ref="F51:L52" si="110">F37+F40+F43+F46+F49</f>
        <v>498</v>
      </c>
      <c r="G51" s="75">
        <f t="shared" si="110"/>
        <v>463</v>
      </c>
      <c r="H51" s="75">
        <f t="shared" si="110"/>
        <v>347</v>
      </c>
      <c r="I51" s="75">
        <f t="shared" si="110"/>
        <v>327</v>
      </c>
      <c r="J51" s="75">
        <f t="shared" si="110"/>
        <v>21</v>
      </c>
      <c r="K51" s="75">
        <f t="shared" si="110"/>
        <v>0</v>
      </c>
      <c r="L51" s="75">
        <f t="shared" si="110"/>
        <v>278</v>
      </c>
      <c r="M51" s="66">
        <f t="shared" si="98"/>
        <v>7.5593952483801186E-2</v>
      </c>
      <c r="N51" s="66">
        <f t="shared" si="99"/>
        <v>0.43515850144092227</v>
      </c>
      <c r="O51" s="66">
        <f t="shared" si="100"/>
        <v>0.52293577981651373</v>
      </c>
      <c r="P51" s="66">
        <f t="shared" si="101"/>
        <v>22.714285714285715</v>
      </c>
      <c r="Q51" s="66" t="str">
        <f t="shared" si="102"/>
        <v>n/a</v>
      </c>
      <c r="R51" s="66">
        <f t="shared" si="103"/>
        <v>0.79136690647482011</v>
      </c>
      <c r="S51" s="75">
        <f>S37+S40+S43+S46+S49</f>
        <v>1614</v>
      </c>
      <c r="T51" s="75">
        <f>T37+T40+T43+T46+T49</f>
        <v>1447</v>
      </c>
      <c r="U51" s="75">
        <f>U37+U40+U43+U46+U49</f>
        <v>1162</v>
      </c>
      <c r="V51" s="75">
        <f t="shared" ref="U51:Y52" si="111">V37+V40+V43+V46+V49</f>
        <v>1007</v>
      </c>
      <c r="W51" s="75">
        <f t="shared" si="111"/>
        <v>46</v>
      </c>
      <c r="X51" s="75">
        <f t="shared" si="111"/>
        <v>42</v>
      </c>
      <c r="Y51" s="75">
        <f t="shared" si="111"/>
        <v>883</v>
      </c>
      <c r="Z51" s="66">
        <f t="shared" ref="Z51:Z52" si="112">IFERROR(S51/T51-1,"n/a")</f>
        <v>0.11541119557705604</v>
      </c>
      <c r="AA51" s="66">
        <f>IFERROR(S51/U51-1,"n/a")</f>
        <v>0.38898450946643726</v>
      </c>
      <c r="AB51" s="66">
        <f t="shared" si="106"/>
        <v>0.60278053624627614</v>
      </c>
      <c r="AC51" s="66">
        <f t="shared" si="107"/>
        <v>34.086956521739133</v>
      </c>
      <c r="AD51" s="66">
        <f t="shared" si="108"/>
        <v>37.428571428571431</v>
      </c>
      <c r="AE51" s="66">
        <f t="shared" si="109"/>
        <v>0.82785956964892415</v>
      </c>
      <c r="AF51" s="46">
        <f t="shared" ref="AF51:AJ52" si="113">AF37+AF40+AF43+AF46+AF49</f>
        <v>6221</v>
      </c>
      <c r="AG51" s="46">
        <f t="shared" si="113"/>
        <v>4589</v>
      </c>
      <c r="AH51" s="46">
        <f t="shared" si="113"/>
        <v>3856</v>
      </c>
      <c r="AI51" s="46">
        <f t="shared" si="113"/>
        <v>1673</v>
      </c>
      <c r="AJ51" s="46">
        <f t="shared" si="113"/>
        <v>669</v>
      </c>
      <c r="AK51" s="80">
        <f>AK37+AK40+AK43+AK46+AK49</f>
        <v>3241</v>
      </c>
      <c r="AM51" s="122"/>
    </row>
    <row r="52" spans="3:39" s="123" customFormat="1" ht="12.75" thickTop="1" thickBot="1">
      <c r="C52" s="38" t="s">
        <v>13</v>
      </c>
      <c r="D52" s="39"/>
      <c r="E52" s="40"/>
      <c r="F52" s="76">
        <f t="shared" si="110"/>
        <v>1482445</v>
      </c>
      <c r="G52" s="76">
        <f t="shared" si="110"/>
        <v>1462486</v>
      </c>
      <c r="H52" s="76">
        <f t="shared" si="110"/>
        <v>1097755</v>
      </c>
      <c r="I52" s="76">
        <f t="shared" si="110"/>
        <v>677800</v>
      </c>
      <c r="J52" s="76">
        <f t="shared" si="110"/>
        <v>29404</v>
      </c>
      <c r="K52" s="76">
        <f t="shared" si="110"/>
        <v>2213</v>
      </c>
      <c r="L52" s="76">
        <f t="shared" si="110"/>
        <v>828495</v>
      </c>
      <c r="M52" s="67">
        <f t="shared" si="98"/>
        <v>1.3647310128096946E-2</v>
      </c>
      <c r="N52" s="67">
        <f t="shared" si="99"/>
        <v>0.35043338449836248</v>
      </c>
      <c r="O52" s="67">
        <f t="shared" si="100"/>
        <v>1.1871422248450871</v>
      </c>
      <c r="P52" s="67">
        <f t="shared" si="101"/>
        <v>49.416439940144201</v>
      </c>
      <c r="Q52" s="67">
        <f t="shared" si="102"/>
        <v>668.8802530501581</v>
      </c>
      <c r="R52" s="67">
        <f t="shared" si="103"/>
        <v>0.78932280822455181</v>
      </c>
      <c r="S52" s="76">
        <f t="shared" ref="S52:T52" si="114">S38+S41+S44+S47+S50</f>
        <v>4390749</v>
      </c>
      <c r="T52" s="76">
        <f t="shared" si="114"/>
        <v>4140371.4</v>
      </c>
      <c r="U52" s="76">
        <f t="shared" si="111"/>
        <v>3120200</v>
      </c>
      <c r="V52" s="76">
        <f t="shared" si="111"/>
        <v>1764775</v>
      </c>
      <c r="W52" s="76">
        <f t="shared" si="111"/>
        <v>59887</v>
      </c>
      <c r="X52" s="76">
        <f t="shared" si="111"/>
        <v>2213</v>
      </c>
      <c r="Y52" s="76">
        <f t="shared" si="111"/>
        <v>2457357</v>
      </c>
      <c r="Z52" s="67">
        <f t="shared" si="112"/>
        <v>6.0472256184553874E-2</v>
      </c>
      <c r="AA52" s="67">
        <f>IFERROR(S52/U52-1,"n/a")</f>
        <v>0.40720114095250315</v>
      </c>
      <c r="AB52" s="67">
        <f t="shared" si="106"/>
        <v>1.4879936535819014</v>
      </c>
      <c r="AC52" s="67">
        <f t="shared" si="107"/>
        <v>72.317230784644408</v>
      </c>
      <c r="AD52" s="67">
        <f t="shared" si="108"/>
        <v>1983.0709444193403</v>
      </c>
      <c r="AE52" s="67">
        <f t="shared" si="109"/>
        <v>0.78677701286382073</v>
      </c>
      <c r="AF52" s="47">
        <f t="shared" si="113"/>
        <v>17650949.399999999</v>
      </c>
      <c r="AG52" s="47">
        <f t="shared" si="113"/>
        <v>13408675</v>
      </c>
      <c r="AH52" s="47">
        <f t="shared" si="113"/>
        <v>9237323</v>
      </c>
      <c r="AI52" s="47">
        <f t="shared" si="113"/>
        <v>2410085</v>
      </c>
      <c r="AJ52" s="47">
        <f t="shared" si="113"/>
        <v>1324261</v>
      </c>
      <c r="AK52" s="81">
        <f>AK38+AK41+AK44+AK47+AK50</f>
        <v>8638971</v>
      </c>
      <c r="AM52" s="122"/>
    </row>
    <row r="53" spans="3:39" s="123" customFormat="1" ht="12" thickTop="1">
      <c r="T53" s="131"/>
      <c r="U53" s="131"/>
      <c r="V53" s="131"/>
      <c r="W53" s="131"/>
      <c r="X53" s="131"/>
      <c r="Y53" s="131"/>
      <c r="AM53" s="122"/>
    </row>
    <row r="54" spans="3:39" s="123" customFormat="1" ht="11.25">
      <c r="F54" s="131"/>
      <c r="S54" s="131">
        <f>'May-25'!S51+'Jun-25'!F51+'Jun-25'!F52-'Jun-25'!S51-'Jun-25'!S52+'May-25'!S52</f>
        <v>0</v>
      </c>
      <c r="T54" s="131">
        <f>'May-25'!T51+'Jun-25'!G51+'Jun-25'!G52-'Jun-25'!T51-'Jun-25'!T52+'May-25'!T52</f>
        <v>0</v>
      </c>
      <c r="U54" s="131">
        <f>'May-25'!U51+'Jun-25'!H51+'Jun-25'!H52-'Jun-25'!U51-'Jun-25'!U52+'May-25'!U52</f>
        <v>0</v>
      </c>
      <c r="V54" s="131">
        <f>'May-25'!V51+'Jun-25'!I51+'Jun-25'!I52-'Jun-25'!V51-'Jun-25'!V52+'May-25'!V52</f>
        <v>0</v>
      </c>
      <c r="W54" s="131">
        <f>'May-25'!W51+'Jun-25'!J51+'Jun-25'!J52-'Jun-25'!W51-'Jun-25'!W52+'May-25'!W52</f>
        <v>0</v>
      </c>
      <c r="X54" s="131">
        <f>'May-25'!X51+'Jun-25'!K51+'Jun-25'!K52-'Jun-25'!X51-'Jun-25'!X52+'May-25'!X52</f>
        <v>0</v>
      </c>
      <c r="Y54" s="131">
        <f>'May-25'!Y51+'Jun-25'!L51+'Jun-25'!L52-'Jun-25'!Y51-'Jun-25'!Y52+'May-25'!Y52</f>
        <v>0</v>
      </c>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68D70-8AD2-4856-B3FD-69785EF23DBF}">
  <dimension ref="A1:AM66"/>
  <sheetViews>
    <sheetView showGridLines="0" topLeftCell="I26" zoomScale="85" zoomScaleNormal="85" workbookViewId="0">
      <selection activeCell="Y37" sqref="Y3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11.8554687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Occupancy_2026!AY3</f>
        <v>46154</v>
      </c>
      <c r="AL3" s="25"/>
      <c r="AM3" s="9"/>
    </row>
    <row r="4" spans="1:39" ht="15.75">
      <c r="A4" s="9"/>
      <c r="B4" s="11" t="s">
        <v>7</v>
      </c>
      <c r="C4" s="26"/>
      <c r="D4" s="93" t="s">
        <v>47</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May</v>
      </c>
      <c r="G9" s="167"/>
      <c r="H9" s="167"/>
      <c r="I9" s="167"/>
      <c r="J9" s="167"/>
      <c r="K9" s="167"/>
      <c r="L9" s="167"/>
      <c r="M9" s="167"/>
      <c r="N9" s="167"/>
      <c r="O9" s="167"/>
      <c r="P9" s="167"/>
      <c r="Q9" s="167"/>
      <c r="R9" s="168"/>
      <c r="S9" s="169" t="str">
        <f xml:space="preserve"> "January to "&amp; F9</f>
        <v>January to May</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160</v>
      </c>
      <c r="G13" s="71">
        <v>163</v>
      </c>
      <c r="H13" s="71">
        <v>99</v>
      </c>
      <c r="I13" s="71">
        <v>83</v>
      </c>
      <c r="J13" s="71">
        <v>0</v>
      </c>
      <c r="K13" s="71">
        <v>0</v>
      </c>
      <c r="L13" s="71">
        <v>90</v>
      </c>
      <c r="M13" s="64">
        <f>IFERROR(F13/G13-1,"n/a")</f>
        <v>-1.8404907975460127E-2</v>
      </c>
      <c r="N13" s="64">
        <f>IFERROR(F13/H13-1,"n/a")</f>
        <v>0.61616161616161613</v>
      </c>
      <c r="O13" s="64">
        <f>IFERROR(F13/I13-1,"n/a")</f>
        <v>0.92771084337349397</v>
      </c>
      <c r="P13" s="64" t="str">
        <f>IFERROR(F13/J13-1,"n/a")</f>
        <v>n/a</v>
      </c>
      <c r="Q13" s="64" t="str">
        <f>IFERROR(F13/K13-1,"n/a")</f>
        <v>n/a</v>
      </c>
      <c r="R13" s="60">
        <f>IFERROR(F13/L13-1,"n/a")</f>
        <v>0.77777777777777768</v>
      </c>
      <c r="S13" s="68">
        <f>'Apr-25'!S13+F13</f>
        <v>1483</v>
      </c>
      <c r="T13" s="68">
        <f>'Apr-25'!T13+G13</f>
        <v>1052</v>
      </c>
      <c r="U13" s="68">
        <f>'Apr-25'!U13+H13</f>
        <v>758</v>
      </c>
      <c r="V13" s="68">
        <f>'Apr-25'!V13+I13</f>
        <v>749</v>
      </c>
      <c r="W13" s="68">
        <f>'Apr-25'!W13+J13</f>
        <v>0</v>
      </c>
      <c r="X13" s="68">
        <f>'Apr-25'!X13+K13</f>
        <v>551</v>
      </c>
      <c r="Y13" s="68">
        <f>'Apr-25'!Y13+L13</f>
        <v>735</v>
      </c>
      <c r="Z13" s="64">
        <f>IFERROR(S13/T13-1,"n/a")</f>
        <v>0.40969581749049433</v>
      </c>
      <c r="AA13" s="64">
        <f>IFERROR(S13/U13-1,"n/a")</f>
        <v>0.95646437994722966</v>
      </c>
      <c r="AB13" s="64">
        <f>IFERROR(S13/V13-1,"n/a")</f>
        <v>0.97997329773030706</v>
      </c>
      <c r="AC13" s="64" t="str">
        <f>IFERROR(S13/W13-1,"n/a")</f>
        <v>n/a</v>
      </c>
      <c r="AD13" s="64">
        <f>IFERROR(S13/X13-1,"n/a")</f>
        <v>1.6914700544464609</v>
      </c>
      <c r="AE13" s="60">
        <f>IFERROR(S13/Y13-1,"n/a")</f>
        <v>1.017687074829932</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579486</v>
      </c>
      <c r="G14" s="71">
        <v>584059</v>
      </c>
      <c r="H14" s="71">
        <v>353242</v>
      </c>
      <c r="I14" s="71">
        <v>234968</v>
      </c>
      <c r="J14" s="71">
        <v>0</v>
      </c>
      <c r="K14" s="71">
        <v>0</v>
      </c>
      <c r="L14" s="71">
        <v>303053</v>
      </c>
      <c r="M14" s="64">
        <f>IFERROR(F14/G14-1,"n/a")</f>
        <v>-7.8296884390104404E-3</v>
      </c>
      <c r="N14" s="64">
        <f>IFERROR(F14/H14-1,"n/a")</f>
        <v>0.64047876526573844</v>
      </c>
      <c r="O14" s="64">
        <f>IFERROR(F14/I14-1,"n/a")</f>
        <v>1.4662336999080727</v>
      </c>
      <c r="P14" s="64" t="str">
        <f>IFERROR(F14/J14-1,"n/a")</f>
        <v>n/a</v>
      </c>
      <c r="Q14" s="64" t="str">
        <f>IFERROR(F14/K14-1,"n/a")</f>
        <v>n/a</v>
      </c>
      <c r="R14" s="60">
        <f>IFERROR(F14/L14-1,"n/a")</f>
        <v>0.91216057917261995</v>
      </c>
      <c r="S14" s="68">
        <f>'Apr-25'!S14+F14</f>
        <v>4275657</v>
      </c>
      <c r="T14" s="68">
        <f>'Apr-25'!T14+G14</f>
        <v>3397597</v>
      </c>
      <c r="U14" s="68">
        <f>'Apr-25'!U14+H14</f>
        <v>2341177</v>
      </c>
      <c r="V14" s="68">
        <f>'Apr-25'!V14+I14</f>
        <v>1292414</v>
      </c>
      <c r="W14" s="68">
        <f>'Apr-25'!W14+J14</f>
        <v>0</v>
      </c>
      <c r="X14" s="68">
        <f>'Apr-25'!X14+K14</f>
        <v>1092884</v>
      </c>
      <c r="Y14" s="68">
        <f>'Apr-25'!Y14+L14</f>
        <v>2148202</v>
      </c>
      <c r="Z14" s="64">
        <f>IFERROR(S14/T14-1,"n/a")</f>
        <v>0.258435594333289</v>
      </c>
      <c r="AA14" s="64">
        <f>IFERROR(S14/U14-1,"n/a")</f>
        <v>0.82628524028725714</v>
      </c>
      <c r="AB14" s="64">
        <f>IFERROR(S14/V14-1,"n/a")</f>
        <v>2.3082719623897607</v>
      </c>
      <c r="AC14" s="64" t="str">
        <f>IFERROR(S14/W14-1,"n/a")</f>
        <v>n/a</v>
      </c>
      <c r="AD14" s="64">
        <f>IFERROR(S14/X14-1,"n/a")</f>
        <v>2.9122697376848778</v>
      </c>
      <c r="AE14" s="60">
        <f>IFERROR(S14/Y14-1,"n/a")</f>
        <v>0.99034215590526409</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152</v>
      </c>
      <c r="G16" s="71">
        <v>92</v>
      </c>
      <c r="H16" s="71">
        <v>70</v>
      </c>
      <c r="I16" s="71">
        <v>71</v>
      </c>
      <c r="J16" s="71">
        <v>17</v>
      </c>
      <c r="K16" s="71">
        <v>0</v>
      </c>
      <c r="L16" s="71">
        <v>71</v>
      </c>
      <c r="M16" s="64">
        <f t="shared" ref="M16:M17" si="0">IFERROR(F16/G16-1,"n/a")</f>
        <v>0.65217391304347827</v>
      </c>
      <c r="N16" s="64">
        <f t="shared" ref="N16:N17" si="1">IFERROR(F16/H16-1,"n/a")</f>
        <v>1.1714285714285713</v>
      </c>
      <c r="O16" s="64">
        <f t="shared" ref="O16:O17" si="2">IFERROR(F16/I16-1,"n/a")</f>
        <v>1.140845070422535</v>
      </c>
      <c r="P16" s="64">
        <f t="shared" ref="P16:P17" si="3">IFERROR(F16/J16-1,"n/a")</f>
        <v>7.9411764705882355</v>
      </c>
      <c r="Q16" s="64" t="str">
        <f t="shared" ref="Q16:Q17" si="4">IFERROR(F16/K16-1,"n/a")</f>
        <v>n/a</v>
      </c>
      <c r="R16" s="60">
        <f t="shared" ref="R16:R17" si="5">IFERROR(F16/L16-1,"n/a")</f>
        <v>1.140845070422535</v>
      </c>
      <c r="S16" s="68">
        <f>'Apr-25'!S16+F16</f>
        <v>271</v>
      </c>
      <c r="T16" s="68">
        <f>'Apr-25'!T16+G16</f>
        <v>184</v>
      </c>
      <c r="U16" s="68">
        <f>'Apr-25'!U16+H16</f>
        <v>143</v>
      </c>
      <c r="V16" s="68">
        <f>'Apr-25'!V16+I16</f>
        <v>163</v>
      </c>
      <c r="W16" s="68">
        <f>'Apr-25'!W16+J16</f>
        <v>34</v>
      </c>
      <c r="X16" s="68">
        <f>'Apr-25'!X16+K16</f>
        <v>10</v>
      </c>
      <c r="Y16" s="68">
        <f>'Apr-25'!Y16+L16</f>
        <v>145</v>
      </c>
      <c r="Z16" s="64">
        <f t="shared" ref="Z16:Z17" si="6">IFERROR(S16/T16-1,"n/a")</f>
        <v>0.47282608695652173</v>
      </c>
      <c r="AA16" s="64">
        <f t="shared" ref="AA16:AA17" si="7">IFERROR(S16/U16-1,"n/a")</f>
        <v>0.89510489510489522</v>
      </c>
      <c r="AB16" s="64">
        <f t="shared" ref="AB16:AB17" si="8">IFERROR(S16/V16-1,"n/a")</f>
        <v>0.66257668711656437</v>
      </c>
      <c r="AC16" s="64">
        <f t="shared" ref="AC16:AC17" si="9">IFERROR(S16/W16-1,"n/a")</f>
        <v>6.9705882352941178</v>
      </c>
      <c r="AD16" s="64">
        <f t="shared" ref="AD16:AD17" si="10">IFERROR(S16/X16-1,"n/a")</f>
        <v>26.1</v>
      </c>
      <c r="AE16" s="60">
        <f t="shared" ref="AE16:AE17" si="11">IFERROR(S16/Y16-1,"n/a")</f>
        <v>0.86896551724137927</v>
      </c>
      <c r="AF16" s="68">
        <v>797</v>
      </c>
      <c r="AG16" s="68">
        <v>575</v>
      </c>
      <c r="AH16" s="68">
        <v>572</v>
      </c>
      <c r="AI16" s="68">
        <v>202</v>
      </c>
      <c r="AJ16" s="68">
        <v>54</v>
      </c>
      <c r="AK16" s="134">
        <v>586</v>
      </c>
      <c r="AL16" s="122"/>
      <c r="AM16" s="122"/>
    </row>
    <row r="17" spans="1:39" s="123" customFormat="1" ht="12.75">
      <c r="A17" s="122"/>
      <c r="B17" s="127"/>
      <c r="C17" s="33"/>
      <c r="D17" s="26" t="s">
        <v>11</v>
      </c>
      <c r="E17" s="32"/>
      <c r="F17" s="71">
        <v>310711</v>
      </c>
      <c r="G17" s="71">
        <v>200577</v>
      </c>
      <c r="H17" s="71">
        <v>161083</v>
      </c>
      <c r="I17" s="71">
        <v>82038</v>
      </c>
      <c r="J17" s="71">
        <v>24481</v>
      </c>
      <c r="K17" s="71">
        <v>0</v>
      </c>
      <c r="L17" s="71">
        <v>165399</v>
      </c>
      <c r="M17" s="64">
        <f t="shared" si="0"/>
        <v>0.54908588721538365</v>
      </c>
      <c r="N17" s="64">
        <f t="shared" si="1"/>
        <v>0.92888759211089944</v>
      </c>
      <c r="O17" s="64">
        <f t="shared" si="2"/>
        <v>2.7874033984251199</v>
      </c>
      <c r="P17" s="64">
        <f t="shared" si="3"/>
        <v>11.691924349495528</v>
      </c>
      <c r="Q17" s="64" t="str">
        <f t="shared" si="4"/>
        <v>n/a</v>
      </c>
      <c r="R17" s="60">
        <f t="shared" si="5"/>
        <v>0.87855428388321566</v>
      </c>
      <c r="S17" s="68">
        <f>'Apr-25'!S17+F17</f>
        <v>602665</v>
      </c>
      <c r="T17" s="68">
        <f>'Apr-25'!T17+G17</f>
        <v>460748</v>
      </c>
      <c r="U17" s="68">
        <f>'Apr-25'!U17+H17</f>
        <v>351486</v>
      </c>
      <c r="V17" s="68">
        <f>'Apr-25'!V17+I17</f>
        <v>178913</v>
      </c>
      <c r="W17" s="68">
        <f>'Apr-25'!W17+J17</f>
        <v>40586</v>
      </c>
      <c r="X17" s="68">
        <f>'Apr-25'!X17+K17</f>
        <v>41113</v>
      </c>
      <c r="Y17" s="68">
        <f>'Apr-25'!Y17+L17</f>
        <v>393104</v>
      </c>
      <c r="Z17" s="64">
        <f t="shared" si="6"/>
        <v>0.30801435925929144</v>
      </c>
      <c r="AA17" s="64">
        <f t="shared" si="7"/>
        <v>0.71462021246934437</v>
      </c>
      <c r="AB17" s="64">
        <f t="shared" si="8"/>
        <v>2.3684807699831762</v>
      </c>
      <c r="AC17" s="64">
        <f t="shared" si="9"/>
        <v>13.849085891686789</v>
      </c>
      <c r="AD17" s="64">
        <f t="shared" si="10"/>
        <v>13.658745408994722</v>
      </c>
      <c r="AE17" s="60">
        <f t="shared" si="11"/>
        <v>0.5330930237290894</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95</v>
      </c>
      <c r="G19" s="71">
        <v>91</v>
      </c>
      <c r="H19" s="71">
        <v>99</v>
      </c>
      <c r="I19" s="71">
        <v>91</v>
      </c>
      <c r="J19" s="71">
        <v>1</v>
      </c>
      <c r="K19" s="71">
        <v>0</v>
      </c>
      <c r="L19" s="71">
        <v>37</v>
      </c>
      <c r="M19" s="64">
        <f t="shared" ref="M19:M20" si="12">IFERROR(F19/G19-1,"n/a")</f>
        <v>4.3956043956044022E-2</v>
      </c>
      <c r="N19" s="64">
        <f t="shared" ref="N19:N20" si="13">IFERROR(F19/H19-1,"n/a")</f>
        <v>-4.0404040404040442E-2</v>
      </c>
      <c r="O19" s="64">
        <f t="shared" ref="O19:O20" si="14">IFERROR(F19/I19-1,"n/a")</f>
        <v>4.3956043956044022E-2</v>
      </c>
      <c r="P19" s="64">
        <f t="shared" ref="P19:P20" si="15">IFERROR(F19/J19-1,"n/a")</f>
        <v>94</v>
      </c>
      <c r="Q19" s="64" t="str">
        <f t="shared" ref="Q19:Q20" si="16">IFERROR(F19/K19-1,"n/a")</f>
        <v>n/a</v>
      </c>
      <c r="R19" s="60">
        <f t="shared" ref="R19:R20" si="17">IFERROR(F19/L19-1,"n/a")</f>
        <v>1.5675675675675675</v>
      </c>
      <c r="S19" s="68">
        <f>'Apr-25'!S19+F19</f>
        <v>178</v>
      </c>
      <c r="T19" s="68">
        <f>'Apr-25'!T19+G19</f>
        <v>170</v>
      </c>
      <c r="U19" s="68">
        <f>'Apr-25'!U19+H19</f>
        <v>169</v>
      </c>
      <c r="V19" s="68">
        <f>'Apr-25'!V19+I19</f>
        <v>138</v>
      </c>
      <c r="W19" s="68">
        <f>'Apr-25'!W19+J19</f>
        <v>3</v>
      </c>
      <c r="X19" s="68">
        <f>'Apr-25'!X19+K19</f>
        <v>3</v>
      </c>
      <c r="Y19" s="68">
        <f>'Apr-25'!Y19+L19</f>
        <v>64</v>
      </c>
      <c r="Z19" s="64">
        <f t="shared" ref="Z19:Z20" si="18">IFERROR(S19/T19-1,"n/a")</f>
        <v>4.705882352941182E-2</v>
      </c>
      <c r="AA19" s="64">
        <f t="shared" ref="AA19:AA20" si="19">IFERROR(S19/U19-1,"n/a")</f>
        <v>5.3254437869822535E-2</v>
      </c>
      <c r="AB19" s="64">
        <f t="shared" ref="AB19:AB20" si="20">IFERROR(S19/V19-1,"n/a")</f>
        <v>0.28985507246376807</v>
      </c>
      <c r="AC19" s="64">
        <f t="shared" ref="AC19:AC20" si="21">IFERROR(S19/W19-1,"n/a")</f>
        <v>58.333333333333336</v>
      </c>
      <c r="AD19" s="64">
        <f t="shared" ref="AD19:AD20" si="22">IFERROR(S19/X19-1,"n/a")</f>
        <v>58.333333333333336</v>
      </c>
      <c r="AE19" s="60">
        <f t="shared" ref="AE19:AE20" si="23">IFERROR(S19/Y19-1,"n/a")</f>
        <v>1.78125</v>
      </c>
      <c r="AF19" s="68">
        <v>733</v>
      </c>
      <c r="AG19" s="68">
        <v>708</v>
      </c>
      <c r="AH19" s="68">
        <v>658</v>
      </c>
      <c r="AI19" s="68">
        <v>47</v>
      </c>
      <c r="AJ19" s="68">
        <v>9</v>
      </c>
      <c r="AK19" s="134">
        <v>290</v>
      </c>
      <c r="AL19" s="122"/>
      <c r="AM19" s="122"/>
    </row>
    <row r="20" spans="1:39" s="123" customFormat="1" ht="12.75">
      <c r="A20" s="122"/>
      <c r="B20" s="127"/>
      <c r="C20" s="33"/>
      <c r="D20" s="26" t="s">
        <v>11</v>
      </c>
      <c r="E20" s="32"/>
      <c r="F20" s="71">
        <v>181459</v>
      </c>
      <c r="G20" s="71">
        <v>156985</v>
      </c>
      <c r="H20" s="71">
        <v>137318</v>
      </c>
      <c r="I20" s="71">
        <v>88575</v>
      </c>
      <c r="J20" s="71">
        <v>0</v>
      </c>
      <c r="K20" s="71">
        <v>0</v>
      </c>
      <c r="L20" s="71">
        <v>66376</v>
      </c>
      <c r="M20" s="64">
        <f t="shared" si="12"/>
        <v>0.15590024524636115</v>
      </c>
      <c r="N20" s="64">
        <f t="shared" si="13"/>
        <v>0.321450938697039</v>
      </c>
      <c r="O20" s="64">
        <f t="shared" si="14"/>
        <v>1.048648038385549</v>
      </c>
      <c r="P20" s="64" t="str">
        <f t="shared" si="15"/>
        <v>n/a</v>
      </c>
      <c r="Q20" s="64" t="str">
        <f t="shared" si="16"/>
        <v>n/a</v>
      </c>
      <c r="R20" s="60">
        <f t="shared" si="17"/>
        <v>1.7338043871278774</v>
      </c>
      <c r="S20" s="68">
        <f>'Apr-25'!S20+F20</f>
        <v>290232</v>
      </c>
      <c r="T20" s="68">
        <f>'Apr-25'!T20+G20</f>
        <v>272297.40000000002</v>
      </c>
      <c r="U20" s="68">
        <f>'Apr-25'!U20+H20</f>
        <v>224466</v>
      </c>
      <c r="V20" s="68">
        <f>'Apr-25'!V20+I20</f>
        <v>124236</v>
      </c>
      <c r="W20" s="68">
        <f>'Apr-25'!W20+J20</f>
        <v>0</v>
      </c>
      <c r="X20" s="68">
        <f>'Apr-25'!X20+K20</f>
        <v>1753</v>
      </c>
      <c r="Y20" s="68">
        <f>'Apr-25'!Y20+L20</f>
        <v>108923</v>
      </c>
      <c r="Z20" s="64">
        <f t="shared" si="18"/>
        <v>6.5864014860222531E-2</v>
      </c>
      <c r="AA20" s="64">
        <f t="shared" si="19"/>
        <v>0.29298869316511178</v>
      </c>
      <c r="AB20" s="64">
        <f t="shared" si="20"/>
        <v>1.3361344537815127</v>
      </c>
      <c r="AC20" s="64" t="str">
        <f t="shared" si="21"/>
        <v>n/a</v>
      </c>
      <c r="AD20" s="64">
        <f t="shared" si="22"/>
        <v>164.56303479749002</v>
      </c>
      <c r="AE20" s="60">
        <f t="shared" si="23"/>
        <v>1.6645612037861608</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141</v>
      </c>
      <c r="G22" s="71">
        <v>147</v>
      </c>
      <c r="H22" s="71">
        <v>159</v>
      </c>
      <c r="I22" s="71">
        <v>107</v>
      </c>
      <c r="J22" s="71">
        <v>0</v>
      </c>
      <c r="K22" s="71">
        <v>0</v>
      </c>
      <c r="L22" s="71">
        <v>113</v>
      </c>
      <c r="M22" s="64">
        <f t="shared" ref="M22:M23" si="24">IFERROR(F22/G22-1,"n/a")</f>
        <v>-4.081632653061229E-2</v>
      </c>
      <c r="N22" s="64">
        <f t="shared" ref="N22:N23" si="25">IFERROR(F22/H22-1,"n/a")</f>
        <v>-0.1132075471698113</v>
      </c>
      <c r="O22" s="64">
        <f t="shared" ref="O22:O23" si="26">IFERROR(F22/I22-1,"n/a")</f>
        <v>0.31775700934579443</v>
      </c>
      <c r="P22" s="64" t="str">
        <f t="shared" ref="P22:P23" si="27">IFERROR(F22/J22-1,"n/a")</f>
        <v>n/a</v>
      </c>
      <c r="Q22" s="64" t="str">
        <f t="shared" ref="Q22:Q23" si="28">IFERROR(F22/K22-1,"n/a")</f>
        <v>n/a</v>
      </c>
      <c r="R22" s="60">
        <f t="shared" ref="R22:R23" si="29">IFERROR(F22/L22-1,"n/a")</f>
        <v>0.24778761061946897</v>
      </c>
      <c r="S22" s="68">
        <f>'Apr-25'!S22+F22</f>
        <v>749</v>
      </c>
      <c r="T22" s="68">
        <f>'Apr-25'!T22+G22</f>
        <v>600</v>
      </c>
      <c r="U22" s="68">
        <f>'Apr-25'!U22+H22</f>
        <v>608</v>
      </c>
      <c r="V22" s="68">
        <f>'Apr-25'!V22+I22</f>
        <v>260</v>
      </c>
      <c r="W22" s="68">
        <f>'Apr-25'!W22+J22</f>
        <v>0</v>
      </c>
      <c r="X22" s="68">
        <f>'Apr-25'!X22+K22</f>
        <v>43</v>
      </c>
      <c r="Y22" s="68">
        <f>'Apr-25'!Y22+L22</f>
        <v>292</v>
      </c>
      <c r="Z22" s="64">
        <f t="shared" ref="Z22:Z23" si="30">IFERROR(S22/T22-1,"n/a")</f>
        <v>0.24833333333333329</v>
      </c>
      <c r="AA22" s="64">
        <f t="shared" ref="AA22:AA23" si="31">IFERROR(S22/U22-1,"n/a")</f>
        <v>0.23190789473684204</v>
      </c>
      <c r="AB22" s="64">
        <f t="shared" ref="AB22:AB23" si="32">IFERROR(S22/V22-1,"n/a")</f>
        <v>1.8807692307692307</v>
      </c>
      <c r="AC22" s="64" t="str">
        <f t="shared" ref="AC22:AC23" si="33">IFERROR(S22/W22-1,"n/a")</f>
        <v>n/a</v>
      </c>
      <c r="AD22" s="64">
        <f t="shared" ref="AD22:AD23" si="34">IFERROR(S22/X22-1,"n/a")</f>
        <v>16.418604651162791</v>
      </c>
      <c r="AE22" s="60">
        <f t="shared" ref="AE22:AE23" si="35">IFERROR(S22/Y22-1,"n/a")</f>
        <v>1.5650684931506849</v>
      </c>
      <c r="AF22" s="68">
        <v>1651</v>
      </c>
      <c r="AG22" s="68">
        <v>1500</v>
      </c>
      <c r="AH22" s="68">
        <v>895</v>
      </c>
      <c r="AI22" s="68">
        <v>283</v>
      </c>
      <c r="AJ22" s="68">
        <v>43</v>
      </c>
      <c r="AK22" s="134">
        <v>827</v>
      </c>
      <c r="AL22" s="122"/>
      <c r="AM22" s="122"/>
    </row>
    <row r="23" spans="1:39" s="123" customFormat="1" ht="12.75">
      <c r="A23" s="122"/>
      <c r="B23" s="127"/>
      <c r="C23" s="33"/>
      <c r="D23" s="26" t="s">
        <v>11</v>
      </c>
      <c r="E23" s="32"/>
      <c r="F23" s="71">
        <v>348266</v>
      </c>
      <c r="G23" s="71">
        <v>425839</v>
      </c>
      <c r="H23" s="71">
        <v>390316</v>
      </c>
      <c r="I23" s="71">
        <v>173929</v>
      </c>
      <c r="J23" s="71">
        <v>0</v>
      </c>
      <c r="K23" s="71">
        <v>0</v>
      </c>
      <c r="L23" s="71">
        <v>300445</v>
      </c>
      <c r="M23" s="64">
        <f t="shared" si="24"/>
        <v>-0.1821650905623956</v>
      </c>
      <c r="N23" s="64">
        <f t="shared" si="25"/>
        <v>-0.10773322128736718</v>
      </c>
      <c r="O23" s="64">
        <f t="shared" si="26"/>
        <v>1.002345784774247</v>
      </c>
      <c r="P23" s="64" t="str">
        <f t="shared" si="27"/>
        <v>n/a</v>
      </c>
      <c r="Q23" s="64" t="str">
        <f t="shared" si="28"/>
        <v>n/a</v>
      </c>
      <c r="R23" s="60">
        <f t="shared" si="29"/>
        <v>0.15916723526768628</v>
      </c>
      <c r="S23" s="68">
        <f>'Apr-25'!S23+F23</f>
        <v>1944996</v>
      </c>
      <c r="T23" s="68">
        <f>'Apr-25'!T23+G23</f>
        <v>1772000</v>
      </c>
      <c r="U23" s="68">
        <f>'Apr-25'!U23+H23</f>
        <v>1579293</v>
      </c>
      <c r="V23" s="68">
        <f>'Apr-25'!V23+I23</f>
        <v>358192</v>
      </c>
      <c r="W23" s="68">
        <f>'Apr-25'!W23+J23</f>
        <v>0</v>
      </c>
      <c r="X23" s="68">
        <f>'Apr-25'!X23+K23</f>
        <v>140552</v>
      </c>
      <c r="Y23" s="68">
        <f>'Apr-25'!Y23+L23</f>
        <v>765085</v>
      </c>
      <c r="Z23" s="64">
        <f t="shared" si="30"/>
        <v>9.7627539503386096E-2</v>
      </c>
      <c r="AA23" s="64">
        <f t="shared" si="31"/>
        <v>0.23156121125085716</v>
      </c>
      <c r="AB23" s="64">
        <f t="shared" si="32"/>
        <v>4.4300375217760308</v>
      </c>
      <c r="AC23" s="64" t="str">
        <f t="shared" si="33"/>
        <v>n/a</v>
      </c>
      <c r="AD23" s="64">
        <f t="shared" si="34"/>
        <v>12.838266264443053</v>
      </c>
      <c r="AE23" s="60">
        <f t="shared" si="35"/>
        <v>1.5421959651541988</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2</v>
      </c>
      <c r="G25" s="71">
        <v>2</v>
      </c>
      <c r="H25" s="71">
        <v>3</v>
      </c>
      <c r="I25" s="71">
        <v>0</v>
      </c>
      <c r="J25" s="71">
        <v>0</v>
      </c>
      <c r="K25" s="71">
        <v>0</v>
      </c>
      <c r="L25" s="71">
        <v>2</v>
      </c>
      <c r="M25" s="64">
        <f t="shared" ref="M25:M28" si="36">IFERROR(F25/G25-1,"n/a")</f>
        <v>0</v>
      </c>
      <c r="N25" s="64">
        <f t="shared" ref="N25:N28" si="37">IFERROR(F25/H25-1,"n/a")</f>
        <v>-0.33333333333333337</v>
      </c>
      <c r="O25" s="64" t="str">
        <f t="shared" ref="O25:O28" si="38">IFERROR(F25/I25-1,"n/a")</f>
        <v>n/a</v>
      </c>
      <c r="P25" s="64" t="str">
        <f t="shared" ref="P25:P28" si="39">IFERROR(F25/J25-1,"n/a")</f>
        <v>n/a</v>
      </c>
      <c r="Q25" s="64" t="str">
        <f t="shared" ref="Q25:Q28" si="40">IFERROR(F25/K25-1,"n/a")</f>
        <v>n/a</v>
      </c>
      <c r="R25" s="60">
        <f t="shared" ref="R25:R28" si="41">IFERROR(F25/L25-1,"n/a")</f>
        <v>0</v>
      </c>
      <c r="S25" s="68">
        <f>'Apr-25'!S25+F25</f>
        <v>3</v>
      </c>
      <c r="T25" s="68">
        <f>'Apr-25'!T25+G25</f>
        <v>3</v>
      </c>
      <c r="U25" s="68">
        <f>'Apr-25'!U25+H25</f>
        <v>4</v>
      </c>
      <c r="V25" s="68">
        <f>'Apr-25'!V25+I25</f>
        <v>1</v>
      </c>
      <c r="W25" s="68">
        <f>'Apr-25'!W25+J25</f>
        <v>0</v>
      </c>
      <c r="X25" s="68">
        <f>'Apr-25'!X25+K25</f>
        <v>0</v>
      </c>
      <c r="Y25" s="68">
        <f>'Apr-25'!Y25+L25</f>
        <v>3</v>
      </c>
      <c r="Z25" s="64">
        <f t="shared" ref="Z25:Z28" si="42">IFERROR(S25/T25-1,"n/a")</f>
        <v>0</v>
      </c>
      <c r="AA25" s="64">
        <f t="shared" ref="AA25:AA28" si="43">IFERROR(S25/U25-1,"n/a")</f>
        <v>-0.25</v>
      </c>
      <c r="AB25" s="64">
        <f t="shared" ref="AB25:AB28" si="44">IFERROR(S25/V25-1,"n/a")</f>
        <v>2</v>
      </c>
      <c r="AC25" s="64" t="str">
        <f t="shared" ref="AC25:AC28" si="45">IFERROR(S25/W25-1,"n/a")</f>
        <v>n/a</v>
      </c>
      <c r="AD25" s="64" t="str">
        <f t="shared" ref="AD25:AD28" si="46">IFERROR(S25/X25-1,"n/a")</f>
        <v>n/a</v>
      </c>
      <c r="AE25" s="60">
        <f t="shared" ref="AE25:AE28" si="47">IFERROR(S25/Y25-1,"n/a")</f>
        <v>0</v>
      </c>
      <c r="AF25" s="68">
        <v>14</v>
      </c>
      <c r="AG25" s="68">
        <v>21</v>
      </c>
      <c r="AH25" s="68">
        <v>9</v>
      </c>
      <c r="AI25" s="68">
        <v>0</v>
      </c>
      <c r="AJ25" s="68">
        <v>0</v>
      </c>
      <c r="AK25" s="134">
        <v>16</v>
      </c>
      <c r="AL25" s="122"/>
      <c r="AM25" s="122"/>
    </row>
    <row r="26" spans="1:39" s="123" customFormat="1" ht="12.75">
      <c r="A26" s="122"/>
      <c r="B26" s="127"/>
      <c r="C26" s="33"/>
      <c r="D26" s="26" t="s">
        <v>11</v>
      </c>
      <c r="E26" s="32"/>
      <c r="F26" s="71">
        <v>7502</v>
      </c>
      <c r="G26" s="71">
        <v>8306</v>
      </c>
      <c r="H26" s="71">
        <v>2124</v>
      </c>
      <c r="I26" s="71">
        <v>0</v>
      </c>
      <c r="J26" s="71">
        <v>0</v>
      </c>
      <c r="K26" s="71">
        <v>0</v>
      </c>
      <c r="L26" s="71">
        <v>2351</v>
      </c>
      <c r="M26" s="64">
        <f t="shared" si="36"/>
        <v>-9.6797495786178689E-2</v>
      </c>
      <c r="N26" s="64">
        <f t="shared" si="37"/>
        <v>2.5320150659133711</v>
      </c>
      <c r="O26" s="64" t="str">
        <f t="shared" si="38"/>
        <v>n/a</v>
      </c>
      <c r="P26" s="64" t="str">
        <f t="shared" si="39"/>
        <v>n/a</v>
      </c>
      <c r="Q26" s="64" t="str">
        <f t="shared" si="40"/>
        <v>n/a</v>
      </c>
      <c r="R26" s="60">
        <f t="shared" si="41"/>
        <v>2.1909825606125053</v>
      </c>
      <c r="S26" s="68">
        <f>'Apr-25'!S26+F26</f>
        <v>11889</v>
      </c>
      <c r="T26" s="68">
        <f>'Apr-25'!T26+G26</f>
        <v>12437</v>
      </c>
      <c r="U26" s="68">
        <f>'Apr-25'!U26+H26</f>
        <v>4382</v>
      </c>
      <c r="V26" s="68">
        <f>'Apr-25'!V26+I26</f>
        <v>925</v>
      </c>
      <c r="W26" s="68">
        <f>'Apr-25'!W26+J26</f>
        <v>0</v>
      </c>
      <c r="X26" s="68">
        <f>'Apr-25'!X26+K26</f>
        <v>0</v>
      </c>
      <c r="Y26" s="68">
        <f>'Apr-25'!Y26+L26</f>
        <v>3410</v>
      </c>
      <c r="Z26" s="64">
        <f t="shared" si="42"/>
        <v>-4.406207284714958E-2</v>
      </c>
      <c r="AA26" s="64">
        <f t="shared" si="43"/>
        <v>1.7131446827932453</v>
      </c>
      <c r="AB26" s="64">
        <f t="shared" si="44"/>
        <v>11.852972972972973</v>
      </c>
      <c r="AC26" s="64" t="str">
        <f t="shared" si="45"/>
        <v>n/a</v>
      </c>
      <c r="AD26" s="64" t="str">
        <f t="shared" si="46"/>
        <v>n/a</v>
      </c>
      <c r="AE26" s="60">
        <f t="shared" si="47"/>
        <v>2.4865102639296186</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550</v>
      </c>
      <c r="G27" s="75">
        <f t="shared" si="48"/>
        <v>495</v>
      </c>
      <c r="H27" s="75">
        <f t="shared" si="48"/>
        <v>430</v>
      </c>
      <c r="I27" s="75">
        <f t="shared" si="48"/>
        <v>352</v>
      </c>
      <c r="J27" s="75">
        <f t="shared" si="48"/>
        <v>18</v>
      </c>
      <c r="K27" s="75">
        <f t="shared" si="48"/>
        <v>0</v>
      </c>
      <c r="L27" s="75">
        <f t="shared" si="48"/>
        <v>313</v>
      </c>
      <c r="M27" s="66">
        <f t="shared" si="36"/>
        <v>0.11111111111111116</v>
      </c>
      <c r="N27" s="66">
        <f t="shared" si="37"/>
        <v>0.27906976744186052</v>
      </c>
      <c r="O27" s="66">
        <f t="shared" si="38"/>
        <v>0.5625</v>
      </c>
      <c r="P27" s="66">
        <f t="shared" si="39"/>
        <v>29.555555555555557</v>
      </c>
      <c r="Q27" s="66" t="str">
        <f t="shared" si="40"/>
        <v>n/a</v>
      </c>
      <c r="R27" s="62">
        <f t="shared" si="41"/>
        <v>0.75718849840255587</v>
      </c>
      <c r="S27" s="75">
        <f t="shared" ref="S27:Y28" si="49">S13+S16+S19+S22+S25</f>
        <v>2684</v>
      </c>
      <c r="T27" s="75">
        <f t="shared" si="49"/>
        <v>2009</v>
      </c>
      <c r="U27" s="75">
        <f t="shared" si="49"/>
        <v>1682</v>
      </c>
      <c r="V27" s="75">
        <f t="shared" si="49"/>
        <v>1311</v>
      </c>
      <c r="W27" s="75">
        <f t="shared" si="49"/>
        <v>37</v>
      </c>
      <c r="X27" s="75">
        <f t="shared" si="49"/>
        <v>607</v>
      </c>
      <c r="Y27" s="75">
        <f t="shared" si="49"/>
        <v>1239</v>
      </c>
      <c r="Z27" s="66">
        <f t="shared" si="42"/>
        <v>0.3359880537580886</v>
      </c>
      <c r="AA27" s="66">
        <f t="shared" si="43"/>
        <v>0.59571938168846605</v>
      </c>
      <c r="AB27" s="66">
        <f t="shared" si="44"/>
        <v>1.0472921434019833</v>
      </c>
      <c r="AC27" s="66">
        <f t="shared" si="45"/>
        <v>71.540540540540547</v>
      </c>
      <c r="AD27" s="66">
        <f t="shared" si="46"/>
        <v>3.4217462932454694</v>
      </c>
      <c r="AE27" s="62">
        <f t="shared" si="47"/>
        <v>1.1662631154156577</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1427424</v>
      </c>
      <c r="G28" s="76">
        <f t="shared" si="48"/>
        <v>1375766</v>
      </c>
      <c r="H28" s="76">
        <f t="shared" si="48"/>
        <v>1044083</v>
      </c>
      <c r="I28" s="76">
        <f t="shared" si="48"/>
        <v>579510</v>
      </c>
      <c r="J28" s="76">
        <f t="shared" si="48"/>
        <v>24481</v>
      </c>
      <c r="K28" s="76">
        <f t="shared" si="48"/>
        <v>0</v>
      </c>
      <c r="L28" s="76">
        <f t="shared" si="48"/>
        <v>837624</v>
      </c>
      <c r="M28" s="67">
        <f t="shared" si="36"/>
        <v>3.7548536597066695E-2</v>
      </c>
      <c r="N28" s="67">
        <f t="shared" si="37"/>
        <v>0.36715567632075219</v>
      </c>
      <c r="O28" s="67">
        <f t="shared" si="38"/>
        <v>1.463156804886887</v>
      </c>
      <c r="P28" s="67">
        <f t="shared" si="39"/>
        <v>57.307422082431273</v>
      </c>
      <c r="Q28" s="67" t="str">
        <f t="shared" si="40"/>
        <v>n/a</v>
      </c>
      <c r="R28" s="63">
        <f t="shared" si="41"/>
        <v>0.70413455201856689</v>
      </c>
      <c r="S28" s="76">
        <f t="shared" si="49"/>
        <v>7125439</v>
      </c>
      <c r="T28" s="76">
        <f t="shared" si="49"/>
        <v>5915079.4000000004</v>
      </c>
      <c r="U28" s="76">
        <f t="shared" si="49"/>
        <v>4500804</v>
      </c>
      <c r="V28" s="76">
        <f t="shared" si="49"/>
        <v>1954680</v>
      </c>
      <c r="W28" s="76">
        <f t="shared" si="49"/>
        <v>40586</v>
      </c>
      <c r="X28" s="76">
        <f t="shared" si="49"/>
        <v>1276302</v>
      </c>
      <c r="Y28" s="76">
        <f t="shared" si="49"/>
        <v>3418724</v>
      </c>
      <c r="Z28" s="67">
        <f t="shared" si="42"/>
        <v>0.20462271394023879</v>
      </c>
      <c r="AA28" s="67">
        <f t="shared" si="43"/>
        <v>0.58314803310697383</v>
      </c>
      <c r="AB28" s="67">
        <f t="shared" si="44"/>
        <v>2.6453225080320051</v>
      </c>
      <c r="AC28" s="67">
        <f t="shared" si="45"/>
        <v>174.56396294288672</v>
      </c>
      <c r="AD28" s="67">
        <f t="shared" si="46"/>
        <v>4.582878503677029</v>
      </c>
      <c r="AE28" s="63">
        <f t="shared" si="47"/>
        <v>1.0842393243795052</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'Apr-25'!S27+'Apr-25'!S28+'May-25'!F27+'May-25'!F28-'May-25'!S27-'May-25'!S28</f>
        <v>0</v>
      </c>
      <c r="T30" s="128">
        <f>'Apr-25'!T27+'Apr-25'!T28+'May-25'!G27+'May-25'!G28-'May-25'!T27-'May-25'!T28</f>
        <v>0</v>
      </c>
      <c r="U30" s="128">
        <f>'Apr-25'!U27+'Apr-25'!U28+'May-25'!H27+'May-25'!H28-'May-25'!U27-'May-25'!U28</f>
        <v>0</v>
      </c>
      <c r="V30" s="128">
        <f>'Apr-25'!V27+'Apr-25'!V28+'May-25'!I27+'May-25'!I28-'May-25'!V27-'May-25'!V28</f>
        <v>0</v>
      </c>
      <c r="W30" s="128">
        <f>'Apr-25'!W27+'Apr-25'!W28+'May-25'!J27+'May-25'!J28-'May-25'!W27-'May-25'!W28</f>
        <v>0</v>
      </c>
      <c r="X30" s="128">
        <f>'Apr-25'!X27+'Apr-25'!X28+'May-25'!K27+'May-25'!K28-'May-25'!X27-'May-25'!X28</f>
        <v>0</v>
      </c>
      <c r="Y30" s="128">
        <f>'Apr-25'!Y27+'Apr-25'!Y28+'May-25'!L27+'May-25'!L28-'May-25'!Y27-'May-25'!Y28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May</v>
      </c>
      <c r="G33" s="170"/>
      <c r="H33" s="170"/>
      <c r="I33" s="170"/>
      <c r="J33" s="170"/>
      <c r="K33" s="170"/>
      <c r="L33" s="170"/>
      <c r="M33" s="170"/>
      <c r="N33" s="170"/>
      <c r="O33" s="170"/>
      <c r="P33" s="170"/>
      <c r="Q33" s="170"/>
      <c r="R33" s="171"/>
      <c r="S33" s="176" t="str">
        <f>"April to "&amp;D4&amp;" (YTD)"</f>
        <v>April to May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2"/>
      <c r="AA35" s="53" t="s">
        <v>129</v>
      </c>
      <c r="AB35" s="53" t="s">
        <v>140</v>
      </c>
      <c r="AC35" s="53" t="s">
        <v>141</v>
      </c>
      <c r="AD35" s="53" t="s">
        <v>142</v>
      </c>
      <c r="AE35" s="57" t="s">
        <v>143</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AA36" s="146"/>
      <c r="AB36" s="146"/>
      <c r="AD36" s="146"/>
      <c r="AE36" s="161"/>
      <c r="AF36" s="26"/>
      <c r="AG36" s="26"/>
      <c r="AH36" s="26"/>
      <c r="AI36" s="26"/>
      <c r="AJ36" s="88"/>
      <c r="AK36" s="85"/>
      <c r="AM36" s="122"/>
    </row>
    <row r="37" spans="1:39" s="123" customFormat="1" ht="11.25">
      <c r="A37" s="122"/>
      <c r="B37" s="122"/>
      <c r="C37" s="33"/>
      <c r="D37" s="26" t="s">
        <v>5</v>
      </c>
      <c r="E37" s="32"/>
      <c r="F37" s="74">
        <f>F13</f>
        <v>160</v>
      </c>
      <c r="G37" s="74">
        <f t="shared" ref="G37:L38" si="51">G13</f>
        <v>163</v>
      </c>
      <c r="H37" s="74">
        <f t="shared" si="51"/>
        <v>99</v>
      </c>
      <c r="I37" s="74">
        <f t="shared" si="51"/>
        <v>83</v>
      </c>
      <c r="J37" s="74">
        <f t="shared" si="51"/>
        <v>0</v>
      </c>
      <c r="K37" s="74">
        <f t="shared" si="51"/>
        <v>0</v>
      </c>
      <c r="L37" s="74">
        <f t="shared" si="51"/>
        <v>90</v>
      </c>
      <c r="M37" s="64">
        <f t="shared" ref="M37:M38" si="52">IFERROR(F37/G37-1,"n/a")</f>
        <v>-1.8404907975460127E-2</v>
      </c>
      <c r="N37" s="64">
        <f t="shared" ref="N37:N38" si="53">IFERROR(F37/H37-1,"n/a")</f>
        <v>0.61616161616161613</v>
      </c>
      <c r="O37" s="64">
        <f t="shared" ref="O37:O38" si="54">IFERROR(F37/I37-1,"n/a")</f>
        <v>0.92771084337349397</v>
      </c>
      <c r="P37" s="64" t="str">
        <f t="shared" ref="P37:P38" si="55">IFERROR(F37/J37-1,"n/a")</f>
        <v>n/a</v>
      </c>
      <c r="Q37" s="64" t="str">
        <f t="shared" ref="Q37:Q38" si="56">IFERROR(F37/K37-1,"n/a")</f>
        <v>n/a</v>
      </c>
      <c r="R37" s="60">
        <f t="shared" ref="R37:R38" si="57">IFERROR(F37/L37-1,"n/a")</f>
        <v>0.77777777777777768</v>
      </c>
      <c r="S37" s="74">
        <f>'Apr-25'!S37+F37</f>
        <v>390</v>
      </c>
      <c r="T37" s="74">
        <f>'Apr-25'!T37+G37</f>
        <v>350</v>
      </c>
      <c r="U37" s="74">
        <f>'Apr-25'!U37+H37</f>
        <v>228</v>
      </c>
      <c r="V37" s="74">
        <f>'Apr-25'!V37+I37</f>
        <v>219</v>
      </c>
      <c r="W37" s="74">
        <f>'Apr-25'!W37+J37</f>
        <v>0</v>
      </c>
      <c r="X37" s="74">
        <f>'Apr-25'!X37+K37</f>
        <v>42</v>
      </c>
      <c r="Y37" s="74">
        <f>'Apr-25'!Y37+L37</f>
        <v>219</v>
      </c>
      <c r="Z37" s="162"/>
      <c r="AA37" s="147">
        <f>IFERROR(T37/U37-1,"n/a")</f>
        <v>0.53508771929824572</v>
      </c>
      <c r="AB37" s="147">
        <f>IFERROR(T37/V37-1,"n/a")</f>
        <v>0.59817351598173518</v>
      </c>
      <c r="AC37" s="147" t="str">
        <f>IFERROR(T37/W37-1,"n/a")</f>
        <v>n/a</v>
      </c>
      <c r="AD37" s="147">
        <f>IFERROR(T37/X37-1,"n/a")</f>
        <v>7.3333333333333339</v>
      </c>
      <c r="AE37" s="158">
        <f>IFERROR(T37/Y37-1,"n/a")</f>
        <v>0.59817351598173518</v>
      </c>
      <c r="AF37" s="154">
        <v>2874</v>
      </c>
      <c r="AG37" s="89">
        <v>1802</v>
      </c>
      <c r="AH37" s="89">
        <v>1486</v>
      </c>
      <c r="AI37" s="89">
        <v>1052</v>
      </c>
      <c r="AJ37" s="70">
        <v>551</v>
      </c>
      <c r="AK37" s="78">
        <v>1584</v>
      </c>
      <c r="AM37" s="122"/>
    </row>
    <row r="38" spans="1:39" s="123" customFormat="1" ht="11.25">
      <c r="A38" s="122"/>
      <c r="B38" s="122"/>
      <c r="C38" s="33"/>
      <c r="D38" s="26" t="s">
        <v>11</v>
      </c>
      <c r="E38" s="32"/>
      <c r="F38" s="74">
        <f>F14</f>
        <v>579486</v>
      </c>
      <c r="G38" s="74">
        <f t="shared" si="51"/>
        <v>584059</v>
      </c>
      <c r="H38" s="74">
        <f t="shared" si="51"/>
        <v>353242</v>
      </c>
      <c r="I38" s="74">
        <f t="shared" si="51"/>
        <v>234968</v>
      </c>
      <c r="J38" s="74">
        <f t="shared" si="51"/>
        <v>0</v>
      </c>
      <c r="K38" s="74">
        <f t="shared" si="51"/>
        <v>0</v>
      </c>
      <c r="L38" s="74">
        <f t="shared" si="51"/>
        <v>303053</v>
      </c>
      <c r="M38" s="64">
        <f t="shared" si="52"/>
        <v>-7.8296884390104404E-3</v>
      </c>
      <c r="N38" s="64">
        <f t="shared" si="53"/>
        <v>0.64047876526573844</v>
      </c>
      <c r="O38" s="64">
        <f t="shared" si="54"/>
        <v>1.4662336999080727</v>
      </c>
      <c r="P38" s="64" t="str">
        <f t="shared" si="55"/>
        <v>n/a</v>
      </c>
      <c r="Q38" s="64" t="str">
        <f t="shared" si="56"/>
        <v>n/a</v>
      </c>
      <c r="R38" s="60">
        <f t="shared" si="57"/>
        <v>0.91216057917261995</v>
      </c>
      <c r="S38" s="74">
        <f>'Apr-25'!S38+F38</f>
        <v>1350076</v>
      </c>
      <c r="T38" s="74">
        <f>'Apr-25'!T38+G38</f>
        <v>1243773</v>
      </c>
      <c r="U38" s="74">
        <f>'Apr-25'!U38+H38</f>
        <v>802993</v>
      </c>
      <c r="V38" s="74">
        <f>'Apr-25'!V38+I38</f>
        <v>532756</v>
      </c>
      <c r="W38" s="74">
        <f>'Apr-25'!W38+J38</f>
        <v>0</v>
      </c>
      <c r="X38" s="74">
        <f>'Apr-25'!X38+K38</f>
        <v>0</v>
      </c>
      <c r="Y38" s="74">
        <f>'Apr-25'!Y38+L38</f>
        <v>697098</v>
      </c>
      <c r="Z38" s="162"/>
      <c r="AA38" s="147">
        <f>IFERROR(T38/U38-1,"n/a")</f>
        <v>0.54892134800676962</v>
      </c>
      <c r="AB38" s="147">
        <f>IFERROR(T38/V38-1,"n/a")</f>
        <v>1.3346015812116616</v>
      </c>
      <c r="AC38" s="147" t="str">
        <f>IFERROR(T38/W38-1,"n/a")</f>
        <v>n/a</v>
      </c>
      <c r="AD38" s="147" t="str">
        <f>IFERROR(T38/X38-1,"n/a")</f>
        <v>n/a</v>
      </c>
      <c r="AE38" s="158">
        <f>IFERROR(T38/Y38-1,"n/a")</f>
        <v>0.78421541877899514</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26"/>
      <c r="T39" s="26"/>
      <c r="U39" s="26"/>
      <c r="V39" s="26"/>
      <c r="W39" s="26"/>
      <c r="X39" s="26"/>
      <c r="Y39" s="26"/>
      <c r="Z39" s="146"/>
      <c r="AA39" s="148"/>
      <c r="AB39" s="148"/>
      <c r="AC39" s="148"/>
      <c r="AD39" s="148"/>
      <c r="AE39" s="159"/>
      <c r="AF39" s="44"/>
      <c r="AG39" s="90"/>
      <c r="AH39" s="90"/>
      <c r="AI39" s="90"/>
      <c r="AJ39" s="44"/>
      <c r="AK39" s="79"/>
      <c r="AM39" s="122"/>
    </row>
    <row r="40" spans="1:39" s="123" customFormat="1" ht="11.25">
      <c r="A40" s="122"/>
      <c r="B40" s="122"/>
      <c r="C40" s="33"/>
      <c r="D40" s="26" t="s">
        <v>5</v>
      </c>
      <c r="E40" s="32"/>
      <c r="F40" s="74">
        <f t="shared" ref="F40:L41" si="58">F16</f>
        <v>152</v>
      </c>
      <c r="G40" s="74">
        <f t="shared" si="58"/>
        <v>92</v>
      </c>
      <c r="H40" s="74">
        <f t="shared" si="58"/>
        <v>70</v>
      </c>
      <c r="I40" s="74">
        <f t="shared" si="58"/>
        <v>71</v>
      </c>
      <c r="J40" s="74">
        <f t="shared" si="58"/>
        <v>17</v>
      </c>
      <c r="K40" s="74">
        <f t="shared" si="58"/>
        <v>0</v>
      </c>
      <c r="L40" s="74">
        <f t="shared" si="58"/>
        <v>71</v>
      </c>
      <c r="M40" s="64">
        <f t="shared" ref="M40:M41" si="59">IFERROR(F40/G40-1,"n/a")</f>
        <v>0.65217391304347827</v>
      </c>
      <c r="N40" s="64">
        <f t="shared" ref="N40:N41" si="60">IFERROR(F40/H40-1,"n/a")</f>
        <v>1.1714285714285713</v>
      </c>
      <c r="O40" s="64">
        <f t="shared" ref="O40:O41" si="61">IFERROR(F40/I40-1,"n/a")</f>
        <v>1.140845070422535</v>
      </c>
      <c r="P40" s="64">
        <f t="shared" ref="P40:P41" si="62">IFERROR(F40/J40-1,"n/a")</f>
        <v>7.9411764705882355</v>
      </c>
      <c r="Q40" s="64" t="str">
        <f t="shared" ref="Q40:Q41" si="63">IFERROR(F40/K40-1,"n/a")</f>
        <v>n/a</v>
      </c>
      <c r="R40" s="60">
        <f t="shared" ref="R40:R41" si="64">IFERROR(F40/L40-1,"n/a")</f>
        <v>1.140845070422535</v>
      </c>
      <c r="S40" s="74">
        <f>'Apr-25'!S40+F40</f>
        <v>214</v>
      </c>
      <c r="T40" s="74">
        <f>'Apr-25'!T40+G40</f>
        <v>147</v>
      </c>
      <c r="U40" s="74">
        <f>'Apr-25'!U40+H40</f>
        <v>116</v>
      </c>
      <c r="V40" s="74">
        <f>'Apr-25'!V40+I40</f>
        <v>127</v>
      </c>
      <c r="W40" s="74">
        <f>'Apr-25'!W40+J40</f>
        <v>22</v>
      </c>
      <c r="X40" s="74">
        <f>'Apr-25'!X40+K40</f>
        <v>0</v>
      </c>
      <c r="Y40" s="74">
        <f>'Apr-25'!Y40+L40</f>
        <v>122</v>
      </c>
      <c r="Z40" s="162"/>
      <c r="AA40" s="147">
        <f t="shared" ref="AA40:AA41" si="65">IFERROR(T40/U40-1,"n/a")</f>
        <v>0.26724137931034475</v>
      </c>
      <c r="AB40" s="147">
        <f t="shared" ref="AB40:AB41" si="66">IFERROR(T40/V40-1,"n/a")</f>
        <v>0.15748031496062986</v>
      </c>
      <c r="AC40" s="147">
        <f t="shared" ref="AC40:AC41" si="67">IFERROR(T40/W40-1,"n/a")</f>
        <v>5.6818181818181817</v>
      </c>
      <c r="AD40" s="147" t="str">
        <f t="shared" ref="AD40:AD41" si="68">IFERROR(T40/X40-1,"n/a")</f>
        <v>n/a</v>
      </c>
      <c r="AE40" s="158">
        <f t="shared" ref="AE40:AE41" si="69">IFERROR(T40/Y40-1,"n/a")</f>
        <v>0.20491803278688514</v>
      </c>
      <c r="AF40" s="154">
        <v>817</v>
      </c>
      <c r="AG40" s="89">
        <v>583</v>
      </c>
      <c r="AH40" s="89">
        <v>563</v>
      </c>
      <c r="AI40" s="89">
        <v>226</v>
      </c>
      <c r="AJ40" s="70">
        <v>66</v>
      </c>
      <c r="AK40" s="78">
        <v>573</v>
      </c>
      <c r="AM40" s="122"/>
    </row>
    <row r="41" spans="1:39" s="123" customFormat="1" ht="11.25">
      <c r="A41" s="122"/>
      <c r="B41" s="122"/>
      <c r="C41" s="33"/>
      <c r="D41" s="26" t="s">
        <v>11</v>
      </c>
      <c r="E41" s="32"/>
      <c r="F41" s="74">
        <f t="shared" si="58"/>
        <v>310711</v>
      </c>
      <c r="G41" s="74">
        <f t="shared" si="58"/>
        <v>200577</v>
      </c>
      <c r="H41" s="74">
        <f t="shared" si="58"/>
        <v>161083</v>
      </c>
      <c r="I41" s="74">
        <f t="shared" si="58"/>
        <v>82038</v>
      </c>
      <c r="J41" s="74">
        <f t="shared" si="58"/>
        <v>24481</v>
      </c>
      <c r="K41" s="74">
        <f t="shared" si="58"/>
        <v>0</v>
      </c>
      <c r="L41" s="74">
        <f t="shared" si="58"/>
        <v>165399</v>
      </c>
      <c r="M41" s="64">
        <f t="shared" si="59"/>
        <v>0.54908588721538365</v>
      </c>
      <c r="N41" s="64">
        <f t="shared" si="60"/>
        <v>0.92888759211089944</v>
      </c>
      <c r="O41" s="64">
        <f t="shared" si="61"/>
        <v>2.7874033984251199</v>
      </c>
      <c r="P41" s="64">
        <f t="shared" si="62"/>
        <v>11.691924349495528</v>
      </c>
      <c r="Q41" s="64" t="str">
        <f t="shared" si="63"/>
        <v>n/a</v>
      </c>
      <c r="R41" s="60">
        <f t="shared" si="64"/>
        <v>0.87855428388321566</v>
      </c>
      <c r="S41" s="74">
        <f>'Apr-25'!S41+F41</f>
        <v>453084</v>
      </c>
      <c r="T41" s="74">
        <f>'Apr-25'!T41+G41</f>
        <v>330174</v>
      </c>
      <c r="U41" s="74">
        <f>'Apr-25'!U41+H41</f>
        <v>268431</v>
      </c>
      <c r="V41" s="74">
        <f>'Apr-25'!V41+I41</f>
        <v>142405</v>
      </c>
      <c r="W41" s="74">
        <f>'Apr-25'!W41+J41</f>
        <v>30483</v>
      </c>
      <c r="X41" s="74">
        <f>'Apr-25'!X41+K41</f>
        <v>0</v>
      </c>
      <c r="Y41" s="74">
        <f>'Apr-25'!Y41+L41</f>
        <v>312730</v>
      </c>
      <c r="Z41" s="162"/>
      <c r="AA41" s="147">
        <f t="shared" si="65"/>
        <v>0.23001441711277759</v>
      </c>
      <c r="AB41" s="147">
        <f t="shared" si="66"/>
        <v>1.3185562304694356</v>
      </c>
      <c r="AC41" s="147">
        <f t="shared" si="67"/>
        <v>9.8314142308827872</v>
      </c>
      <c r="AD41" s="147" t="str">
        <f t="shared" si="68"/>
        <v>n/a</v>
      </c>
      <c r="AE41" s="158">
        <f t="shared" si="69"/>
        <v>5.5779746106865424E-2</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110"/>
      <c r="AA42" s="147"/>
      <c r="AB42" s="147"/>
      <c r="AC42" s="147"/>
      <c r="AD42" s="147"/>
      <c r="AE42" s="158"/>
      <c r="AF42" s="155"/>
      <c r="AG42" s="90"/>
      <c r="AH42" s="90"/>
      <c r="AI42" s="90"/>
      <c r="AJ42" s="44"/>
      <c r="AK42" s="79"/>
      <c r="AM42" s="122"/>
    </row>
    <row r="43" spans="1:39" s="123" customFormat="1" ht="11.25">
      <c r="A43" s="122"/>
      <c r="B43" s="122"/>
      <c r="C43" s="33"/>
      <c r="D43" s="26" t="s">
        <v>5</v>
      </c>
      <c r="E43" s="32"/>
      <c r="F43" s="74">
        <f>F19</f>
        <v>95</v>
      </c>
      <c r="G43" s="74">
        <f t="shared" ref="G43:L44" si="70">G19</f>
        <v>91</v>
      </c>
      <c r="H43" s="74">
        <f t="shared" si="70"/>
        <v>99</v>
      </c>
      <c r="I43" s="74">
        <f t="shared" si="70"/>
        <v>91</v>
      </c>
      <c r="J43" s="74">
        <f t="shared" si="70"/>
        <v>1</v>
      </c>
      <c r="K43" s="74">
        <f t="shared" si="70"/>
        <v>0</v>
      </c>
      <c r="L43" s="74">
        <f t="shared" si="70"/>
        <v>37</v>
      </c>
      <c r="M43" s="64">
        <f t="shared" ref="M43:M44" si="71">IFERROR(F43/G43-1,"n/a")</f>
        <v>4.3956043956044022E-2</v>
      </c>
      <c r="N43" s="64">
        <f t="shared" ref="N43:N44" si="72">IFERROR(F43/H43-1,"n/a")</f>
        <v>-4.0404040404040442E-2</v>
      </c>
      <c r="O43" s="64">
        <f t="shared" ref="O43:O44" si="73">IFERROR(F43/I43-1,"n/a")</f>
        <v>4.3956043956044022E-2</v>
      </c>
      <c r="P43" s="64">
        <f t="shared" ref="P43:P44" si="74">IFERROR(F43/J43-1,"n/a")</f>
        <v>94</v>
      </c>
      <c r="Q43" s="64" t="str">
        <f t="shared" ref="Q43:Q44" si="75">IFERROR(F43/K43-1,"n/a")</f>
        <v>n/a</v>
      </c>
      <c r="R43" s="60">
        <f t="shared" ref="R43:R44" si="76">IFERROR(F43/L43-1,"n/a")</f>
        <v>1.5675675675675675</v>
      </c>
      <c r="S43" s="74">
        <f>'Apr-25'!S43+F43</f>
        <v>156</v>
      </c>
      <c r="T43" s="74">
        <f>'Apr-25'!T43+G43</f>
        <v>143</v>
      </c>
      <c r="U43" s="74">
        <f>'Apr-25'!U43+H43</f>
        <v>146</v>
      </c>
      <c r="V43" s="74">
        <f>'Apr-25'!V43+I43</f>
        <v>126</v>
      </c>
      <c r="W43" s="74">
        <f>'Apr-25'!W43+J43</f>
        <v>3</v>
      </c>
      <c r="X43" s="74">
        <f>'Apr-25'!X43+K43</f>
        <v>0</v>
      </c>
      <c r="Y43" s="74">
        <f>'Apr-25'!Y43+L43</f>
        <v>58</v>
      </c>
      <c r="Z43" s="162"/>
      <c r="AA43" s="147">
        <f t="shared" ref="AA43:AA44" si="77">IFERROR(T43/U43-1,"n/a")</f>
        <v>-2.0547945205479423E-2</v>
      </c>
      <c r="AB43" s="147">
        <f t="shared" ref="AB43:AB44" si="78">IFERROR(T43/V43-1,"n/a")</f>
        <v>0.13492063492063489</v>
      </c>
      <c r="AC43" s="147">
        <f t="shared" ref="AC43:AC44" si="79">IFERROR(T43/W43-1,"n/a")</f>
        <v>46.666666666666664</v>
      </c>
      <c r="AD43" s="147" t="str">
        <f t="shared" ref="AD43:AD44" si="80">IFERROR(T43/X43-1,"n/a")</f>
        <v>n/a</v>
      </c>
      <c r="AE43" s="158">
        <f t="shared" ref="AE43:AE44" si="81">IFERROR(T43/Y43-1,"n/a")</f>
        <v>1.4655172413793105</v>
      </c>
      <c r="AF43" s="154">
        <v>728</v>
      </c>
      <c r="AG43" s="89">
        <v>712</v>
      </c>
      <c r="AH43" s="89">
        <v>669</v>
      </c>
      <c r="AI43" s="89">
        <v>59</v>
      </c>
      <c r="AJ43" s="70">
        <v>9</v>
      </c>
      <c r="AK43" s="78">
        <v>287</v>
      </c>
      <c r="AM43" s="122"/>
    </row>
    <row r="44" spans="1:39" s="123" customFormat="1" ht="11.25">
      <c r="A44" s="122"/>
      <c r="B44" s="122"/>
      <c r="C44" s="33"/>
      <c r="D44" s="26" t="s">
        <v>11</v>
      </c>
      <c r="E44" s="32"/>
      <c r="F44" s="74">
        <f>F20</f>
        <v>181459</v>
      </c>
      <c r="G44" s="74">
        <f t="shared" si="70"/>
        <v>156985</v>
      </c>
      <c r="H44" s="74">
        <f t="shared" si="70"/>
        <v>137318</v>
      </c>
      <c r="I44" s="74">
        <f t="shared" si="70"/>
        <v>88575</v>
      </c>
      <c r="J44" s="74">
        <f t="shared" si="70"/>
        <v>0</v>
      </c>
      <c r="K44" s="74">
        <f t="shared" si="70"/>
        <v>0</v>
      </c>
      <c r="L44" s="74">
        <f t="shared" si="70"/>
        <v>66376</v>
      </c>
      <c r="M44" s="64">
        <f t="shared" si="71"/>
        <v>0.15590024524636115</v>
      </c>
      <c r="N44" s="64">
        <f t="shared" si="72"/>
        <v>0.321450938697039</v>
      </c>
      <c r="O44" s="64">
        <f t="shared" si="73"/>
        <v>1.048648038385549</v>
      </c>
      <c r="P44" s="64" t="str">
        <f t="shared" si="74"/>
        <v>n/a</v>
      </c>
      <c r="Q44" s="64" t="str">
        <f t="shared" si="75"/>
        <v>n/a</v>
      </c>
      <c r="R44" s="60">
        <f t="shared" si="76"/>
        <v>1.7338043871278774</v>
      </c>
      <c r="S44" s="74">
        <f>'Apr-25'!S44+F44</f>
        <v>262250</v>
      </c>
      <c r="T44" s="74">
        <f>'Apr-25'!T44+G44</f>
        <v>232556.4</v>
      </c>
      <c r="U44" s="74">
        <f>'Apr-25'!U44+H44</f>
        <v>203620</v>
      </c>
      <c r="V44" s="74">
        <f>'Apr-25'!V44+I44</f>
        <v>121151</v>
      </c>
      <c r="W44" s="74">
        <f>'Apr-25'!W44+J44</f>
        <v>0</v>
      </c>
      <c r="X44" s="74">
        <f>'Apr-25'!X44+K44</f>
        <v>0</v>
      </c>
      <c r="Y44" s="74">
        <f>'Apr-25'!Y44+L44</f>
        <v>102439</v>
      </c>
      <c r="Z44" s="162"/>
      <c r="AA44" s="147">
        <f t="shared" si="77"/>
        <v>0.1421098123956388</v>
      </c>
      <c r="AB44" s="147">
        <f t="shared" si="78"/>
        <v>0.91955823724112884</v>
      </c>
      <c r="AC44" s="147" t="str">
        <f t="shared" si="79"/>
        <v>n/a</v>
      </c>
      <c r="AD44" s="147" t="str">
        <f t="shared" si="80"/>
        <v>n/a</v>
      </c>
      <c r="AE44" s="158">
        <f t="shared" si="81"/>
        <v>1.270193969093802</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160"/>
      <c r="AA45" s="147"/>
      <c r="AB45" s="147"/>
      <c r="AC45" s="147"/>
      <c r="AD45" s="147"/>
      <c r="AE45" s="158"/>
      <c r="AF45" s="155"/>
      <c r="AG45" s="90"/>
      <c r="AH45" s="90"/>
      <c r="AI45" s="90"/>
      <c r="AJ45" s="44"/>
      <c r="AK45" s="79"/>
      <c r="AM45" s="122"/>
    </row>
    <row r="46" spans="1:39" s="123" customFormat="1" ht="11.25">
      <c r="A46" s="122"/>
      <c r="B46" s="122"/>
      <c r="C46" s="33"/>
      <c r="D46" s="26" t="s">
        <v>5</v>
      </c>
      <c r="E46" s="34"/>
      <c r="F46" s="74">
        <f>F22</f>
        <v>141</v>
      </c>
      <c r="G46" s="74">
        <f t="shared" ref="G46:L47" si="82">G22</f>
        <v>147</v>
      </c>
      <c r="H46" s="74">
        <f t="shared" si="82"/>
        <v>159</v>
      </c>
      <c r="I46" s="74">
        <f t="shared" si="82"/>
        <v>107</v>
      </c>
      <c r="J46" s="74">
        <f t="shared" si="82"/>
        <v>0</v>
      </c>
      <c r="K46" s="74">
        <f t="shared" si="82"/>
        <v>0</v>
      </c>
      <c r="L46" s="74">
        <f t="shared" si="82"/>
        <v>113</v>
      </c>
      <c r="M46" s="64">
        <f t="shared" ref="M46:M47" si="83">IFERROR(F46/G46-1,"n/a")</f>
        <v>-4.081632653061229E-2</v>
      </c>
      <c r="N46" s="64">
        <f t="shared" ref="N46:N47" si="84">IFERROR(F46/H46-1,"n/a")</f>
        <v>-0.1132075471698113</v>
      </c>
      <c r="O46" s="64">
        <f t="shared" ref="O46:O47" si="85">IFERROR(F46/I46-1,"n/a")</f>
        <v>0.31775700934579443</v>
      </c>
      <c r="P46" s="64" t="str">
        <f t="shared" ref="P46:P47" si="86">IFERROR(F46/J46-1,"n/a")</f>
        <v>n/a</v>
      </c>
      <c r="Q46" s="64" t="str">
        <f t="shared" ref="Q46:Q47" si="87">IFERROR(F46/K46-1,"n/a")</f>
        <v>n/a</v>
      </c>
      <c r="R46" s="60">
        <f t="shared" ref="R46:R47" si="88">IFERROR(F46/L46-1,"n/a")</f>
        <v>0.24778761061946897</v>
      </c>
      <c r="S46" s="74">
        <f>'Apr-25'!S46+F46</f>
        <v>353</v>
      </c>
      <c r="T46" s="74">
        <f>'Apr-25'!T46+G46</f>
        <v>341</v>
      </c>
      <c r="U46" s="74">
        <f>'Apr-25'!U46+H46</f>
        <v>321</v>
      </c>
      <c r="V46" s="74">
        <f>'Apr-25'!V46+I46</f>
        <v>207</v>
      </c>
      <c r="W46" s="74">
        <f>'Apr-25'!W46+J46</f>
        <v>0</v>
      </c>
      <c r="X46" s="74">
        <f>'Apr-25'!X46+K46</f>
        <v>0</v>
      </c>
      <c r="Y46" s="74">
        <f>'Apr-25'!Y46+L46</f>
        <v>203</v>
      </c>
      <c r="Z46" s="162"/>
      <c r="AA46" s="147">
        <f t="shared" ref="AA46:AA47" si="89">IFERROR(T46/U46-1,"n/a")</f>
        <v>6.230529595015577E-2</v>
      </c>
      <c r="AB46" s="147">
        <f t="shared" ref="AB46:AB47" si="90">IFERROR(T46/V46-1,"n/a")</f>
        <v>0.64734299516908211</v>
      </c>
      <c r="AC46" s="147" t="str">
        <f t="shared" ref="AC46:AC47" si="91">IFERROR(T46/W46-1,"n/a")</f>
        <v>n/a</v>
      </c>
      <c r="AD46" s="147" t="str">
        <f t="shared" ref="AD46:AD47" si="92">IFERROR(T46/X46-1,"n/a")</f>
        <v>n/a</v>
      </c>
      <c r="AE46" s="158">
        <f t="shared" ref="AE46:AE47" si="93">IFERROR(T46/Y46-1,"n/a")</f>
        <v>0.67980295566502469</v>
      </c>
      <c r="AF46" s="154">
        <v>1788</v>
      </c>
      <c r="AG46" s="89">
        <v>1471</v>
      </c>
      <c r="AH46" s="89">
        <v>1129</v>
      </c>
      <c r="AI46" s="89">
        <v>336</v>
      </c>
      <c r="AJ46" s="84">
        <v>43</v>
      </c>
      <c r="AK46" s="78">
        <v>781</v>
      </c>
      <c r="AM46" s="122"/>
    </row>
    <row r="47" spans="1:39" s="123" customFormat="1" ht="11.25">
      <c r="A47" s="122"/>
      <c r="B47" s="122"/>
      <c r="C47" s="33"/>
      <c r="D47" s="26" t="s">
        <v>11</v>
      </c>
      <c r="E47" s="32"/>
      <c r="F47" s="74">
        <f>F23</f>
        <v>348266</v>
      </c>
      <c r="G47" s="74">
        <f t="shared" si="82"/>
        <v>425839</v>
      </c>
      <c r="H47" s="74">
        <f t="shared" si="82"/>
        <v>390316</v>
      </c>
      <c r="I47" s="74">
        <f t="shared" si="82"/>
        <v>173929</v>
      </c>
      <c r="J47" s="74">
        <f t="shared" si="82"/>
        <v>0</v>
      </c>
      <c r="K47" s="74">
        <f t="shared" si="82"/>
        <v>0</v>
      </c>
      <c r="L47" s="74">
        <f t="shared" si="82"/>
        <v>300445</v>
      </c>
      <c r="M47" s="64">
        <f t="shared" si="83"/>
        <v>-0.1821650905623956</v>
      </c>
      <c r="N47" s="64">
        <f t="shared" si="84"/>
        <v>-0.10773322128736718</v>
      </c>
      <c r="O47" s="64">
        <f t="shared" si="85"/>
        <v>1.002345784774247</v>
      </c>
      <c r="P47" s="64" t="str">
        <f t="shared" si="86"/>
        <v>n/a</v>
      </c>
      <c r="Q47" s="64" t="str">
        <f t="shared" si="87"/>
        <v>n/a</v>
      </c>
      <c r="R47" s="60">
        <f t="shared" si="88"/>
        <v>0.15916723526768628</v>
      </c>
      <c r="S47" s="74">
        <f>'Apr-25'!S47+F47</f>
        <v>831005</v>
      </c>
      <c r="T47" s="74">
        <f>'Apr-25'!T47+G47</f>
        <v>858945</v>
      </c>
      <c r="U47" s="74">
        <f>'Apr-25'!U47+H47</f>
        <v>743019</v>
      </c>
      <c r="V47" s="74">
        <f>'Apr-25'!V47+I47</f>
        <v>289738</v>
      </c>
      <c r="W47" s="74">
        <f>'Apr-25'!W47+J47</f>
        <v>0</v>
      </c>
      <c r="X47" s="74">
        <f>'Apr-25'!X47+K47</f>
        <v>0</v>
      </c>
      <c r="Y47" s="74">
        <f>'Apr-25'!Y47+L47</f>
        <v>513185</v>
      </c>
      <c r="Z47" s="162"/>
      <c r="AA47" s="147">
        <f t="shared" si="89"/>
        <v>0.15602023636003914</v>
      </c>
      <c r="AB47" s="147">
        <f t="shared" si="90"/>
        <v>1.9645576348287075</v>
      </c>
      <c r="AC47" s="147" t="str">
        <f t="shared" si="91"/>
        <v>n/a</v>
      </c>
      <c r="AD47" s="147" t="str">
        <f t="shared" si="92"/>
        <v>n/a</v>
      </c>
      <c r="AE47" s="158">
        <f t="shared" si="93"/>
        <v>0.67375312996287895</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160"/>
      <c r="AA48" s="147"/>
      <c r="AB48" s="147"/>
      <c r="AC48" s="147"/>
      <c r="AD48" s="147"/>
      <c r="AE48" s="158"/>
      <c r="AF48" s="155"/>
      <c r="AG48" s="90"/>
      <c r="AH48" s="90"/>
      <c r="AI48" s="90"/>
      <c r="AJ48" s="44"/>
      <c r="AK48" s="79"/>
      <c r="AM48" s="122"/>
    </row>
    <row r="49" spans="3:39" s="123" customFormat="1" ht="11.25">
      <c r="C49" s="33"/>
      <c r="D49" s="26" t="s">
        <v>5</v>
      </c>
      <c r="E49" s="32"/>
      <c r="F49" s="74">
        <f>F25</f>
        <v>2</v>
      </c>
      <c r="G49" s="74">
        <f t="shared" ref="G49:L50" si="94">G25</f>
        <v>2</v>
      </c>
      <c r="H49" s="74">
        <f t="shared" si="94"/>
        <v>3</v>
      </c>
      <c r="I49" s="74">
        <f t="shared" si="94"/>
        <v>0</v>
      </c>
      <c r="J49" s="74">
        <f t="shared" si="94"/>
        <v>0</v>
      </c>
      <c r="K49" s="74">
        <f t="shared" si="94"/>
        <v>0</v>
      </c>
      <c r="L49" s="74">
        <f t="shared" si="94"/>
        <v>2</v>
      </c>
      <c r="M49" s="64">
        <f t="shared" ref="M49:M52" si="95">IFERROR(F49/G49-1,"n/a")</f>
        <v>0</v>
      </c>
      <c r="N49" s="64">
        <f t="shared" ref="N49:N52" si="96">IFERROR(F49/H49-1,"n/a")</f>
        <v>-0.33333333333333337</v>
      </c>
      <c r="O49" s="64" t="str">
        <f t="shared" ref="O49:O52" si="97">IFERROR(F49/I49-1,"n/a")</f>
        <v>n/a</v>
      </c>
      <c r="P49" s="64" t="str">
        <f t="shared" ref="P49:P52" si="98">IFERROR(F49/J49-1,"n/a")</f>
        <v>n/a</v>
      </c>
      <c r="Q49" s="64" t="str">
        <f t="shared" ref="Q49:Q52" si="99">IFERROR(F49/K49-1,"n/a")</f>
        <v>n/a</v>
      </c>
      <c r="R49" s="60">
        <f t="shared" ref="R49:R52" si="100">IFERROR(F49/L49-1,"n/a")</f>
        <v>0</v>
      </c>
      <c r="S49" s="74">
        <f>'Apr-25'!S49+F49</f>
        <v>3</v>
      </c>
      <c r="T49" s="74">
        <f>'Apr-25'!T49+G49</f>
        <v>3</v>
      </c>
      <c r="U49" s="74">
        <f>'Apr-25'!U49+H49</f>
        <v>4</v>
      </c>
      <c r="V49" s="74">
        <f>'Apr-25'!V49+I49</f>
        <v>1</v>
      </c>
      <c r="W49" s="74">
        <f>'Apr-25'!W49+J49</f>
        <v>0</v>
      </c>
      <c r="X49" s="74">
        <f>'Apr-25'!X49+K49</f>
        <v>0</v>
      </c>
      <c r="Y49" s="74">
        <f>'Apr-25'!Y49+L49</f>
        <v>3</v>
      </c>
      <c r="Z49" s="162"/>
      <c r="AA49" s="147">
        <f t="shared" ref="AA49:AA52" si="101">IFERROR(T49/U49-1,"n/a")</f>
        <v>-0.25</v>
      </c>
      <c r="AB49" s="147">
        <f t="shared" ref="AB49:AB52" si="102">IFERROR(T49/V49-1,"n/a")</f>
        <v>2</v>
      </c>
      <c r="AC49" s="147" t="str">
        <f t="shared" ref="AC49:AC52" si="103">IFERROR(T49/W49-1,"n/a")</f>
        <v>n/a</v>
      </c>
      <c r="AD49" s="147" t="str">
        <f t="shared" ref="AD49:AD52" si="104">IFERROR(T49/X49-1,"n/a")</f>
        <v>n/a</v>
      </c>
      <c r="AE49" s="158">
        <f t="shared" ref="AE49:AE52" si="105">IFERROR(T49/Y49-1,"n/a")</f>
        <v>0</v>
      </c>
      <c r="AF49" s="154">
        <v>14</v>
      </c>
      <c r="AG49" s="89">
        <v>21</v>
      </c>
      <c r="AH49" s="89">
        <v>9</v>
      </c>
      <c r="AI49" s="68">
        <v>0</v>
      </c>
      <c r="AJ49" s="68">
        <v>0</v>
      </c>
      <c r="AK49" s="78">
        <v>16</v>
      </c>
      <c r="AM49" s="122"/>
    </row>
    <row r="50" spans="3:39" s="123" customFormat="1" ht="11.25">
      <c r="C50" s="33"/>
      <c r="D50" s="26" t="s">
        <v>11</v>
      </c>
      <c r="E50" s="32"/>
      <c r="F50" s="74">
        <f>F26</f>
        <v>7502</v>
      </c>
      <c r="G50" s="74">
        <f t="shared" si="94"/>
        <v>8306</v>
      </c>
      <c r="H50" s="74">
        <f t="shared" si="94"/>
        <v>2124</v>
      </c>
      <c r="I50" s="74">
        <f t="shared" si="94"/>
        <v>0</v>
      </c>
      <c r="J50" s="74">
        <f t="shared" si="94"/>
        <v>0</v>
      </c>
      <c r="K50" s="74">
        <f t="shared" si="94"/>
        <v>0</v>
      </c>
      <c r="L50" s="74">
        <f t="shared" si="94"/>
        <v>2351</v>
      </c>
      <c r="M50" s="64">
        <f t="shared" si="95"/>
        <v>-9.6797495786178689E-2</v>
      </c>
      <c r="N50" s="64">
        <f t="shared" si="96"/>
        <v>2.5320150659133711</v>
      </c>
      <c r="O50" s="64" t="str">
        <f t="shared" si="97"/>
        <v>n/a</v>
      </c>
      <c r="P50" s="64" t="str">
        <f t="shared" si="98"/>
        <v>n/a</v>
      </c>
      <c r="Q50" s="64" t="str">
        <f t="shared" si="99"/>
        <v>n/a</v>
      </c>
      <c r="R50" s="60">
        <f t="shared" si="100"/>
        <v>2.1909825606125053</v>
      </c>
      <c r="S50" s="74">
        <f>'Apr-25'!S50+F50</f>
        <v>11889</v>
      </c>
      <c r="T50" s="74">
        <f>'Apr-25'!T50+G50</f>
        <v>12437</v>
      </c>
      <c r="U50" s="74">
        <f>'Apr-25'!U50+H50</f>
        <v>4382</v>
      </c>
      <c r="V50" s="74">
        <f>'Apr-25'!V50+I50</f>
        <v>925</v>
      </c>
      <c r="W50" s="74">
        <f>'Apr-25'!W50+J50</f>
        <v>0</v>
      </c>
      <c r="X50" s="74">
        <f>'Apr-25'!X50+K50</f>
        <v>0</v>
      </c>
      <c r="Y50" s="74">
        <f>'Apr-25'!Y50+L50</f>
        <v>3410</v>
      </c>
      <c r="Z50" s="162"/>
      <c r="AA50" s="147">
        <f t="shared" si="101"/>
        <v>1.8382017343678685</v>
      </c>
      <c r="AB50" s="147">
        <f t="shared" si="102"/>
        <v>12.445405405405406</v>
      </c>
      <c r="AC50" s="147" t="str">
        <f t="shared" si="103"/>
        <v>n/a</v>
      </c>
      <c r="AD50" s="147" t="str">
        <f t="shared" si="104"/>
        <v>n/a</v>
      </c>
      <c r="AE50" s="158">
        <f t="shared" si="105"/>
        <v>2.6472140762463341</v>
      </c>
      <c r="AF50" s="154">
        <v>47798</v>
      </c>
      <c r="AG50" s="82">
        <v>38626</v>
      </c>
      <c r="AH50" s="82">
        <v>15637</v>
      </c>
      <c r="AI50" s="68">
        <v>0</v>
      </c>
      <c r="AJ50" s="68">
        <v>0</v>
      </c>
      <c r="AK50" s="78">
        <v>20248</v>
      </c>
      <c r="AM50" s="122"/>
    </row>
    <row r="51" spans="3:39" s="123" customFormat="1" ht="12" thickBot="1">
      <c r="C51" s="35" t="s">
        <v>12</v>
      </c>
      <c r="D51" s="36"/>
      <c r="E51" s="37"/>
      <c r="F51" s="75">
        <f t="shared" ref="F51:L52" si="106">F37+F40+F43+F46+F49</f>
        <v>550</v>
      </c>
      <c r="G51" s="75">
        <f t="shared" si="106"/>
        <v>495</v>
      </c>
      <c r="H51" s="75">
        <f t="shared" si="106"/>
        <v>430</v>
      </c>
      <c r="I51" s="75">
        <f t="shared" si="106"/>
        <v>352</v>
      </c>
      <c r="J51" s="75">
        <f t="shared" si="106"/>
        <v>18</v>
      </c>
      <c r="K51" s="75">
        <f t="shared" si="106"/>
        <v>0</v>
      </c>
      <c r="L51" s="75">
        <f t="shared" si="106"/>
        <v>313</v>
      </c>
      <c r="M51" s="66">
        <f t="shared" si="95"/>
        <v>0.11111111111111116</v>
      </c>
      <c r="N51" s="66">
        <f t="shared" si="96"/>
        <v>0.27906976744186052</v>
      </c>
      <c r="O51" s="66">
        <f t="shared" si="97"/>
        <v>0.5625</v>
      </c>
      <c r="P51" s="66">
        <f t="shared" si="98"/>
        <v>29.555555555555557</v>
      </c>
      <c r="Q51" s="66" t="str">
        <f t="shared" si="99"/>
        <v>n/a</v>
      </c>
      <c r="R51" s="66">
        <f t="shared" si="100"/>
        <v>0.75718849840255587</v>
      </c>
      <c r="S51" s="75">
        <f>S37+S40+S43+S46+S49</f>
        <v>1116</v>
      </c>
      <c r="T51" s="75">
        <f>T37+T40+T43+T46+T49</f>
        <v>984</v>
      </c>
      <c r="U51" s="75">
        <f>U37+U40+U43+U46+U49</f>
        <v>815</v>
      </c>
      <c r="V51" s="75">
        <f t="shared" ref="U51:Y52" si="107">V37+V40+V43+V46+V49</f>
        <v>680</v>
      </c>
      <c r="W51" s="75">
        <f t="shared" si="107"/>
        <v>25</v>
      </c>
      <c r="X51" s="75">
        <f t="shared" si="107"/>
        <v>42</v>
      </c>
      <c r="Y51" s="75">
        <f t="shared" si="107"/>
        <v>605</v>
      </c>
      <c r="Z51" s="75"/>
      <c r="AA51" s="66">
        <f t="shared" si="101"/>
        <v>0.20736196319018396</v>
      </c>
      <c r="AB51" s="66">
        <f t="shared" si="102"/>
        <v>0.44705882352941173</v>
      </c>
      <c r="AC51" s="66">
        <f t="shared" si="103"/>
        <v>38.36</v>
      </c>
      <c r="AD51" s="66">
        <f t="shared" si="104"/>
        <v>22.428571428571427</v>
      </c>
      <c r="AE51" s="66">
        <f t="shared" si="105"/>
        <v>0.62644628099173549</v>
      </c>
      <c r="AF51" s="46">
        <f t="shared" ref="AF51:AJ52" si="108">AF37+AF40+AF43+AF46+AF49</f>
        <v>6221</v>
      </c>
      <c r="AG51" s="46">
        <f t="shared" si="108"/>
        <v>4589</v>
      </c>
      <c r="AH51" s="46">
        <f t="shared" si="108"/>
        <v>3856</v>
      </c>
      <c r="AI51" s="46">
        <f t="shared" si="108"/>
        <v>1673</v>
      </c>
      <c r="AJ51" s="46">
        <f t="shared" si="108"/>
        <v>669</v>
      </c>
      <c r="AK51" s="80">
        <f>AK37+AK40+AK43+AK46+AK49</f>
        <v>3241</v>
      </c>
      <c r="AM51" s="122"/>
    </row>
    <row r="52" spans="3:39" s="123" customFormat="1" ht="12.75" thickTop="1" thickBot="1">
      <c r="C52" s="38" t="s">
        <v>13</v>
      </c>
      <c r="D52" s="39"/>
      <c r="E52" s="40"/>
      <c r="F52" s="76">
        <f t="shared" si="106"/>
        <v>1427424</v>
      </c>
      <c r="G52" s="76">
        <f t="shared" si="106"/>
        <v>1375766</v>
      </c>
      <c r="H52" s="76">
        <f t="shared" si="106"/>
        <v>1044083</v>
      </c>
      <c r="I52" s="76">
        <f t="shared" si="106"/>
        <v>579510</v>
      </c>
      <c r="J52" s="76">
        <f t="shared" si="106"/>
        <v>24481</v>
      </c>
      <c r="K52" s="76">
        <f t="shared" si="106"/>
        <v>0</v>
      </c>
      <c r="L52" s="76">
        <f t="shared" si="106"/>
        <v>837624</v>
      </c>
      <c r="M52" s="67">
        <f t="shared" si="95"/>
        <v>3.7548536597066695E-2</v>
      </c>
      <c r="N52" s="67">
        <f t="shared" si="96"/>
        <v>0.36715567632075219</v>
      </c>
      <c r="O52" s="67">
        <f t="shared" si="97"/>
        <v>1.463156804886887</v>
      </c>
      <c r="P52" s="67">
        <f t="shared" si="98"/>
        <v>57.307422082431273</v>
      </c>
      <c r="Q52" s="67" t="str">
        <f t="shared" si="99"/>
        <v>n/a</v>
      </c>
      <c r="R52" s="67">
        <f t="shared" si="100"/>
        <v>0.70413455201856689</v>
      </c>
      <c r="S52" s="76">
        <f t="shared" ref="S52:T52" si="109">S38+S41+S44+S47+S50</f>
        <v>2908304</v>
      </c>
      <c r="T52" s="76">
        <f t="shared" si="109"/>
        <v>2677885.4</v>
      </c>
      <c r="U52" s="76">
        <f t="shared" si="107"/>
        <v>2022445</v>
      </c>
      <c r="V52" s="76">
        <f t="shared" si="107"/>
        <v>1086975</v>
      </c>
      <c r="W52" s="76">
        <f t="shared" si="107"/>
        <v>30483</v>
      </c>
      <c r="X52" s="76">
        <f t="shared" si="107"/>
        <v>0</v>
      </c>
      <c r="Y52" s="76">
        <f t="shared" si="107"/>
        <v>1628862</v>
      </c>
      <c r="Z52" s="76"/>
      <c r="AA52" s="67">
        <f t="shared" si="101"/>
        <v>0.32408317655115471</v>
      </c>
      <c r="AB52" s="67">
        <f t="shared" si="102"/>
        <v>1.463612686584328</v>
      </c>
      <c r="AC52" s="67">
        <f t="shared" si="103"/>
        <v>86.848486041400122</v>
      </c>
      <c r="AD52" s="67" t="str">
        <f t="shared" si="104"/>
        <v>n/a</v>
      </c>
      <c r="AE52" s="67">
        <f t="shared" si="105"/>
        <v>0.64402226830756693</v>
      </c>
      <c r="AF52" s="47">
        <f t="shared" si="108"/>
        <v>17650949.399999999</v>
      </c>
      <c r="AG52" s="47">
        <f t="shared" si="108"/>
        <v>13408675</v>
      </c>
      <c r="AH52" s="47">
        <f t="shared" si="108"/>
        <v>9237323</v>
      </c>
      <c r="AI52" s="47">
        <f t="shared" si="108"/>
        <v>2410085</v>
      </c>
      <c r="AJ52" s="47">
        <f t="shared" si="108"/>
        <v>1324261</v>
      </c>
      <c r="AK52" s="81">
        <f>AK38+AK41+AK44+AK47+AK50</f>
        <v>8638971</v>
      </c>
      <c r="AM52" s="122"/>
    </row>
    <row r="53" spans="3:39" s="123" customFormat="1" ht="12" thickTop="1">
      <c r="T53" s="131"/>
      <c r="U53" s="131"/>
      <c r="V53" s="131"/>
      <c r="W53" s="131"/>
      <c r="X53" s="131"/>
      <c r="Y53" s="131"/>
      <c r="AM53" s="122"/>
    </row>
    <row r="54" spans="3:39" s="123" customFormat="1" ht="11.25">
      <c r="F54" s="131"/>
      <c r="S54" s="131">
        <f>'Apr-25'!S51+'May-25'!F51+'May-25'!F52-'May-25'!S51-'May-25'!S52+'Apr-25'!S52</f>
        <v>0</v>
      </c>
      <c r="T54" s="131">
        <f>'Apr-25'!T51+'May-25'!G51+'May-25'!G52-'May-25'!T51-'May-25'!T52+'Apr-25'!T52</f>
        <v>0</v>
      </c>
      <c r="U54" s="131">
        <f>'Apr-25'!U51+'May-25'!H51+'May-25'!H52-'May-25'!U51-'May-25'!U52+'Apr-25'!U52</f>
        <v>0</v>
      </c>
      <c r="V54" s="131">
        <f>'Apr-25'!V51+'May-25'!I51+'May-25'!I52-'May-25'!V51-'May-25'!V52+'Apr-25'!V52</f>
        <v>0</v>
      </c>
      <c r="W54" s="131">
        <f>'Apr-25'!W51+'May-25'!J51+'May-25'!J52-'May-25'!W51-'May-25'!W52+'Apr-25'!W52</f>
        <v>0</v>
      </c>
      <c r="X54" s="131">
        <f>'Apr-25'!X51+'May-25'!K51+'May-25'!K52-'May-25'!X51-'May-25'!X52+'Apr-25'!X52</f>
        <v>0</v>
      </c>
      <c r="Y54" s="131">
        <f>'Apr-25'!Y51+'May-25'!L51+'May-25'!L52-'May-25'!Y51-'May-25'!Y52+'Apr-25'!Y52</f>
        <v>0</v>
      </c>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5381-09D3-44CB-BC63-C35ECA04A777}">
  <dimension ref="A1:AM66"/>
  <sheetViews>
    <sheetView showGridLines="0" topLeftCell="A34" zoomScale="85" zoomScaleNormal="85" workbookViewId="0">
      <selection activeCell="T55" sqref="T55"/>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11.8554687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v>45397</v>
      </c>
      <c r="AL3" s="25"/>
      <c r="AM3" s="9"/>
    </row>
    <row r="4" spans="1:39" ht="15.75">
      <c r="A4" s="9"/>
      <c r="B4" s="11" t="s">
        <v>7</v>
      </c>
      <c r="C4" s="26"/>
      <c r="D4" s="93" t="s">
        <v>45</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April</v>
      </c>
      <c r="G9" s="167"/>
      <c r="H9" s="167"/>
      <c r="I9" s="167"/>
      <c r="J9" s="167"/>
      <c r="K9" s="167"/>
      <c r="L9" s="167"/>
      <c r="M9" s="167"/>
      <c r="N9" s="167"/>
      <c r="O9" s="167"/>
      <c r="P9" s="167"/>
      <c r="Q9" s="167"/>
      <c r="R9" s="168"/>
      <c r="S9" s="169" t="str">
        <f xml:space="preserve"> "January to "&amp; F9</f>
        <v>January to April</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5">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230</v>
      </c>
      <c r="G13" s="71">
        <v>187</v>
      </c>
      <c r="H13" s="71">
        <v>129</v>
      </c>
      <c r="I13" s="71">
        <v>136</v>
      </c>
      <c r="J13" s="71">
        <v>0</v>
      </c>
      <c r="K13" s="71">
        <v>42</v>
      </c>
      <c r="L13" s="71">
        <v>129</v>
      </c>
      <c r="M13" s="64">
        <f>IFERROR(F13/G13-1,"n/a")</f>
        <v>0.22994652406417115</v>
      </c>
      <c r="N13" s="64">
        <f>IFERROR(F13/H13-1,"n/a")</f>
        <v>0.78294573643410859</v>
      </c>
      <c r="O13" s="64">
        <f>IFERROR(F13/I13-1,"n/a")</f>
        <v>0.69117647058823528</v>
      </c>
      <c r="P13" s="64" t="str">
        <f>IFERROR(F13/J13-1,"n/a")</f>
        <v>n/a</v>
      </c>
      <c r="Q13" s="64">
        <f>IFERROR(F13/K13-1,"n/a")</f>
        <v>4.4761904761904763</v>
      </c>
      <c r="R13" s="60">
        <f>IFERROR(F13/L13-1,"n/a")</f>
        <v>0.78294573643410859</v>
      </c>
      <c r="S13" s="68">
        <f>'Mar-25'!S13+F13</f>
        <v>1323</v>
      </c>
      <c r="T13" s="68">
        <f>'Mar-25'!T13+G13</f>
        <v>889</v>
      </c>
      <c r="U13" s="68">
        <f>'Mar-25'!U13+H13</f>
        <v>659</v>
      </c>
      <c r="V13" s="68">
        <f>'Mar-25'!V13+I13</f>
        <v>666</v>
      </c>
      <c r="W13" s="68">
        <f>'Mar-25'!W13+J13</f>
        <v>0</v>
      </c>
      <c r="X13" s="68">
        <f>'Mar-25'!X13+K13</f>
        <v>551</v>
      </c>
      <c r="Y13" s="68">
        <f>'Mar-25'!Y13+L13</f>
        <v>645</v>
      </c>
      <c r="Z13" s="64">
        <f>IFERROR(S13/T13-1,"n/a")</f>
        <v>0.48818897637795278</v>
      </c>
      <c r="AA13" s="64">
        <f>IFERROR(S13/U13-1,"n/a")</f>
        <v>1.0075872534142643</v>
      </c>
      <c r="AB13" s="64">
        <f>IFERROR(S13/V13-1,"n/a")</f>
        <v>0.9864864864864864</v>
      </c>
      <c r="AC13" s="64" t="str">
        <f>IFERROR(S13/W13-1,"n/a")</f>
        <v>n/a</v>
      </c>
      <c r="AD13" s="64">
        <f>IFERROR(S13/X13-1,"n/a")</f>
        <v>1.4010889292196009</v>
      </c>
      <c r="AE13" s="60">
        <f>IFERROR(S13/Y13-1,"n/a")</f>
        <v>1.0511627906976746</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770590</v>
      </c>
      <c r="G14" s="71">
        <v>659714</v>
      </c>
      <c r="H14" s="71">
        <v>449751</v>
      </c>
      <c r="I14" s="71">
        <v>297788</v>
      </c>
      <c r="J14" s="71">
        <v>0</v>
      </c>
      <c r="K14" s="71">
        <v>0</v>
      </c>
      <c r="L14" s="71">
        <v>394045</v>
      </c>
      <c r="M14" s="64">
        <f>IFERROR(F14/G14-1,"n/a")</f>
        <v>0.16806676832688106</v>
      </c>
      <c r="N14" s="64">
        <f>IFERROR(F14/H14-1,"n/a")</f>
        <v>0.71337028711442563</v>
      </c>
      <c r="O14" s="64">
        <f>IFERROR(F14/I14-1,"n/a")</f>
        <v>1.5877134068531977</v>
      </c>
      <c r="P14" s="64" t="str">
        <f>IFERROR(F14/J14-1,"n/a")</f>
        <v>n/a</v>
      </c>
      <c r="Q14" s="64" t="str">
        <f>IFERROR(F14/K14-1,"n/a")</f>
        <v>n/a</v>
      </c>
      <c r="R14" s="60">
        <f>IFERROR(F14/L14-1,"n/a")</f>
        <v>0.95558882868707884</v>
      </c>
      <c r="S14" s="68">
        <f>'Mar-25'!S14+F14</f>
        <v>3696171</v>
      </c>
      <c r="T14" s="68">
        <f>'Mar-25'!T14+G14</f>
        <v>2813538</v>
      </c>
      <c r="U14" s="68">
        <f>'Mar-25'!U14+H14</f>
        <v>1987935</v>
      </c>
      <c r="V14" s="68">
        <f>'Mar-25'!V14+I14</f>
        <v>1057446</v>
      </c>
      <c r="W14" s="68">
        <f>'Mar-25'!W14+J14</f>
        <v>0</v>
      </c>
      <c r="X14" s="68">
        <f>'Mar-25'!X14+K14</f>
        <v>1092884</v>
      </c>
      <c r="Y14" s="68">
        <f>'Mar-25'!Y14+L14</f>
        <v>1845149</v>
      </c>
      <c r="Z14" s="64">
        <f>IFERROR(S14/T14-1,"n/a")</f>
        <v>0.31370928702580159</v>
      </c>
      <c r="AA14" s="64">
        <f>IFERROR(S14/U14-1,"n/a")</f>
        <v>0.85930173773287355</v>
      </c>
      <c r="AB14" s="64">
        <f>IFERROR(S14/V14-1,"n/a")</f>
        <v>2.4953756503878211</v>
      </c>
      <c r="AC14" s="64" t="str">
        <f>IFERROR(S14/W14-1,"n/a")</f>
        <v>n/a</v>
      </c>
      <c r="AD14" s="64">
        <f>IFERROR(S14/X14-1,"n/a")</f>
        <v>2.3820341408603292</v>
      </c>
      <c r="AE14" s="60">
        <f>IFERROR(S14/Y14-1,"n/a")</f>
        <v>1.0031829407814761</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62</v>
      </c>
      <c r="G16" s="71">
        <v>55</v>
      </c>
      <c r="H16" s="71">
        <v>46</v>
      </c>
      <c r="I16" s="71">
        <v>56</v>
      </c>
      <c r="J16" s="71">
        <v>5</v>
      </c>
      <c r="K16" s="71">
        <v>0</v>
      </c>
      <c r="L16" s="71">
        <v>51</v>
      </c>
      <c r="M16" s="64">
        <f t="shared" ref="M16:M17" si="0">IFERROR(F16/G16-1,"n/a")</f>
        <v>0.1272727272727272</v>
      </c>
      <c r="N16" s="64">
        <f t="shared" ref="N16:N17" si="1">IFERROR(F16/H16-1,"n/a")</f>
        <v>0.34782608695652173</v>
      </c>
      <c r="O16" s="64">
        <f t="shared" ref="O16:O17" si="2">IFERROR(F16/I16-1,"n/a")</f>
        <v>0.10714285714285721</v>
      </c>
      <c r="P16" s="64">
        <f t="shared" ref="P16:P17" si="3">IFERROR(F16/J16-1,"n/a")</f>
        <v>11.4</v>
      </c>
      <c r="Q16" s="64" t="str">
        <f t="shared" ref="Q16:Q17" si="4">IFERROR(F16/K16-1,"n/a")</f>
        <v>n/a</v>
      </c>
      <c r="R16" s="60">
        <f t="shared" ref="R16:R17" si="5">IFERROR(F16/L16-1,"n/a")</f>
        <v>0.21568627450980382</v>
      </c>
      <c r="S16" s="68">
        <f>'Mar-25'!S16+F16</f>
        <v>119</v>
      </c>
      <c r="T16" s="68">
        <f>'Mar-25'!T16+G16</f>
        <v>92</v>
      </c>
      <c r="U16" s="68">
        <f>'Mar-25'!U16+H16</f>
        <v>73</v>
      </c>
      <c r="V16" s="68">
        <f>'Mar-25'!V16+I16</f>
        <v>92</v>
      </c>
      <c r="W16" s="68">
        <f>'Mar-25'!W16+J16</f>
        <v>17</v>
      </c>
      <c r="X16" s="68">
        <f>'Mar-25'!X16+K16</f>
        <v>10</v>
      </c>
      <c r="Y16" s="68">
        <f>'Mar-25'!Y16+L16</f>
        <v>74</v>
      </c>
      <c r="Z16" s="64">
        <f t="shared" ref="Z16:Z17" si="6">IFERROR(S16/T16-1,"n/a")</f>
        <v>0.29347826086956519</v>
      </c>
      <c r="AA16" s="64">
        <f t="shared" ref="AA16:AA17" si="7">IFERROR(S16/U16-1,"n/a")</f>
        <v>0.63013698630136994</v>
      </c>
      <c r="AB16" s="64">
        <f t="shared" ref="AB16:AB17" si="8">IFERROR(S16/V16-1,"n/a")</f>
        <v>0.29347826086956519</v>
      </c>
      <c r="AC16" s="64">
        <f t="shared" ref="AC16:AC17" si="9">IFERROR(S16/W16-1,"n/a")</f>
        <v>6</v>
      </c>
      <c r="AD16" s="64">
        <f t="shared" ref="AD16:AD17" si="10">IFERROR(S16/X16-1,"n/a")</f>
        <v>10.9</v>
      </c>
      <c r="AE16" s="60">
        <f t="shared" ref="AE16:AE17" si="11">IFERROR(S16/Y16-1,"n/a")</f>
        <v>0.60810810810810811</v>
      </c>
      <c r="AF16" s="68">
        <v>797</v>
      </c>
      <c r="AG16" s="68">
        <v>575</v>
      </c>
      <c r="AH16" s="68">
        <v>572</v>
      </c>
      <c r="AI16" s="68">
        <v>202</v>
      </c>
      <c r="AJ16" s="68">
        <v>54</v>
      </c>
      <c r="AK16" s="134">
        <v>586</v>
      </c>
      <c r="AL16" s="122"/>
      <c r="AM16" s="122"/>
    </row>
    <row r="17" spans="1:39" s="123" customFormat="1" ht="12.75">
      <c r="A17" s="122"/>
      <c r="B17" s="127"/>
      <c r="C17" s="33"/>
      <c r="D17" s="26" t="s">
        <v>11</v>
      </c>
      <c r="E17" s="32"/>
      <c r="F17" s="71">
        <v>142373</v>
      </c>
      <c r="G17" s="71">
        <v>129597</v>
      </c>
      <c r="H17" s="71">
        <v>107348</v>
      </c>
      <c r="I17" s="71">
        <v>60367</v>
      </c>
      <c r="J17" s="71">
        <v>6002</v>
      </c>
      <c r="K17" s="71">
        <v>0</v>
      </c>
      <c r="L17" s="71">
        <v>147331</v>
      </c>
      <c r="M17" s="64">
        <f t="shared" si="0"/>
        <v>9.8582528916564494E-2</v>
      </c>
      <c r="N17" s="64">
        <f t="shared" si="1"/>
        <v>0.32627529157506419</v>
      </c>
      <c r="O17" s="64">
        <f t="shared" si="2"/>
        <v>1.3584574353537531</v>
      </c>
      <c r="P17" s="64">
        <f t="shared" si="3"/>
        <v>22.720926357880707</v>
      </c>
      <c r="Q17" s="64" t="str">
        <f t="shared" si="4"/>
        <v>n/a</v>
      </c>
      <c r="R17" s="60">
        <f t="shared" si="5"/>
        <v>-3.3652116662481135E-2</v>
      </c>
      <c r="S17" s="68">
        <f>'Mar-25'!S17+F17</f>
        <v>291954</v>
      </c>
      <c r="T17" s="68">
        <f>'Mar-25'!T17+G17</f>
        <v>260171</v>
      </c>
      <c r="U17" s="68">
        <f>'Mar-25'!U17+H17</f>
        <v>190403</v>
      </c>
      <c r="V17" s="68">
        <f>'Mar-25'!V17+I17</f>
        <v>96875</v>
      </c>
      <c r="W17" s="68">
        <f>'Mar-25'!W17+J17</f>
        <v>16105</v>
      </c>
      <c r="X17" s="68">
        <f>'Mar-25'!X17+K17</f>
        <v>41113</v>
      </c>
      <c r="Y17" s="68">
        <f>'Mar-25'!Y17+L17</f>
        <v>227705</v>
      </c>
      <c r="Z17" s="64">
        <f t="shared" si="6"/>
        <v>0.12216196270914126</v>
      </c>
      <c r="AA17" s="64">
        <f t="shared" si="7"/>
        <v>0.53334768884944039</v>
      </c>
      <c r="AB17" s="64">
        <f t="shared" si="8"/>
        <v>2.0137187096774194</v>
      </c>
      <c r="AC17" s="64">
        <f t="shared" si="9"/>
        <v>17.128158956845699</v>
      </c>
      <c r="AD17" s="64">
        <f t="shared" si="10"/>
        <v>6.1012575097900905</v>
      </c>
      <c r="AE17" s="60">
        <f t="shared" si="11"/>
        <v>0.2821589337080872</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61</v>
      </c>
      <c r="G19" s="71">
        <v>52</v>
      </c>
      <c r="H19" s="71">
        <v>47</v>
      </c>
      <c r="I19" s="71">
        <v>35</v>
      </c>
      <c r="J19" s="71">
        <v>2</v>
      </c>
      <c r="K19" s="71">
        <v>0</v>
      </c>
      <c r="L19" s="71">
        <v>21</v>
      </c>
      <c r="M19" s="64">
        <f t="shared" ref="M19:M20" si="12">IFERROR(F19/G19-1,"n/a")</f>
        <v>0.17307692307692313</v>
      </c>
      <c r="N19" s="64">
        <f t="shared" ref="N19:N20" si="13">IFERROR(F19/H19-1,"n/a")</f>
        <v>0.2978723404255319</v>
      </c>
      <c r="O19" s="64">
        <f t="shared" ref="O19:O20" si="14">IFERROR(F19/I19-1,"n/a")</f>
        <v>0.74285714285714288</v>
      </c>
      <c r="P19" s="64">
        <f t="shared" ref="P19:P20" si="15">IFERROR(F19/J19-1,"n/a")</f>
        <v>29.5</v>
      </c>
      <c r="Q19" s="64" t="str">
        <f t="shared" ref="Q19:Q20" si="16">IFERROR(F19/K19-1,"n/a")</f>
        <v>n/a</v>
      </c>
      <c r="R19" s="60">
        <f t="shared" ref="R19:R20" si="17">IFERROR(F19/L19-1,"n/a")</f>
        <v>1.9047619047619047</v>
      </c>
      <c r="S19" s="68">
        <f>'Mar-25'!S19+F19</f>
        <v>83</v>
      </c>
      <c r="T19" s="68">
        <f>'Mar-25'!T19+G19</f>
        <v>79</v>
      </c>
      <c r="U19" s="68">
        <f>'Mar-25'!U19+H19</f>
        <v>70</v>
      </c>
      <c r="V19" s="68">
        <f>'Mar-25'!V19+I19</f>
        <v>47</v>
      </c>
      <c r="W19" s="68">
        <f>'Mar-25'!W19+J19</f>
        <v>2</v>
      </c>
      <c r="X19" s="68">
        <f>'Mar-25'!X19+K19</f>
        <v>3</v>
      </c>
      <c r="Y19" s="68">
        <f>'Mar-25'!Y19+L19</f>
        <v>27</v>
      </c>
      <c r="Z19" s="64">
        <f t="shared" ref="Z19:Z20" si="18">IFERROR(S19/T19-1,"n/a")</f>
        <v>5.0632911392405111E-2</v>
      </c>
      <c r="AA19" s="64">
        <f t="shared" ref="AA19:AA20" si="19">IFERROR(S19/U19-1,"n/a")</f>
        <v>0.18571428571428572</v>
      </c>
      <c r="AB19" s="64">
        <f t="shared" ref="AB19:AB20" si="20">IFERROR(S19/V19-1,"n/a")</f>
        <v>0.76595744680851063</v>
      </c>
      <c r="AC19" s="64">
        <f t="shared" ref="AC19:AC20" si="21">IFERROR(S19/W19-1,"n/a")</f>
        <v>40.5</v>
      </c>
      <c r="AD19" s="64">
        <f t="shared" ref="AD19:AD20" si="22">IFERROR(S19/X19-1,"n/a")</f>
        <v>26.666666666666668</v>
      </c>
      <c r="AE19" s="60">
        <f t="shared" ref="AE19:AE20" si="23">IFERROR(S19/Y19-1,"n/a")</f>
        <v>2.074074074074074</v>
      </c>
      <c r="AF19" s="68">
        <v>733</v>
      </c>
      <c r="AG19" s="68">
        <v>708</v>
      </c>
      <c r="AH19" s="68">
        <v>658</v>
      </c>
      <c r="AI19" s="68">
        <v>47</v>
      </c>
      <c r="AJ19" s="68">
        <v>9</v>
      </c>
      <c r="AK19" s="134">
        <v>290</v>
      </c>
      <c r="AL19" s="122"/>
      <c r="AM19" s="122"/>
    </row>
    <row r="20" spans="1:39" s="123" customFormat="1" ht="12.75">
      <c r="A20" s="122"/>
      <c r="B20" s="127"/>
      <c r="C20" s="33"/>
      <c r="D20" s="26" t="s">
        <v>11</v>
      </c>
      <c r="E20" s="32"/>
      <c r="F20" s="71">
        <v>80791</v>
      </c>
      <c r="G20" s="71">
        <v>75571.399999999994</v>
      </c>
      <c r="H20" s="71">
        <v>66302</v>
      </c>
      <c r="I20" s="71">
        <v>32576</v>
      </c>
      <c r="J20" s="71">
        <v>0</v>
      </c>
      <c r="K20" s="71">
        <v>0</v>
      </c>
      <c r="L20" s="71">
        <v>36063</v>
      </c>
      <c r="M20" s="64">
        <f t="shared" si="12"/>
        <v>6.9068457114728643E-2</v>
      </c>
      <c r="N20" s="64">
        <f t="shared" si="13"/>
        <v>0.21853036107508061</v>
      </c>
      <c r="O20" s="64">
        <f t="shared" si="14"/>
        <v>1.4800773575638506</v>
      </c>
      <c r="P20" s="64" t="str">
        <f t="shared" si="15"/>
        <v>n/a</v>
      </c>
      <c r="Q20" s="64" t="str">
        <f t="shared" si="16"/>
        <v>n/a</v>
      </c>
      <c r="R20" s="60">
        <f t="shared" si="17"/>
        <v>1.2402739650056844</v>
      </c>
      <c r="S20" s="68">
        <f>'Mar-25'!S20+F20</f>
        <v>108773</v>
      </c>
      <c r="T20" s="68">
        <f>'Mar-25'!T20+G20</f>
        <v>115312.4</v>
      </c>
      <c r="U20" s="68">
        <f>'Mar-25'!U20+H20</f>
        <v>87148</v>
      </c>
      <c r="V20" s="68">
        <f>'Mar-25'!V20+I20</f>
        <v>35661</v>
      </c>
      <c r="W20" s="68">
        <f>'Mar-25'!W20+J20</f>
        <v>0</v>
      </c>
      <c r="X20" s="68">
        <f>'Mar-25'!X20+K20</f>
        <v>1753</v>
      </c>
      <c r="Y20" s="68">
        <f>'Mar-25'!Y20+L20</f>
        <v>42547</v>
      </c>
      <c r="Z20" s="64">
        <f t="shared" si="18"/>
        <v>-5.6710293082096963E-2</v>
      </c>
      <c r="AA20" s="64">
        <f t="shared" si="19"/>
        <v>0.24814109331252587</v>
      </c>
      <c r="AB20" s="64">
        <f t="shared" si="20"/>
        <v>2.0501948907770395</v>
      </c>
      <c r="AC20" s="64" t="str">
        <f t="shared" si="21"/>
        <v>n/a</v>
      </c>
      <c r="AD20" s="64">
        <f t="shared" si="22"/>
        <v>61.049629207073586</v>
      </c>
      <c r="AE20" s="60">
        <f t="shared" si="23"/>
        <v>1.5565374762027875</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212</v>
      </c>
      <c r="G22" s="71">
        <v>194</v>
      </c>
      <c r="H22" s="71">
        <v>162</v>
      </c>
      <c r="I22" s="71">
        <v>100</v>
      </c>
      <c r="J22" s="71">
        <v>0</v>
      </c>
      <c r="K22" s="71">
        <v>0</v>
      </c>
      <c r="L22" s="71">
        <v>90</v>
      </c>
      <c r="M22" s="64">
        <f t="shared" ref="M22:M23" si="24">IFERROR(F22/G22-1,"n/a")</f>
        <v>9.2783505154639068E-2</v>
      </c>
      <c r="N22" s="64">
        <f t="shared" ref="N22:N23" si="25">IFERROR(F22/H22-1,"n/a")</f>
        <v>0.30864197530864201</v>
      </c>
      <c r="O22" s="64">
        <f t="shared" ref="O22:O23" si="26">IFERROR(F22/I22-1,"n/a")</f>
        <v>1.1200000000000001</v>
      </c>
      <c r="P22" s="64" t="str">
        <f t="shared" ref="P22:P23" si="27">IFERROR(F22/J22-1,"n/a")</f>
        <v>n/a</v>
      </c>
      <c r="Q22" s="64" t="str">
        <f t="shared" ref="Q22:Q23" si="28">IFERROR(F22/K22-1,"n/a")</f>
        <v>n/a</v>
      </c>
      <c r="R22" s="60">
        <f t="shared" ref="R22:R23" si="29">IFERROR(F22/L22-1,"n/a")</f>
        <v>1.3555555555555556</v>
      </c>
      <c r="S22" s="68">
        <f>'Mar-25'!S22+F22</f>
        <v>608</v>
      </c>
      <c r="T22" s="68">
        <f>'Mar-25'!T22+G22</f>
        <v>453</v>
      </c>
      <c r="U22" s="68">
        <f>'Mar-25'!U22+H22</f>
        <v>449</v>
      </c>
      <c r="V22" s="68">
        <f>'Mar-25'!V22+I22</f>
        <v>153</v>
      </c>
      <c r="W22" s="68">
        <f>'Mar-25'!W22+J22</f>
        <v>0</v>
      </c>
      <c r="X22" s="68">
        <f>'Mar-25'!X22+K22</f>
        <v>43</v>
      </c>
      <c r="Y22" s="68">
        <f>'Mar-25'!Y22+L22</f>
        <v>179</v>
      </c>
      <c r="Z22" s="64">
        <f t="shared" ref="Z22:Z23" si="30">IFERROR(S22/T22-1,"n/a")</f>
        <v>0.34216335540838849</v>
      </c>
      <c r="AA22" s="64">
        <f t="shared" ref="AA22:AA23" si="31">IFERROR(S22/U22-1,"n/a")</f>
        <v>0.35412026726057899</v>
      </c>
      <c r="AB22" s="64">
        <f t="shared" ref="AB22:AB23" si="32">IFERROR(S22/V22-1,"n/a")</f>
        <v>2.9738562091503269</v>
      </c>
      <c r="AC22" s="64" t="str">
        <f t="shared" ref="AC22:AC23" si="33">IFERROR(S22/W22-1,"n/a")</f>
        <v>n/a</v>
      </c>
      <c r="AD22" s="64">
        <f t="shared" ref="AD22:AD23" si="34">IFERROR(S22/X22-1,"n/a")</f>
        <v>13.13953488372093</v>
      </c>
      <c r="AE22" s="60">
        <f t="shared" ref="AE22:AE23" si="35">IFERROR(S22/Y22-1,"n/a")</f>
        <v>2.3966480446927374</v>
      </c>
      <c r="AF22" s="68">
        <v>1651</v>
      </c>
      <c r="AG22" s="68">
        <v>1500</v>
      </c>
      <c r="AH22" s="68">
        <v>895</v>
      </c>
      <c r="AI22" s="68">
        <v>283</v>
      </c>
      <c r="AJ22" s="68">
        <v>43</v>
      </c>
      <c r="AK22" s="134">
        <v>827</v>
      </c>
      <c r="AL22" s="122"/>
      <c r="AM22" s="122"/>
    </row>
    <row r="23" spans="1:39" s="123" customFormat="1" ht="12.75">
      <c r="A23" s="122"/>
      <c r="B23" s="127"/>
      <c r="C23" s="33"/>
      <c r="D23" s="26" t="s">
        <v>11</v>
      </c>
      <c r="E23" s="32"/>
      <c r="F23" s="71">
        <v>482739</v>
      </c>
      <c r="G23" s="71">
        <v>433106</v>
      </c>
      <c r="H23" s="71">
        <v>352703</v>
      </c>
      <c r="I23" s="71">
        <v>115809</v>
      </c>
      <c r="J23" s="71">
        <v>0</v>
      </c>
      <c r="K23" s="71">
        <v>0</v>
      </c>
      <c r="L23" s="71">
        <v>212740</v>
      </c>
      <c r="M23" s="64">
        <f t="shared" si="24"/>
        <v>0.11459781208295428</v>
      </c>
      <c r="N23" s="64">
        <f t="shared" si="25"/>
        <v>0.36868413367620922</v>
      </c>
      <c r="O23" s="64">
        <f t="shared" si="26"/>
        <v>3.1684066005232756</v>
      </c>
      <c r="P23" s="64" t="str">
        <f t="shared" si="27"/>
        <v>n/a</v>
      </c>
      <c r="Q23" s="64" t="str">
        <f t="shared" si="28"/>
        <v>n/a</v>
      </c>
      <c r="R23" s="60">
        <f t="shared" si="29"/>
        <v>1.2691501363166307</v>
      </c>
      <c r="S23" s="68">
        <f>'Mar-25'!S23+F23</f>
        <v>1596730</v>
      </c>
      <c r="T23" s="68">
        <f>'Mar-25'!T23+G23</f>
        <v>1346161</v>
      </c>
      <c r="U23" s="68">
        <f>'Mar-25'!U23+H23</f>
        <v>1188977</v>
      </c>
      <c r="V23" s="68">
        <f>'Mar-25'!V23+I23</f>
        <v>184263</v>
      </c>
      <c r="W23" s="68">
        <f>'Mar-25'!W23+J23</f>
        <v>0</v>
      </c>
      <c r="X23" s="68">
        <f>'Mar-25'!X23+K23</f>
        <v>140552</v>
      </c>
      <c r="Y23" s="68">
        <f>'Mar-25'!Y23+L23</f>
        <v>464640</v>
      </c>
      <c r="Z23" s="64">
        <f t="shared" si="30"/>
        <v>0.18613598224878003</v>
      </c>
      <c r="AA23" s="64">
        <f t="shared" si="31"/>
        <v>0.34294439673769972</v>
      </c>
      <c r="AB23" s="64">
        <f t="shared" si="32"/>
        <v>7.665494429158322</v>
      </c>
      <c r="AC23" s="64" t="str">
        <f t="shared" si="33"/>
        <v>n/a</v>
      </c>
      <c r="AD23" s="64">
        <f t="shared" si="34"/>
        <v>10.360421765609882</v>
      </c>
      <c r="AE23" s="60">
        <f t="shared" si="35"/>
        <v>2.4364884641873279</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1</v>
      </c>
      <c r="G25" s="71">
        <v>1</v>
      </c>
      <c r="H25" s="71">
        <v>1</v>
      </c>
      <c r="I25" s="71">
        <v>1</v>
      </c>
      <c r="J25" s="71">
        <v>0</v>
      </c>
      <c r="K25" s="71">
        <v>0</v>
      </c>
      <c r="L25" s="71">
        <v>1</v>
      </c>
      <c r="M25" s="64">
        <f t="shared" ref="M25:M28" si="36">IFERROR(F25/G25-1,"n/a")</f>
        <v>0</v>
      </c>
      <c r="N25" s="64">
        <f t="shared" ref="N25:N28" si="37">IFERROR(F25/H25-1,"n/a")</f>
        <v>0</v>
      </c>
      <c r="O25" s="64">
        <f t="shared" ref="O25:O28" si="38">IFERROR(F25/I25-1,"n/a")</f>
        <v>0</v>
      </c>
      <c r="P25" s="64" t="str">
        <f t="shared" ref="P25:P28" si="39">IFERROR(F25/J25-1,"n/a")</f>
        <v>n/a</v>
      </c>
      <c r="Q25" s="64" t="str">
        <f t="shared" ref="Q25:Q28" si="40">IFERROR(F25/K25-1,"n/a")</f>
        <v>n/a</v>
      </c>
      <c r="R25" s="60">
        <f t="shared" ref="R25:R28" si="41">IFERROR(F25/L25-1,"n/a")</f>
        <v>0</v>
      </c>
      <c r="S25" s="68">
        <f>'Mar-25'!S25+F25</f>
        <v>1</v>
      </c>
      <c r="T25" s="68">
        <f>'Mar-25'!T25+G25</f>
        <v>1</v>
      </c>
      <c r="U25" s="68">
        <f>'Mar-25'!U25+H25</f>
        <v>1</v>
      </c>
      <c r="V25" s="68">
        <f>'Mar-25'!V25+I25</f>
        <v>1</v>
      </c>
      <c r="W25" s="68">
        <f>'Mar-25'!W25+J25</f>
        <v>0</v>
      </c>
      <c r="X25" s="68">
        <f>'Mar-25'!X25+K25</f>
        <v>0</v>
      </c>
      <c r="Y25" s="68">
        <f>'Mar-25'!Y25+L25</f>
        <v>1</v>
      </c>
      <c r="Z25" s="64">
        <f t="shared" ref="Z25:Z28" si="42">IFERROR(S25/T25-1,"n/a")</f>
        <v>0</v>
      </c>
      <c r="AA25" s="64">
        <f t="shared" ref="AA25:AA28" si="43">IFERROR(S25/U25-1,"n/a")</f>
        <v>0</v>
      </c>
      <c r="AB25" s="64">
        <f t="shared" ref="AB25:AB28" si="44">IFERROR(S25/V25-1,"n/a")</f>
        <v>0</v>
      </c>
      <c r="AC25" s="64" t="str">
        <f t="shared" ref="AC25:AC28" si="45">IFERROR(S25/W25-1,"n/a")</f>
        <v>n/a</v>
      </c>
      <c r="AD25" s="64" t="str">
        <f t="shared" ref="AD25:AD28" si="46">IFERROR(S25/X25-1,"n/a")</f>
        <v>n/a</v>
      </c>
      <c r="AE25" s="60">
        <f t="shared" ref="AE25:AE28" si="47">IFERROR(S25/Y25-1,"n/a")</f>
        <v>0</v>
      </c>
      <c r="AF25" s="68">
        <v>14</v>
      </c>
      <c r="AG25" s="68">
        <v>21</v>
      </c>
      <c r="AH25" s="68">
        <v>9</v>
      </c>
      <c r="AI25" s="68">
        <v>0</v>
      </c>
      <c r="AJ25" s="68">
        <v>0</v>
      </c>
      <c r="AK25" s="134">
        <v>16</v>
      </c>
      <c r="AL25" s="122"/>
      <c r="AM25" s="122"/>
    </row>
    <row r="26" spans="1:39" s="123" customFormat="1" ht="12.75">
      <c r="A26" s="122"/>
      <c r="B26" s="127"/>
      <c r="C26" s="33"/>
      <c r="D26" s="26" t="s">
        <v>11</v>
      </c>
      <c r="E26" s="32"/>
      <c r="F26" s="71">
        <v>4387</v>
      </c>
      <c r="G26" s="71">
        <v>4131</v>
      </c>
      <c r="H26" s="71">
        <v>2258</v>
      </c>
      <c r="I26" s="71">
        <v>925</v>
      </c>
      <c r="J26" s="71">
        <v>0</v>
      </c>
      <c r="K26" s="71">
        <v>0</v>
      </c>
      <c r="L26" s="71">
        <v>1059</v>
      </c>
      <c r="M26" s="64">
        <f t="shared" si="36"/>
        <v>6.1970467199225387E-2</v>
      </c>
      <c r="N26" s="64">
        <f t="shared" si="37"/>
        <v>0.94286979627989376</v>
      </c>
      <c r="O26" s="64">
        <f t="shared" si="38"/>
        <v>3.7427027027027027</v>
      </c>
      <c r="P26" s="64" t="str">
        <f t="shared" si="39"/>
        <v>n/a</v>
      </c>
      <c r="Q26" s="64" t="str">
        <f t="shared" si="40"/>
        <v>n/a</v>
      </c>
      <c r="R26" s="60">
        <f t="shared" si="41"/>
        <v>3.142587346553352</v>
      </c>
      <c r="S26" s="68">
        <f>'Mar-25'!S26+F26</f>
        <v>4387</v>
      </c>
      <c r="T26" s="68">
        <f>'Mar-25'!T26+G26</f>
        <v>4131</v>
      </c>
      <c r="U26" s="68">
        <f>'Mar-25'!U26+H26</f>
        <v>2258</v>
      </c>
      <c r="V26" s="68">
        <f>'Mar-25'!V26+I26</f>
        <v>925</v>
      </c>
      <c r="W26" s="68">
        <f>'Mar-25'!W26+J26</f>
        <v>0</v>
      </c>
      <c r="X26" s="68">
        <f>'Mar-25'!X26+K26</f>
        <v>0</v>
      </c>
      <c r="Y26" s="68">
        <f>'Mar-25'!Y26+L26</f>
        <v>1059</v>
      </c>
      <c r="Z26" s="64">
        <f t="shared" si="42"/>
        <v>6.1970467199225387E-2</v>
      </c>
      <c r="AA26" s="64">
        <f t="shared" si="43"/>
        <v>0.94286979627989376</v>
      </c>
      <c r="AB26" s="64">
        <f t="shared" si="44"/>
        <v>3.7427027027027027</v>
      </c>
      <c r="AC26" s="64" t="str">
        <f t="shared" si="45"/>
        <v>n/a</v>
      </c>
      <c r="AD26" s="64" t="str">
        <f t="shared" si="46"/>
        <v>n/a</v>
      </c>
      <c r="AE26" s="60">
        <f t="shared" si="47"/>
        <v>3.142587346553352</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566</v>
      </c>
      <c r="G27" s="75">
        <f t="shared" si="48"/>
        <v>489</v>
      </c>
      <c r="H27" s="75">
        <f t="shared" si="48"/>
        <v>385</v>
      </c>
      <c r="I27" s="75">
        <f t="shared" si="48"/>
        <v>328</v>
      </c>
      <c r="J27" s="75">
        <f t="shared" si="48"/>
        <v>7</v>
      </c>
      <c r="K27" s="75">
        <f t="shared" si="48"/>
        <v>42</v>
      </c>
      <c r="L27" s="75">
        <f t="shared" si="48"/>
        <v>292</v>
      </c>
      <c r="M27" s="66">
        <f t="shared" si="36"/>
        <v>0.15746421267893651</v>
      </c>
      <c r="N27" s="66">
        <f t="shared" si="37"/>
        <v>0.47012987012987018</v>
      </c>
      <c r="O27" s="66">
        <f t="shared" si="38"/>
        <v>0.72560975609756095</v>
      </c>
      <c r="P27" s="66">
        <f t="shared" si="39"/>
        <v>79.857142857142861</v>
      </c>
      <c r="Q27" s="66">
        <f t="shared" si="40"/>
        <v>12.476190476190476</v>
      </c>
      <c r="R27" s="62">
        <f t="shared" si="41"/>
        <v>0.93835616438356162</v>
      </c>
      <c r="S27" s="75">
        <f t="shared" ref="S27:Y28" si="49">S13+S16+S19+S22+S25</f>
        <v>2134</v>
      </c>
      <c r="T27" s="75">
        <f t="shared" si="49"/>
        <v>1514</v>
      </c>
      <c r="U27" s="75">
        <f t="shared" si="49"/>
        <v>1252</v>
      </c>
      <c r="V27" s="75">
        <f t="shared" si="49"/>
        <v>959</v>
      </c>
      <c r="W27" s="75">
        <f t="shared" si="49"/>
        <v>19</v>
      </c>
      <c r="X27" s="75">
        <f t="shared" si="49"/>
        <v>607</v>
      </c>
      <c r="Y27" s="75">
        <f t="shared" si="49"/>
        <v>926</v>
      </c>
      <c r="Z27" s="66">
        <f t="shared" si="42"/>
        <v>0.40951122853368571</v>
      </c>
      <c r="AA27" s="66">
        <f t="shared" si="43"/>
        <v>0.70447284345047922</v>
      </c>
      <c r="AB27" s="66">
        <f t="shared" si="44"/>
        <v>1.2252346193952035</v>
      </c>
      <c r="AC27" s="66">
        <f t="shared" si="45"/>
        <v>111.31578947368421</v>
      </c>
      <c r="AD27" s="66">
        <f t="shared" si="46"/>
        <v>2.5156507413509059</v>
      </c>
      <c r="AE27" s="62">
        <f t="shared" si="47"/>
        <v>1.3045356371490282</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1480880</v>
      </c>
      <c r="G28" s="76">
        <f t="shared" si="48"/>
        <v>1302119.3999999999</v>
      </c>
      <c r="H28" s="76">
        <f t="shared" si="48"/>
        <v>978362</v>
      </c>
      <c r="I28" s="76">
        <f t="shared" si="48"/>
        <v>507465</v>
      </c>
      <c r="J28" s="76">
        <f t="shared" si="48"/>
        <v>6002</v>
      </c>
      <c r="K28" s="76">
        <f t="shared" si="48"/>
        <v>0</v>
      </c>
      <c r="L28" s="76">
        <f t="shared" si="48"/>
        <v>791238</v>
      </c>
      <c r="M28" s="67">
        <f t="shared" si="36"/>
        <v>0.13728433813366125</v>
      </c>
      <c r="N28" s="67">
        <f t="shared" si="37"/>
        <v>0.5136319685351638</v>
      </c>
      <c r="O28" s="67">
        <f t="shared" si="38"/>
        <v>1.9181914023627247</v>
      </c>
      <c r="P28" s="67">
        <f t="shared" si="39"/>
        <v>245.73108963678774</v>
      </c>
      <c r="Q28" s="67" t="str">
        <f t="shared" si="40"/>
        <v>n/a</v>
      </c>
      <c r="R28" s="63">
        <f t="shared" si="41"/>
        <v>0.87159868459300482</v>
      </c>
      <c r="S28" s="76">
        <f t="shared" si="49"/>
        <v>5698015</v>
      </c>
      <c r="T28" s="76">
        <f t="shared" si="49"/>
        <v>4539313.4000000004</v>
      </c>
      <c r="U28" s="76">
        <f t="shared" si="49"/>
        <v>3456721</v>
      </c>
      <c r="V28" s="76">
        <f t="shared" si="49"/>
        <v>1375170</v>
      </c>
      <c r="W28" s="76">
        <f t="shared" si="49"/>
        <v>16105</v>
      </c>
      <c r="X28" s="76">
        <f t="shared" si="49"/>
        <v>1276302</v>
      </c>
      <c r="Y28" s="76">
        <f t="shared" si="49"/>
        <v>2581100</v>
      </c>
      <c r="Z28" s="67">
        <f t="shared" si="42"/>
        <v>0.25525922048034833</v>
      </c>
      <c r="AA28" s="67">
        <f t="shared" si="43"/>
        <v>0.64838730114463972</v>
      </c>
      <c r="AB28" s="67">
        <f t="shared" si="44"/>
        <v>3.1434986219885541</v>
      </c>
      <c r="AC28" s="67">
        <f t="shared" si="45"/>
        <v>352.80409810617823</v>
      </c>
      <c r="AD28" s="67">
        <f t="shared" si="46"/>
        <v>3.4644723584230066</v>
      </c>
      <c r="AE28" s="63">
        <f t="shared" si="47"/>
        <v>1.2075917244585641</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'Mar-25'!S27+'Mar-25'!S28+'Apr-25'!F27+'Apr-25'!F28-'Apr-25'!S27-'Apr-25'!S28</f>
        <v>0</v>
      </c>
      <c r="T30" s="128">
        <f>'Mar-25'!T27+'Mar-25'!T28+'Apr-25'!G27+'Apr-25'!G28-'Apr-25'!T27-'Apr-25'!T28</f>
        <v>0</v>
      </c>
      <c r="U30" s="128">
        <f>'Mar-25'!U27+'Mar-25'!U28+'Apr-25'!H27+'Apr-25'!H28-'Apr-25'!U27-'Apr-25'!U28</f>
        <v>0</v>
      </c>
      <c r="V30" s="128">
        <f>'Mar-25'!V27+'Mar-25'!V28+'Apr-25'!I27+'Apr-25'!I28-'Apr-25'!V27-'Apr-25'!V28</f>
        <v>0</v>
      </c>
      <c r="W30" s="128">
        <f>'Mar-25'!W27+'Mar-25'!W28+'Apr-25'!J27+'Apr-25'!J28-'Apr-25'!W27-'Apr-25'!W28</f>
        <v>0</v>
      </c>
      <c r="X30" s="128">
        <f>'Mar-25'!X27+'Mar-25'!X28+'Apr-25'!K27+'Apr-25'!K28-'Apr-25'!X27-'Apr-25'!X28</f>
        <v>0</v>
      </c>
      <c r="Y30" s="128">
        <f>'Mar-25'!Y27+'Mar-25'!Y28+'Apr-25'!L27+'Apr-25'!L28-'Apr-25'!Y27-'Apr-25'!Y28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April</v>
      </c>
      <c r="G33" s="170"/>
      <c r="H33" s="170"/>
      <c r="I33" s="170"/>
      <c r="J33" s="170"/>
      <c r="K33" s="170"/>
      <c r="L33" s="170"/>
      <c r="M33" s="170"/>
      <c r="N33" s="170"/>
      <c r="O33" s="170"/>
      <c r="P33" s="170"/>
      <c r="Q33" s="170"/>
      <c r="R33" s="171"/>
      <c r="S33" s="176" t="str">
        <f>"April to "&amp;D4&amp;" (YTD)"</f>
        <v>April to April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2"/>
      <c r="AA35" s="53" t="s">
        <v>129</v>
      </c>
      <c r="AB35" s="53" t="s">
        <v>140</v>
      </c>
      <c r="AC35" s="53" t="s">
        <v>141</v>
      </c>
      <c r="AD35" s="53" t="s">
        <v>142</v>
      </c>
      <c r="AE35" s="57" t="s">
        <v>143</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230</v>
      </c>
      <c r="G37" s="74">
        <f t="shared" ref="G37:L38" si="51">G13</f>
        <v>187</v>
      </c>
      <c r="H37" s="74">
        <f t="shared" si="51"/>
        <v>129</v>
      </c>
      <c r="I37" s="74">
        <f t="shared" si="51"/>
        <v>136</v>
      </c>
      <c r="J37" s="74">
        <f t="shared" si="51"/>
        <v>0</v>
      </c>
      <c r="K37" s="74">
        <f t="shared" si="51"/>
        <v>42</v>
      </c>
      <c r="L37" s="74">
        <f t="shared" si="51"/>
        <v>129</v>
      </c>
      <c r="M37" s="64">
        <f t="shared" ref="M37:M38" si="52">IFERROR(F37/G37-1,"n/a")</f>
        <v>0.22994652406417115</v>
      </c>
      <c r="N37" s="64">
        <f t="shared" ref="N37:N38" si="53">IFERROR(F37/H37-1,"n/a")</f>
        <v>0.78294573643410859</v>
      </c>
      <c r="O37" s="64">
        <f t="shared" ref="O37:O38" si="54">IFERROR(F37/I37-1,"n/a")</f>
        <v>0.69117647058823528</v>
      </c>
      <c r="P37" s="64" t="str">
        <f t="shared" ref="P37:P38" si="55">IFERROR(F37/J37-1,"n/a")</f>
        <v>n/a</v>
      </c>
      <c r="Q37" s="64">
        <f t="shared" ref="Q37:Q38" si="56">IFERROR(F37/K37-1,"n/a")</f>
        <v>4.4761904761904763</v>
      </c>
      <c r="R37" s="60">
        <f t="shared" ref="R37:R38" si="57">IFERROR(F37/L37-1,"n/a")</f>
        <v>0.78294573643410859</v>
      </c>
      <c r="S37" s="74">
        <f t="shared" ref="S37:Y38" si="58">F37</f>
        <v>230</v>
      </c>
      <c r="T37" s="74">
        <f t="shared" si="58"/>
        <v>187</v>
      </c>
      <c r="U37" s="74">
        <f t="shared" si="58"/>
        <v>129</v>
      </c>
      <c r="V37" s="74">
        <f t="shared" si="58"/>
        <v>136</v>
      </c>
      <c r="W37" s="74">
        <f t="shared" si="58"/>
        <v>0</v>
      </c>
      <c r="X37" s="74">
        <f t="shared" si="58"/>
        <v>42</v>
      </c>
      <c r="Y37" s="74">
        <f t="shared" si="58"/>
        <v>129</v>
      </c>
      <c r="Z37" s="162"/>
      <c r="AA37" s="147">
        <f>IFERROR(T37/U37-1,"n/a")</f>
        <v>0.4496124031007751</v>
      </c>
      <c r="AB37" s="147">
        <f>IFERROR(T37/V37-1,"n/a")</f>
        <v>0.375</v>
      </c>
      <c r="AC37" s="147" t="str">
        <f>IFERROR(T37/W37-1,"n/a")</f>
        <v>n/a</v>
      </c>
      <c r="AD37" s="147">
        <f>IFERROR(T37/X37-1,"n/a")</f>
        <v>3.4523809523809526</v>
      </c>
      <c r="AE37" s="158">
        <f>IFERROR(T37/Y37-1,"n/a")</f>
        <v>0.4496124031007751</v>
      </c>
      <c r="AF37" s="154">
        <v>2874</v>
      </c>
      <c r="AG37" s="89">
        <v>1802</v>
      </c>
      <c r="AH37" s="89">
        <v>1486</v>
      </c>
      <c r="AI37" s="89">
        <v>1052</v>
      </c>
      <c r="AJ37" s="70">
        <v>551</v>
      </c>
      <c r="AK37" s="78">
        <v>1584</v>
      </c>
      <c r="AM37" s="122"/>
    </row>
    <row r="38" spans="1:39" s="123" customFormat="1" ht="11.25">
      <c r="A38" s="122"/>
      <c r="B38" s="122"/>
      <c r="C38" s="33"/>
      <c r="D38" s="26" t="s">
        <v>11</v>
      </c>
      <c r="E38" s="32"/>
      <c r="F38" s="74">
        <f>F14</f>
        <v>770590</v>
      </c>
      <c r="G38" s="74">
        <f t="shared" si="51"/>
        <v>659714</v>
      </c>
      <c r="H38" s="74">
        <f t="shared" si="51"/>
        <v>449751</v>
      </c>
      <c r="I38" s="74">
        <f t="shared" si="51"/>
        <v>297788</v>
      </c>
      <c r="J38" s="74">
        <f t="shared" si="51"/>
        <v>0</v>
      </c>
      <c r="K38" s="74">
        <f t="shared" si="51"/>
        <v>0</v>
      </c>
      <c r="L38" s="74">
        <f t="shared" si="51"/>
        <v>394045</v>
      </c>
      <c r="M38" s="64">
        <f t="shared" si="52"/>
        <v>0.16806676832688106</v>
      </c>
      <c r="N38" s="64">
        <f t="shared" si="53"/>
        <v>0.71337028711442563</v>
      </c>
      <c r="O38" s="64">
        <f t="shared" si="54"/>
        <v>1.5877134068531977</v>
      </c>
      <c r="P38" s="64" t="str">
        <f t="shared" si="55"/>
        <v>n/a</v>
      </c>
      <c r="Q38" s="64" t="str">
        <f t="shared" si="56"/>
        <v>n/a</v>
      </c>
      <c r="R38" s="60">
        <f t="shared" si="57"/>
        <v>0.95558882868707884</v>
      </c>
      <c r="S38" s="74">
        <f t="shared" si="58"/>
        <v>770590</v>
      </c>
      <c r="T38" s="74">
        <f t="shared" si="58"/>
        <v>659714</v>
      </c>
      <c r="U38" s="74">
        <f t="shared" si="58"/>
        <v>449751</v>
      </c>
      <c r="V38" s="74">
        <f t="shared" si="58"/>
        <v>297788</v>
      </c>
      <c r="W38" s="74">
        <f t="shared" si="58"/>
        <v>0</v>
      </c>
      <c r="X38" s="74">
        <f t="shared" si="58"/>
        <v>0</v>
      </c>
      <c r="Y38" s="74">
        <f t="shared" si="58"/>
        <v>394045</v>
      </c>
      <c r="Z38" s="162"/>
      <c r="AA38" s="147">
        <f>IFERROR(T38/U38-1,"n/a")</f>
        <v>0.46684276410725056</v>
      </c>
      <c r="AB38" s="147">
        <f>IFERROR(T38/V38-1,"n/a")</f>
        <v>1.2153814122798772</v>
      </c>
      <c r="AC38" s="147" t="str">
        <f>IFERROR(T38/W38-1,"n/a")</f>
        <v>n/a</v>
      </c>
      <c r="AD38" s="147" t="str">
        <f>IFERROR(T38/X38-1,"n/a")</f>
        <v>n/a</v>
      </c>
      <c r="AE38" s="158">
        <f>IFERROR(T38/Y38-1,"n/a")</f>
        <v>0.67420979837328221</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26"/>
      <c r="T39" s="26"/>
      <c r="U39" s="26"/>
      <c r="V39" s="26"/>
      <c r="W39" s="26"/>
      <c r="X39" s="26"/>
      <c r="Y39" s="26"/>
      <c r="Z39" s="146"/>
      <c r="AA39" s="148"/>
      <c r="AB39" s="148"/>
      <c r="AC39" s="148"/>
      <c r="AD39" s="148"/>
      <c r="AE39" s="159"/>
      <c r="AF39" s="44"/>
      <c r="AG39" s="90"/>
      <c r="AH39" s="90"/>
      <c r="AI39" s="90"/>
      <c r="AJ39" s="44"/>
      <c r="AK39" s="79"/>
      <c r="AM39" s="122"/>
    </row>
    <row r="40" spans="1:39" s="123" customFormat="1" ht="11.25">
      <c r="A40" s="122"/>
      <c r="B40" s="122"/>
      <c r="C40" s="33"/>
      <c r="D40" s="26" t="s">
        <v>5</v>
      </c>
      <c r="E40" s="32"/>
      <c r="F40" s="74">
        <f t="shared" ref="F40:L41" si="59">F16</f>
        <v>62</v>
      </c>
      <c r="G40" s="74">
        <f t="shared" si="59"/>
        <v>55</v>
      </c>
      <c r="H40" s="74">
        <f t="shared" si="59"/>
        <v>46</v>
      </c>
      <c r="I40" s="74">
        <f t="shared" si="59"/>
        <v>56</v>
      </c>
      <c r="J40" s="74">
        <f t="shared" si="59"/>
        <v>5</v>
      </c>
      <c r="K40" s="74">
        <f t="shared" si="59"/>
        <v>0</v>
      </c>
      <c r="L40" s="74">
        <f t="shared" si="59"/>
        <v>51</v>
      </c>
      <c r="M40" s="64">
        <f t="shared" ref="M40:M41" si="60">IFERROR(F40/G40-1,"n/a")</f>
        <v>0.1272727272727272</v>
      </c>
      <c r="N40" s="64">
        <f t="shared" ref="N40:N41" si="61">IFERROR(F40/H40-1,"n/a")</f>
        <v>0.34782608695652173</v>
      </c>
      <c r="O40" s="64">
        <f t="shared" ref="O40:O41" si="62">IFERROR(F40/I40-1,"n/a")</f>
        <v>0.10714285714285721</v>
      </c>
      <c r="P40" s="64">
        <f t="shared" ref="P40:P41" si="63">IFERROR(F40/J40-1,"n/a")</f>
        <v>11.4</v>
      </c>
      <c r="Q40" s="64" t="str">
        <f t="shared" ref="Q40:Q41" si="64">IFERROR(F40/K40-1,"n/a")</f>
        <v>n/a</v>
      </c>
      <c r="R40" s="60">
        <f t="shared" ref="R40:R41" si="65">IFERROR(F40/L40-1,"n/a")</f>
        <v>0.21568627450980382</v>
      </c>
      <c r="S40" s="74">
        <f t="shared" ref="S40:S41" si="66">F40</f>
        <v>62</v>
      </c>
      <c r="T40" s="74">
        <f t="shared" ref="T40:Y41" si="67">G40</f>
        <v>55</v>
      </c>
      <c r="U40" s="74">
        <f t="shared" si="67"/>
        <v>46</v>
      </c>
      <c r="V40" s="74">
        <f t="shared" si="67"/>
        <v>56</v>
      </c>
      <c r="W40" s="74">
        <f t="shared" si="67"/>
        <v>5</v>
      </c>
      <c r="X40" s="74">
        <f t="shared" si="67"/>
        <v>0</v>
      </c>
      <c r="Y40" s="74">
        <f t="shared" si="67"/>
        <v>51</v>
      </c>
      <c r="Z40" s="162"/>
      <c r="AA40" s="147">
        <f t="shared" ref="AA40:AA41" si="68">IFERROR(T40/U40-1,"n/a")</f>
        <v>0.19565217391304346</v>
      </c>
      <c r="AB40" s="147">
        <f t="shared" ref="AB40:AB41" si="69">IFERROR(T40/V40-1,"n/a")</f>
        <v>-1.7857142857142905E-2</v>
      </c>
      <c r="AC40" s="147">
        <f t="shared" ref="AC40:AC41" si="70">IFERROR(T40/W40-1,"n/a")</f>
        <v>10</v>
      </c>
      <c r="AD40" s="147" t="str">
        <f t="shared" ref="AD40:AD41" si="71">IFERROR(T40/X40-1,"n/a")</f>
        <v>n/a</v>
      </c>
      <c r="AE40" s="158">
        <f t="shared" ref="AE40:AE41" si="72">IFERROR(T40/Y40-1,"n/a")</f>
        <v>7.8431372549019551E-2</v>
      </c>
      <c r="AF40" s="154">
        <v>817</v>
      </c>
      <c r="AG40" s="89">
        <v>583</v>
      </c>
      <c r="AH40" s="89">
        <v>563</v>
      </c>
      <c r="AI40" s="89">
        <v>226</v>
      </c>
      <c r="AJ40" s="70">
        <v>66</v>
      </c>
      <c r="AK40" s="78">
        <v>573</v>
      </c>
      <c r="AM40" s="122"/>
    </row>
    <row r="41" spans="1:39" s="123" customFormat="1" ht="11.25">
      <c r="A41" s="122"/>
      <c r="B41" s="122"/>
      <c r="C41" s="33"/>
      <c r="D41" s="26" t="s">
        <v>11</v>
      </c>
      <c r="E41" s="32"/>
      <c r="F41" s="74">
        <f t="shared" si="59"/>
        <v>142373</v>
      </c>
      <c r="G41" s="74">
        <f t="shared" si="59"/>
        <v>129597</v>
      </c>
      <c r="H41" s="74">
        <f t="shared" si="59"/>
        <v>107348</v>
      </c>
      <c r="I41" s="74">
        <f t="shared" si="59"/>
        <v>60367</v>
      </c>
      <c r="J41" s="74">
        <f t="shared" si="59"/>
        <v>6002</v>
      </c>
      <c r="K41" s="74">
        <f t="shared" si="59"/>
        <v>0</v>
      </c>
      <c r="L41" s="74">
        <f t="shared" si="59"/>
        <v>147331</v>
      </c>
      <c r="M41" s="64">
        <f t="shared" si="60"/>
        <v>9.8582528916564494E-2</v>
      </c>
      <c r="N41" s="64">
        <f t="shared" si="61"/>
        <v>0.32627529157506419</v>
      </c>
      <c r="O41" s="64">
        <f t="shared" si="62"/>
        <v>1.3584574353537531</v>
      </c>
      <c r="P41" s="64">
        <f t="shared" si="63"/>
        <v>22.720926357880707</v>
      </c>
      <c r="Q41" s="64" t="str">
        <f t="shared" si="64"/>
        <v>n/a</v>
      </c>
      <c r="R41" s="60">
        <f t="shared" si="65"/>
        <v>-3.3652116662481135E-2</v>
      </c>
      <c r="S41" s="74">
        <f t="shared" si="66"/>
        <v>142373</v>
      </c>
      <c r="T41" s="74">
        <f t="shared" si="67"/>
        <v>129597</v>
      </c>
      <c r="U41" s="74">
        <f t="shared" si="67"/>
        <v>107348</v>
      </c>
      <c r="V41" s="74">
        <f t="shared" si="67"/>
        <v>60367</v>
      </c>
      <c r="W41" s="74">
        <f t="shared" si="67"/>
        <v>6002</v>
      </c>
      <c r="X41" s="74">
        <f t="shared" si="67"/>
        <v>0</v>
      </c>
      <c r="Y41" s="74">
        <f t="shared" si="67"/>
        <v>147331</v>
      </c>
      <c r="Z41" s="162"/>
      <c r="AA41" s="147">
        <f t="shared" si="68"/>
        <v>0.2072604985654134</v>
      </c>
      <c r="AB41" s="147">
        <f t="shared" si="69"/>
        <v>1.1468186260705351</v>
      </c>
      <c r="AC41" s="147">
        <f t="shared" si="70"/>
        <v>20.592302565811398</v>
      </c>
      <c r="AD41" s="147" t="str">
        <f t="shared" si="71"/>
        <v>n/a</v>
      </c>
      <c r="AE41" s="158">
        <f t="shared" si="72"/>
        <v>-0.1203684221243323</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110"/>
      <c r="AA42" s="147"/>
      <c r="AB42" s="147"/>
      <c r="AC42" s="147"/>
      <c r="AD42" s="147"/>
      <c r="AE42" s="158"/>
      <c r="AF42" s="155"/>
      <c r="AG42" s="90"/>
      <c r="AH42" s="90"/>
      <c r="AI42" s="90"/>
      <c r="AJ42" s="44"/>
      <c r="AK42" s="79"/>
      <c r="AM42" s="122"/>
    </row>
    <row r="43" spans="1:39" s="123" customFormat="1" ht="11.25">
      <c r="A43" s="122"/>
      <c r="B43" s="122"/>
      <c r="C43" s="33"/>
      <c r="D43" s="26" t="s">
        <v>5</v>
      </c>
      <c r="E43" s="32"/>
      <c r="F43" s="74">
        <f>F19</f>
        <v>61</v>
      </c>
      <c r="G43" s="74">
        <f t="shared" ref="G43:L44" si="73">G19</f>
        <v>52</v>
      </c>
      <c r="H43" s="74">
        <f t="shared" si="73"/>
        <v>47</v>
      </c>
      <c r="I43" s="74">
        <f t="shared" si="73"/>
        <v>35</v>
      </c>
      <c r="J43" s="74">
        <f t="shared" si="73"/>
        <v>2</v>
      </c>
      <c r="K43" s="74">
        <f t="shared" si="73"/>
        <v>0</v>
      </c>
      <c r="L43" s="74">
        <f t="shared" si="73"/>
        <v>21</v>
      </c>
      <c r="M43" s="64">
        <f t="shared" ref="M43:M44" si="74">IFERROR(F43/G43-1,"n/a")</f>
        <v>0.17307692307692313</v>
      </c>
      <c r="N43" s="64">
        <f t="shared" ref="N43:N44" si="75">IFERROR(F43/H43-1,"n/a")</f>
        <v>0.2978723404255319</v>
      </c>
      <c r="O43" s="64">
        <f t="shared" ref="O43:O44" si="76">IFERROR(F43/I43-1,"n/a")</f>
        <v>0.74285714285714288</v>
      </c>
      <c r="P43" s="64">
        <f t="shared" ref="P43:P44" si="77">IFERROR(F43/J43-1,"n/a")</f>
        <v>29.5</v>
      </c>
      <c r="Q43" s="64" t="str">
        <f t="shared" ref="Q43:Q44" si="78">IFERROR(F43/K43-1,"n/a")</f>
        <v>n/a</v>
      </c>
      <c r="R43" s="60">
        <f t="shared" ref="R43:R44" si="79">IFERROR(F43/L43-1,"n/a")</f>
        <v>1.9047619047619047</v>
      </c>
      <c r="S43" s="74">
        <f t="shared" ref="S43:S44" si="80">F43</f>
        <v>61</v>
      </c>
      <c r="T43" s="74">
        <f t="shared" ref="T43:Y44" si="81">G43</f>
        <v>52</v>
      </c>
      <c r="U43" s="74">
        <f t="shared" si="81"/>
        <v>47</v>
      </c>
      <c r="V43" s="74">
        <f t="shared" si="81"/>
        <v>35</v>
      </c>
      <c r="W43" s="74">
        <f t="shared" si="81"/>
        <v>2</v>
      </c>
      <c r="X43" s="74">
        <f t="shared" si="81"/>
        <v>0</v>
      </c>
      <c r="Y43" s="74">
        <f t="shared" si="81"/>
        <v>21</v>
      </c>
      <c r="Z43" s="162"/>
      <c r="AA43" s="147">
        <f t="shared" ref="AA43:AA44" si="82">IFERROR(T43/U43-1,"n/a")</f>
        <v>0.1063829787234043</v>
      </c>
      <c r="AB43" s="147">
        <f t="shared" ref="AB43:AB44" si="83">IFERROR(T43/V43-1,"n/a")</f>
        <v>0.48571428571428577</v>
      </c>
      <c r="AC43" s="147">
        <f t="shared" ref="AC43:AC44" si="84">IFERROR(T43/W43-1,"n/a")</f>
        <v>25</v>
      </c>
      <c r="AD43" s="147" t="str">
        <f t="shared" ref="AD43:AD44" si="85">IFERROR(T43/X43-1,"n/a")</f>
        <v>n/a</v>
      </c>
      <c r="AE43" s="158">
        <f t="shared" ref="AE43:AE44" si="86">IFERROR(T43/Y43-1,"n/a")</f>
        <v>1.4761904761904763</v>
      </c>
      <c r="AF43" s="154">
        <v>728</v>
      </c>
      <c r="AG43" s="89">
        <v>712</v>
      </c>
      <c r="AH43" s="89">
        <v>669</v>
      </c>
      <c r="AI43" s="89">
        <v>59</v>
      </c>
      <c r="AJ43" s="70">
        <v>9</v>
      </c>
      <c r="AK43" s="78">
        <v>287</v>
      </c>
      <c r="AM43" s="122"/>
    </row>
    <row r="44" spans="1:39" s="123" customFormat="1" ht="11.25">
      <c r="A44" s="122"/>
      <c r="B44" s="122"/>
      <c r="C44" s="33"/>
      <c r="D44" s="26" t="s">
        <v>11</v>
      </c>
      <c r="E44" s="32"/>
      <c r="F44" s="74">
        <f>F20</f>
        <v>80791</v>
      </c>
      <c r="G44" s="74">
        <f t="shared" si="73"/>
        <v>75571.399999999994</v>
      </c>
      <c r="H44" s="74">
        <f t="shared" si="73"/>
        <v>66302</v>
      </c>
      <c r="I44" s="74">
        <f t="shared" si="73"/>
        <v>32576</v>
      </c>
      <c r="J44" s="74">
        <f t="shared" si="73"/>
        <v>0</v>
      </c>
      <c r="K44" s="74">
        <f t="shared" si="73"/>
        <v>0</v>
      </c>
      <c r="L44" s="74">
        <f t="shared" si="73"/>
        <v>36063</v>
      </c>
      <c r="M44" s="64">
        <f t="shared" si="74"/>
        <v>6.9068457114728643E-2</v>
      </c>
      <c r="N44" s="64">
        <f t="shared" si="75"/>
        <v>0.21853036107508061</v>
      </c>
      <c r="O44" s="64">
        <f t="shared" si="76"/>
        <v>1.4800773575638506</v>
      </c>
      <c r="P44" s="64" t="str">
        <f t="shared" si="77"/>
        <v>n/a</v>
      </c>
      <c r="Q44" s="64" t="str">
        <f t="shared" si="78"/>
        <v>n/a</v>
      </c>
      <c r="R44" s="60">
        <f t="shared" si="79"/>
        <v>1.2402739650056844</v>
      </c>
      <c r="S44" s="74">
        <f t="shared" si="80"/>
        <v>80791</v>
      </c>
      <c r="T44" s="74">
        <f t="shared" si="81"/>
        <v>75571.399999999994</v>
      </c>
      <c r="U44" s="74">
        <f t="shared" si="81"/>
        <v>66302</v>
      </c>
      <c r="V44" s="74">
        <f t="shared" si="81"/>
        <v>32576</v>
      </c>
      <c r="W44" s="74">
        <f t="shared" si="81"/>
        <v>0</v>
      </c>
      <c r="X44" s="74">
        <f t="shared" si="81"/>
        <v>0</v>
      </c>
      <c r="Y44" s="74">
        <f t="shared" si="81"/>
        <v>36063</v>
      </c>
      <c r="Z44" s="162"/>
      <c r="AA44" s="147">
        <f t="shared" si="82"/>
        <v>0.13980573738348756</v>
      </c>
      <c r="AB44" s="147">
        <f t="shared" si="83"/>
        <v>1.319848968565815</v>
      </c>
      <c r="AC44" s="147" t="str">
        <f t="shared" si="84"/>
        <v>n/a</v>
      </c>
      <c r="AD44" s="147" t="str">
        <f t="shared" si="85"/>
        <v>n/a</v>
      </c>
      <c r="AE44" s="158">
        <f t="shared" si="86"/>
        <v>1.0955383634195712</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160"/>
      <c r="AA45" s="147"/>
      <c r="AB45" s="147"/>
      <c r="AC45" s="147"/>
      <c r="AD45" s="147"/>
      <c r="AE45" s="158"/>
      <c r="AF45" s="155"/>
      <c r="AG45" s="90"/>
      <c r="AH45" s="90"/>
      <c r="AI45" s="90"/>
      <c r="AJ45" s="44"/>
      <c r="AK45" s="79"/>
      <c r="AM45" s="122"/>
    </row>
    <row r="46" spans="1:39" s="123" customFormat="1" ht="11.25">
      <c r="A46" s="122"/>
      <c r="B46" s="122"/>
      <c r="C46" s="33"/>
      <c r="D46" s="26" t="s">
        <v>5</v>
      </c>
      <c r="E46" s="34"/>
      <c r="F46" s="74">
        <f>F22</f>
        <v>212</v>
      </c>
      <c r="G46" s="74">
        <f t="shared" ref="G46:L47" si="87">G22</f>
        <v>194</v>
      </c>
      <c r="H46" s="74">
        <f t="shared" si="87"/>
        <v>162</v>
      </c>
      <c r="I46" s="74">
        <f t="shared" si="87"/>
        <v>100</v>
      </c>
      <c r="J46" s="74">
        <f t="shared" si="87"/>
        <v>0</v>
      </c>
      <c r="K46" s="74">
        <f t="shared" si="87"/>
        <v>0</v>
      </c>
      <c r="L46" s="74">
        <f t="shared" si="87"/>
        <v>90</v>
      </c>
      <c r="M46" s="64">
        <f t="shared" ref="M46:M47" si="88">IFERROR(F46/G46-1,"n/a")</f>
        <v>9.2783505154639068E-2</v>
      </c>
      <c r="N46" s="64">
        <f t="shared" ref="N46:N47" si="89">IFERROR(F46/H46-1,"n/a")</f>
        <v>0.30864197530864201</v>
      </c>
      <c r="O46" s="64">
        <f t="shared" ref="O46:O47" si="90">IFERROR(F46/I46-1,"n/a")</f>
        <v>1.1200000000000001</v>
      </c>
      <c r="P46" s="64" t="str">
        <f t="shared" ref="P46:P47" si="91">IFERROR(F46/J46-1,"n/a")</f>
        <v>n/a</v>
      </c>
      <c r="Q46" s="64" t="str">
        <f t="shared" ref="Q46:Q47" si="92">IFERROR(F46/K46-1,"n/a")</f>
        <v>n/a</v>
      </c>
      <c r="R46" s="60">
        <f t="shared" ref="R46:R47" si="93">IFERROR(F46/L46-1,"n/a")</f>
        <v>1.3555555555555556</v>
      </c>
      <c r="S46" s="74">
        <f t="shared" ref="S46:S47" si="94">F46</f>
        <v>212</v>
      </c>
      <c r="T46" s="74">
        <f t="shared" ref="T46:Y47" si="95">G46</f>
        <v>194</v>
      </c>
      <c r="U46" s="74">
        <f t="shared" si="95"/>
        <v>162</v>
      </c>
      <c r="V46" s="74">
        <f t="shared" si="95"/>
        <v>100</v>
      </c>
      <c r="W46" s="74">
        <f t="shared" si="95"/>
        <v>0</v>
      </c>
      <c r="X46" s="74">
        <f t="shared" si="95"/>
        <v>0</v>
      </c>
      <c r="Y46" s="74">
        <f t="shared" si="95"/>
        <v>90</v>
      </c>
      <c r="Z46" s="162"/>
      <c r="AA46" s="147">
        <f t="shared" ref="AA46:AA47" si="96">IFERROR(T46/U46-1,"n/a")</f>
        <v>0.19753086419753085</v>
      </c>
      <c r="AB46" s="147">
        <f t="shared" ref="AB46:AB47" si="97">IFERROR(T46/V46-1,"n/a")</f>
        <v>0.94</v>
      </c>
      <c r="AC46" s="147" t="str">
        <f t="shared" ref="AC46:AC47" si="98">IFERROR(T46/W46-1,"n/a")</f>
        <v>n/a</v>
      </c>
      <c r="AD46" s="147" t="str">
        <f t="shared" ref="AD46:AD47" si="99">IFERROR(T46/X46-1,"n/a")</f>
        <v>n/a</v>
      </c>
      <c r="AE46" s="158">
        <f t="shared" ref="AE46:AE47" si="100">IFERROR(T46/Y46-1,"n/a")</f>
        <v>1.1555555555555554</v>
      </c>
      <c r="AF46" s="154">
        <v>1788</v>
      </c>
      <c r="AG46" s="89">
        <v>1471</v>
      </c>
      <c r="AH46" s="89">
        <v>1129</v>
      </c>
      <c r="AI46" s="89">
        <v>336</v>
      </c>
      <c r="AJ46" s="84">
        <v>43</v>
      </c>
      <c r="AK46" s="78">
        <v>781</v>
      </c>
      <c r="AM46" s="122"/>
    </row>
    <row r="47" spans="1:39" s="123" customFormat="1" ht="11.25">
      <c r="A47" s="122"/>
      <c r="B47" s="122"/>
      <c r="C47" s="33"/>
      <c r="D47" s="26" t="s">
        <v>11</v>
      </c>
      <c r="E47" s="32"/>
      <c r="F47" s="74">
        <f>F23</f>
        <v>482739</v>
      </c>
      <c r="G47" s="74">
        <f t="shared" si="87"/>
        <v>433106</v>
      </c>
      <c r="H47" s="74">
        <f t="shared" si="87"/>
        <v>352703</v>
      </c>
      <c r="I47" s="74">
        <f t="shared" si="87"/>
        <v>115809</v>
      </c>
      <c r="J47" s="74">
        <f t="shared" si="87"/>
        <v>0</v>
      </c>
      <c r="K47" s="74">
        <f t="shared" si="87"/>
        <v>0</v>
      </c>
      <c r="L47" s="74">
        <f t="shared" si="87"/>
        <v>212740</v>
      </c>
      <c r="M47" s="64">
        <f t="shared" si="88"/>
        <v>0.11459781208295428</v>
      </c>
      <c r="N47" s="64">
        <f t="shared" si="89"/>
        <v>0.36868413367620922</v>
      </c>
      <c r="O47" s="64">
        <f t="shared" si="90"/>
        <v>3.1684066005232756</v>
      </c>
      <c r="P47" s="64" t="str">
        <f t="shared" si="91"/>
        <v>n/a</v>
      </c>
      <c r="Q47" s="64" t="str">
        <f t="shared" si="92"/>
        <v>n/a</v>
      </c>
      <c r="R47" s="60">
        <f t="shared" si="93"/>
        <v>1.2691501363166307</v>
      </c>
      <c r="S47" s="74">
        <f t="shared" si="94"/>
        <v>482739</v>
      </c>
      <c r="T47" s="74">
        <f t="shared" si="95"/>
        <v>433106</v>
      </c>
      <c r="U47" s="74">
        <f t="shared" si="95"/>
        <v>352703</v>
      </c>
      <c r="V47" s="74">
        <f t="shared" si="95"/>
        <v>115809</v>
      </c>
      <c r="W47" s="74">
        <f t="shared" si="95"/>
        <v>0</v>
      </c>
      <c r="X47" s="74">
        <f t="shared" si="95"/>
        <v>0</v>
      </c>
      <c r="Y47" s="74">
        <f t="shared" si="95"/>
        <v>212740</v>
      </c>
      <c r="Z47" s="162"/>
      <c r="AA47" s="147">
        <f t="shared" si="96"/>
        <v>0.22796233658347109</v>
      </c>
      <c r="AB47" s="147">
        <f t="shared" si="97"/>
        <v>2.7398302377190027</v>
      </c>
      <c r="AC47" s="147" t="str">
        <f t="shared" si="98"/>
        <v>n/a</v>
      </c>
      <c r="AD47" s="147" t="str">
        <f t="shared" si="99"/>
        <v>n/a</v>
      </c>
      <c r="AE47" s="158">
        <f t="shared" si="100"/>
        <v>1.0358465732819404</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160"/>
      <c r="AA48" s="147"/>
      <c r="AB48" s="147"/>
      <c r="AC48" s="147"/>
      <c r="AD48" s="147"/>
      <c r="AE48" s="158"/>
      <c r="AF48" s="155"/>
      <c r="AG48" s="90"/>
      <c r="AH48" s="90"/>
      <c r="AI48" s="90"/>
      <c r="AJ48" s="44"/>
      <c r="AK48" s="79"/>
      <c r="AM48" s="122"/>
    </row>
    <row r="49" spans="3:39" s="123" customFormat="1" ht="11.25">
      <c r="C49" s="33"/>
      <c r="D49" s="26" t="s">
        <v>5</v>
      </c>
      <c r="E49" s="32"/>
      <c r="F49" s="74">
        <f>F25</f>
        <v>1</v>
      </c>
      <c r="G49" s="74">
        <f t="shared" ref="G49:L50" si="101">G25</f>
        <v>1</v>
      </c>
      <c r="H49" s="74">
        <f t="shared" si="101"/>
        <v>1</v>
      </c>
      <c r="I49" s="74">
        <f t="shared" si="101"/>
        <v>1</v>
      </c>
      <c r="J49" s="74">
        <f t="shared" si="101"/>
        <v>0</v>
      </c>
      <c r="K49" s="74">
        <f t="shared" si="101"/>
        <v>0</v>
      </c>
      <c r="L49" s="74">
        <f t="shared" si="101"/>
        <v>1</v>
      </c>
      <c r="M49" s="64">
        <f t="shared" ref="M49:M52" si="102">IFERROR(F49/G49-1,"n/a")</f>
        <v>0</v>
      </c>
      <c r="N49" s="64">
        <f t="shared" ref="N49:N52" si="103">IFERROR(F49/H49-1,"n/a")</f>
        <v>0</v>
      </c>
      <c r="O49" s="64">
        <f t="shared" ref="O49:O52" si="104">IFERROR(F49/I49-1,"n/a")</f>
        <v>0</v>
      </c>
      <c r="P49" s="64" t="str">
        <f t="shared" ref="P49:P52" si="105">IFERROR(F49/J49-1,"n/a")</f>
        <v>n/a</v>
      </c>
      <c r="Q49" s="64" t="str">
        <f t="shared" ref="Q49:Q52" si="106">IFERROR(F49/K49-1,"n/a")</f>
        <v>n/a</v>
      </c>
      <c r="R49" s="60">
        <f t="shared" ref="R49:R52" si="107">IFERROR(F49/L49-1,"n/a")</f>
        <v>0</v>
      </c>
      <c r="S49" s="74">
        <f t="shared" ref="S49:S50" si="108">F49</f>
        <v>1</v>
      </c>
      <c r="T49" s="74">
        <f t="shared" ref="T49:Y50" si="109">G49</f>
        <v>1</v>
      </c>
      <c r="U49" s="74">
        <f t="shared" si="109"/>
        <v>1</v>
      </c>
      <c r="V49" s="74">
        <f t="shared" si="109"/>
        <v>1</v>
      </c>
      <c r="W49" s="74">
        <f t="shared" si="109"/>
        <v>0</v>
      </c>
      <c r="X49" s="74">
        <f t="shared" si="109"/>
        <v>0</v>
      </c>
      <c r="Y49" s="74">
        <f t="shared" si="109"/>
        <v>1</v>
      </c>
      <c r="Z49" s="162"/>
      <c r="AA49" s="147">
        <f t="shared" ref="AA49:AA52" si="110">IFERROR(T49/U49-1,"n/a")</f>
        <v>0</v>
      </c>
      <c r="AB49" s="147">
        <f t="shared" ref="AB49:AB52" si="111">IFERROR(T49/V49-1,"n/a")</f>
        <v>0</v>
      </c>
      <c r="AC49" s="147" t="str">
        <f t="shared" ref="AC49:AC52" si="112">IFERROR(T49/W49-1,"n/a")</f>
        <v>n/a</v>
      </c>
      <c r="AD49" s="147" t="str">
        <f t="shared" ref="AD49:AD52" si="113">IFERROR(T49/X49-1,"n/a")</f>
        <v>n/a</v>
      </c>
      <c r="AE49" s="158">
        <f t="shared" ref="AE49:AE52" si="114">IFERROR(T49/Y49-1,"n/a")</f>
        <v>0</v>
      </c>
      <c r="AF49" s="154">
        <v>14</v>
      </c>
      <c r="AG49" s="89">
        <v>21</v>
      </c>
      <c r="AH49" s="89">
        <v>9</v>
      </c>
      <c r="AI49" s="68">
        <v>0</v>
      </c>
      <c r="AJ49" s="68">
        <v>0</v>
      </c>
      <c r="AK49" s="78">
        <v>16</v>
      </c>
      <c r="AM49" s="122"/>
    </row>
    <row r="50" spans="3:39" s="123" customFormat="1" ht="11.25">
      <c r="C50" s="33"/>
      <c r="D50" s="26" t="s">
        <v>11</v>
      </c>
      <c r="E50" s="32"/>
      <c r="F50" s="74">
        <f>F26</f>
        <v>4387</v>
      </c>
      <c r="G50" s="74">
        <f t="shared" si="101"/>
        <v>4131</v>
      </c>
      <c r="H50" s="74">
        <f t="shared" si="101"/>
        <v>2258</v>
      </c>
      <c r="I50" s="74">
        <f t="shared" si="101"/>
        <v>925</v>
      </c>
      <c r="J50" s="74">
        <f t="shared" si="101"/>
        <v>0</v>
      </c>
      <c r="K50" s="74">
        <f t="shared" si="101"/>
        <v>0</v>
      </c>
      <c r="L50" s="74">
        <f t="shared" si="101"/>
        <v>1059</v>
      </c>
      <c r="M50" s="64">
        <f t="shared" si="102"/>
        <v>6.1970467199225387E-2</v>
      </c>
      <c r="N50" s="64">
        <f t="shared" si="103"/>
        <v>0.94286979627989376</v>
      </c>
      <c r="O50" s="64">
        <f t="shared" si="104"/>
        <v>3.7427027027027027</v>
      </c>
      <c r="P50" s="64" t="str">
        <f t="shared" si="105"/>
        <v>n/a</v>
      </c>
      <c r="Q50" s="64" t="str">
        <f t="shared" si="106"/>
        <v>n/a</v>
      </c>
      <c r="R50" s="60">
        <f t="shared" si="107"/>
        <v>3.142587346553352</v>
      </c>
      <c r="S50" s="74">
        <f t="shared" si="108"/>
        <v>4387</v>
      </c>
      <c r="T50" s="74">
        <f t="shared" si="109"/>
        <v>4131</v>
      </c>
      <c r="U50" s="74">
        <f t="shared" si="109"/>
        <v>2258</v>
      </c>
      <c r="V50" s="74">
        <f t="shared" si="109"/>
        <v>925</v>
      </c>
      <c r="W50" s="74">
        <f t="shared" si="109"/>
        <v>0</v>
      </c>
      <c r="X50" s="74">
        <f t="shared" si="109"/>
        <v>0</v>
      </c>
      <c r="Y50" s="74">
        <f t="shared" si="109"/>
        <v>1059</v>
      </c>
      <c r="Z50" s="162"/>
      <c r="AA50" s="147">
        <f t="shared" si="110"/>
        <v>0.82949512843224094</v>
      </c>
      <c r="AB50" s="147">
        <f t="shared" si="111"/>
        <v>3.4659459459459461</v>
      </c>
      <c r="AC50" s="147" t="str">
        <f t="shared" si="112"/>
        <v>n/a</v>
      </c>
      <c r="AD50" s="147" t="str">
        <f t="shared" si="113"/>
        <v>n/a</v>
      </c>
      <c r="AE50" s="158">
        <f t="shared" si="114"/>
        <v>2.9008498583569406</v>
      </c>
      <c r="AF50" s="154">
        <v>47798</v>
      </c>
      <c r="AG50" s="82">
        <v>38626</v>
      </c>
      <c r="AH50" s="82">
        <v>15637</v>
      </c>
      <c r="AI50" s="68">
        <v>0</v>
      </c>
      <c r="AJ50" s="68">
        <v>0</v>
      </c>
      <c r="AK50" s="78">
        <v>20248</v>
      </c>
      <c r="AM50" s="122"/>
    </row>
    <row r="51" spans="3:39" s="123" customFormat="1" ht="12" thickBot="1">
      <c r="C51" s="35" t="s">
        <v>12</v>
      </c>
      <c r="D51" s="36"/>
      <c r="E51" s="37"/>
      <c r="F51" s="75">
        <f t="shared" ref="F51:L52" si="115">F37+F40+F43+F46+F49</f>
        <v>566</v>
      </c>
      <c r="G51" s="75">
        <f t="shared" si="115"/>
        <v>489</v>
      </c>
      <c r="H51" s="75">
        <f t="shared" si="115"/>
        <v>385</v>
      </c>
      <c r="I51" s="75">
        <f t="shared" si="115"/>
        <v>328</v>
      </c>
      <c r="J51" s="75">
        <f t="shared" si="115"/>
        <v>7</v>
      </c>
      <c r="K51" s="75">
        <f t="shared" si="115"/>
        <v>42</v>
      </c>
      <c r="L51" s="75">
        <f t="shared" si="115"/>
        <v>292</v>
      </c>
      <c r="M51" s="66">
        <f t="shared" si="102"/>
        <v>0.15746421267893651</v>
      </c>
      <c r="N51" s="66">
        <f t="shared" si="103"/>
        <v>0.47012987012987018</v>
      </c>
      <c r="O51" s="66">
        <f t="shared" si="104"/>
        <v>0.72560975609756095</v>
      </c>
      <c r="P51" s="66">
        <f t="shared" si="105"/>
        <v>79.857142857142861</v>
      </c>
      <c r="Q51" s="66">
        <f t="shared" si="106"/>
        <v>12.476190476190476</v>
      </c>
      <c r="R51" s="66">
        <f t="shared" si="107"/>
        <v>0.93835616438356162</v>
      </c>
      <c r="S51" s="75">
        <f>S37+S40+S43+S46+S49</f>
        <v>566</v>
      </c>
      <c r="T51" s="75">
        <f>T37+T40+T43+T46+T49</f>
        <v>489</v>
      </c>
      <c r="U51" s="75">
        <f>U37+U40+U43+U46+U49</f>
        <v>385</v>
      </c>
      <c r="V51" s="75">
        <f t="shared" ref="U51:Y52" si="116">V37+V40+V43+V46+V49</f>
        <v>328</v>
      </c>
      <c r="W51" s="75">
        <f t="shared" si="116"/>
        <v>7</v>
      </c>
      <c r="X51" s="75">
        <f t="shared" si="116"/>
        <v>42</v>
      </c>
      <c r="Y51" s="75">
        <f t="shared" si="116"/>
        <v>292</v>
      </c>
      <c r="Z51" s="75"/>
      <c r="AA51" s="66">
        <f t="shared" si="110"/>
        <v>0.27012987012987022</v>
      </c>
      <c r="AB51" s="66">
        <f t="shared" si="111"/>
        <v>0.49085365853658547</v>
      </c>
      <c r="AC51" s="66">
        <f t="shared" si="112"/>
        <v>68.857142857142861</v>
      </c>
      <c r="AD51" s="66">
        <f t="shared" si="113"/>
        <v>10.642857142857142</v>
      </c>
      <c r="AE51" s="66">
        <f t="shared" si="114"/>
        <v>0.67465753424657526</v>
      </c>
      <c r="AF51" s="46">
        <f t="shared" ref="AF51" si="117">AF37+AF40+AF43+AF46+AF49</f>
        <v>6221</v>
      </c>
      <c r="AG51" s="46">
        <f t="shared" ref="AG51:AJ52" si="118">AG37+AG40+AG43+AG46+AG49</f>
        <v>4589</v>
      </c>
      <c r="AH51" s="46">
        <f t="shared" si="118"/>
        <v>3856</v>
      </c>
      <c r="AI51" s="46">
        <f t="shared" si="118"/>
        <v>1673</v>
      </c>
      <c r="AJ51" s="46">
        <f t="shared" si="118"/>
        <v>669</v>
      </c>
      <c r="AK51" s="80">
        <f>AK37+AK40+AK43+AK46+AK49</f>
        <v>3241</v>
      </c>
      <c r="AM51" s="122"/>
    </row>
    <row r="52" spans="3:39" s="123" customFormat="1" ht="12.75" thickTop="1" thickBot="1">
      <c r="C52" s="38" t="s">
        <v>13</v>
      </c>
      <c r="D52" s="39"/>
      <c r="E52" s="40"/>
      <c r="F52" s="76">
        <f t="shared" si="115"/>
        <v>1480880</v>
      </c>
      <c r="G52" s="76">
        <f t="shared" si="115"/>
        <v>1302119.3999999999</v>
      </c>
      <c r="H52" s="76">
        <f t="shared" si="115"/>
        <v>978362</v>
      </c>
      <c r="I52" s="76">
        <f t="shared" si="115"/>
        <v>507465</v>
      </c>
      <c r="J52" s="76">
        <f t="shared" si="115"/>
        <v>6002</v>
      </c>
      <c r="K52" s="76">
        <f t="shared" si="115"/>
        <v>0</v>
      </c>
      <c r="L52" s="76">
        <f t="shared" si="115"/>
        <v>791238</v>
      </c>
      <c r="M52" s="67">
        <f t="shared" si="102"/>
        <v>0.13728433813366125</v>
      </c>
      <c r="N52" s="67">
        <f t="shared" si="103"/>
        <v>0.5136319685351638</v>
      </c>
      <c r="O52" s="67">
        <f t="shared" si="104"/>
        <v>1.9181914023627247</v>
      </c>
      <c r="P52" s="67">
        <f t="shared" si="105"/>
        <v>245.73108963678774</v>
      </c>
      <c r="Q52" s="67" t="str">
        <f t="shared" si="106"/>
        <v>n/a</v>
      </c>
      <c r="R52" s="67">
        <f t="shared" si="107"/>
        <v>0.87159868459300482</v>
      </c>
      <c r="S52" s="76">
        <f t="shared" ref="S52:T52" si="119">S38+S41+S44+S47+S50</f>
        <v>1480880</v>
      </c>
      <c r="T52" s="76">
        <f t="shared" si="119"/>
        <v>1302119.3999999999</v>
      </c>
      <c r="U52" s="76">
        <f t="shared" si="116"/>
        <v>978362</v>
      </c>
      <c r="V52" s="76">
        <f t="shared" si="116"/>
        <v>507465</v>
      </c>
      <c r="W52" s="76">
        <f t="shared" si="116"/>
        <v>6002</v>
      </c>
      <c r="X52" s="76">
        <f t="shared" si="116"/>
        <v>0</v>
      </c>
      <c r="Y52" s="76">
        <f t="shared" si="116"/>
        <v>791238</v>
      </c>
      <c r="Z52" s="76"/>
      <c r="AA52" s="67">
        <f t="shared" si="110"/>
        <v>0.3309177993421657</v>
      </c>
      <c r="AB52" s="67">
        <f t="shared" si="111"/>
        <v>1.5659294729685791</v>
      </c>
      <c r="AC52" s="67">
        <f t="shared" si="112"/>
        <v>215.94758413862044</v>
      </c>
      <c r="AD52" s="67" t="str">
        <f t="shared" si="113"/>
        <v>n/a</v>
      </c>
      <c r="AE52" s="67">
        <f t="shared" si="114"/>
        <v>0.64567348888703524</v>
      </c>
      <c r="AF52" s="47">
        <f t="shared" ref="AF52" si="120">AF38+AF41+AF44+AF47+AF50</f>
        <v>17650949.399999999</v>
      </c>
      <c r="AG52" s="47">
        <f t="shared" si="118"/>
        <v>13408675</v>
      </c>
      <c r="AH52" s="47">
        <f t="shared" si="118"/>
        <v>9237323</v>
      </c>
      <c r="AI52" s="47">
        <f t="shared" si="118"/>
        <v>2410085</v>
      </c>
      <c r="AJ52" s="47">
        <f t="shared" si="118"/>
        <v>1324261</v>
      </c>
      <c r="AK52" s="81">
        <f>AK38+AK41+AK44+AK47+AK50</f>
        <v>8638971</v>
      </c>
      <c r="AM52" s="122"/>
    </row>
    <row r="53" spans="3:39" s="123" customFormat="1" ht="12" thickTop="1">
      <c r="T53" s="131"/>
      <c r="U53" s="131"/>
      <c r="V53" s="131"/>
      <c r="W53" s="131"/>
      <c r="X53" s="131"/>
      <c r="Y53" s="131"/>
      <c r="AM53" s="122"/>
    </row>
    <row r="54" spans="3:39" s="123" customFormat="1" ht="11.25">
      <c r="F54" s="131"/>
      <c r="T54" s="131"/>
      <c r="U54" s="131"/>
      <c r="V54" s="131"/>
      <c r="W54" s="131"/>
      <c r="X54" s="131"/>
      <c r="Y54" s="131"/>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BD556-530A-4054-9522-5E08AC55220E}">
  <dimension ref="A1:AM66"/>
  <sheetViews>
    <sheetView showGridLines="0" topLeftCell="A9" zoomScale="90" zoomScaleNormal="90" workbookViewId="0">
      <selection activeCell="F13" sqref="F13:L26"/>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9.5703125" bestFit="1" customWidth="1"/>
    <col min="20" max="21" width="12.5703125" bestFit="1" customWidth="1"/>
    <col min="22" max="24" width="11.5703125" bestFit="1" customWidth="1"/>
    <col min="25" max="25" width="11.85546875" bestFit="1" customWidth="1"/>
    <col min="26" max="26" width="11.85546875" customWidth="1"/>
    <col min="27" max="27" width="9.140625" bestFit="1" customWidth="1"/>
    <col min="28" max="28" width="8.85546875" bestFit="1" customWidth="1"/>
    <col min="29" max="29" width="8.85546875" customWidth="1"/>
    <col min="30" max="30" width="9" bestFit="1" customWidth="1"/>
    <col min="31" max="31" width="7.85546875" customWidth="1"/>
    <col min="32" max="32" width="9.5703125" bestFit="1" customWidth="1"/>
    <col min="33" max="33" width="10.14062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v>45366</v>
      </c>
      <c r="AL3" s="25"/>
      <c r="AM3" s="9"/>
    </row>
    <row r="4" spans="1:39" ht="15.75">
      <c r="A4" s="9"/>
      <c r="B4" s="11" t="s">
        <v>7</v>
      </c>
      <c r="C4" s="26"/>
      <c r="D4" s="151" t="s">
        <v>41</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March</v>
      </c>
      <c r="G9" s="167"/>
      <c r="H9" s="167"/>
      <c r="I9" s="167"/>
      <c r="J9" s="167"/>
      <c r="K9" s="167"/>
      <c r="L9" s="167"/>
      <c r="M9" s="167"/>
      <c r="N9" s="167"/>
      <c r="O9" s="167"/>
      <c r="P9" s="167"/>
      <c r="Q9" s="167"/>
      <c r="R9" s="168"/>
      <c r="S9" s="169" t="str">
        <f>" January to "&amp; F9</f>
        <v xml:space="preserve"> January to March</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5">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349</v>
      </c>
      <c r="G13" s="71">
        <v>281</v>
      </c>
      <c r="H13" s="71">
        <v>181</v>
      </c>
      <c r="I13" s="71">
        <v>204</v>
      </c>
      <c r="J13" s="71">
        <v>0</v>
      </c>
      <c r="K13" s="71">
        <v>147</v>
      </c>
      <c r="L13" s="71">
        <v>170</v>
      </c>
      <c r="M13" s="64">
        <f>IFERROR(F13/G13-1,"n/a")</f>
        <v>0.24199288256227769</v>
      </c>
      <c r="N13" s="64">
        <f>IFERROR(F13/H13-1,"n/a")</f>
        <v>0.92817679558011057</v>
      </c>
      <c r="O13" s="64">
        <f>IFERROR(F13/I13-1,"n/a")</f>
        <v>0.71078431372549011</v>
      </c>
      <c r="P13" s="64" t="str">
        <f>IFERROR(F13/J13-1,"n/a")</f>
        <v>n/a</v>
      </c>
      <c r="Q13" s="64">
        <f>IFERROR(F13/K13-1,"n/a")</f>
        <v>1.3741496598639458</v>
      </c>
      <c r="R13" s="60">
        <f>IFERROR(F13/L13-1,"n/a")</f>
        <v>1.052941176470588</v>
      </c>
      <c r="S13" s="68">
        <f>'Feb-25'!S13+F13</f>
        <v>1093</v>
      </c>
      <c r="T13" s="68">
        <f>'Feb-25'!T13+G13</f>
        <v>702</v>
      </c>
      <c r="U13" s="68">
        <f>'Feb-25'!U13+H13</f>
        <v>530</v>
      </c>
      <c r="V13" s="68">
        <f>'Feb-25'!V13+I13</f>
        <v>530</v>
      </c>
      <c r="W13" s="68">
        <f>'Feb-25'!W13+J13</f>
        <v>0</v>
      </c>
      <c r="X13" s="68">
        <f>'Feb-25'!X13+K13</f>
        <v>509</v>
      </c>
      <c r="Y13" s="68">
        <f>'Feb-25'!Y13+L13</f>
        <v>516</v>
      </c>
      <c r="Z13" s="64">
        <f>IFERROR(S13/T13-1,"n/a")</f>
        <v>0.55698005698005693</v>
      </c>
      <c r="AA13" s="64">
        <f>IFERROR(S13/U13-1,"n/a")</f>
        <v>1.0622641509433963</v>
      </c>
      <c r="AB13" s="64">
        <f>IFERROR(S13/V13-1,"n/a")</f>
        <v>1.0622641509433963</v>
      </c>
      <c r="AC13" s="64" t="str">
        <f>IFERROR(S13/W13-1,"n/a")</f>
        <v>n/a</v>
      </c>
      <c r="AD13" s="64">
        <f>IFERROR(S13/X13-1,"n/a")</f>
        <v>1.1473477406679766</v>
      </c>
      <c r="AE13" s="60">
        <f>IFERROR(S13/Y13-1,"n/a")</f>
        <v>1.1182170542635661</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996380</v>
      </c>
      <c r="G14" s="71">
        <v>857821</v>
      </c>
      <c r="H14" s="71">
        <v>565574</v>
      </c>
      <c r="I14" s="71">
        <v>344501</v>
      </c>
      <c r="J14" s="71">
        <v>0</v>
      </c>
      <c r="K14" s="71">
        <v>196286</v>
      </c>
      <c r="L14" s="71">
        <v>500596</v>
      </c>
      <c r="M14" s="64">
        <f>IFERROR(F14/G14-1,"n/a")</f>
        <v>0.16152437396613051</v>
      </c>
      <c r="N14" s="64">
        <f>IFERROR(F14/H14-1,"n/a")</f>
        <v>0.76171464742014305</v>
      </c>
      <c r="O14" s="64">
        <f>IFERROR(F14/I14-1,"n/a")</f>
        <v>1.892241241679995</v>
      </c>
      <c r="P14" s="64" t="str">
        <f>IFERROR(F14/J14-1,"n/a")</f>
        <v>n/a</v>
      </c>
      <c r="Q14" s="64">
        <f>IFERROR(F14/K14-1,"n/a")</f>
        <v>4.0761643723953824</v>
      </c>
      <c r="R14" s="60">
        <f>IFERROR(F14/L14-1,"n/a")</f>
        <v>0.99038745814988527</v>
      </c>
      <c r="S14" s="68">
        <f>'Feb-25'!S14+F14</f>
        <v>2925581</v>
      </c>
      <c r="T14" s="68">
        <f>'Feb-25'!T14+G14</f>
        <v>2153824</v>
      </c>
      <c r="U14" s="68">
        <f>'Feb-25'!U14+H14</f>
        <v>1538184</v>
      </c>
      <c r="V14" s="68">
        <f>'Feb-25'!V14+I14</f>
        <v>759658</v>
      </c>
      <c r="W14" s="68">
        <f>'Feb-25'!W14+J14</f>
        <v>0</v>
      </c>
      <c r="X14" s="68">
        <f>'Feb-25'!X14+K14</f>
        <v>1092884</v>
      </c>
      <c r="Y14" s="68">
        <f>'Feb-25'!Y14+L14</f>
        <v>1451104</v>
      </c>
      <c r="Z14" s="64">
        <f>IFERROR(S14/T14-1,"n/a")</f>
        <v>0.35831943557133727</v>
      </c>
      <c r="AA14" s="64">
        <f>IFERROR(S14/U14-1,"n/a")</f>
        <v>0.90197076552610089</v>
      </c>
      <c r="AB14" s="64">
        <f>IFERROR(S14/V14-1,"n/a")</f>
        <v>2.8511817159827184</v>
      </c>
      <c r="AC14" s="64" t="str">
        <f>IFERROR(S14/W14-1,"n/a")</f>
        <v>n/a</v>
      </c>
      <c r="AD14" s="64">
        <f>IFERROR(S14/X14-1,"n/a")</f>
        <v>1.6769364360718977</v>
      </c>
      <c r="AE14" s="60">
        <f>IFERROR(S14/Y14-1,"n/a")</f>
        <v>1.0161070467726643</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30</v>
      </c>
      <c r="G16" s="71">
        <v>17</v>
      </c>
      <c r="H16" s="71">
        <v>16</v>
      </c>
      <c r="I16" s="71">
        <v>26</v>
      </c>
      <c r="J16" s="71">
        <v>5</v>
      </c>
      <c r="K16" s="71">
        <v>1</v>
      </c>
      <c r="L16" s="71">
        <v>10</v>
      </c>
      <c r="M16" s="64">
        <f t="shared" ref="M16:M17" si="0">IFERROR(F16/G16-1,"n/a")</f>
        <v>0.76470588235294112</v>
      </c>
      <c r="N16" s="64">
        <f t="shared" ref="N16:N17" si="1">IFERROR(F16/H16-1,"n/a")</f>
        <v>0.875</v>
      </c>
      <c r="O16" s="64">
        <f t="shared" ref="O16:O17" si="2">IFERROR(F16/I16-1,"n/a")</f>
        <v>0.15384615384615374</v>
      </c>
      <c r="P16" s="64">
        <f t="shared" ref="P16:P17" si="3">IFERROR(F16/J16-1,"n/a")</f>
        <v>5</v>
      </c>
      <c r="Q16" s="64">
        <f t="shared" ref="Q16:Q17" si="4">IFERROR(F16/K16-1,"n/a")</f>
        <v>29</v>
      </c>
      <c r="R16" s="60">
        <f t="shared" ref="R16:R17" si="5">IFERROR(F16/L16-1,"n/a")</f>
        <v>2</v>
      </c>
      <c r="S16" s="68">
        <f>'Feb-25'!S16+F16</f>
        <v>57</v>
      </c>
      <c r="T16" s="68">
        <f>'Feb-25'!T16+G16</f>
        <v>37</v>
      </c>
      <c r="U16" s="68">
        <f>'Feb-25'!U16+H16</f>
        <v>27</v>
      </c>
      <c r="V16" s="68">
        <f>'Feb-25'!V16+I16</f>
        <v>36</v>
      </c>
      <c r="W16" s="68">
        <f>'Feb-25'!W16+J16</f>
        <v>12</v>
      </c>
      <c r="X16" s="68">
        <f>'Feb-25'!X16+K16</f>
        <v>10</v>
      </c>
      <c r="Y16" s="68">
        <f>'Feb-25'!Y16+L16</f>
        <v>23</v>
      </c>
      <c r="Z16" s="64">
        <f t="shared" ref="Z16:Z17" si="6">IFERROR(S16/T16-1,"n/a")</f>
        <v>0.54054054054054057</v>
      </c>
      <c r="AA16" s="64">
        <f t="shared" ref="AA16:AA17" si="7">IFERROR(S16/U16-1,"n/a")</f>
        <v>1.1111111111111112</v>
      </c>
      <c r="AB16" s="64">
        <f t="shared" ref="AB16:AB17" si="8">IFERROR(S16/V16-1,"n/a")</f>
        <v>0.58333333333333326</v>
      </c>
      <c r="AC16" s="64">
        <f t="shared" ref="AC16:AC17" si="9">IFERROR(S16/W16-1,"n/a")</f>
        <v>3.75</v>
      </c>
      <c r="AD16" s="64">
        <f t="shared" ref="AD16:AD17" si="10">IFERROR(S16/X16-1,"n/a")</f>
        <v>4.7</v>
      </c>
      <c r="AE16" s="60">
        <f t="shared" ref="AE16:AE17" si="11">IFERROR(S16/Y16-1,"n/a")</f>
        <v>1.4782608695652173</v>
      </c>
      <c r="AF16" s="68">
        <v>797</v>
      </c>
      <c r="AG16" s="68">
        <v>575</v>
      </c>
      <c r="AH16" s="68">
        <v>572</v>
      </c>
      <c r="AI16" s="68">
        <v>202</v>
      </c>
      <c r="AJ16" s="68">
        <v>54</v>
      </c>
      <c r="AK16" s="134">
        <v>586</v>
      </c>
      <c r="AL16" s="122"/>
      <c r="AM16" s="122"/>
    </row>
    <row r="17" spans="1:39" s="123" customFormat="1" ht="12.75">
      <c r="A17" s="122"/>
      <c r="B17" s="127"/>
      <c r="C17" s="33"/>
      <c r="D17" s="26" t="s">
        <v>11</v>
      </c>
      <c r="E17" s="32"/>
      <c r="F17" s="71">
        <v>61961</v>
      </c>
      <c r="G17" s="71">
        <v>54338</v>
      </c>
      <c r="H17" s="71">
        <v>43135</v>
      </c>
      <c r="I17" s="71">
        <v>28377</v>
      </c>
      <c r="J17" s="71">
        <v>4146</v>
      </c>
      <c r="K17" s="71">
        <v>565</v>
      </c>
      <c r="L17" s="71">
        <v>32801</v>
      </c>
      <c r="M17" s="64">
        <f t="shared" si="0"/>
        <v>0.14028856417240232</v>
      </c>
      <c r="N17" s="64">
        <f t="shared" si="1"/>
        <v>0.43644372319462144</v>
      </c>
      <c r="O17" s="64">
        <f t="shared" si="2"/>
        <v>1.183493674454664</v>
      </c>
      <c r="P17" s="64">
        <f t="shared" si="3"/>
        <v>13.944766039556198</v>
      </c>
      <c r="Q17" s="64">
        <f t="shared" si="4"/>
        <v>108.66548672566371</v>
      </c>
      <c r="R17" s="60">
        <f t="shared" si="5"/>
        <v>0.8889972866680893</v>
      </c>
      <c r="S17" s="68">
        <f>'Feb-25'!S17+F17</f>
        <v>149581</v>
      </c>
      <c r="T17" s="68">
        <f>'Feb-25'!T17+G17</f>
        <v>130574</v>
      </c>
      <c r="U17" s="68">
        <f>'Feb-25'!U17+H17</f>
        <v>83055</v>
      </c>
      <c r="V17" s="68">
        <f>'Feb-25'!V17+I17</f>
        <v>36508</v>
      </c>
      <c r="W17" s="68">
        <f>'Feb-25'!W17+J17</f>
        <v>10103</v>
      </c>
      <c r="X17" s="68">
        <f>'Feb-25'!X17+K17</f>
        <v>41113</v>
      </c>
      <c r="Y17" s="68">
        <f>'Feb-25'!Y17+L17</f>
        <v>80374</v>
      </c>
      <c r="Z17" s="64">
        <f t="shared" si="6"/>
        <v>0.14556496699189725</v>
      </c>
      <c r="AA17" s="64">
        <f t="shared" si="7"/>
        <v>0.80098729757389675</v>
      </c>
      <c r="AB17" s="64">
        <f t="shared" si="8"/>
        <v>3.0972115700668343</v>
      </c>
      <c r="AC17" s="64">
        <f t="shared" si="9"/>
        <v>13.805602296347619</v>
      </c>
      <c r="AD17" s="64">
        <f t="shared" si="10"/>
        <v>2.6382895920998224</v>
      </c>
      <c r="AE17" s="60">
        <f t="shared" si="11"/>
        <v>0.86106203498643841</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14</v>
      </c>
      <c r="G19" s="71">
        <v>21</v>
      </c>
      <c r="H19" s="71">
        <v>17</v>
      </c>
      <c r="I19" s="71">
        <v>6</v>
      </c>
      <c r="J19" s="71">
        <v>0</v>
      </c>
      <c r="K19" s="71">
        <v>2</v>
      </c>
      <c r="L19" s="71">
        <v>5</v>
      </c>
      <c r="M19" s="64">
        <f t="shared" ref="M19:M20" si="12">IFERROR(F19/G19-1,"n/a")</f>
        <v>-0.33333333333333337</v>
      </c>
      <c r="N19" s="64">
        <f t="shared" ref="N19:N20" si="13">IFERROR(F19/H19-1,"n/a")</f>
        <v>-0.17647058823529416</v>
      </c>
      <c r="O19" s="64">
        <f t="shared" ref="O19:O20" si="14">IFERROR(F19/I19-1,"n/a")</f>
        <v>1.3333333333333335</v>
      </c>
      <c r="P19" s="64" t="str">
        <f t="shared" ref="P19:P20" si="15">IFERROR(F19/J19-1,"n/a")</f>
        <v>n/a</v>
      </c>
      <c r="Q19" s="64">
        <f t="shared" ref="Q19:Q20" si="16">IFERROR(F19/K19-1,"n/a")</f>
        <v>6</v>
      </c>
      <c r="R19" s="60">
        <f t="shared" ref="R19:R20" si="17">IFERROR(F19/L19-1,"n/a")</f>
        <v>1.7999999999999998</v>
      </c>
      <c r="S19" s="68">
        <f>'Feb-25'!S19+F19</f>
        <v>22</v>
      </c>
      <c r="T19" s="68">
        <f>'Feb-25'!T19+G19</f>
        <v>27</v>
      </c>
      <c r="U19" s="68">
        <f>'Feb-25'!U19+H19</f>
        <v>23</v>
      </c>
      <c r="V19" s="68">
        <f>'Feb-25'!V19+I19</f>
        <v>12</v>
      </c>
      <c r="W19" s="68">
        <f>'Feb-25'!W19+J19</f>
        <v>0</v>
      </c>
      <c r="X19" s="68">
        <f>'Feb-25'!X19+K19</f>
        <v>3</v>
      </c>
      <c r="Y19" s="68">
        <f>'Feb-25'!Y19+L19</f>
        <v>6</v>
      </c>
      <c r="Z19" s="64">
        <f t="shared" ref="Z19:Z20" si="18">IFERROR(S19/T19-1,"n/a")</f>
        <v>-0.18518518518518523</v>
      </c>
      <c r="AA19" s="64">
        <f t="shared" ref="AA19:AA20" si="19">IFERROR(S19/U19-1,"n/a")</f>
        <v>-4.3478260869565188E-2</v>
      </c>
      <c r="AB19" s="64">
        <f t="shared" ref="AB19:AB20" si="20">IFERROR(S19/V19-1,"n/a")</f>
        <v>0.83333333333333326</v>
      </c>
      <c r="AC19" s="64" t="str">
        <f t="shared" ref="AC19:AC20" si="21">IFERROR(S19/W19-1,"n/a")</f>
        <v>n/a</v>
      </c>
      <c r="AD19" s="64">
        <f t="shared" ref="AD19:AD20" si="22">IFERROR(S19/X19-1,"n/a")</f>
        <v>6.333333333333333</v>
      </c>
      <c r="AE19" s="60">
        <f t="shared" ref="AE19:AE20" si="23">IFERROR(S19/Y19-1,"n/a")</f>
        <v>2.6666666666666665</v>
      </c>
      <c r="AF19" s="68">
        <v>733</v>
      </c>
      <c r="AG19" s="68">
        <v>708</v>
      </c>
      <c r="AH19" s="68">
        <v>658</v>
      </c>
      <c r="AI19" s="68">
        <v>47</v>
      </c>
      <c r="AJ19" s="68">
        <v>9</v>
      </c>
      <c r="AK19" s="134">
        <v>290</v>
      </c>
      <c r="AL19" s="122"/>
      <c r="AM19" s="122"/>
    </row>
    <row r="20" spans="1:39" s="123" customFormat="1" ht="12.75">
      <c r="A20" s="122"/>
      <c r="B20" s="127"/>
      <c r="C20" s="33"/>
      <c r="D20" s="26" t="s">
        <v>11</v>
      </c>
      <c r="E20" s="32"/>
      <c r="F20" s="71">
        <v>15053</v>
      </c>
      <c r="G20" s="71">
        <v>31321</v>
      </c>
      <c r="H20" s="71">
        <v>14734</v>
      </c>
      <c r="I20" s="71">
        <v>1346</v>
      </c>
      <c r="J20" s="71">
        <v>0</v>
      </c>
      <c r="K20" s="71">
        <v>887</v>
      </c>
      <c r="L20" s="71">
        <v>4876</v>
      </c>
      <c r="M20" s="64">
        <f t="shared" si="12"/>
        <v>-0.51939593244149296</v>
      </c>
      <c r="N20" s="64">
        <f t="shared" si="13"/>
        <v>2.1650604045065913E-2</v>
      </c>
      <c r="O20" s="64">
        <f t="shared" si="14"/>
        <v>10.183506686478454</v>
      </c>
      <c r="P20" s="64" t="str">
        <f t="shared" si="15"/>
        <v>n/a</v>
      </c>
      <c r="Q20" s="64">
        <f t="shared" si="16"/>
        <v>15.970687711386695</v>
      </c>
      <c r="R20" s="60">
        <f t="shared" si="17"/>
        <v>2.0871616078753075</v>
      </c>
      <c r="S20" s="68">
        <f>'Feb-25'!S20+F20</f>
        <v>27982</v>
      </c>
      <c r="T20" s="68">
        <f>'Feb-25'!T20+G20</f>
        <v>39741</v>
      </c>
      <c r="U20" s="68">
        <f>'Feb-25'!U20+H20</f>
        <v>20846</v>
      </c>
      <c r="V20" s="68">
        <f>'Feb-25'!V20+I20</f>
        <v>3085</v>
      </c>
      <c r="W20" s="68">
        <f>'Feb-25'!W20+J20</f>
        <v>0</v>
      </c>
      <c r="X20" s="68">
        <f>'Feb-25'!X20+K20</f>
        <v>1753</v>
      </c>
      <c r="Y20" s="68">
        <f>'Feb-25'!Y20+L20</f>
        <v>6484</v>
      </c>
      <c r="Z20" s="64">
        <f t="shared" si="18"/>
        <v>-0.29589089353564324</v>
      </c>
      <c r="AA20" s="64">
        <f t="shared" si="19"/>
        <v>0.34231986951933235</v>
      </c>
      <c r="AB20" s="64">
        <f t="shared" si="20"/>
        <v>8.070340356564019</v>
      </c>
      <c r="AC20" s="64" t="str">
        <f t="shared" si="21"/>
        <v>n/a</v>
      </c>
      <c r="AD20" s="64">
        <f t="shared" si="22"/>
        <v>14.962350256702795</v>
      </c>
      <c r="AE20" s="60">
        <f t="shared" si="23"/>
        <v>3.3155459592843926</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149</v>
      </c>
      <c r="G22" s="71">
        <v>87</v>
      </c>
      <c r="H22" s="71">
        <v>108</v>
      </c>
      <c r="I22" s="71">
        <v>24</v>
      </c>
      <c r="J22" s="71">
        <v>0</v>
      </c>
      <c r="K22" s="71">
        <v>10</v>
      </c>
      <c r="L22" s="71">
        <v>44</v>
      </c>
      <c r="M22" s="64">
        <f t="shared" ref="M22:M23" si="24">IFERROR(F22/G22-1,"n/a")</f>
        <v>0.71264367816091956</v>
      </c>
      <c r="N22" s="64">
        <f t="shared" ref="N22:N23" si="25">IFERROR(F22/H22-1,"n/a")</f>
        <v>0.37962962962962954</v>
      </c>
      <c r="O22" s="64">
        <f t="shared" ref="O22:O23" si="26">IFERROR(F22/I22-1,"n/a")</f>
        <v>5.208333333333333</v>
      </c>
      <c r="P22" s="64" t="str">
        <f t="shared" ref="P22:P23" si="27">IFERROR(F22/J22-1,"n/a")</f>
        <v>n/a</v>
      </c>
      <c r="Q22" s="64">
        <f t="shared" ref="Q22:Q23" si="28">IFERROR(F22/K22-1,"n/a")</f>
        <v>13.9</v>
      </c>
      <c r="R22" s="60">
        <f t="shared" ref="R22:R23" si="29">IFERROR(F22/L22-1,"n/a")</f>
        <v>2.3863636363636362</v>
      </c>
      <c r="S22" s="68">
        <f>'Feb-25'!S22+F22</f>
        <v>396</v>
      </c>
      <c r="T22" s="68">
        <f>'Feb-25'!T22+G22</f>
        <v>259</v>
      </c>
      <c r="U22" s="68">
        <f>'Feb-25'!U22+H22</f>
        <v>287</v>
      </c>
      <c r="V22" s="68">
        <f>'Feb-25'!V22+I22</f>
        <v>53</v>
      </c>
      <c r="W22" s="68">
        <f>'Feb-25'!W22+J22</f>
        <v>0</v>
      </c>
      <c r="X22" s="68">
        <f>'Feb-25'!X22+K22</f>
        <v>43</v>
      </c>
      <c r="Y22" s="68">
        <f>'Feb-25'!Y22+L22</f>
        <v>89</v>
      </c>
      <c r="Z22" s="64">
        <f t="shared" ref="Z22:Z23" si="30">IFERROR(S22/T22-1,"n/a")</f>
        <v>0.52895752895752901</v>
      </c>
      <c r="AA22" s="64">
        <f t="shared" ref="AA22:AA23" si="31">IFERROR(S22/U22-1,"n/a")</f>
        <v>0.37979094076655051</v>
      </c>
      <c r="AB22" s="64">
        <f t="shared" ref="AB22:AB23" si="32">IFERROR(S22/V22-1,"n/a")</f>
        <v>6.4716981132075473</v>
      </c>
      <c r="AC22" s="64" t="str">
        <f t="shared" ref="AC22:AC23" si="33">IFERROR(S22/W22-1,"n/a")</f>
        <v>n/a</v>
      </c>
      <c r="AD22" s="64">
        <f t="shared" ref="AD22:AD23" si="34">IFERROR(S22/X22-1,"n/a")</f>
        <v>8.2093023255813957</v>
      </c>
      <c r="AE22" s="60">
        <f t="shared" ref="AE22:AE23" si="35">IFERROR(S22/Y22-1,"n/a")</f>
        <v>3.4494382022471912</v>
      </c>
      <c r="AF22" s="68">
        <v>1651</v>
      </c>
      <c r="AG22" s="68">
        <v>1500</v>
      </c>
      <c r="AH22" s="68">
        <v>895</v>
      </c>
      <c r="AI22" s="68">
        <v>283</v>
      </c>
      <c r="AJ22" s="68">
        <v>43</v>
      </c>
      <c r="AK22" s="134">
        <v>827</v>
      </c>
      <c r="AL22" s="122"/>
      <c r="AM22" s="122"/>
    </row>
    <row r="23" spans="1:39" s="123" customFormat="1" ht="12.75">
      <c r="A23" s="122"/>
      <c r="B23" s="127"/>
      <c r="C23" s="33"/>
      <c r="D23" s="26" t="s">
        <v>11</v>
      </c>
      <c r="E23" s="32"/>
      <c r="F23" s="71">
        <v>376742</v>
      </c>
      <c r="G23" s="71">
        <v>316617</v>
      </c>
      <c r="H23" s="71">
        <v>297870</v>
      </c>
      <c r="I23" s="71">
        <v>32594</v>
      </c>
      <c r="J23" s="71">
        <v>0</v>
      </c>
      <c r="K23" s="71">
        <v>28535</v>
      </c>
      <c r="L23" s="71">
        <v>117674</v>
      </c>
      <c r="M23" s="64">
        <f t="shared" si="24"/>
        <v>0.18989820508690314</v>
      </c>
      <c r="N23" s="64">
        <f t="shared" si="25"/>
        <v>0.26478665189512207</v>
      </c>
      <c r="O23" s="64">
        <f t="shared" si="26"/>
        <v>10.558630422777199</v>
      </c>
      <c r="P23" s="64" t="str">
        <f t="shared" si="27"/>
        <v>n/a</v>
      </c>
      <c r="Q23" s="64">
        <f t="shared" si="28"/>
        <v>12.20280357455756</v>
      </c>
      <c r="R23" s="60">
        <f t="shared" si="29"/>
        <v>2.2015738395907336</v>
      </c>
      <c r="S23" s="68">
        <f>'Feb-25'!S23+F23</f>
        <v>1113991</v>
      </c>
      <c r="T23" s="68">
        <f>'Feb-25'!T23+G23</f>
        <v>913055</v>
      </c>
      <c r="U23" s="68">
        <f>'Feb-25'!U23+H23</f>
        <v>836274</v>
      </c>
      <c r="V23" s="68">
        <f>'Feb-25'!V23+I23</f>
        <v>68454</v>
      </c>
      <c r="W23" s="68">
        <f>'Feb-25'!W23+J23</f>
        <v>0</v>
      </c>
      <c r="X23" s="68">
        <f>'Feb-25'!X23+K23</f>
        <v>140552</v>
      </c>
      <c r="Y23" s="68">
        <f>'Feb-25'!Y23+L23</f>
        <v>251900</v>
      </c>
      <c r="Z23" s="64">
        <f t="shared" si="30"/>
        <v>0.22006998483114382</v>
      </c>
      <c r="AA23" s="64">
        <f t="shared" si="31"/>
        <v>0.33208852600941796</v>
      </c>
      <c r="AB23" s="64">
        <f t="shared" si="32"/>
        <v>15.273570572939491</v>
      </c>
      <c r="AC23" s="64" t="str">
        <f t="shared" si="33"/>
        <v>n/a</v>
      </c>
      <c r="AD23" s="64">
        <f t="shared" si="34"/>
        <v>6.9258281632420742</v>
      </c>
      <c r="AE23" s="60">
        <f t="shared" si="35"/>
        <v>3.4223541087733231</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c r="G25" s="71">
        <v>0</v>
      </c>
      <c r="H25" s="71">
        <v>0</v>
      </c>
      <c r="I25" s="71">
        <v>0</v>
      </c>
      <c r="J25" s="71">
        <v>0</v>
      </c>
      <c r="K25" s="71">
        <v>0</v>
      </c>
      <c r="L25" s="71">
        <v>0</v>
      </c>
      <c r="M25" s="64" t="str">
        <f t="shared" ref="M25:M28" si="36">IFERROR(F25/G25-1,"n/a")</f>
        <v>n/a</v>
      </c>
      <c r="N25" s="64" t="str">
        <f t="shared" ref="N25:N28" si="37">IFERROR(F25/H25-1,"n/a")</f>
        <v>n/a</v>
      </c>
      <c r="O25" s="64" t="str">
        <f t="shared" ref="O25:O28" si="38">IFERROR(F25/I25-1,"n/a")</f>
        <v>n/a</v>
      </c>
      <c r="P25" s="64" t="str">
        <f t="shared" ref="P25:P28" si="39">IFERROR(F25/J25-1,"n/a")</f>
        <v>n/a</v>
      </c>
      <c r="Q25" s="64" t="str">
        <f t="shared" ref="Q25:Q28" si="40">IFERROR(F25/K25-1,"n/a")</f>
        <v>n/a</v>
      </c>
      <c r="R25" s="60" t="str">
        <f t="shared" ref="R25:R28" si="41">IFERROR(F25/L25-1,"n/a")</f>
        <v>n/a</v>
      </c>
      <c r="S25" s="68">
        <f>'Feb-25'!S25+F25</f>
        <v>0</v>
      </c>
      <c r="T25" s="68">
        <f>'Feb-25'!T25+G25</f>
        <v>0</v>
      </c>
      <c r="U25" s="68">
        <f>'Feb-25'!U25+H25</f>
        <v>0</v>
      </c>
      <c r="V25" s="68">
        <f>'Feb-25'!V25+I25</f>
        <v>0</v>
      </c>
      <c r="W25" s="68">
        <f>'Feb-25'!W25+J25</f>
        <v>0</v>
      </c>
      <c r="X25" s="68">
        <f>'Feb-25'!X25+K25</f>
        <v>0</v>
      </c>
      <c r="Y25" s="68">
        <f>'Feb-25'!Y25+L25</f>
        <v>0</v>
      </c>
      <c r="Z25" s="64" t="str">
        <f t="shared" ref="Z25:Z28" si="42">IFERROR(S25/T25-1,"n/a")</f>
        <v>n/a</v>
      </c>
      <c r="AA25" s="64" t="str">
        <f t="shared" ref="AA25:AA28" si="43">IFERROR(S25/U25-1,"n/a")</f>
        <v>n/a</v>
      </c>
      <c r="AB25" s="64" t="str">
        <f t="shared" ref="AB25:AB28" si="44">IFERROR(S25/V25-1,"n/a")</f>
        <v>n/a</v>
      </c>
      <c r="AC25" s="64" t="str">
        <f t="shared" ref="AC25:AC28" si="45">IFERROR(S25/W25-1,"n/a")</f>
        <v>n/a</v>
      </c>
      <c r="AD25" s="64" t="str">
        <f t="shared" ref="AD25:AD28" si="46">IFERROR(S25/X25-1,"n/a")</f>
        <v>n/a</v>
      </c>
      <c r="AE25" s="60" t="str">
        <f t="shared" ref="AE25:AE28" si="47">IFERROR(S25/Y25-1,"n/a")</f>
        <v>n/a</v>
      </c>
      <c r="AF25" s="68">
        <v>14</v>
      </c>
      <c r="AG25" s="68">
        <v>21</v>
      </c>
      <c r="AH25" s="68">
        <v>9</v>
      </c>
      <c r="AI25" s="68">
        <v>0</v>
      </c>
      <c r="AJ25" s="68">
        <v>0</v>
      </c>
      <c r="AK25" s="134">
        <v>16</v>
      </c>
      <c r="AL25" s="122"/>
      <c r="AM25" s="122"/>
    </row>
    <row r="26" spans="1:39" s="123" customFormat="1" ht="12.75">
      <c r="A26" s="122"/>
      <c r="B26" s="127"/>
      <c r="C26" s="33"/>
      <c r="D26" s="26" t="s">
        <v>11</v>
      </c>
      <c r="E26" s="32"/>
      <c r="F26" s="71"/>
      <c r="G26" s="71">
        <v>0</v>
      </c>
      <c r="H26" s="71">
        <v>0</v>
      </c>
      <c r="I26" s="71">
        <v>0</v>
      </c>
      <c r="J26" s="71">
        <v>0</v>
      </c>
      <c r="K26" s="71">
        <v>0</v>
      </c>
      <c r="L26" s="71">
        <v>0</v>
      </c>
      <c r="M26" s="64" t="str">
        <f t="shared" si="36"/>
        <v>n/a</v>
      </c>
      <c r="N26" s="64" t="str">
        <f t="shared" si="37"/>
        <v>n/a</v>
      </c>
      <c r="O26" s="64" t="str">
        <f t="shared" si="38"/>
        <v>n/a</v>
      </c>
      <c r="P26" s="64" t="str">
        <f t="shared" si="39"/>
        <v>n/a</v>
      </c>
      <c r="Q26" s="64" t="str">
        <f t="shared" si="40"/>
        <v>n/a</v>
      </c>
      <c r="R26" s="60" t="str">
        <f t="shared" si="41"/>
        <v>n/a</v>
      </c>
      <c r="S26" s="68">
        <f>'Feb-25'!S26+F26</f>
        <v>0</v>
      </c>
      <c r="T26" s="68">
        <f>'Feb-25'!T26+G26</f>
        <v>0</v>
      </c>
      <c r="U26" s="68">
        <f>'Feb-25'!U26+H26</f>
        <v>0</v>
      </c>
      <c r="V26" s="68">
        <f>'Feb-25'!V26+I26</f>
        <v>0</v>
      </c>
      <c r="W26" s="68">
        <f>'Feb-25'!W26+J26</f>
        <v>0</v>
      </c>
      <c r="X26" s="68">
        <f>'Feb-25'!X26+K26</f>
        <v>0</v>
      </c>
      <c r="Y26" s="68">
        <f>'Feb-25'!Y26+L26</f>
        <v>0</v>
      </c>
      <c r="Z26" s="64" t="str">
        <f t="shared" si="42"/>
        <v>n/a</v>
      </c>
      <c r="AA26" s="64" t="str">
        <f t="shared" si="43"/>
        <v>n/a</v>
      </c>
      <c r="AB26" s="64" t="str">
        <f t="shared" si="44"/>
        <v>n/a</v>
      </c>
      <c r="AC26" s="64" t="str">
        <f t="shared" si="45"/>
        <v>n/a</v>
      </c>
      <c r="AD26" s="64" t="str">
        <f t="shared" si="46"/>
        <v>n/a</v>
      </c>
      <c r="AE26" s="60" t="str">
        <f t="shared" si="47"/>
        <v>n/a</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542</v>
      </c>
      <c r="G27" s="75">
        <f t="shared" si="48"/>
        <v>406</v>
      </c>
      <c r="H27" s="75">
        <f t="shared" si="48"/>
        <v>322</v>
      </c>
      <c r="I27" s="75">
        <f t="shared" si="48"/>
        <v>260</v>
      </c>
      <c r="J27" s="75">
        <f t="shared" si="48"/>
        <v>5</v>
      </c>
      <c r="K27" s="75">
        <f t="shared" si="48"/>
        <v>160</v>
      </c>
      <c r="L27" s="75">
        <f t="shared" si="48"/>
        <v>229</v>
      </c>
      <c r="M27" s="66">
        <f t="shared" si="36"/>
        <v>0.33497536945812811</v>
      </c>
      <c r="N27" s="66">
        <f t="shared" si="37"/>
        <v>0.68322981366459623</v>
      </c>
      <c r="O27" s="66">
        <f t="shared" si="38"/>
        <v>1.0846153846153848</v>
      </c>
      <c r="P27" s="66">
        <f t="shared" si="39"/>
        <v>107.4</v>
      </c>
      <c r="Q27" s="66">
        <f t="shared" si="40"/>
        <v>2.3875000000000002</v>
      </c>
      <c r="R27" s="62">
        <f t="shared" si="41"/>
        <v>1.3668122270742358</v>
      </c>
      <c r="S27" s="75">
        <f t="shared" ref="S27:Y28" si="49">S13+S16+S19+S22+S25</f>
        <v>1568</v>
      </c>
      <c r="T27" s="75">
        <f t="shared" si="49"/>
        <v>1025</v>
      </c>
      <c r="U27" s="75">
        <f t="shared" si="49"/>
        <v>867</v>
      </c>
      <c r="V27" s="75">
        <f t="shared" si="49"/>
        <v>631</v>
      </c>
      <c r="W27" s="75">
        <f t="shared" si="49"/>
        <v>12</v>
      </c>
      <c r="X27" s="75">
        <f t="shared" si="49"/>
        <v>565</v>
      </c>
      <c r="Y27" s="75">
        <f t="shared" si="49"/>
        <v>634</v>
      </c>
      <c r="Z27" s="66">
        <f t="shared" si="42"/>
        <v>0.52975609756097564</v>
      </c>
      <c r="AA27" s="66">
        <f t="shared" si="43"/>
        <v>0.80853517877739334</v>
      </c>
      <c r="AB27" s="66">
        <f t="shared" si="44"/>
        <v>1.4849445324881141</v>
      </c>
      <c r="AC27" s="66">
        <f t="shared" si="45"/>
        <v>129.66666666666666</v>
      </c>
      <c r="AD27" s="66">
        <f t="shared" si="46"/>
        <v>1.7752212389380531</v>
      </c>
      <c r="AE27" s="62">
        <f t="shared" si="47"/>
        <v>1.4731861198738172</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1450136</v>
      </c>
      <c r="G28" s="76">
        <f t="shared" si="48"/>
        <v>1260097</v>
      </c>
      <c r="H28" s="76">
        <f t="shared" si="48"/>
        <v>921313</v>
      </c>
      <c r="I28" s="76">
        <f t="shared" si="48"/>
        <v>406818</v>
      </c>
      <c r="J28" s="76">
        <f t="shared" si="48"/>
        <v>4146</v>
      </c>
      <c r="K28" s="76">
        <f t="shared" si="48"/>
        <v>226273</v>
      </c>
      <c r="L28" s="76">
        <f t="shared" si="48"/>
        <v>655947</v>
      </c>
      <c r="M28" s="67">
        <f t="shared" si="36"/>
        <v>0.15081299296800177</v>
      </c>
      <c r="N28" s="67">
        <f t="shared" si="37"/>
        <v>0.57398842738569855</v>
      </c>
      <c r="O28" s="67">
        <f t="shared" si="38"/>
        <v>2.5645817048409856</v>
      </c>
      <c r="P28" s="67">
        <f t="shared" si="39"/>
        <v>348.76748673420167</v>
      </c>
      <c r="Q28" s="67">
        <f t="shared" si="40"/>
        <v>5.4087893827367823</v>
      </c>
      <c r="R28" s="63">
        <f t="shared" si="41"/>
        <v>1.2107517832995653</v>
      </c>
      <c r="S28" s="76">
        <f t="shared" si="49"/>
        <v>4217135</v>
      </c>
      <c r="T28" s="76">
        <f t="shared" si="49"/>
        <v>3237194</v>
      </c>
      <c r="U28" s="76">
        <f t="shared" si="49"/>
        <v>2478359</v>
      </c>
      <c r="V28" s="76">
        <f t="shared" si="49"/>
        <v>867705</v>
      </c>
      <c r="W28" s="76">
        <f t="shared" si="49"/>
        <v>10103</v>
      </c>
      <c r="X28" s="76">
        <f t="shared" si="49"/>
        <v>1276302</v>
      </c>
      <c r="Y28" s="76">
        <f t="shared" si="49"/>
        <v>1789862</v>
      </c>
      <c r="Z28" s="67">
        <f t="shared" si="42"/>
        <v>0.30271309041101646</v>
      </c>
      <c r="AA28" s="67">
        <f t="shared" si="43"/>
        <v>0.70158358817265776</v>
      </c>
      <c r="AB28" s="67">
        <f t="shared" si="44"/>
        <v>3.8601022236820119</v>
      </c>
      <c r="AC28" s="67">
        <f t="shared" si="45"/>
        <v>416.41413441552015</v>
      </c>
      <c r="AD28" s="67">
        <f t="shared" si="46"/>
        <v>2.3041827091080322</v>
      </c>
      <c r="AE28" s="63">
        <f t="shared" si="47"/>
        <v>1.3561229860179163</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2"/>
      <c r="T30" s="122"/>
      <c r="U30" s="128"/>
      <c r="V30" s="122"/>
      <c r="W30" s="122"/>
      <c r="X30" s="122"/>
      <c r="Y30" s="122"/>
      <c r="Z30" s="122"/>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March</v>
      </c>
      <c r="G33" s="170"/>
      <c r="H33" s="170"/>
      <c r="I33" s="170"/>
      <c r="J33" s="170"/>
      <c r="K33" s="170"/>
      <c r="L33" s="170"/>
      <c r="M33" s="170"/>
      <c r="N33" s="170"/>
      <c r="O33" s="170"/>
      <c r="P33" s="170"/>
      <c r="Q33" s="170"/>
      <c r="R33" s="171"/>
      <c r="S33" s="176" t="str">
        <f>"April to "&amp;D4&amp;" (YTD)"</f>
        <v>April to March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c r="T35" s="53" t="s">
        <v>128</v>
      </c>
      <c r="U35" s="53" t="s">
        <v>114</v>
      </c>
      <c r="V35" s="53" t="s">
        <v>53</v>
      </c>
      <c r="W35" s="52" t="s">
        <v>54</v>
      </c>
      <c r="X35" s="52" t="s">
        <v>59</v>
      </c>
      <c r="Y35" s="52" t="s">
        <v>64</v>
      </c>
      <c r="Z35" s="52"/>
      <c r="AA35" s="53" t="s">
        <v>129</v>
      </c>
      <c r="AB35" s="53" t="s">
        <v>140</v>
      </c>
      <c r="AC35" s="53" t="s">
        <v>141</v>
      </c>
      <c r="AD35" s="53" t="s">
        <v>142</v>
      </c>
      <c r="AE35" s="57" t="s">
        <v>143</v>
      </c>
      <c r="AF35" s="53"/>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349</v>
      </c>
      <c r="G37" s="74">
        <f t="shared" ref="G37:L38" si="51">G13</f>
        <v>281</v>
      </c>
      <c r="H37" s="74">
        <f t="shared" si="51"/>
        <v>181</v>
      </c>
      <c r="I37" s="74">
        <f t="shared" si="51"/>
        <v>204</v>
      </c>
      <c r="J37" s="74">
        <f t="shared" si="51"/>
        <v>0</v>
      </c>
      <c r="K37" s="74">
        <f t="shared" si="51"/>
        <v>147</v>
      </c>
      <c r="L37" s="74">
        <f t="shared" si="51"/>
        <v>170</v>
      </c>
      <c r="M37" s="64">
        <f t="shared" ref="M37:M38" si="52">IFERROR(F37/G37-1,"n/a")</f>
        <v>0.24199288256227769</v>
      </c>
      <c r="N37" s="64">
        <f t="shared" ref="N37:N38" si="53">IFERROR(F37/H37-1,"n/a")</f>
        <v>0.92817679558011057</v>
      </c>
      <c r="O37" s="64">
        <f t="shared" ref="O37:O38" si="54">IFERROR(F37/I37-1,"n/a")</f>
        <v>0.71078431372549011</v>
      </c>
      <c r="P37" s="64" t="str">
        <f t="shared" ref="P37:P38" si="55">IFERROR(F37/J37-1,"n/a")</f>
        <v>n/a</v>
      </c>
      <c r="Q37" s="64">
        <f t="shared" ref="Q37:Q38" si="56">IFERROR(F37/K37-1,"n/a")</f>
        <v>1.3741496598639458</v>
      </c>
      <c r="R37" s="60">
        <f t="shared" ref="R37:R38" si="57">IFERROR(F37/L37-1,"n/a")</f>
        <v>1.052941176470588</v>
      </c>
      <c r="S37" s="64"/>
      <c r="T37" s="74">
        <f>'Feb-25'!T37+'Mar-25'!F37</f>
        <v>2874</v>
      </c>
      <c r="U37" s="74">
        <f>'Feb-25'!U37+'Mar-25'!G37</f>
        <v>1802</v>
      </c>
      <c r="V37" s="74">
        <f>'Feb-25'!V37+'Mar-25'!H37</f>
        <v>1486</v>
      </c>
      <c r="W37" s="74">
        <f>'Feb-25'!W37+'Mar-25'!I37</f>
        <v>1045</v>
      </c>
      <c r="X37" s="74">
        <f>'Feb-25'!X37+'Mar-25'!J37</f>
        <v>42</v>
      </c>
      <c r="Y37" s="74">
        <f>'Feb-25'!Y37+'Mar-25'!K37</f>
        <v>1577</v>
      </c>
      <c r="Z37" s="162"/>
      <c r="AA37" s="147">
        <f>IFERROR(T37/U37-1,"n/a")</f>
        <v>0.59489456159822418</v>
      </c>
      <c r="AB37" s="147">
        <f>IFERROR(T37/V37-1,"n/a")</f>
        <v>0.93405114401076705</v>
      </c>
      <c r="AC37" s="147">
        <f>IFERROR(T37/W37-1,"n/a")</f>
        <v>1.7502392344497606</v>
      </c>
      <c r="AD37" s="147">
        <f>IFERROR(T37/X37-1,"n/a")</f>
        <v>67.428571428571431</v>
      </c>
      <c r="AE37" s="158">
        <f>IFERROR(T37/Y37-1,"n/a")</f>
        <v>0.82244768547875724</v>
      </c>
      <c r="AF37" s="119"/>
      <c r="AG37" s="89">
        <v>1802</v>
      </c>
      <c r="AH37" s="89">
        <v>1486</v>
      </c>
      <c r="AI37" s="89">
        <v>1052</v>
      </c>
      <c r="AJ37" s="70">
        <v>551</v>
      </c>
      <c r="AK37" s="78">
        <v>1584</v>
      </c>
      <c r="AM37" s="122"/>
    </row>
    <row r="38" spans="1:39" s="123" customFormat="1" ht="11.25">
      <c r="A38" s="122"/>
      <c r="B38" s="122"/>
      <c r="C38" s="33"/>
      <c r="D38" s="26" t="s">
        <v>11</v>
      </c>
      <c r="E38" s="32"/>
      <c r="F38" s="74">
        <f>F14</f>
        <v>996380</v>
      </c>
      <c r="G38" s="74">
        <f t="shared" si="51"/>
        <v>857821</v>
      </c>
      <c r="H38" s="74">
        <f t="shared" si="51"/>
        <v>565574</v>
      </c>
      <c r="I38" s="74">
        <f t="shared" si="51"/>
        <v>344501</v>
      </c>
      <c r="J38" s="74">
        <f t="shared" si="51"/>
        <v>0</v>
      </c>
      <c r="K38" s="74">
        <f t="shared" si="51"/>
        <v>196286</v>
      </c>
      <c r="L38" s="74">
        <f t="shared" si="51"/>
        <v>500596</v>
      </c>
      <c r="M38" s="64">
        <f t="shared" si="52"/>
        <v>0.16152437396613051</v>
      </c>
      <c r="N38" s="64">
        <f t="shared" si="53"/>
        <v>0.76171464742014305</v>
      </c>
      <c r="O38" s="64">
        <f t="shared" si="54"/>
        <v>1.892241241679995</v>
      </c>
      <c r="P38" s="64" t="str">
        <f t="shared" si="55"/>
        <v>n/a</v>
      </c>
      <c r="Q38" s="64">
        <f t="shared" si="56"/>
        <v>4.0761643723953824</v>
      </c>
      <c r="R38" s="60">
        <f t="shared" si="57"/>
        <v>0.99038745814988527</v>
      </c>
      <c r="S38" s="64"/>
      <c r="T38" s="74">
        <f>'Feb-25'!T38+'Mar-25'!F38</f>
        <v>8791246</v>
      </c>
      <c r="U38" s="74">
        <f>'Feb-25'!U38+'Mar-25'!G38</f>
        <v>5848177</v>
      </c>
      <c r="V38" s="74">
        <f>'Feb-25'!V38+'Mar-25'!H38</f>
        <v>4370939</v>
      </c>
      <c r="W38" s="74">
        <f>'Feb-25'!W38+'Mar-25'!I38</f>
        <v>1522859</v>
      </c>
      <c r="X38" s="74">
        <f>'Feb-25'!X38+'Mar-25'!J38</f>
        <v>0</v>
      </c>
      <c r="Y38" s="74">
        <f>'Feb-25'!Y38+'Mar-25'!K38</f>
        <v>4212856</v>
      </c>
      <c r="Z38" s="162"/>
      <c r="AA38" s="147">
        <f>IFERROR(T38/U38-1,"n/a")</f>
        <v>0.50324554130287091</v>
      </c>
      <c r="AB38" s="147">
        <f>IFERROR(T38/V38-1,"n/a")</f>
        <v>1.011294598254517</v>
      </c>
      <c r="AC38" s="147">
        <f>IFERROR(T38/W38-1,"n/a")</f>
        <v>4.7728561869483652</v>
      </c>
      <c r="AD38" s="147" t="str">
        <f>IFERROR(T38/X38-1,"n/a")</f>
        <v>n/a</v>
      </c>
      <c r="AE38" s="158">
        <f>IFERROR(T38/Y38-1,"n/a")</f>
        <v>1.086766317196695</v>
      </c>
      <c r="AF38" s="119"/>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65"/>
      <c r="T39" s="26"/>
      <c r="U39" s="26"/>
      <c r="V39" s="26"/>
      <c r="W39" s="26"/>
      <c r="X39" s="26"/>
      <c r="Y39" s="26"/>
      <c r="Z39" s="146"/>
      <c r="AA39" s="148"/>
      <c r="AB39" s="148"/>
      <c r="AC39" s="148"/>
      <c r="AD39" s="148"/>
      <c r="AE39" s="159"/>
      <c r="AF39" s="65"/>
      <c r="AG39" s="90"/>
      <c r="AH39" s="90"/>
      <c r="AI39" s="90"/>
      <c r="AJ39" s="44"/>
      <c r="AK39" s="79"/>
      <c r="AM39" s="122"/>
    </row>
    <row r="40" spans="1:39" s="123" customFormat="1" ht="11.25">
      <c r="A40" s="122"/>
      <c r="B40" s="122"/>
      <c r="C40" s="33"/>
      <c r="D40" s="26" t="s">
        <v>5</v>
      </c>
      <c r="E40" s="32"/>
      <c r="F40" s="74">
        <f t="shared" ref="F40:L41" si="58">F16</f>
        <v>30</v>
      </c>
      <c r="G40" s="74">
        <f t="shared" si="58"/>
        <v>17</v>
      </c>
      <c r="H40" s="74">
        <f t="shared" si="58"/>
        <v>16</v>
      </c>
      <c r="I40" s="74">
        <f t="shared" si="58"/>
        <v>26</v>
      </c>
      <c r="J40" s="74">
        <f t="shared" si="58"/>
        <v>5</v>
      </c>
      <c r="K40" s="74">
        <f t="shared" si="58"/>
        <v>1</v>
      </c>
      <c r="L40" s="74">
        <f t="shared" si="58"/>
        <v>10</v>
      </c>
      <c r="M40" s="64">
        <f t="shared" ref="M40:M41" si="59">IFERROR(F40/G40-1,"n/a")</f>
        <v>0.76470588235294112</v>
      </c>
      <c r="N40" s="64">
        <f t="shared" ref="N40:N41" si="60">IFERROR(F40/H40-1,"n/a")</f>
        <v>0.875</v>
      </c>
      <c r="O40" s="64">
        <f t="shared" ref="O40:O41" si="61">IFERROR(F40/I40-1,"n/a")</f>
        <v>0.15384615384615374</v>
      </c>
      <c r="P40" s="64">
        <f t="shared" ref="P40:P41" si="62">IFERROR(F40/J40-1,"n/a")</f>
        <v>5</v>
      </c>
      <c r="Q40" s="64">
        <f t="shared" ref="Q40:Q41" si="63">IFERROR(F40/K40-1,"n/a")</f>
        <v>29</v>
      </c>
      <c r="R40" s="60">
        <f t="shared" ref="R40:R41" si="64">IFERROR(F40/L40-1,"n/a")</f>
        <v>2</v>
      </c>
      <c r="S40" s="64"/>
      <c r="T40" s="74">
        <f>'Feb-25'!T40+'Mar-25'!F40</f>
        <v>817</v>
      </c>
      <c r="U40" s="74">
        <f>'Feb-25'!U40+'Mar-25'!G40</f>
        <v>584</v>
      </c>
      <c r="V40" s="74">
        <f>'Feb-25'!V40+'Mar-25'!H40</f>
        <v>564</v>
      </c>
      <c r="W40" s="74">
        <f>'Feb-25'!W40+'Mar-25'!I40</f>
        <v>228</v>
      </c>
      <c r="X40" s="74">
        <f>'Feb-25'!X40+'Mar-25'!J40</f>
        <v>56</v>
      </c>
      <c r="Y40" s="74">
        <f>'Feb-25'!Y40+'Mar-25'!K40</f>
        <v>580</v>
      </c>
      <c r="Z40" s="162"/>
      <c r="AA40" s="147">
        <f t="shared" ref="AA40:AA41" si="65">IFERROR(T40/U40-1,"n/a")</f>
        <v>0.39897260273972601</v>
      </c>
      <c r="AB40" s="147">
        <f t="shared" ref="AB40:AB41" si="66">IFERROR(T40/V40-1,"n/a")</f>
        <v>0.44858156028368801</v>
      </c>
      <c r="AC40" s="147">
        <f t="shared" ref="AC40:AC41" si="67">IFERROR(T40/W40-1,"n/a")</f>
        <v>2.5833333333333335</v>
      </c>
      <c r="AD40" s="147">
        <f t="shared" ref="AD40:AD41" si="68">IFERROR(T40/X40-1,"n/a")</f>
        <v>13.589285714285714</v>
      </c>
      <c r="AE40" s="158">
        <f t="shared" ref="AE40:AE41" si="69">IFERROR(T40/Y40-1,"n/a")</f>
        <v>0.40862068965517251</v>
      </c>
      <c r="AF40" s="119"/>
      <c r="AG40" s="89">
        <v>583</v>
      </c>
      <c r="AH40" s="89">
        <v>563</v>
      </c>
      <c r="AI40" s="89">
        <v>226</v>
      </c>
      <c r="AJ40" s="70">
        <v>66</v>
      </c>
      <c r="AK40" s="78">
        <v>573</v>
      </c>
      <c r="AM40" s="122"/>
    </row>
    <row r="41" spans="1:39" s="123" customFormat="1" ht="11.25">
      <c r="A41" s="122"/>
      <c r="B41" s="122"/>
      <c r="C41" s="33"/>
      <c r="D41" s="26" t="s">
        <v>11</v>
      </c>
      <c r="E41" s="32"/>
      <c r="F41" s="74">
        <f t="shared" si="58"/>
        <v>61961</v>
      </c>
      <c r="G41" s="74">
        <f t="shared" si="58"/>
        <v>54338</v>
      </c>
      <c r="H41" s="74">
        <f t="shared" si="58"/>
        <v>43135</v>
      </c>
      <c r="I41" s="74">
        <f t="shared" si="58"/>
        <v>28377</v>
      </c>
      <c r="J41" s="74">
        <f t="shared" si="58"/>
        <v>4146</v>
      </c>
      <c r="K41" s="74">
        <f t="shared" si="58"/>
        <v>565</v>
      </c>
      <c r="L41" s="74">
        <f t="shared" si="58"/>
        <v>32801</v>
      </c>
      <c r="M41" s="64">
        <f t="shared" si="59"/>
        <v>0.14028856417240232</v>
      </c>
      <c r="N41" s="64">
        <f t="shared" si="60"/>
        <v>0.43644372319462144</v>
      </c>
      <c r="O41" s="64">
        <f t="shared" si="61"/>
        <v>1.183493674454664</v>
      </c>
      <c r="P41" s="64">
        <f t="shared" si="62"/>
        <v>13.944766039556198</v>
      </c>
      <c r="Q41" s="64">
        <f t="shared" si="63"/>
        <v>108.66548672566371</v>
      </c>
      <c r="R41" s="60">
        <f t="shared" si="64"/>
        <v>0.8889972866680893</v>
      </c>
      <c r="S41" s="64"/>
      <c r="T41" s="74">
        <f>'Feb-25'!T41+'Mar-25'!F41</f>
        <v>2079983</v>
      </c>
      <c r="U41" s="74">
        <f>'Feb-25'!U41+'Mar-25'!G41</f>
        <v>1710332</v>
      </c>
      <c r="V41" s="74">
        <f>'Feb-25'!V41+'Mar-25'!H41</f>
        <v>1016447</v>
      </c>
      <c r="W41" s="74">
        <f>'Feb-25'!W41+'Mar-25'!I41</f>
        <v>328940</v>
      </c>
      <c r="X41" s="74">
        <f>'Feb-25'!X41+'Mar-25'!J41</f>
        <v>39665</v>
      </c>
      <c r="Y41" s="74">
        <f>'Feb-25'!Y41+'Mar-25'!K41</f>
        <v>1359272</v>
      </c>
      <c r="Z41" s="162"/>
      <c r="AA41" s="147">
        <f t="shared" si="65"/>
        <v>0.2161282137035383</v>
      </c>
      <c r="AB41" s="147">
        <f t="shared" si="66"/>
        <v>1.0463270588628824</v>
      </c>
      <c r="AC41" s="147">
        <f t="shared" si="67"/>
        <v>5.3232899616951421</v>
      </c>
      <c r="AD41" s="147">
        <f t="shared" si="68"/>
        <v>51.438749527291066</v>
      </c>
      <c r="AE41" s="158">
        <f t="shared" si="69"/>
        <v>0.53021838160427048</v>
      </c>
      <c r="AF41" s="119"/>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64"/>
      <c r="T42" s="87"/>
      <c r="U42" s="87"/>
      <c r="V42" s="87"/>
      <c r="W42" s="87"/>
      <c r="X42" s="87"/>
      <c r="Y42" s="87"/>
      <c r="Z42" s="110"/>
      <c r="AA42" s="147"/>
      <c r="AB42" s="147"/>
      <c r="AC42" s="147"/>
      <c r="AD42" s="147"/>
      <c r="AE42" s="158"/>
      <c r="AF42" s="64"/>
      <c r="AG42" s="90"/>
      <c r="AH42" s="90"/>
      <c r="AI42" s="90"/>
      <c r="AJ42" s="44"/>
      <c r="AK42" s="79"/>
      <c r="AM42" s="122"/>
    </row>
    <row r="43" spans="1:39" s="123" customFormat="1" ht="11.25">
      <c r="A43" s="122"/>
      <c r="B43" s="122"/>
      <c r="C43" s="33"/>
      <c r="D43" s="26" t="s">
        <v>5</v>
      </c>
      <c r="E43" s="32"/>
      <c r="F43" s="74">
        <f>F19</f>
        <v>14</v>
      </c>
      <c r="G43" s="74">
        <f t="shared" ref="G43:L44" si="70">G19</f>
        <v>21</v>
      </c>
      <c r="H43" s="74">
        <f t="shared" si="70"/>
        <v>17</v>
      </c>
      <c r="I43" s="74">
        <f t="shared" si="70"/>
        <v>6</v>
      </c>
      <c r="J43" s="74">
        <f t="shared" si="70"/>
        <v>0</v>
      </c>
      <c r="K43" s="74">
        <f t="shared" si="70"/>
        <v>2</v>
      </c>
      <c r="L43" s="74">
        <f t="shared" si="70"/>
        <v>5</v>
      </c>
      <c r="M43" s="64">
        <f t="shared" ref="M43:M44" si="71">IFERROR(F43/G43-1,"n/a")</f>
        <v>-0.33333333333333337</v>
      </c>
      <c r="N43" s="64">
        <f t="shared" ref="N43:N44" si="72">IFERROR(F43/H43-1,"n/a")</f>
        <v>-0.17647058823529416</v>
      </c>
      <c r="O43" s="64">
        <f t="shared" ref="O43:O44" si="73">IFERROR(F43/I43-1,"n/a")</f>
        <v>1.3333333333333335</v>
      </c>
      <c r="P43" s="64" t="str">
        <f t="shared" ref="P43:P44" si="74">IFERROR(F43/J43-1,"n/a")</f>
        <v>n/a</v>
      </c>
      <c r="Q43" s="64">
        <f t="shared" ref="Q43:Q44" si="75">IFERROR(F43/K43-1,"n/a")</f>
        <v>6</v>
      </c>
      <c r="R43" s="60">
        <f t="shared" ref="R43:R44" si="76">IFERROR(F43/L43-1,"n/a")</f>
        <v>1.7999999999999998</v>
      </c>
      <c r="S43" s="64"/>
      <c r="T43" s="74">
        <f>'Feb-25'!T43+'Mar-25'!F43</f>
        <v>728</v>
      </c>
      <c r="U43" s="74">
        <f>'Feb-25'!U43+'Mar-25'!G43</f>
        <v>712</v>
      </c>
      <c r="V43" s="74">
        <f>'Feb-25'!V43+'Mar-25'!H43</f>
        <v>669</v>
      </c>
      <c r="W43" s="74">
        <f>'Feb-25'!W43+'Mar-25'!I43</f>
        <v>59</v>
      </c>
      <c r="X43" s="74">
        <f>'Feb-25'!X43+'Mar-25'!J43</f>
        <v>7</v>
      </c>
      <c r="Y43" s="74">
        <f>'Feb-25'!Y43+'Mar-25'!K43</f>
        <v>287</v>
      </c>
      <c r="Z43" s="162"/>
      <c r="AA43" s="147">
        <f t="shared" ref="AA43:AA44" si="77">IFERROR(T43/U43-1,"n/a")</f>
        <v>2.2471910112359605E-2</v>
      </c>
      <c r="AB43" s="147">
        <f t="shared" ref="AB43:AB44" si="78">IFERROR(T43/V43-1,"n/a")</f>
        <v>8.819133034379667E-2</v>
      </c>
      <c r="AC43" s="147">
        <f t="shared" ref="AC43:AC44" si="79">IFERROR(T43/W43-1,"n/a")</f>
        <v>11.338983050847459</v>
      </c>
      <c r="AD43" s="147">
        <f t="shared" ref="AD43:AD44" si="80">IFERROR(T43/X43-1,"n/a")</f>
        <v>103</v>
      </c>
      <c r="AE43" s="158">
        <f t="shared" ref="AE43:AE44" si="81">IFERROR(T43/Y43-1,"n/a")</f>
        <v>1.5365853658536586</v>
      </c>
      <c r="AF43" s="119"/>
      <c r="AG43" s="89">
        <v>712</v>
      </c>
      <c r="AH43" s="89">
        <v>669</v>
      </c>
      <c r="AI43" s="89">
        <v>59</v>
      </c>
      <c r="AJ43" s="70">
        <v>9</v>
      </c>
      <c r="AK43" s="78">
        <v>287</v>
      </c>
      <c r="AM43" s="122"/>
    </row>
    <row r="44" spans="1:39" s="123" customFormat="1" ht="11.25">
      <c r="A44" s="122"/>
      <c r="B44" s="122"/>
      <c r="C44" s="33"/>
      <c r="D44" s="26" t="s">
        <v>11</v>
      </c>
      <c r="E44" s="32"/>
      <c r="F44" s="74">
        <f>F20</f>
        <v>15053</v>
      </c>
      <c r="G44" s="74">
        <f t="shared" si="70"/>
        <v>31321</v>
      </c>
      <c r="H44" s="74">
        <f t="shared" si="70"/>
        <v>14734</v>
      </c>
      <c r="I44" s="74">
        <f t="shared" si="70"/>
        <v>1346</v>
      </c>
      <c r="J44" s="74">
        <f t="shared" si="70"/>
        <v>0</v>
      </c>
      <c r="K44" s="74">
        <f t="shared" si="70"/>
        <v>887</v>
      </c>
      <c r="L44" s="74">
        <f t="shared" si="70"/>
        <v>4876</v>
      </c>
      <c r="M44" s="64">
        <f t="shared" si="71"/>
        <v>-0.51939593244149296</v>
      </c>
      <c r="N44" s="64">
        <f t="shared" si="72"/>
        <v>2.1650604045065913E-2</v>
      </c>
      <c r="O44" s="64">
        <f t="shared" si="73"/>
        <v>10.183506686478454</v>
      </c>
      <c r="P44" s="64" t="str">
        <f t="shared" si="74"/>
        <v>n/a</v>
      </c>
      <c r="Q44" s="64">
        <f t="shared" si="75"/>
        <v>15.970687711386695</v>
      </c>
      <c r="R44" s="60">
        <f t="shared" si="76"/>
        <v>2.0871616078753075</v>
      </c>
      <c r="S44" s="64"/>
      <c r="T44" s="74">
        <f>'Feb-25'!T44+'Mar-25'!F44</f>
        <v>1484512.4</v>
      </c>
      <c r="U44" s="74">
        <f>'Feb-25'!U44+'Mar-25'!G44</f>
        <v>1296421</v>
      </c>
      <c r="V44" s="74">
        <f>'Feb-25'!V44+'Mar-25'!H44</f>
        <v>905256</v>
      </c>
      <c r="W44" s="74">
        <f>'Feb-25'!W44+'Mar-25'!I44</f>
        <v>20626</v>
      </c>
      <c r="X44" s="74">
        <f>'Feb-25'!X44+'Mar-25'!J44</f>
        <v>8294</v>
      </c>
      <c r="Y44" s="74">
        <f>'Feb-25'!Y44+'Mar-25'!K44</f>
        <v>581199</v>
      </c>
      <c r="Z44" s="162"/>
      <c r="AA44" s="147">
        <f t="shared" si="77"/>
        <v>0.14508512281118557</v>
      </c>
      <c r="AB44" s="147">
        <f t="shared" si="78"/>
        <v>0.63988131534063286</v>
      </c>
      <c r="AC44" s="147">
        <f t="shared" si="79"/>
        <v>70.972869194220877</v>
      </c>
      <c r="AD44" s="147">
        <f t="shared" si="80"/>
        <v>177.9863033518206</v>
      </c>
      <c r="AE44" s="158">
        <f t="shared" si="81"/>
        <v>1.5542239405091887</v>
      </c>
      <c r="AF44" s="119"/>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64"/>
      <c r="T45" s="72"/>
      <c r="U45" s="72"/>
      <c r="V45" s="72"/>
      <c r="W45" s="72"/>
      <c r="X45" s="72"/>
      <c r="Y45" s="72"/>
      <c r="Z45" s="160"/>
      <c r="AA45" s="147"/>
      <c r="AB45" s="147"/>
      <c r="AC45" s="147"/>
      <c r="AD45" s="147"/>
      <c r="AE45" s="158"/>
      <c r="AF45" s="64"/>
      <c r="AG45" s="90"/>
      <c r="AH45" s="90"/>
      <c r="AI45" s="90"/>
      <c r="AJ45" s="44"/>
      <c r="AK45" s="79"/>
      <c r="AM45" s="122"/>
    </row>
    <row r="46" spans="1:39" s="123" customFormat="1" ht="11.25">
      <c r="A46" s="122"/>
      <c r="B46" s="122"/>
      <c r="C46" s="33"/>
      <c r="D46" s="26" t="s">
        <v>5</v>
      </c>
      <c r="E46" s="34"/>
      <c r="F46" s="74">
        <f>F22</f>
        <v>149</v>
      </c>
      <c r="G46" s="74">
        <f t="shared" ref="G46:L47" si="82">G22</f>
        <v>87</v>
      </c>
      <c r="H46" s="74">
        <f t="shared" si="82"/>
        <v>108</v>
      </c>
      <c r="I46" s="74">
        <f t="shared" si="82"/>
        <v>24</v>
      </c>
      <c r="J46" s="74">
        <f t="shared" si="82"/>
        <v>0</v>
      </c>
      <c r="K46" s="74">
        <f t="shared" si="82"/>
        <v>10</v>
      </c>
      <c r="L46" s="74">
        <f t="shared" si="82"/>
        <v>44</v>
      </c>
      <c r="M46" s="64">
        <f t="shared" ref="M46:M47" si="83">IFERROR(F46/G46-1,"n/a")</f>
        <v>0.71264367816091956</v>
      </c>
      <c r="N46" s="64">
        <f t="shared" ref="N46:N47" si="84">IFERROR(F46/H46-1,"n/a")</f>
        <v>0.37962962962962954</v>
      </c>
      <c r="O46" s="64">
        <f t="shared" ref="O46:O47" si="85">IFERROR(F46/I46-1,"n/a")</f>
        <v>5.208333333333333</v>
      </c>
      <c r="P46" s="64" t="str">
        <f t="shared" ref="P46:P47" si="86">IFERROR(F46/J46-1,"n/a")</f>
        <v>n/a</v>
      </c>
      <c r="Q46" s="64">
        <f t="shared" ref="Q46:Q47" si="87">IFERROR(F46/K46-1,"n/a")</f>
        <v>13.9</v>
      </c>
      <c r="R46" s="60">
        <f t="shared" ref="R46:R47" si="88">IFERROR(F46/L46-1,"n/a")</f>
        <v>2.3863636363636362</v>
      </c>
      <c r="S46" s="64"/>
      <c r="T46" s="74">
        <f>'Feb-25'!T46+'Mar-25'!F46</f>
        <v>1788</v>
      </c>
      <c r="U46" s="74">
        <f>'Feb-25'!U46+'Mar-25'!G46</f>
        <v>1471</v>
      </c>
      <c r="V46" s="74">
        <f>'Feb-25'!V46+'Mar-25'!H46</f>
        <v>1128</v>
      </c>
      <c r="W46" s="74">
        <f>'Feb-25'!W46+'Mar-25'!I46</f>
        <v>336</v>
      </c>
      <c r="X46" s="74">
        <f>'Feb-25'!X46+'Mar-25'!J46</f>
        <v>0</v>
      </c>
      <c r="Y46" s="74">
        <f>'Feb-25'!Y46+'Mar-25'!K46</f>
        <v>781</v>
      </c>
      <c r="Z46" s="162"/>
      <c r="AA46" s="147">
        <f t="shared" ref="AA46:AA47" si="89">IFERROR(T46/U46-1,"n/a")</f>
        <v>0.2154996600951733</v>
      </c>
      <c r="AB46" s="147">
        <f t="shared" ref="AB46:AB47" si="90">IFERROR(T46/V46-1,"n/a")</f>
        <v>0.58510638297872331</v>
      </c>
      <c r="AC46" s="147">
        <f t="shared" ref="AC46:AC47" si="91">IFERROR(T46/W46-1,"n/a")</f>
        <v>4.3214285714285712</v>
      </c>
      <c r="AD46" s="147" t="str">
        <f t="shared" ref="AD46:AD47" si="92">IFERROR(T46/X46-1,"n/a")</f>
        <v>n/a</v>
      </c>
      <c r="AE46" s="158">
        <f t="shared" ref="AE46:AE47" si="93">IFERROR(T46/Y46-1,"n/a")</f>
        <v>1.2893725992317542</v>
      </c>
      <c r="AF46" s="119"/>
      <c r="AG46" s="89">
        <v>1471</v>
      </c>
      <c r="AH46" s="89">
        <v>1129</v>
      </c>
      <c r="AI46" s="89">
        <v>336</v>
      </c>
      <c r="AJ46" s="84">
        <v>43</v>
      </c>
      <c r="AK46" s="78">
        <v>781</v>
      </c>
      <c r="AM46" s="122"/>
    </row>
    <row r="47" spans="1:39" s="123" customFormat="1" ht="11.25">
      <c r="A47" s="122"/>
      <c r="B47" s="122"/>
      <c r="C47" s="33"/>
      <c r="D47" s="26" t="s">
        <v>11</v>
      </c>
      <c r="E47" s="32"/>
      <c r="F47" s="74">
        <f>F23</f>
        <v>376742</v>
      </c>
      <c r="G47" s="74">
        <f t="shared" si="82"/>
        <v>316617</v>
      </c>
      <c r="H47" s="74">
        <f t="shared" si="82"/>
        <v>297870</v>
      </c>
      <c r="I47" s="74">
        <f t="shared" si="82"/>
        <v>32594</v>
      </c>
      <c r="J47" s="74">
        <f t="shared" si="82"/>
        <v>0</v>
      </c>
      <c r="K47" s="74">
        <f t="shared" si="82"/>
        <v>28535</v>
      </c>
      <c r="L47" s="74">
        <f t="shared" si="82"/>
        <v>117674</v>
      </c>
      <c r="M47" s="64">
        <f t="shared" si="83"/>
        <v>0.18989820508690314</v>
      </c>
      <c r="N47" s="64">
        <f t="shared" si="84"/>
        <v>0.26478665189512207</v>
      </c>
      <c r="O47" s="64">
        <f t="shared" si="85"/>
        <v>10.558630422777199</v>
      </c>
      <c r="P47" s="64" t="str">
        <f t="shared" si="86"/>
        <v>n/a</v>
      </c>
      <c r="Q47" s="64">
        <f t="shared" si="87"/>
        <v>12.20280357455756</v>
      </c>
      <c r="R47" s="60">
        <f t="shared" si="88"/>
        <v>2.2015738395907336</v>
      </c>
      <c r="S47" s="64"/>
      <c r="T47" s="74">
        <f>'Feb-25'!T47+'Mar-25'!F47</f>
        <v>5247410</v>
      </c>
      <c r="U47" s="74">
        <f>'Feb-25'!U47+'Mar-25'!G47</f>
        <v>4534917</v>
      </c>
      <c r="V47" s="74">
        <f>'Feb-25'!V47+'Mar-25'!H47</f>
        <v>2929044</v>
      </c>
      <c r="W47" s="74">
        <f>'Feb-25'!W47+'Mar-25'!I47</f>
        <v>533563</v>
      </c>
      <c r="X47" s="74">
        <f>'Feb-25'!X47+'Mar-25'!J47</f>
        <v>0</v>
      </c>
      <c r="Y47" s="74">
        <f>'Feb-25'!Y47+'Mar-25'!K47</f>
        <v>2441594</v>
      </c>
      <c r="Z47" s="162"/>
      <c r="AA47" s="147">
        <f t="shared" si="89"/>
        <v>0.15711268806022249</v>
      </c>
      <c r="AB47" s="147">
        <f t="shared" si="90"/>
        <v>0.79150944813393043</v>
      </c>
      <c r="AC47" s="147">
        <f t="shared" si="91"/>
        <v>8.8346587000972701</v>
      </c>
      <c r="AD47" s="147" t="str">
        <f t="shared" si="92"/>
        <v>n/a</v>
      </c>
      <c r="AE47" s="158">
        <f t="shared" si="93"/>
        <v>1.1491738593721972</v>
      </c>
      <c r="AF47" s="119"/>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64"/>
      <c r="T48" s="72"/>
      <c r="U48" s="72"/>
      <c r="V48" s="72"/>
      <c r="W48" s="72"/>
      <c r="X48" s="72"/>
      <c r="Y48" s="72"/>
      <c r="Z48" s="160"/>
      <c r="AA48" s="147"/>
      <c r="AB48" s="147"/>
      <c r="AC48" s="147"/>
      <c r="AD48" s="147"/>
      <c r="AE48" s="158"/>
      <c r="AF48" s="64"/>
      <c r="AG48" s="90"/>
      <c r="AH48" s="90"/>
      <c r="AI48" s="90"/>
      <c r="AJ48" s="44"/>
      <c r="AK48" s="79"/>
      <c r="AM48" s="122"/>
    </row>
    <row r="49" spans="3:39" s="123" customFormat="1" ht="11.25">
      <c r="C49" s="33"/>
      <c r="D49" s="26" t="s">
        <v>5</v>
      </c>
      <c r="E49" s="32"/>
      <c r="F49" s="74">
        <f>F25</f>
        <v>0</v>
      </c>
      <c r="G49" s="74">
        <f t="shared" ref="G49:L50" si="94">G25</f>
        <v>0</v>
      </c>
      <c r="H49" s="74">
        <f t="shared" si="94"/>
        <v>0</v>
      </c>
      <c r="I49" s="74">
        <f t="shared" si="94"/>
        <v>0</v>
      </c>
      <c r="J49" s="74">
        <f t="shared" si="94"/>
        <v>0</v>
      </c>
      <c r="K49" s="74">
        <f t="shared" si="94"/>
        <v>0</v>
      </c>
      <c r="L49" s="74">
        <f t="shared" si="94"/>
        <v>0</v>
      </c>
      <c r="M49" s="64" t="str">
        <f t="shared" ref="M49:M52" si="95">IFERROR(F49/G49-1,"n/a")</f>
        <v>n/a</v>
      </c>
      <c r="N49" s="64" t="str">
        <f t="shared" ref="N49:N52" si="96">IFERROR(F49/H49-1,"n/a")</f>
        <v>n/a</v>
      </c>
      <c r="O49" s="64" t="str">
        <f t="shared" ref="O49:O52" si="97">IFERROR(F49/I49-1,"n/a")</f>
        <v>n/a</v>
      </c>
      <c r="P49" s="64" t="str">
        <f t="shared" ref="P49:P52" si="98">IFERROR(F49/J49-1,"n/a")</f>
        <v>n/a</v>
      </c>
      <c r="Q49" s="64" t="str">
        <f t="shared" ref="Q49:Q52" si="99">IFERROR(F49/K49-1,"n/a")</f>
        <v>n/a</v>
      </c>
      <c r="R49" s="60" t="str">
        <f t="shared" ref="R49:R52" si="100">IFERROR(F49/L49-1,"n/a")</f>
        <v>n/a</v>
      </c>
      <c r="S49" s="64"/>
      <c r="T49" s="74">
        <f>'Feb-25'!T49+'Mar-25'!F49</f>
        <v>14</v>
      </c>
      <c r="U49" s="74">
        <f>'Feb-25'!U49+'Mar-25'!G49</f>
        <v>21</v>
      </c>
      <c r="V49" s="74">
        <f>'Feb-25'!V49+'Mar-25'!H49</f>
        <v>9</v>
      </c>
      <c r="W49" s="74">
        <f>'Feb-25'!W49+'Mar-25'!I49</f>
        <v>0</v>
      </c>
      <c r="X49" s="74">
        <f>'Feb-25'!X49+'Mar-25'!J49</f>
        <v>0</v>
      </c>
      <c r="Y49" s="74">
        <f>'Feb-25'!Y49+'Mar-25'!K49</f>
        <v>16</v>
      </c>
      <c r="Z49" s="162"/>
      <c r="AA49" s="147">
        <f t="shared" ref="AA49:AA52" si="101">IFERROR(T49/U49-1,"n/a")</f>
        <v>-0.33333333333333337</v>
      </c>
      <c r="AB49" s="147">
        <f t="shared" ref="AB49:AB52" si="102">IFERROR(T49/V49-1,"n/a")</f>
        <v>0.55555555555555558</v>
      </c>
      <c r="AC49" s="147" t="str">
        <f t="shared" ref="AC49:AC52" si="103">IFERROR(T49/W49-1,"n/a")</f>
        <v>n/a</v>
      </c>
      <c r="AD49" s="147" t="str">
        <f t="shared" ref="AD49:AD52" si="104">IFERROR(T49/X49-1,"n/a")</f>
        <v>n/a</v>
      </c>
      <c r="AE49" s="158">
        <f t="shared" ref="AE49:AE52" si="105">IFERROR(T49/Y49-1,"n/a")</f>
        <v>-0.125</v>
      </c>
      <c r="AF49" s="119"/>
      <c r="AG49" s="89">
        <v>21</v>
      </c>
      <c r="AH49" s="89">
        <v>9</v>
      </c>
      <c r="AI49" s="68">
        <v>0</v>
      </c>
      <c r="AJ49" s="68">
        <v>0</v>
      </c>
      <c r="AK49" s="78">
        <v>16</v>
      </c>
      <c r="AM49" s="122"/>
    </row>
    <row r="50" spans="3:39" s="123" customFormat="1" ht="11.25">
      <c r="C50" s="33"/>
      <c r="D50" s="26" t="s">
        <v>11</v>
      </c>
      <c r="E50" s="32"/>
      <c r="F50" s="74">
        <f>F26</f>
        <v>0</v>
      </c>
      <c r="G50" s="74">
        <f t="shared" si="94"/>
        <v>0</v>
      </c>
      <c r="H50" s="74">
        <f t="shared" si="94"/>
        <v>0</v>
      </c>
      <c r="I50" s="74">
        <f t="shared" si="94"/>
        <v>0</v>
      </c>
      <c r="J50" s="74">
        <f t="shared" si="94"/>
        <v>0</v>
      </c>
      <c r="K50" s="74">
        <f t="shared" si="94"/>
        <v>0</v>
      </c>
      <c r="L50" s="74">
        <f t="shared" si="94"/>
        <v>0</v>
      </c>
      <c r="M50" s="64" t="str">
        <f t="shared" si="95"/>
        <v>n/a</v>
      </c>
      <c r="N50" s="64" t="str">
        <f t="shared" si="96"/>
        <v>n/a</v>
      </c>
      <c r="O50" s="64" t="str">
        <f t="shared" si="97"/>
        <v>n/a</v>
      </c>
      <c r="P50" s="64" t="str">
        <f t="shared" si="98"/>
        <v>n/a</v>
      </c>
      <c r="Q50" s="64" t="str">
        <f t="shared" si="99"/>
        <v>n/a</v>
      </c>
      <c r="R50" s="60" t="str">
        <f t="shared" si="100"/>
        <v>n/a</v>
      </c>
      <c r="S50" s="64"/>
      <c r="T50" s="74">
        <f>'Feb-25'!T50+'Mar-25'!F50</f>
        <v>47798</v>
      </c>
      <c r="U50" s="74">
        <f>'Feb-25'!U50+'Mar-25'!G50</f>
        <v>38626</v>
      </c>
      <c r="V50" s="74">
        <f>'Feb-25'!V50+'Mar-25'!H50</f>
        <v>15637</v>
      </c>
      <c r="W50" s="74">
        <f>'Feb-25'!W50+'Mar-25'!I50</f>
        <v>0</v>
      </c>
      <c r="X50" s="74">
        <f>'Feb-25'!X50+'Mar-25'!J50</f>
        <v>0</v>
      </c>
      <c r="Y50" s="74">
        <f>'Feb-25'!Y50+'Mar-25'!K50</f>
        <v>20248</v>
      </c>
      <c r="Z50" s="162"/>
      <c r="AA50" s="147">
        <f t="shared" si="101"/>
        <v>0.23745663542691453</v>
      </c>
      <c r="AB50" s="147">
        <f t="shared" si="102"/>
        <v>2.0567244356334333</v>
      </c>
      <c r="AC50" s="147" t="str">
        <f t="shared" si="103"/>
        <v>n/a</v>
      </c>
      <c r="AD50" s="147" t="str">
        <f t="shared" si="104"/>
        <v>n/a</v>
      </c>
      <c r="AE50" s="158">
        <f t="shared" si="105"/>
        <v>1.3606282101935996</v>
      </c>
      <c r="AF50" s="119"/>
      <c r="AG50" s="82">
        <v>38626</v>
      </c>
      <c r="AH50" s="82">
        <v>15637</v>
      </c>
      <c r="AI50" s="68">
        <v>0</v>
      </c>
      <c r="AJ50" s="68">
        <v>0</v>
      </c>
      <c r="AK50" s="78">
        <v>20248</v>
      </c>
      <c r="AM50" s="122"/>
    </row>
    <row r="51" spans="3:39" s="123" customFormat="1" ht="12" thickBot="1">
      <c r="C51" s="35" t="s">
        <v>12</v>
      </c>
      <c r="D51" s="36"/>
      <c r="E51" s="37"/>
      <c r="F51" s="75">
        <f t="shared" ref="F51:L52" si="106">F37+F40+F43+F46+F49</f>
        <v>542</v>
      </c>
      <c r="G51" s="75">
        <f t="shared" si="106"/>
        <v>406</v>
      </c>
      <c r="H51" s="75">
        <f t="shared" si="106"/>
        <v>322</v>
      </c>
      <c r="I51" s="75">
        <f t="shared" si="106"/>
        <v>260</v>
      </c>
      <c r="J51" s="75">
        <f t="shared" si="106"/>
        <v>5</v>
      </c>
      <c r="K51" s="75">
        <f t="shared" si="106"/>
        <v>160</v>
      </c>
      <c r="L51" s="75">
        <f t="shared" si="106"/>
        <v>229</v>
      </c>
      <c r="M51" s="66">
        <f t="shared" si="95"/>
        <v>0.33497536945812811</v>
      </c>
      <c r="N51" s="66">
        <f t="shared" si="96"/>
        <v>0.68322981366459623</v>
      </c>
      <c r="O51" s="66">
        <f t="shared" si="97"/>
        <v>1.0846153846153848</v>
      </c>
      <c r="P51" s="66">
        <f t="shared" si="98"/>
        <v>107.4</v>
      </c>
      <c r="Q51" s="66">
        <f t="shared" si="99"/>
        <v>2.3875000000000002</v>
      </c>
      <c r="R51" s="66">
        <f t="shared" si="100"/>
        <v>1.3668122270742358</v>
      </c>
      <c r="S51" s="66"/>
      <c r="T51" s="75">
        <f>T37+T40+T43+T46+T49</f>
        <v>6221</v>
      </c>
      <c r="U51" s="75">
        <f>U37+U40+U43+U46+U49</f>
        <v>4590</v>
      </c>
      <c r="V51" s="75">
        <f t="shared" ref="U51:Y52" si="107">V37+V40+V43+V46+V49</f>
        <v>3856</v>
      </c>
      <c r="W51" s="75">
        <f t="shared" si="107"/>
        <v>1668</v>
      </c>
      <c r="X51" s="75">
        <f t="shared" si="107"/>
        <v>105</v>
      </c>
      <c r="Y51" s="75">
        <f t="shared" si="107"/>
        <v>3241</v>
      </c>
      <c r="Z51" s="75"/>
      <c r="AA51" s="66">
        <f t="shared" si="101"/>
        <v>0.3553376906318082</v>
      </c>
      <c r="AB51" s="66">
        <f t="shared" si="102"/>
        <v>0.61332987551867224</v>
      </c>
      <c r="AC51" s="66">
        <f t="shared" si="103"/>
        <v>2.7296163069544366</v>
      </c>
      <c r="AD51" s="66">
        <f t="shared" si="104"/>
        <v>58.247619047619047</v>
      </c>
      <c r="AE51" s="66">
        <f t="shared" si="105"/>
        <v>0.91946929959888912</v>
      </c>
      <c r="AF51" s="62"/>
      <c r="AG51" s="46">
        <f t="shared" ref="AG51:AJ52" si="108">AG37+AG40+AG43+AG46+AG49</f>
        <v>4589</v>
      </c>
      <c r="AH51" s="46">
        <f t="shared" si="108"/>
        <v>3856</v>
      </c>
      <c r="AI51" s="46">
        <f t="shared" si="108"/>
        <v>1673</v>
      </c>
      <c r="AJ51" s="46">
        <f t="shared" si="108"/>
        <v>669</v>
      </c>
      <c r="AK51" s="80">
        <f>AK37+AK40+AK43+AK46+AK49</f>
        <v>3241</v>
      </c>
      <c r="AM51" s="122"/>
    </row>
    <row r="52" spans="3:39" s="123" customFormat="1" ht="12.75" thickTop="1" thickBot="1">
      <c r="C52" s="38" t="s">
        <v>13</v>
      </c>
      <c r="D52" s="39"/>
      <c r="E52" s="40"/>
      <c r="F52" s="76">
        <f t="shared" si="106"/>
        <v>1450136</v>
      </c>
      <c r="G52" s="76">
        <f t="shared" si="106"/>
        <v>1260097</v>
      </c>
      <c r="H52" s="76">
        <f t="shared" si="106"/>
        <v>921313</v>
      </c>
      <c r="I52" s="76">
        <f t="shared" si="106"/>
        <v>406818</v>
      </c>
      <c r="J52" s="76">
        <f t="shared" si="106"/>
        <v>4146</v>
      </c>
      <c r="K52" s="76">
        <f t="shared" si="106"/>
        <v>226273</v>
      </c>
      <c r="L52" s="76">
        <f t="shared" si="106"/>
        <v>655947</v>
      </c>
      <c r="M52" s="67">
        <f t="shared" si="95"/>
        <v>0.15081299296800177</v>
      </c>
      <c r="N52" s="67">
        <f t="shared" si="96"/>
        <v>0.57398842738569855</v>
      </c>
      <c r="O52" s="67">
        <f t="shared" si="97"/>
        <v>2.5645817048409856</v>
      </c>
      <c r="P52" s="67">
        <f t="shared" si="98"/>
        <v>348.76748673420167</v>
      </c>
      <c r="Q52" s="67">
        <f t="shared" si="99"/>
        <v>5.4087893827367823</v>
      </c>
      <c r="R52" s="67">
        <f t="shared" si="100"/>
        <v>1.2107517832995653</v>
      </c>
      <c r="S52" s="67"/>
      <c r="T52" s="76">
        <f t="shared" ref="T52" si="109">T38+T41+T44+T47+T50</f>
        <v>17650949.399999999</v>
      </c>
      <c r="U52" s="76">
        <f t="shared" si="107"/>
        <v>13428473</v>
      </c>
      <c r="V52" s="76">
        <f t="shared" si="107"/>
        <v>9237323</v>
      </c>
      <c r="W52" s="76">
        <f t="shared" si="107"/>
        <v>2405988</v>
      </c>
      <c r="X52" s="76">
        <f t="shared" si="107"/>
        <v>47959</v>
      </c>
      <c r="Y52" s="76">
        <f t="shared" si="107"/>
        <v>8615169</v>
      </c>
      <c r="Z52" s="76"/>
      <c r="AA52" s="67">
        <f t="shared" si="101"/>
        <v>0.31444203670811999</v>
      </c>
      <c r="AB52" s="67">
        <f t="shared" si="102"/>
        <v>0.91082951197008044</v>
      </c>
      <c r="AC52" s="67">
        <f t="shared" si="103"/>
        <v>6.3362582855774834</v>
      </c>
      <c r="AD52" s="67">
        <f t="shared" si="104"/>
        <v>367.04248212014426</v>
      </c>
      <c r="AE52" s="67">
        <f t="shared" si="105"/>
        <v>1.0488221879338639</v>
      </c>
      <c r="AF52" s="63"/>
      <c r="AG52" s="47">
        <f t="shared" si="108"/>
        <v>13408675</v>
      </c>
      <c r="AH52" s="47">
        <f t="shared" si="108"/>
        <v>9237323</v>
      </c>
      <c r="AI52" s="47">
        <f t="shared" si="108"/>
        <v>2410085</v>
      </c>
      <c r="AJ52" s="47">
        <f t="shared" si="108"/>
        <v>1324261</v>
      </c>
      <c r="AK52" s="81">
        <f>AK38+AK41+AK44+AK47+AK50</f>
        <v>8638971</v>
      </c>
      <c r="AM52" s="122"/>
    </row>
    <row r="53" spans="3:39" s="123" customFormat="1" ht="12" thickTop="1">
      <c r="T53" s="131">
        <f>T51+T52-F51-F52-'Feb-25'!T51-'Feb-25'!T52</f>
        <v>0</v>
      </c>
      <c r="U53" s="131">
        <f>U51+U52-G51-G52-'Feb-25'!U51-'Feb-25'!U52</f>
        <v>0</v>
      </c>
      <c r="V53" s="131">
        <f>V51+V52-H51-H52-'Feb-25'!V51-'Feb-25'!V52</f>
        <v>0</v>
      </c>
      <c r="W53" s="131">
        <f>W51+W52-I51-I52-'Feb-25'!W51-'Feb-25'!W52</f>
        <v>0</v>
      </c>
      <c r="X53" s="131">
        <f>X51+X52-J51-J52-'Feb-25'!X51-'Feb-25'!X52</f>
        <v>0</v>
      </c>
      <c r="Y53" s="131">
        <f>Y51+Y52-K51-K52-'Feb-25'!Y51-'Feb-25'!Y52</f>
        <v>0</v>
      </c>
      <c r="AM53" s="122"/>
    </row>
    <row r="54" spans="3:39" s="123" customFormat="1" ht="11.25">
      <c r="F54" s="131"/>
      <c r="T54" s="131"/>
      <c r="U54" s="131"/>
      <c r="V54" s="131"/>
      <c r="W54" s="131"/>
      <c r="X54" s="131"/>
      <c r="Y54" s="131"/>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pageSetUpPr fitToPage="1"/>
  </sheetPr>
  <dimension ref="A1:AH44"/>
  <sheetViews>
    <sheetView showGridLines="0" zoomScale="75" zoomScaleNormal="75" workbookViewId="0"/>
  </sheetViews>
  <sheetFormatPr defaultColWidth="0" defaultRowHeight="0" customHeight="1" zeroHeight="1"/>
  <cols>
    <col min="1" max="2" width="2.5703125" style="2" customWidth="1"/>
    <col min="3" max="3" width="20.85546875" style="2" customWidth="1"/>
    <col min="4" max="4" width="10.5703125" style="2" bestFit="1" customWidth="1"/>
    <col min="5" max="8" width="9.140625" style="2" customWidth="1"/>
    <col min="9" max="9" width="14.140625" style="2" customWidth="1"/>
    <col min="10" max="10" width="5" style="2" customWidth="1"/>
    <col min="11" max="11" width="9.140625" style="2" customWidth="1"/>
    <col min="12" max="12" width="4.85546875" style="2" customWidth="1"/>
    <col min="13" max="16" width="9.140625" style="2" customWidth="1"/>
    <col min="17" max="17" width="3.5703125" style="2" customWidth="1"/>
    <col min="18" max="23" width="10.140625" style="2" customWidth="1"/>
    <col min="24" max="33" width="10.140625" style="2" hidden="1" customWidth="1"/>
    <col min="34" max="34" width="4.85546875" style="2" hidden="1" customWidth="1"/>
    <col min="35" max="16384" width="10.140625" style="2" hidden="1"/>
  </cols>
  <sheetData>
    <row r="1" spans="2:34" ht="23.25">
      <c r="B1" s="13"/>
      <c r="C1" s="14"/>
      <c r="D1" s="14"/>
      <c r="E1" s="14"/>
      <c r="F1" s="14"/>
      <c r="G1" s="14"/>
      <c r="H1" s="14"/>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pans="2:34" ht="28.5" thickBot="1">
      <c r="B2" s="13"/>
      <c r="C2" s="15" t="s">
        <v>3</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3"/>
    </row>
    <row r="3" spans="2:34" ht="13.5">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2:34" ht="15.75">
      <c r="B4" s="13"/>
      <c r="C4" s="17"/>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row>
    <row r="5" spans="2:34" ht="13.5">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2:34" ht="13.5">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ht="15.75">
      <c r="B7" s="13"/>
      <c r="C7" s="17"/>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ht="13.5">
      <c r="B8" s="13"/>
      <c r="C8" s="13"/>
      <c r="D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ht="13.5" customHeight="1">
      <c r="B9" s="13"/>
      <c r="C9" s="13"/>
      <c r="D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ht="13.5" customHeight="1">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ht="13.5" customHeight="1">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3.5" customHeight="1">
      <c r="B12" s="13"/>
      <c r="C12" s="17"/>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3.5" customHeight="1">
      <c r="B13" s="13"/>
      <c r="C13" s="42"/>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3.5" customHeight="1">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ht="13.5" customHeight="1">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ht="13.5" customHeight="1">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ht="13.5" customHeight="1">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ht="13.5" customHeight="1">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3.5" customHeight="1">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ht="13.5" customHeight="1">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ht="13.5" customHeight="1">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ht="13.5" customHeight="1">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ht="13.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3.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ht="13.5" customHeight="1">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ht="13.5" customHeight="1">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ht="13.5" customHeight="1">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ht="13.5"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3.5" customHeight="1">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ht="13.5" hidden="1" customHeight="1"/>
    <row r="31" spans="2:34" ht="13.5" hidden="1" customHeight="1"/>
    <row r="32" spans="2:34" ht="13.5" hidden="1"/>
    <row r="33" ht="13.5" hidden="1"/>
    <row r="34" ht="13.5" hidden="1"/>
    <row r="35" ht="13.5" hidden="1"/>
    <row r="36" ht="13.5" hidden="1"/>
    <row r="37" ht="13.5" hidden="1"/>
    <row r="38" ht="13.5" hidden="1"/>
    <row r="39" ht="12.75" hidden="1" customHeight="1"/>
    <row r="40" ht="12.75" hidden="1" customHeight="1"/>
    <row r="41" ht="12.75" hidden="1" customHeight="1"/>
    <row r="42" ht="12.75" hidden="1" customHeight="1"/>
    <row r="43" ht="12.75" hidden="1" customHeight="1"/>
    <row r="44" ht="12.75" hidden="1" customHeight="1"/>
  </sheetData>
  <customSheetViews>
    <customSheetView guid="{5F6D01E3-9E6F-4D7F-980F-63899AF95899}" scale="75" showGridLines="0" fitToPage="1" hiddenRows="1" hiddenColumns="1">
      <pageMargins left="0.7" right="0.7" top="0.75" bottom="0.75" header="0.3" footer="0.3"/>
      <pageSetup paperSize="9" scale="62" orientation="landscape" r:id="rId1"/>
    </customSheetView>
  </customSheetViews>
  <pageMargins left="0.7" right="0.7" top="0.75" bottom="0.75" header="0.3" footer="0.3"/>
  <pageSetup paperSize="9" scale="62"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5658F-DBD7-45C9-B3CD-E309AB6CEFDD}">
  <dimension ref="A1:AM66"/>
  <sheetViews>
    <sheetView showGridLines="0" topLeftCell="A29" zoomScale="90" zoomScaleNormal="90" workbookViewId="0">
      <selection activeCell="F37" sqref="F37:L50"/>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9.5703125" bestFit="1" customWidth="1"/>
    <col min="20" max="21" width="12.5703125" bestFit="1" customWidth="1"/>
    <col min="22" max="24" width="11.5703125" bestFit="1" customWidth="1"/>
    <col min="25" max="25" width="11.85546875" bestFit="1" customWidth="1"/>
    <col min="26" max="26" width="11.85546875" customWidth="1"/>
    <col min="27" max="27" width="9.140625" bestFit="1" customWidth="1"/>
    <col min="28" max="28" width="8.85546875" bestFit="1" customWidth="1"/>
    <col min="29" max="29" width="8.85546875" customWidth="1"/>
    <col min="30" max="30" width="9" bestFit="1" customWidth="1"/>
    <col min="31" max="31" width="7.85546875" customWidth="1"/>
    <col min="32" max="32" width="9.5703125" bestFit="1" customWidth="1"/>
    <col min="33" max="33" width="10.14062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v>45337</v>
      </c>
      <c r="AL3" s="25"/>
      <c r="AM3" s="9"/>
    </row>
    <row r="4" spans="1:39" ht="15.75">
      <c r="A4" s="9"/>
      <c r="B4" s="11" t="s">
        <v>7</v>
      </c>
      <c r="C4" s="26"/>
      <c r="D4" s="93" t="s">
        <v>39</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February</v>
      </c>
      <c r="G9" s="167"/>
      <c r="H9" s="167"/>
      <c r="I9" s="167"/>
      <c r="J9" s="167"/>
      <c r="K9" s="167"/>
      <c r="L9" s="167"/>
      <c r="M9" s="167"/>
      <c r="N9" s="167"/>
      <c r="O9" s="167"/>
      <c r="P9" s="167"/>
      <c r="Q9" s="167"/>
      <c r="R9" s="168"/>
      <c r="S9" s="169" t="str">
        <f>"January to "&amp; F9</f>
        <v>January to February</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5">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340</v>
      </c>
      <c r="G13" s="71">
        <v>224</v>
      </c>
      <c r="H13" s="71">
        <v>161</v>
      </c>
      <c r="I13" s="71">
        <v>162</v>
      </c>
      <c r="J13" s="71">
        <v>0</v>
      </c>
      <c r="K13" s="71">
        <v>175</v>
      </c>
      <c r="L13" s="71">
        <v>157</v>
      </c>
      <c r="M13" s="64">
        <f>IFERROR(F13/G13-1,"n/a")</f>
        <v>0.51785714285714279</v>
      </c>
      <c r="N13" s="64">
        <f>IFERROR(F13/H13-1,"n/a")</f>
        <v>1.1118012422360248</v>
      </c>
      <c r="O13" s="64">
        <f>IFERROR(F13/I13-1,"n/a")</f>
        <v>1.0987654320987654</v>
      </c>
      <c r="P13" s="64" t="str">
        <f>IFERROR(F13/J13-1,"n/a")</f>
        <v>n/a</v>
      </c>
      <c r="Q13" s="64">
        <f>IFERROR(F13/K13-1,"n/a")</f>
        <v>0.94285714285714284</v>
      </c>
      <c r="R13" s="60">
        <f>IFERROR(F13/L13-1,"n/a")</f>
        <v>1.1656050955414012</v>
      </c>
      <c r="S13" s="68">
        <f>'Jan-25'!S13+F13</f>
        <v>744</v>
      </c>
      <c r="T13" s="68">
        <f>'Jan-25'!T13+G13</f>
        <v>421</v>
      </c>
      <c r="U13" s="68">
        <f>'Jan-25'!U13+H13</f>
        <v>349</v>
      </c>
      <c r="V13" s="68">
        <f>'Jan-25'!V13+I13</f>
        <v>326</v>
      </c>
      <c r="W13" s="68">
        <f>'Jan-25'!W13+J13</f>
        <v>0</v>
      </c>
      <c r="X13" s="68">
        <f>'Jan-25'!X13+K13</f>
        <v>362</v>
      </c>
      <c r="Y13" s="68">
        <f>'Jan-25'!Y13+L13</f>
        <v>346</v>
      </c>
      <c r="Z13" s="64">
        <f>IFERROR(S13/T13-1,"n/a")</f>
        <v>0.76722090261282649</v>
      </c>
      <c r="AA13" s="64">
        <f>IFERROR(S13/U13-1,"n/a")</f>
        <v>1.1318051575931234</v>
      </c>
      <c r="AB13" s="64">
        <f>IFERROR(S13/V13-1,"n/a")</f>
        <v>1.2822085889570554</v>
      </c>
      <c r="AC13" s="64" t="str">
        <f>IFERROR(S13/W13-1,"n/a")</f>
        <v>n/a</v>
      </c>
      <c r="AD13" s="64">
        <f>IFERROR(S13/X13-1,"n/a")</f>
        <v>1.0552486187845305</v>
      </c>
      <c r="AE13" s="60">
        <f>IFERROR(S13/Y13-1,"n/a")</f>
        <v>1.1502890173410405</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876872</v>
      </c>
      <c r="G14" s="71">
        <v>674695</v>
      </c>
      <c r="H14" s="71">
        <v>449661</v>
      </c>
      <c r="I14" s="71">
        <v>219545</v>
      </c>
      <c r="J14" s="71">
        <v>0</v>
      </c>
      <c r="K14" s="71">
        <v>430518</v>
      </c>
      <c r="L14" s="71">
        <v>425246</v>
      </c>
      <c r="M14" s="64">
        <f>IFERROR(F14/G14-1,"n/a")</f>
        <v>0.29965688199853258</v>
      </c>
      <c r="N14" s="64">
        <f>IFERROR(F14/H14-1,"n/a")</f>
        <v>0.95007349981430456</v>
      </c>
      <c r="O14" s="64">
        <f>IFERROR(F14/I14-1,"n/a")</f>
        <v>2.9940422236899042</v>
      </c>
      <c r="P14" s="64" t="str">
        <f>IFERROR(F14/J14-1,"n/a")</f>
        <v>n/a</v>
      </c>
      <c r="Q14" s="64">
        <f>IFERROR(F14/K14-1,"n/a")</f>
        <v>1.0367835955755624</v>
      </c>
      <c r="R14" s="60">
        <f>IFERROR(F14/L14-1,"n/a")</f>
        <v>1.0620346811022325</v>
      </c>
      <c r="S14" s="68">
        <f>'Jan-25'!S14+F14</f>
        <v>1929201</v>
      </c>
      <c r="T14" s="68">
        <f>'Jan-25'!T14+G14</f>
        <v>1296003</v>
      </c>
      <c r="U14" s="68">
        <f>'Jan-25'!U14+H14</f>
        <v>972610</v>
      </c>
      <c r="V14" s="68">
        <f>'Jan-25'!V14+I14</f>
        <v>415157</v>
      </c>
      <c r="W14" s="68">
        <f>'Jan-25'!W14+J14</f>
        <v>0</v>
      </c>
      <c r="X14" s="68">
        <f>'Jan-25'!X14+K14</f>
        <v>896598</v>
      </c>
      <c r="Y14" s="68">
        <f>'Jan-25'!Y14+L14</f>
        <v>950508</v>
      </c>
      <c r="Z14" s="64">
        <f>IFERROR(S14/T14-1,"n/a")</f>
        <v>0.48857757273710023</v>
      </c>
      <c r="AA14" s="64">
        <f>IFERROR(S14/U14-1,"n/a")</f>
        <v>0.98352988350932025</v>
      </c>
      <c r="AB14" s="64">
        <f>IFERROR(S14/V14-1,"n/a")</f>
        <v>3.6469191173459681</v>
      </c>
      <c r="AC14" s="64" t="str">
        <f>IFERROR(S14/W14-1,"n/a")</f>
        <v>n/a</v>
      </c>
      <c r="AD14" s="64">
        <f>IFERROR(S14/X14-1,"n/a")</f>
        <v>1.1516900550748495</v>
      </c>
      <c r="AE14" s="60">
        <f>IFERROR(S14/Y14-1,"n/a")</f>
        <v>1.0296525647338055</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15</v>
      </c>
      <c r="G16" s="71">
        <v>8</v>
      </c>
      <c r="H16" s="71">
        <v>6</v>
      </c>
      <c r="I16" s="71">
        <v>7</v>
      </c>
      <c r="J16" s="71">
        <v>5</v>
      </c>
      <c r="K16" s="71">
        <v>4</v>
      </c>
      <c r="L16" s="71">
        <v>8</v>
      </c>
      <c r="M16" s="64">
        <f t="shared" ref="M16:M17" si="0">IFERROR(F16/G16-1,"n/a")</f>
        <v>0.875</v>
      </c>
      <c r="N16" s="64">
        <f t="shared" ref="N16:N17" si="1">IFERROR(F16/H16-1,"n/a")</f>
        <v>1.5</v>
      </c>
      <c r="O16" s="64">
        <f t="shared" ref="O16:O17" si="2">IFERROR(F16/I16-1,"n/a")</f>
        <v>1.1428571428571428</v>
      </c>
      <c r="P16" s="64">
        <f t="shared" ref="P16:P17" si="3">IFERROR(F16/J16-1,"n/a")</f>
        <v>2</v>
      </c>
      <c r="Q16" s="64">
        <f t="shared" ref="Q16:Q17" si="4">IFERROR(F16/K16-1,"n/a")</f>
        <v>2.75</v>
      </c>
      <c r="R16" s="60">
        <f t="shared" ref="R16:R17" si="5">IFERROR(F16/L16-1,"n/a")</f>
        <v>0.875</v>
      </c>
      <c r="S16" s="68">
        <f>'Jan-25'!S16+F16</f>
        <v>27</v>
      </c>
      <c r="T16" s="68">
        <f>'Jan-25'!T16+G16</f>
        <v>20</v>
      </c>
      <c r="U16" s="68">
        <f>'Jan-25'!U16+H16</f>
        <v>11</v>
      </c>
      <c r="V16" s="68">
        <f>'Jan-25'!V16+I16</f>
        <v>10</v>
      </c>
      <c r="W16" s="68">
        <f>'Jan-25'!W16+J16</f>
        <v>7</v>
      </c>
      <c r="X16" s="68">
        <f>'Jan-25'!X16+K16</f>
        <v>9</v>
      </c>
      <c r="Y16" s="68">
        <f>'Jan-25'!Y16+L16</f>
        <v>13</v>
      </c>
      <c r="Z16" s="64">
        <f t="shared" ref="Z16:Z17" si="6">IFERROR(S16/T16-1,"n/a")</f>
        <v>0.35000000000000009</v>
      </c>
      <c r="AA16" s="64">
        <f t="shared" ref="AA16:AA17" si="7">IFERROR(S16/U16-1,"n/a")</f>
        <v>1.4545454545454546</v>
      </c>
      <c r="AB16" s="64">
        <f t="shared" ref="AB16:AB17" si="8">IFERROR(S16/V16-1,"n/a")</f>
        <v>1.7000000000000002</v>
      </c>
      <c r="AC16" s="64">
        <f t="shared" ref="AC16:AC17" si="9">IFERROR(S16/W16-1,"n/a")</f>
        <v>2.8571428571428572</v>
      </c>
      <c r="AD16" s="64">
        <f t="shared" ref="AD16:AD17" si="10">IFERROR(S16/X16-1,"n/a")</f>
        <v>2</v>
      </c>
      <c r="AE16" s="60">
        <f t="shared" ref="AE16:AE17" si="11">IFERROR(S16/Y16-1,"n/a")</f>
        <v>1.0769230769230771</v>
      </c>
      <c r="AF16" s="68">
        <v>797</v>
      </c>
      <c r="AG16" s="68">
        <v>575</v>
      </c>
      <c r="AH16" s="68">
        <v>572</v>
      </c>
      <c r="AI16" s="68">
        <v>202</v>
      </c>
      <c r="AJ16" s="68">
        <v>54</v>
      </c>
      <c r="AK16" s="134">
        <v>586</v>
      </c>
      <c r="AL16" s="122"/>
      <c r="AM16" s="122"/>
    </row>
    <row r="17" spans="1:39" s="123" customFormat="1" ht="12.75">
      <c r="A17" s="122"/>
      <c r="B17" s="127"/>
      <c r="C17" s="33"/>
      <c r="D17" s="26" t="s">
        <v>11</v>
      </c>
      <c r="E17" s="32"/>
      <c r="F17" s="71">
        <v>51126</v>
      </c>
      <c r="G17" s="71">
        <v>31100</v>
      </c>
      <c r="H17" s="71">
        <v>24121</v>
      </c>
      <c r="I17" s="71">
        <v>6429</v>
      </c>
      <c r="J17" s="71">
        <v>4669</v>
      </c>
      <c r="K17" s="71">
        <v>17407</v>
      </c>
      <c r="L17" s="71">
        <v>26946</v>
      </c>
      <c r="M17" s="64">
        <f t="shared" si="0"/>
        <v>0.64392282958199365</v>
      </c>
      <c r="N17" s="64">
        <f t="shared" si="1"/>
        <v>1.1195638655113802</v>
      </c>
      <c r="O17" s="64">
        <f t="shared" si="2"/>
        <v>6.9524031731217919</v>
      </c>
      <c r="P17" s="64">
        <f t="shared" si="3"/>
        <v>9.9500963803812379</v>
      </c>
      <c r="Q17" s="64">
        <f t="shared" si="4"/>
        <v>1.9370942724191416</v>
      </c>
      <c r="R17" s="60">
        <f t="shared" si="5"/>
        <v>0.89735025606769092</v>
      </c>
      <c r="S17" s="68">
        <f>'Jan-25'!S17+F17</f>
        <v>87620</v>
      </c>
      <c r="T17" s="68">
        <f>'Jan-25'!T17+G17</f>
        <v>76236</v>
      </c>
      <c r="U17" s="68">
        <f>'Jan-25'!U17+H17</f>
        <v>39920</v>
      </c>
      <c r="V17" s="68">
        <f>'Jan-25'!V17+I17</f>
        <v>8131</v>
      </c>
      <c r="W17" s="68">
        <f>'Jan-25'!W17+J17</f>
        <v>5957</v>
      </c>
      <c r="X17" s="68">
        <f>'Jan-25'!X17+K17</f>
        <v>40548</v>
      </c>
      <c r="Y17" s="68">
        <f>'Jan-25'!Y17+L17</f>
        <v>47573</v>
      </c>
      <c r="Z17" s="64">
        <f t="shared" si="6"/>
        <v>0.14932577784773593</v>
      </c>
      <c r="AA17" s="64">
        <f t="shared" si="7"/>
        <v>1.194889779559118</v>
      </c>
      <c r="AB17" s="64">
        <f t="shared" si="8"/>
        <v>9.776042307219285</v>
      </c>
      <c r="AC17" s="64">
        <f t="shared" si="9"/>
        <v>13.708746013093839</v>
      </c>
      <c r="AD17" s="64">
        <f t="shared" si="10"/>
        <v>1.1608957285192858</v>
      </c>
      <c r="AE17" s="60">
        <f t="shared" si="11"/>
        <v>0.84180102158787551</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7</v>
      </c>
      <c r="G19" s="71">
        <v>4</v>
      </c>
      <c r="H19" s="71">
        <v>2</v>
      </c>
      <c r="I19" s="71">
        <v>3</v>
      </c>
      <c r="J19" s="71">
        <v>0</v>
      </c>
      <c r="K19" s="71">
        <v>0</v>
      </c>
      <c r="L19" s="71">
        <v>1</v>
      </c>
      <c r="M19" s="64">
        <f t="shared" ref="M19:M20" si="12">IFERROR(F19/G19-1,"n/a")</f>
        <v>0.75</v>
      </c>
      <c r="N19" s="64">
        <f t="shared" ref="N19:N20" si="13">IFERROR(F19/H19-1,"n/a")</f>
        <v>2.5</v>
      </c>
      <c r="O19" s="64">
        <f t="shared" ref="O19:O20" si="14">IFERROR(F19/I19-1,"n/a")</f>
        <v>1.3333333333333335</v>
      </c>
      <c r="P19" s="64" t="str">
        <f t="shared" ref="P19:P20" si="15">IFERROR(F19/J19-1,"n/a")</f>
        <v>n/a</v>
      </c>
      <c r="Q19" s="64" t="str">
        <f t="shared" ref="Q19:Q20" si="16">IFERROR(F19/K19-1,"n/a")</f>
        <v>n/a</v>
      </c>
      <c r="R19" s="60">
        <f t="shared" ref="R19:R20" si="17">IFERROR(F19/L19-1,"n/a")</f>
        <v>6</v>
      </c>
      <c r="S19" s="68">
        <f>'Jan-25'!S19+F19</f>
        <v>8</v>
      </c>
      <c r="T19" s="68">
        <f>'Jan-25'!T19+G19</f>
        <v>6</v>
      </c>
      <c r="U19" s="68">
        <f>'Jan-25'!U19+H19</f>
        <v>6</v>
      </c>
      <c r="V19" s="68">
        <f>'Jan-25'!V19+I19</f>
        <v>6</v>
      </c>
      <c r="W19" s="68">
        <f>'Jan-25'!W19+J19</f>
        <v>0</v>
      </c>
      <c r="X19" s="68">
        <f>'Jan-25'!X19+K19</f>
        <v>1</v>
      </c>
      <c r="Y19" s="68">
        <f>'Jan-25'!Y19+L19</f>
        <v>1</v>
      </c>
      <c r="Z19" s="64">
        <f t="shared" ref="Z19:Z20" si="18">IFERROR(S19/T19-1,"n/a")</f>
        <v>0.33333333333333326</v>
      </c>
      <c r="AA19" s="64">
        <f t="shared" ref="AA19:AA20" si="19">IFERROR(S19/U19-1,"n/a")</f>
        <v>0.33333333333333326</v>
      </c>
      <c r="AB19" s="64">
        <f t="shared" ref="AB19:AB20" si="20">IFERROR(S19/V19-1,"n/a")</f>
        <v>0.33333333333333326</v>
      </c>
      <c r="AC19" s="64" t="str">
        <f t="shared" ref="AC19:AC20" si="21">IFERROR(S19/W19-1,"n/a")</f>
        <v>n/a</v>
      </c>
      <c r="AD19" s="64">
        <f t="shared" ref="AD19:AD20" si="22">IFERROR(S19/X19-1,"n/a")</f>
        <v>7</v>
      </c>
      <c r="AE19" s="60">
        <f t="shared" ref="AE19:AE20" si="23">IFERROR(S19/Y19-1,"n/a")</f>
        <v>7</v>
      </c>
      <c r="AF19" s="68">
        <v>733</v>
      </c>
      <c r="AG19" s="68">
        <v>708</v>
      </c>
      <c r="AH19" s="68">
        <v>658</v>
      </c>
      <c r="AI19" s="68">
        <v>47</v>
      </c>
      <c r="AJ19" s="68">
        <v>9</v>
      </c>
      <c r="AK19" s="134">
        <v>290</v>
      </c>
      <c r="AL19" s="122"/>
      <c r="AM19" s="122"/>
    </row>
    <row r="20" spans="1:39" s="123" customFormat="1" ht="12.75">
      <c r="A20" s="122"/>
      <c r="B20" s="127"/>
      <c r="C20" s="33"/>
      <c r="D20" s="26" t="s">
        <v>11</v>
      </c>
      <c r="E20" s="32"/>
      <c r="F20" s="71">
        <v>11128</v>
      </c>
      <c r="G20" s="71">
        <v>5580</v>
      </c>
      <c r="H20" s="71">
        <v>2252</v>
      </c>
      <c r="I20" s="71">
        <v>925</v>
      </c>
      <c r="J20" s="71">
        <v>0</v>
      </c>
      <c r="K20" s="71">
        <v>43</v>
      </c>
      <c r="L20" s="71">
        <v>1168</v>
      </c>
      <c r="M20" s="64">
        <f t="shared" si="12"/>
        <v>0.99426523297491043</v>
      </c>
      <c r="N20" s="64">
        <f t="shared" si="13"/>
        <v>3.9413854351687387</v>
      </c>
      <c r="O20" s="64">
        <f t="shared" si="14"/>
        <v>11.03027027027027</v>
      </c>
      <c r="P20" s="64" t="str">
        <f t="shared" si="15"/>
        <v>n/a</v>
      </c>
      <c r="Q20" s="64">
        <f t="shared" si="16"/>
        <v>257.7906976744186</v>
      </c>
      <c r="R20" s="60">
        <f t="shared" si="17"/>
        <v>8.5273972602739718</v>
      </c>
      <c r="S20" s="68">
        <f>'Jan-25'!S20+F20</f>
        <v>12929</v>
      </c>
      <c r="T20" s="68">
        <f>'Jan-25'!T20+G20</f>
        <v>8420</v>
      </c>
      <c r="U20" s="68">
        <f>'Jan-25'!U20+H20</f>
        <v>6112</v>
      </c>
      <c r="V20" s="68">
        <f>'Jan-25'!V20+I20</f>
        <v>1739</v>
      </c>
      <c r="W20" s="68">
        <f>'Jan-25'!W20+J20</f>
        <v>0</v>
      </c>
      <c r="X20" s="68">
        <f>'Jan-25'!X20+K20</f>
        <v>866</v>
      </c>
      <c r="Y20" s="68">
        <f>'Jan-25'!Y20+L20</f>
        <v>1608</v>
      </c>
      <c r="Z20" s="64">
        <f t="shared" si="18"/>
        <v>0.53551068883610453</v>
      </c>
      <c r="AA20" s="64">
        <f t="shared" si="19"/>
        <v>1.1153468586387434</v>
      </c>
      <c r="AB20" s="64">
        <f t="shared" si="20"/>
        <v>6.4347326049453706</v>
      </c>
      <c r="AC20" s="64" t="str">
        <f t="shared" si="21"/>
        <v>n/a</v>
      </c>
      <c r="AD20" s="64">
        <f t="shared" si="22"/>
        <v>13.929561200923787</v>
      </c>
      <c r="AE20" s="60">
        <f t="shared" si="23"/>
        <v>7.0404228855721396</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114</v>
      </c>
      <c r="G22" s="71">
        <v>77</v>
      </c>
      <c r="H22" s="71">
        <v>73</v>
      </c>
      <c r="I22" s="71">
        <v>13</v>
      </c>
      <c r="J22" s="71">
        <v>0</v>
      </c>
      <c r="K22" s="71">
        <v>14</v>
      </c>
      <c r="L22" s="71">
        <v>21</v>
      </c>
      <c r="M22" s="64">
        <f t="shared" ref="M22:M23" si="24">IFERROR(F22/G22-1,"n/a")</f>
        <v>0.48051948051948057</v>
      </c>
      <c r="N22" s="64">
        <f t="shared" ref="N22:N23" si="25">IFERROR(F22/H22-1,"n/a")</f>
        <v>0.56164383561643838</v>
      </c>
      <c r="O22" s="64">
        <f t="shared" ref="O22:O23" si="26">IFERROR(F22/I22-1,"n/a")</f>
        <v>7.7692307692307701</v>
      </c>
      <c r="P22" s="64" t="str">
        <f t="shared" ref="P22:P23" si="27">IFERROR(F22/J22-1,"n/a")</f>
        <v>n/a</v>
      </c>
      <c r="Q22" s="64">
        <f t="shared" ref="Q22:Q23" si="28">IFERROR(F22/K22-1,"n/a")</f>
        <v>7.1428571428571423</v>
      </c>
      <c r="R22" s="60">
        <f t="shared" ref="R22:R23" si="29">IFERROR(F22/L22-1,"n/a")</f>
        <v>4.4285714285714288</v>
      </c>
      <c r="S22" s="68">
        <f>'Jan-25'!S22+F22</f>
        <v>247</v>
      </c>
      <c r="T22" s="68">
        <f>'Jan-25'!T22+G22</f>
        <v>172</v>
      </c>
      <c r="U22" s="68">
        <f>'Jan-25'!U22+H22</f>
        <v>179</v>
      </c>
      <c r="V22" s="68">
        <f>'Jan-25'!V22+I22</f>
        <v>29</v>
      </c>
      <c r="W22" s="68">
        <f>'Jan-25'!W22+J22</f>
        <v>0</v>
      </c>
      <c r="X22" s="68">
        <f>'Jan-25'!X22+K22</f>
        <v>33</v>
      </c>
      <c r="Y22" s="68">
        <f>'Jan-25'!Y22+L22</f>
        <v>45</v>
      </c>
      <c r="Z22" s="64">
        <f t="shared" ref="Z22:Z23" si="30">IFERROR(S22/T22-1,"n/a")</f>
        <v>0.43604651162790709</v>
      </c>
      <c r="AA22" s="64">
        <f t="shared" ref="AA22:AA23" si="31">IFERROR(S22/U22-1,"n/a")</f>
        <v>0.37988826815642462</v>
      </c>
      <c r="AB22" s="64">
        <f t="shared" ref="AB22:AB23" si="32">IFERROR(S22/V22-1,"n/a")</f>
        <v>7.5172413793103452</v>
      </c>
      <c r="AC22" s="64" t="str">
        <f t="shared" ref="AC22:AC23" si="33">IFERROR(S22/W22-1,"n/a")</f>
        <v>n/a</v>
      </c>
      <c r="AD22" s="64">
        <f t="shared" ref="AD22:AD23" si="34">IFERROR(S22/X22-1,"n/a")</f>
        <v>6.4848484848484844</v>
      </c>
      <c r="AE22" s="60">
        <f t="shared" ref="AE22:AE23" si="35">IFERROR(S22/Y22-1,"n/a")</f>
        <v>4.4888888888888889</v>
      </c>
      <c r="AF22" s="68">
        <v>1651</v>
      </c>
      <c r="AG22" s="68">
        <v>1500</v>
      </c>
      <c r="AH22" s="68">
        <v>895</v>
      </c>
      <c r="AI22" s="68">
        <v>283</v>
      </c>
      <c r="AJ22" s="68">
        <v>43</v>
      </c>
      <c r="AK22" s="134">
        <v>827</v>
      </c>
      <c r="AL22" s="122"/>
      <c r="AM22" s="122"/>
    </row>
    <row r="23" spans="1:39" s="123" customFormat="1" ht="12.75">
      <c r="A23" s="122"/>
      <c r="B23" s="127"/>
      <c r="C23" s="33"/>
      <c r="D23" s="26" t="s">
        <v>11</v>
      </c>
      <c r="E23" s="32"/>
      <c r="F23" s="71">
        <v>321671</v>
      </c>
      <c r="G23" s="71">
        <v>282857</v>
      </c>
      <c r="H23" s="71">
        <v>247607</v>
      </c>
      <c r="I23" s="71">
        <v>14032</v>
      </c>
      <c r="J23" s="71">
        <v>0</v>
      </c>
      <c r="K23" s="71">
        <v>47023</v>
      </c>
      <c r="L23" s="71">
        <v>59703</v>
      </c>
      <c r="M23" s="64">
        <f t="shared" si="24"/>
        <v>0.13722128142488965</v>
      </c>
      <c r="N23" s="64">
        <f t="shared" si="25"/>
        <v>0.29911916868263022</v>
      </c>
      <c r="O23" s="64">
        <f t="shared" si="26"/>
        <v>21.924102052451538</v>
      </c>
      <c r="P23" s="64" t="str">
        <f t="shared" si="27"/>
        <v>n/a</v>
      </c>
      <c r="Q23" s="64">
        <f t="shared" si="28"/>
        <v>5.8407162452416905</v>
      </c>
      <c r="R23" s="60">
        <f t="shared" si="29"/>
        <v>4.3878532067065308</v>
      </c>
      <c r="S23" s="68">
        <f>'Jan-25'!S23+F23</f>
        <v>737249</v>
      </c>
      <c r="T23" s="68">
        <f>'Jan-25'!T23+G23</f>
        <v>596438</v>
      </c>
      <c r="U23" s="68">
        <f>'Jan-25'!U23+H23</f>
        <v>538404</v>
      </c>
      <c r="V23" s="68">
        <f>'Jan-25'!V23+I23</f>
        <v>35860</v>
      </c>
      <c r="W23" s="68">
        <f>'Jan-25'!W23+J23</f>
        <v>0</v>
      </c>
      <c r="X23" s="68">
        <f>'Jan-25'!X23+K23</f>
        <v>112017</v>
      </c>
      <c r="Y23" s="68">
        <f>'Jan-25'!Y23+L23</f>
        <v>134226</v>
      </c>
      <c r="Z23" s="64">
        <f t="shared" si="30"/>
        <v>0.23608656725426624</v>
      </c>
      <c r="AA23" s="64">
        <f t="shared" si="31"/>
        <v>0.36932303623301466</v>
      </c>
      <c r="AB23" s="64">
        <f t="shared" si="32"/>
        <v>19.559090909090909</v>
      </c>
      <c r="AC23" s="64" t="str">
        <f t="shared" si="33"/>
        <v>n/a</v>
      </c>
      <c r="AD23" s="64">
        <f t="shared" si="34"/>
        <v>5.5815813671139205</v>
      </c>
      <c r="AE23" s="60">
        <f t="shared" si="35"/>
        <v>4.4925945792916426</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0</v>
      </c>
      <c r="G25" s="71">
        <v>0</v>
      </c>
      <c r="H25" s="71">
        <v>0</v>
      </c>
      <c r="I25" s="71">
        <v>0</v>
      </c>
      <c r="J25" s="71">
        <v>0</v>
      </c>
      <c r="K25" s="71">
        <v>0</v>
      </c>
      <c r="L25" s="71">
        <v>0</v>
      </c>
      <c r="M25" s="64" t="str">
        <f t="shared" ref="M25:M28" si="36">IFERROR(F25/G25-1,"n/a")</f>
        <v>n/a</v>
      </c>
      <c r="N25" s="64" t="str">
        <f t="shared" ref="N25:N28" si="37">IFERROR(F25/H25-1,"n/a")</f>
        <v>n/a</v>
      </c>
      <c r="O25" s="64" t="str">
        <f t="shared" ref="O25:O28" si="38">IFERROR(F25/I25-1,"n/a")</f>
        <v>n/a</v>
      </c>
      <c r="P25" s="64" t="str">
        <f t="shared" ref="P25:P28" si="39">IFERROR(F25/J25-1,"n/a")</f>
        <v>n/a</v>
      </c>
      <c r="Q25" s="64" t="str">
        <f t="shared" ref="Q25:Q28" si="40">IFERROR(F25/K25-1,"n/a")</f>
        <v>n/a</v>
      </c>
      <c r="R25" s="60" t="str">
        <f t="shared" ref="R25:R28" si="41">IFERROR(F25/L25-1,"n/a")</f>
        <v>n/a</v>
      </c>
      <c r="S25" s="68">
        <f>'Jan-25'!S25+F25</f>
        <v>0</v>
      </c>
      <c r="T25" s="68">
        <f>'Jan-25'!T25+G25</f>
        <v>0</v>
      </c>
      <c r="U25" s="68">
        <f>'Jan-25'!U25+H25</f>
        <v>0</v>
      </c>
      <c r="V25" s="68">
        <f>'Jan-25'!V25+I25</f>
        <v>0</v>
      </c>
      <c r="W25" s="68">
        <f>'Jan-25'!W25+J25</f>
        <v>0</v>
      </c>
      <c r="X25" s="68">
        <f>'Jan-25'!X25+K25</f>
        <v>0</v>
      </c>
      <c r="Y25" s="68">
        <f>'Jan-25'!Y25+L25</f>
        <v>0</v>
      </c>
      <c r="Z25" s="64" t="str">
        <f t="shared" ref="Z25:Z28" si="42">IFERROR(S25/T25-1,"n/a")</f>
        <v>n/a</v>
      </c>
      <c r="AA25" s="64" t="str">
        <f t="shared" ref="AA25:AA28" si="43">IFERROR(S25/U25-1,"n/a")</f>
        <v>n/a</v>
      </c>
      <c r="AB25" s="64" t="str">
        <f t="shared" ref="AB25:AB28" si="44">IFERROR(S25/V25-1,"n/a")</f>
        <v>n/a</v>
      </c>
      <c r="AC25" s="64" t="str">
        <f t="shared" ref="AC25:AC28" si="45">IFERROR(S25/W25-1,"n/a")</f>
        <v>n/a</v>
      </c>
      <c r="AD25" s="64" t="str">
        <f t="shared" ref="AD25:AD28" si="46">IFERROR(S25/X25-1,"n/a")</f>
        <v>n/a</v>
      </c>
      <c r="AE25" s="60" t="str">
        <f t="shared" ref="AE25:AE28" si="47">IFERROR(S25/Y25-1,"n/a")</f>
        <v>n/a</v>
      </c>
      <c r="AF25" s="68">
        <v>14</v>
      </c>
      <c r="AG25" s="68">
        <v>21</v>
      </c>
      <c r="AH25" s="68">
        <v>9</v>
      </c>
      <c r="AI25" s="68">
        <v>0</v>
      </c>
      <c r="AJ25" s="68">
        <v>0</v>
      </c>
      <c r="AK25" s="134">
        <v>16</v>
      </c>
      <c r="AL25" s="122"/>
      <c r="AM25" s="122"/>
    </row>
    <row r="26" spans="1:39" s="123" customFormat="1" ht="12.75">
      <c r="A26" s="122"/>
      <c r="B26" s="127"/>
      <c r="C26" s="33"/>
      <c r="D26" s="26" t="s">
        <v>11</v>
      </c>
      <c r="E26" s="32"/>
      <c r="F26" s="71">
        <v>0</v>
      </c>
      <c r="G26" s="71">
        <v>0</v>
      </c>
      <c r="H26" s="71">
        <v>0</v>
      </c>
      <c r="I26" s="71">
        <v>0</v>
      </c>
      <c r="J26" s="71">
        <v>0</v>
      </c>
      <c r="K26" s="71">
        <v>0</v>
      </c>
      <c r="L26" s="71">
        <v>0</v>
      </c>
      <c r="M26" s="64" t="str">
        <f t="shared" si="36"/>
        <v>n/a</v>
      </c>
      <c r="N26" s="64" t="str">
        <f t="shared" si="37"/>
        <v>n/a</v>
      </c>
      <c r="O26" s="64" t="str">
        <f t="shared" si="38"/>
        <v>n/a</v>
      </c>
      <c r="P26" s="64" t="str">
        <f t="shared" si="39"/>
        <v>n/a</v>
      </c>
      <c r="Q26" s="64" t="str">
        <f t="shared" si="40"/>
        <v>n/a</v>
      </c>
      <c r="R26" s="60" t="str">
        <f t="shared" si="41"/>
        <v>n/a</v>
      </c>
      <c r="S26" s="68">
        <f>'Jan-25'!S26+F26</f>
        <v>0</v>
      </c>
      <c r="T26" s="68">
        <f>'Jan-25'!T26+G26</f>
        <v>0</v>
      </c>
      <c r="U26" s="68">
        <f>'Jan-25'!U26+H26</f>
        <v>0</v>
      </c>
      <c r="V26" s="68">
        <f>'Jan-25'!V26+I26</f>
        <v>0</v>
      </c>
      <c r="W26" s="68">
        <f>'Jan-25'!W26+J26</f>
        <v>0</v>
      </c>
      <c r="X26" s="68">
        <f>'Jan-25'!X26+K26</f>
        <v>0</v>
      </c>
      <c r="Y26" s="68">
        <f>'Jan-25'!Y26+L26</f>
        <v>0</v>
      </c>
      <c r="Z26" s="64" t="str">
        <f t="shared" si="42"/>
        <v>n/a</v>
      </c>
      <c r="AA26" s="64" t="str">
        <f t="shared" si="43"/>
        <v>n/a</v>
      </c>
      <c r="AB26" s="64" t="str">
        <f t="shared" si="44"/>
        <v>n/a</v>
      </c>
      <c r="AC26" s="64" t="str">
        <f t="shared" si="45"/>
        <v>n/a</v>
      </c>
      <c r="AD26" s="64" t="str">
        <f t="shared" si="46"/>
        <v>n/a</v>
      </c>
      <c r="AE26" s="60" t="str">
        <f t="shared" si="47"/>
        <v>n/a</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476</v>
      </c>
      <c r="G27" s="75">
        <f t="shared" si="48"/>
        <v>313</v>
      </c>
      <c r="H27" s="75">
        <f t="shared" si="48"/>
        <v>242</v>
      </c>
      <c r="I27" s="75">
        <f t="shared" si="48"/>
        <v>185</v>
      </c>
      <c r="J27" s="75">
        <f t="shared" si="48"/>
        <v>5</v>
      </c>
      <c r="K27" s="75">
        <f t="shared" si="48"/>
        <v>193</v>
      </c>
      <c r="L27" s="75">
        <f t="shared" si="48"/>
        <v>187</v>
      </c>
      <c r="M27" s="66">
        <f t="shared" si="36"/>
        <v>0.52076677316293929</v>
      </c>
      <c r="N27" s="66">
        <f t="shared" si="37"/>
        <v>0.96694214876033069</v>
      </c>
      <c r="O27" s="66">
        <f t="shared" si="38"/>
        <v>1.5729729729729729</v>
      </c>
      <c r="P27" s="66">
        <f t="shared" si="39"/>
        <v>94.2</v>
      </c>
      <c r="Q27" s="66">
        <f t="shared" si="40"/>
        <v>1.4663212435233159</v>
      </c>
      <c r="R27" s="62">
        <f t="shared" si="41"/>
        <v>1.5454545454545454</v>
      </c>
      <c r="S27" s="75">
        <f t="shared" ref="S27:Y28" si="49">S13+S16+S19+S22+S25</f>
        <v>1026</v>
      </c>
      <c r="T27" s="75">
        <f t="shared" si="49"/>
        <v>619</v>
      </c>
      <c r="U27" s="75">
        <f t="shared" si="49"/>
        <v>545</v>
      </c>
      <c r="V27" s="75">
        <f t="shared" si="49"/>
        <v>371</v>
      </c>
      <c r="W27" s="75">
        <f t="shared" si="49"/>
        <v>7</v>
      </c>
      <c r="X27" s="75">
        <f t="shared" si="49"/>
        <v>405</v>
      </c>
      <c r="Y27" s="75">
        <f t="shared" si="49"/>
        <v>405</v>
      </c>
      <c r="Z27" s="66">
        <f t="shared" si="42"/>
        <v>0.65751211631663975</v>
      </c>
      <c r="AA27" s="66">
        <f t="shared" si="43"/>
        <v>0.88256880733944953</v>
      </c>
      <c r="AB27" s="66">
        <f t="shared" si="44"/>
        <v>1.7654986522911051</v>
      </c>
      <c r="AC27" s="66">
        <f t="shared" si="45"/>
        <v>145.57142857142858</v>
      </c>
      <c r="AD27" s="66">
        <f t="shared" si="46"/>
        <v>1.5333333333333332</v>
      </c>
      <c r="AE27" s="62">
        <f t="shared" si="47"/>
        <v>1.5333333333333332</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1260797</v>
      </c>
      <c r="G28" s="76">
        <f t="shared" si="48"/>
        <v>994232</v>
      </c>
      <c r="H28" s="76">
        <f t="shared" si="48"/>
        <v>723641</v>
      </c>
      <c r="I28" s="76">
        <f t="shared" si="48"/>
        <v>240931</v>
      </c>
      <c r="J28" s="76">
        <f t="shared" si="48"/>
        <v>4669</v>
      </c>
      <c r="K28" s="76">
        <f t="shared" si="48"/>
        <v>494991</v>
      </c>
      <c r="L28" s="76">
        <f t="shared" si="48"/>
        <v>513063</v>
      </c>
      <c r="M28" s="67">
        <f t="shared" si="36"/>
        <v>0.2681114669413176</v>
      </c>
      <c r="N28" s="67">
        <f t="shared" si="37"/>
        <v>0.74229624910694669</v>
      </c>
      <c r="O28" s="67">
        <f t="shared" si="38"/>
        <v>4.2330210724232247</v>
      </c>
      <c r="P28" s="67">
        <f t="shared" si="39"/>
        <v>269.0357678303705</v>
      </c>
      <c r="Q28" s="67">
        <f t="shared" si="40"/>
        <v>1.5471109575729658</v>
      </c>
      <c r="R28" s="63">
        <f t="shared" si="41"/>
        <v>1.4573921721114171</v>
      </c>
      <c r="S28" s="76">
        <f t="shared" si="49"/>
        <v>2766999</v>
      </c>
      <c r="T28" s="76">
        <f t="shared" si="49"/>
        <v>1977097</v>
      </c>
      <c r="U28" s="76">
        <f t="shared" si="49"/>
        <v>1557046</v>
      </c>
      <c r="V28" s="76">
        <f t="shared" si="49"/>
        <v>460887</v>
      </c>
      <c r="W28" s="76">
        <f t="shared" si="49"/>
        <v>5957</v>
      </c>
      <c r="X28" s="76">
        <f t="shared" si="49"/>
        <v>1050029</v>
      </c>
      <c r="Y28" s="76">
        <f t="shared" si="49"/>
        <v>1133915</v>
      </c>
      <c r="Z28" s="67">
        <f t="shared" si="42"/>
        <v>0.39952617398134738</v>
      </c>
      <c r="AA28" s="67">
        <f t="shared" si="43"/>
        <v>0.77708237264666558</v>
      </c>
      <c r="AB28" s="67">
        <f t="shared" si="44"/>
        <v>5.0036386359346219</v>
      </c>
      <c r="AC28" s="67">
        <f t="shared" si="45"/>
        <v>463.49538358234008</v>
      </c>
      <c r="AD28" s="67">
        <f t="shared" si="46"/>
        <v>1.6351643621271412</v>
      </c>
      <c r="AE28" s="63">
        <f t="shared" si="47"/>
        <v>1.4402173002385541</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2"/>
      <c r="T30" s="122"/>
      <c r="U30" s="128"/>
      <c r="V30" s="122"/>
      <c r="W30" s="122"/>
      <c r="X30" s="122"/>
      <c r="Y30" s="122"/>
      <c r="Z30" s="122"/>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February</v>
      </c>
      <c r="G33" s="170"/>
      <c r="H33" s="170"/>
      <c r="I33" s="170"/>
      <c r="J33" s="170"/>
      <c r="K33" s="170"/>
      <c r="L33" s="170"/>
      <c r="M33" s="170"/>
      <c r="N33" s="170"/>
      <c r="O33" s="170"/>
      <c r="P33" s="170"/>
      <c r="Q33" s="170"/>
      <c r="R33" s="171"/>
      <c r="S33" s="176" t="str">
        <f>"April to "&amp;D4&amp;" (YTD)"</f>
        <v>April to February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c r="T35" s="53" t="s">
        <v>128</v>
      </c>
      <c r="U35" s="53" t="s">
        <v>114</v>
      </c>
      <c r="V35" s="53" t="s">
        <v>53</v>
      </c>
      <c r="W35" s="52" t="s">
        <v>54</v>
      </c>
      <c r="X35" s="52" t="s">
        <v>59</v>
      </c>
      <c r="Y35" s="52" t="s">
        <v>64</v>
      </c>
      <c r="Z35" s="52"/>
      <c r="AA35" s="53" t="s">
        <v>129</v>
      </c>
      <c r="AB35" s="53" t="s">
        <v>140</v>
      </c>
      <c r="AC35" s="53" t="s">
        <v>141</v>
      </c>
      <c r="AD35" s="53" t="s">
        <v>142</v>
      </c>
      <c r="AE35" s="57" t="s">
        <v>143</v>
      </c>
      <c r="AF35" s="53"/>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340</v>
      </c>
      <c r="G37" s="74">
        <f t="shared" ref="G37:L38" si="51">G13</f>
        <v>224</v>
      </c>
      <c r="H37" s="74">
        <f t="shared" si="51"/>
        <v>161</v>
      </c>
      <c r="I37" s="74">
        <f t="shared" si="51"/>
        <v>162</v>
      </c>
      <c r="J37" s="74">
        <f t="shared" si="51"/>
        <v>0</v>
      </c>
      <c r="K37" s="74">
        <f t="shared" si="51"/>
        <v>175</v>
      </c>
      <c r="L37" s="74">
        <f t="shared" si="51"/>
        <v>157</v>
      </c>
      <c r="M37" s="64">
        <f t="shared" ref="M37:M38" si="52">IFERROR(F37/G37-1,"n/a")</f>
        <v>0.51785714285714279</v>
      </c>
      <c r="N37" s="64">
        <f t="shared" ref="N37:N38" si="53">IFERROR(F37/H37-1,"n/a")</f>
        <v>1.1118012422360248</v>
      </c>
      <c r="O37" s="64">
        <f t="shared" ref="O37:O38" si="54">IFERROR(F37/I37-1,"n/a")</f>
        <v>1.0987654320987654</v>
      </c>
      <c r="P37" s="64" t="str">
        <f t="shared" ref="P37:P38" si="55">IFERROR(F37/J37-1,"n/a")</f>
        <v>n/a</v>
      </c>
      <c r="Q37" s="64">
        <f t="shared" ref="Q37:Q38" si="56">IFERROR(F37/K37-1,"n/a")</f>
        <v>0.94285714285714284</v>
      </c>
      <c r="R37" s="60">
        <f t="shared" ref="R37:R38" si="57">IFERROR(F37/L37-1,"n/a")</f>
        <v>1.1656050955414012</v>
      </c>
      <c r="S37" s="64"/>
      <c r="T37" s="74">
        <f>'Jan-25'!T37+'Feb-25'!F37</f>
        <v>2525</v>
      </c>
      <c r="U37" s="74">
        <f>'Jan-25'!U37+'Feb-25'!G37</f>
        <v>1521</v>
      </c>
      <c r="V37" s="74">
        <f>'Jan-25'!V37+'Feb-25'!H37</f>
        <v>1305</v>
      </c>
      <c r="W37" s="74">
        <f>'Jan-25'!W37+'Feb-25'!I37</f>
        <v>841</v>
      </c>
      <c r="X37" s="74">
        <f>'Jan-25'!X37+'Feb-25'!J37</f>
        <v>42</v>
      </c>
      <c r="Y37" s="74">
        <f>'Jan-25'!Y37+'Feb-25'!K37</f>
        <v>1430</v>
      </c>
      <c r="Z37" s="162"/>
      <c r="AA37" s="147">
        <f>IFERROR(T37/U37-1,"n/a")</f>
        <v>0.66009204470742922</v>
      </c>
      <c r="AB37" s="147">
        <f>IFERROR(T37/V37-1,"n/a")</f>
        <v>0.93486590038314166</v>
      </c>
      <c r="AC37" s="147">
        <f>IFERROR(T37/W37-1,"n/a")</f>
        <v>2.0023781212841856</v>
      </c>
      <c r="AD37" s="147">
        <f>IFERROR(T37/X37-1,"n/a")</f>
        <v>59.11904761904762</v>
      </c>
      <c r="AE37" s="158">
        <f>IFERROR(T37/Y37-1,"n/a")</f>
        <v>0.76573426573426584</v>
      </c>
      <c r="AF37" s="119"/>
      <c r="AG37" s="89">
        <v>1802</v>
      </c>
      <c r="AH37" s="89">
        <v>1486</v>
      </c>
      <c r="AI37" s="89">
        <v>1052</v>
      </c>
      <c r="AJ37" s="70">
        <v>551</v>
      </c>
      <c r="AK37" s="78">
        <v>1584</v>
      </c>
      <c r="AM37" s="122"/>
    </row>
    <row r="38" spans="1:39" s="123" customFormat="1" ht="11.25">
      <c r="A38" s="122"/>
      <c r="B38" s="122"/>
      <c r="C38" s="33"/>
      <c r="D38" s="26" t="s">
        <v>11</v>
      </c>
      <c r="E38" s="32"/>
      <c r="F38" s="74">
        <f>F14</f>
        <v>876872</v>
      </c>
      <c r="G38" s="74">
        <f t="shared" si="51"/>
        <v>674695</v>
      </c>
      <c r="H38" s="74">
        <f t="shared" si="51"/>
        <v>449661</v>
      </c>
      <c r="I38" s="74">
        <f t="shared" si="51"/>
        <v>219545</v>
      </c>
      <c r="J38" s="74">
        <f t="shared" si="51"/>
        <v>0</v>
      </c>
      <c r="K38" s="74">
        <f t="shared" si="51"/>
        <v>430518</v>
      </c>
      <c r="L38" s="74">
        <f t="shared" si="51"/>
        <v>425246</v>
      </c>
      <c r="M38" s="64">
        <f t="shared" si="52"/>
        <v>0.29965688199853258</v>
      </c>
      <c r="N38" s="64">
        <f t="shared" si="53"/>
        <v>0.95007349981430456</v>
      </c>
      <c r="O38" s="64">
        <f t="shared" si="54"/>
        <v>2.9940422236899042</v>
      </c>
      <c r="P38" s="64" t="str">
        <f t="shared" si="55"/>
        <v>n/a</v>
      </c>
      <c r="Q38" s="64">
        <f t="shared" si="56"/>
        <v>1.0367835955755624</v>
      </c>
      <c r="R38" s="60">
        <f t="shared" si="57"/>
        <v>1.0620346811022325</v>
      </c>
      <c r="S38" s="64"/>
      <c r="T38" s="74">
        <f>'Jan-25'!T38+'Feb-25'!F38</f>
        <v>7794866</v>
      </c>
      <c r="U38" s="74">
        <f>'Jan-25'!U38+'Feb-25'!G38</f>
        <v>4990356</v>
      </c>
      <c r="V38" s="74">
        <f>'Jan-25'!V38+'Feb-25'!H38</f>
        <v>3805365</v>
      </c>
      <c r="W38" s="74">
        <f>'Jan-25'!W38+'Feb-25'!I38</f>
        <v>1178358</v>
      </c>
      <c r="X38" s="74">
        <f>'Jan-25'!X38+'Feb-25'!J38</f>
        <v>0</v>
      </c>
      <c r="Y38" s="74">
        <f>'Jan-25'!Y38+'Feb-25'!K38</f>
        <v>4016570</v>
      </c>
      <c r="Z38" s="162"/>
      <c r="AA38" s="147">
        <f>IFERROR(T38/U38-1,"n/a")</f>
        <v>0.56198595851678723</v>
      </c>
      <c r="AB38" s="147">
        <f>IFERROR(T38/V38-1,"n/a")</f>
        <v>1.0483885251480474</v>
      </c>
      <c r="AC38" s="147">
        <f>IFERROR(T38/W38-1,"n/a")</f>
        <v>5.6150236176102677</v>
      </c>
      <c r="AD38" s="147" t="str">
        <f>IFERROR(T38/X38-1,"n/a")</f>
        <v>n/a</v>
      </c>
      <c r="AE38" s="158">
        <f>IFERROR(T38/Y38-1,"n/a")</f>
        <v>0.94067724451459833</v>
      </c>
      <c r="AF38" s="119"/>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65"/>
      <c r="T39" s="26"/>
      <c r="U39" s="26"/>
      <c r="V39" s="26"/>
      <c r="W39" s="26"/>
      <c r="X39" s="26"/>
      <c r="Y39" s="26"/>
      <c r="Z39" s="146"/>
      <c r="AA39" s="148"/>
      <c r="AB39" s="148"/>
      <c r="AC39" s="148"/>
      <c r="AD39" s="148"/>
      <c r="AE39" s="159"/>
      <c r="AF39" s="65"/>
      <c r="AG39" s="90"/>
      <c r="AH39" s="90"/>
      <c r="AI39" s="90"/>
      <c r="AJ39" s="44"/>
      <c r="AK39" s="79"/>
      <c r="AM39" s="122"/>
    </row>
    <row r="40" spans="1:39" s="123" customFormat="1" ht="11.25">
      <c r="A40" s="122"/>
      <c r="B40" s="122"/>
      <c r="C40" s="33"/>
      <c r="D40" s="26" t="s">
        <v>5</v>
      </c>
      <c r="E40" s="32"/>
      <c r="F40" s="74">
        <f t="shared" ref="F40:L41" si="58">F16</f>
        <v>15</v>
      </c>
      <c r="G40" s="74">
        <f t="shared" si="58"/>
        <v>8</v>
      </c>
      <c r="H40" s="74">
        <f t="shared" si="58"/>
        <v>6</v>
      </c>
      <c r="I40" s="74">
        <f t="shared" si="58"/>
        <v>7</v>
      </c>
      <c r="J40" s="74">
        <f t="shared" si="58"/>
        <v>5</v>
      </c>
      <c r="K40" s="74">
        <f t="shared" si="58"/>
        <v>4</v>
      </c>
      <c r="L40" s="74">
        <f t="shared" si="58"/>
        <v>8</v>
      </c>
      <c r="M40" s="64">
        <f t="shared" ref="M40:M41" si="59">IFERROR(F40/G40-1,"n/a")</f>
        <v>0.875</v>
      </c>
      <c r="N40" s="64">
        <f t="shared" ref="N40:N41" si="60">IFERROR(F40/H40-1,"n/a")</f>
        <v>1.5</v>
      </c>
      <c r="O40" s="64">
        <f t="shared" ref="O40:O41" si="61">IFERROR(F40/I40-1,"n/a")</f>
        <v>1.1428571428571428</v>
      </c>
      <c r="P40" s="64">
        <f t="shared" ref="P40:P41" si="62">IFERROR(F40/J40-1,"n/a")</f>
        <v>2</v>
      </c>
      <c r="Q40" s="64">
        <f t="shared" ref="Q40:Q41" si="63">IFERROR(F40/K40-1,"n/a")</f>
        <v>2.75</v>
      </c>
      <c r="R40" s="60">
        <f t="shared" ref="R40:R41" si="64">IFERROR(F40/L40-1,"n/a")</f>
        <v>0.875</v>
      </c>
      <c r="S40" s="64"/>
      <c r="T40" s="74">
        <f>'Jan-25'!T40+'Feb-25'!F40</f>
        <v>787</v>
      </c>
      <c r="U40" s="74">
        <f>'Jan-25'!U40+'Feb-25'!G40</f>
        <v>567</v>
      </c>
      <c r="V40" s="74">
        <f>'Jan-25'!V40+'Feb-25'!H40</f>
        <v>548</v>
      </c>
      <c r="W40" s="74">
        <f>'Jan-25'!W40+'Feb-25'!I40</f>
        <v>202</v>
      </c>
      <c r="X40" s="74">
        <f>'Jan-25'!X40+'Feb-25'!J40</f>
        <v>51</v>
      </c>
      <c r="Y40" s="74">
        <f>'Jan-25'!Y40+'Feb-25'!K40</f>
        <v>579</v>
      </c>
      <c r="Z40" s="162"/>
      <c r="AA40" s="147">
        <f t="shared" ref="AA40:AA41" si="65">IFERROR(T40/U40-1,"n/a")</f>
        <v>0.38800705467372132</v>
      </c>
      <c r="AB40" s="147">
        <f t="shared" ref="AB40:AB41" si="66">IFERROR(T40/V40-1,"n/a")</f>
        <v>0.43613138686131392</v>
      </c>
      <c r="AC40" s="147">
        <f t="shared" ref="AC40:AC41" si="67">IFERROR(T40/W40-1,"n/a")</f>
        <v>2.8960396039603959</v>
      </c>
      <c r="AD40" s="147">
        <f t="shared" ref="AD40:AD41" si="68">IFERROR(T40/X40-1,"n/a")</f>
        <v>14.431372549019608</v>
      </c>
      <c r="AE40" s="158">
        <f t="shared" ref="AE40:AE41" si="69">IFERROR(T40/Y40-1,"n/a")</f>
        <v>0.35924006908462869</v>
      </c>
      <c r="AF40" s="119"/>
      <c r="AG40" s="89">
        <v>583</v>
      </c>
      <c r="AH40" s="89">
        <v>563</v>
      </c>
      <c r="AI40" s="89">
        <v>226</v>
      </c>
      <c r="AJ40" s="70">
        <v>66</v>
      </c>
      <c r="AK40" s="78">
        <v>573</v>
      </c>
      <c r="AM40" s="122"/>
    </row>
    <row r="41" spans="1:39" s="123" customFormat="1" ht="11.25">
      <c r="A41" s="122"/>
      <c r="B41" s="122"/>
      <c r="C41" s="33"/>
      <c r="D41" s="26" t="s">
        <v>11</v>
      </c>
      <c r="E41" s="32"/>
      <c r="F41" s="74">
        <f t="shared" si="58"/>
        <v>51126</v>
      </c>
      <c r="G41" s="74">
        <f t="shared" si="58"/>
        <v>31100</v>
      </c>
      <c r="H41" s="74">
        <f t="shared" si="58"/>
        <v>24121</v>
      </c>
      <c r="I41" s="74">
        <f t="shared" si="58"/>
        <v>6429</v>
      </c>
      <c r="J41" s="74">
        <f t="shared" si="58"/>
        <v>4669</v>
      </c>
      <c r="K41" s="74">
        <f t="shared" si="58"/>
        <v>17407</v>
      </c>
      <c r="L41" s="74">
        <f t="shared" si="58"/>
        <v>26946</v>
      </c>
      <c r="M41" s="64">
        <f t="shared" si="59"/>
        <v>0.64392282958199365</v>
      </c>
      <c r="N41" s="64">
        <f t="shared" si="60"/>
        <v>1.1195638655113802</v>
      </c>
      <c r="O41" s="64">
        <f t="shared" si="61"/>
        <v>6.9524031731217919</v>
      </c>
      <c r="P41" s="64">
        <f t="shared" si="62"/>
        <v>9.9500963803812379</v>
      </c>
      <c r="Q41" s="64">
        <f t="shared" si="63"/>
        <v>1.9370942724191416</v>
      </c>
      <c r="R41" s="60">
        <f t="shared" si="64"/>
        <v>0.89735025606769092</v>
      </c>
      <c r="S41" s="64"/>
      <c r="T41" s="74">
        <f>'Jan-25'!T41+'Feb-25'!F41</f>
        <v>2018022</v>
      </c>
      <c r="U41" s="74">
        <f>'Jan-25'!U41+'Feb-25'!G41</f>
        <v>1655994</v>
      </c>
      <c r="V41" s="74">
        <f>'Jan-25'!V41+'Feb-25'!H41</f>
        <v>973312</v>
      </c>
      <c r="W41" s="74">
        <f>'Jan-25'!W41+'Feb-25'!I41</f>
        <v>300563</v>
      </c>
      <c r="X41" s="74">
        <f>'Jan-25'!X41+'Feb-25'!J41</f>
        <v>35519</v>
      </c>
      <c r="Y41" s="74">
        <f>'Jan-25'!Y41+'Feb-25'!K41</f>
        <v>1358707</v>
      </c>
      <c r="Z41" s="162"/>
      <c r="AA41" s="147">
        <f t="shared" si="65"/>
        <v>0.21861673411860183</v>
      </c>
      <c r="AB41" s="147">
        <f t="shared" si="66"/>
        <v>1.0733557173855863</v>
      </c>
      <c r="AC41" s="147">
        <f t="shared" si="67"/>
        <v>5.7141397976464168</v>
      </c>
      <c r="AD41" s="147">
        <f t="shared" si="68"/>
        <v>55.815281961766942</v>
      </c>
      <c r="AE41" s="158">
        <f t="shared" si="69"/>
        <v>0.4852517871770734</v>
      </c>
      <c r="AF41" s="119"/>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64"/>
      <c r="T42" s="87"/>
      <c r="U42" s="87"/>
      <c r="V42" s="87"/>
      <c r="W42" s="87"/>
      <c r="X42" s="87"/>
      <c r="Y42" s="87"/>
      <c r="Z42" s="110"/>
      <c r="AA42" s="147"/>
      <c r="AB42" s="147"/>
      <c r="AC42" s="147"/>
      <c r="AD42" s="147"/>
      <c r="AE42" s="158"/>
      <c r="AF42" s="64"/>
      <c r="AG42" s="90"/>
      <c r="AH42" s="90"/>
      <c r="AI42" s="90"/>
      <c r="AJ42" s="44"/>
      <c r="AK42" s="79"/>
      <c r="AM42" s="122"/>
    </row>
    <row r="43" spans="1:39" s="123" customFormat="1" ht="11.25">
      <c r="A43" s="122"/>
      <c r="B43" s="122"/>
      <c r="C43" s="33"/>
      <c r="D43" s="26" t="s">
        <v>5</v>
      </c>
      <c r="E43" s="32"/>
      <c r="F43" s="74">
        <f>F19</f>
        <v>7</v>
      </c>
      <c r="G43" s="74">
        <f t="shared" ref="G43:L44" si="70">G19</f>
        <v>4</v>
      </c>
      <c r="H43" s="74">
        <f t="shared" si="70"/>
        <v>2</v>
      </c>
      <c r="I43" s="74">
        <f t="shared" si="70"/>
        <v>3</v>
      </c>
      <c r="J43" s="74">
        <f t="shared" si="70"/>
        <v>0</v>
      </c>
      <c r="K43" s="74">
        <f t="shared" si="70"/>
        <v>0</v>
      </c>
      <c r="L43" s="74">
        <f t="shared" si="70"/>
        <v>1</v>
      </c>
      <c r="M43" s="64">
        <f t="shared" ref="M43:M44" si="71">IFERROR(F43/G43-1,"n/a")</f>
        <v>0.75</v>
      </c>
      <c r="N43" s="64">
        <f t="shared" ref="N43:N44" si="72">IFERROR(F43/H43-1,"n/a")</f>
        <v>2.5</v>
      </c>
      <c r="O43" s="64">
        <f t="shared" ref="O43:O44" si="73">IFERROR(F43/I43-1,"n/a")</f>
        <v>1.3333333333333335</v>
      </c>
      <c r="P43" s="64" t="str">
        <f t="shared" ref="P43:P44" si="74">IFERROR(F43/J43-1,"n/a")</f>
        <v>n/a</v>
      </c>
      <c r="Q43" s="64" t="str">
        <f t="shared" ref="Q43:Q44" si="75">IFERROR(F43/K43-1,"n/a")</f>
        <v>n/a</v>
      </c>
      <c r="R43" s="60">
        <f t="shared" ref="R43:R44" si="76">IFERROR(F43/L43-1,"n/a")</f>
        <v>6</v>
      </c>
      <c r="S43" s="64"/>
      <c r="T43" s="74">
        <f>'Jan-25'!T43+'Feb-25'!F43</f>
        <v>714</v>
      </c>
      <c r="U43" s="74">
        <f>'Jan-25'!U43+'Feb-25'!G43</f>
        <v>691</v>
      </c>
      <c r="V43" s="74">
        <f>'Jan-25'!V43+'Feb-25'!H43</f>
        <v>652</v>
      </c>
      <c r="W43" s="74">
        <f>'Jan-25'!W43+'Feb-25'!I43</f>
        <v>53</v>
      </c>
      <c r="X43" s="74">
        <f>'Jan-25'!X43+'Feb-25'!J43</f>
        <v>7</v>
      </c>
      <c r="Y43" s="74">
        <f>'Jan-25'!Y43+'Feb-25'!K43</f>
        <v>285</v>
      </c>
      <c r="Z43" s="162"/>
      <c r="AA43" s="147">
        <f t="shared" ref="AA43:AA44" si="77">IFERROR(T43/U43-1,"n/a")</f>
        <v>3.3285094066570098E-2</v>
      </c>
      <c r="AB43" s="147">
        <f t="shared" ref="AB43:AB44" si="78">IFERROR(T43/V43-1,"n/a")</f>
        <v>9.5092024539877196E-2</v>
      </c>
      <c r="AC43" s="147">
        <f t="shared" ref="AC43:AC44" si="79">IFERROR(T43/W43-1,"n/a")</f>
        <v>12.471698113207546</v>
      </c>
      <c r="AD43" s="147">
        <f t="shared" ref="AD43:AD44" si="80">IFERROR(T43/X43-1,"n/a")</f>
        <v>101</v>
      </c>
      <c r="AE43" s="158">
        <f t="shared" ref="AE43:AE44" si="81">IFERROR(T43/Y43-1,"n/a")</f>
        <v>1.5052631578947366</v>
      </c>
      <c r="AF43" s="119"/>
      <c r="AG43" s="89">
        <v>712</v>
      </c>
      <c r="AH43" s="89">
        <v>669</v>
      </c>
      <c r="AI43" s="89">
        <v>59</v>
      </c>
      <c r="AJ43" s="70">
        <v>9</v>
      </c>
      <c r="AK43" s="78">
        <v>287</v>
      </c>
      <c r="AM43" s="122"/>
    </row>
    <row r="44" spans="1:39" s="123" customFormat="1" ht="11.25">
      <c r="A44" s="122"/>
      <c r="B44" s="122"/>
      <c r="C44" s="33"/>
      <c r="D44" s="26" t="s">
        <v>11</v>
      </c>
      <c r="E44" s="32"/>
      <c r="F44" s="74">
        <f>F20</f>
        <v>11128</v>
      </c>
      <c r="G44" s="74">
        <f t="shared" si="70"/>
        <v>5580</v>
      </c>
      <c r="H44" s="74">
        <f t="shared" si="70"/>
        <v>2252</v>
      </c>
      <c r="I44" s="74">
        <f t="shared" si="70"/>
        <v>925</v>
      </c>
      <c r="J44" s="74">
        <f t="shared" si="70"/>
        <v>0</v>
      </c>
      <c r="K44" s="74">
        <f t="shared" si="70"/>
        <v>43</v>
      </c>
      <c r="L44" s="74">
        <f t="shared" si="70"/>
        <v>1168</v>
      </c>
      <c r="M44" s="64">
        <f t="shared" si="71"/>
        <v>0.99426523297491043</v>
      </c>
      <c r="N44" s="64">
        <f t="shared" si="72"/>
        <v>3.9413854351687387</v>
      </c>
      <c r="O44" s="64">
        <f t="shared" si="73"/>
        <v>11.03027027027027</v>
      </c>
      <c r="P44" s="64" t="str">
        <f t="shared" si="74"/>
        <v>n/a</v>
      </c>
      <c r="Q44" s="64">
        <f t="shared" si="75"/>
        <v>257.7906976744186</v>
      </c>
      <c r="R44" s="60">
        <f t="shared" si="76"/>
        <v>8.5273972602739718</v>
      </c>
      <c r="S44" s="64"/>
      <c r="T44" s="74">
        <f>'Jan-25'!T44+'Feb-25'!F44</f>
        <v>1469459.4</v>
      </c>
      <c r="U44" s="74">
        <f>'Jan-25'!U44+'Feb-25'!G44</f>
        <v>1265100</v>
      </c>
      <c r="V44" s="74">
        <f>'Jan-25'!V44+'Feb-25'!H44</f>
        <v>890522</v>
      </c>
      <c r="W44" s="74">
        <f>'Jan-25'!W44+'Feb-25'!I44</f>
        <v>19280</v>
      </c>
      <c r="X44" s="74">
        <f>'Jan-25'!X44+'Feb-25'!J44</f>
        <v>8294</v>
      </c>
      <c r="Y44" s="74">
        <f>'Jan-25'!Y44+'Feb-25'!K44</f>
        <v>580312</v>
      </c>
      <c r="Z44" s="162"/>
      <c r="AA44" s="147">
        <f t="shared" si="77"/>
        <v>0.16153616314915809</v>
      </c>
      <c r="AB44" s="147">
        <f t="shared" si="78"/>
        <v>0.65011016010834077</v>
      </c>
      <c r="AC44" s="147">
        <f t="shared" si="79"/>
        <v>75.216773858921158</v>
      </c>
      <c r="AD44" s="147">
        <f t="shared" si="80"/>
        <v>176.1713768989631</v>
      </c>
      <c r="AE44" s="158">
        <f t="shared" si="81"/>
        <v>1.5321885468506595</v>
      </c>
      <c r="AF44" s="119"/>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64"/>
      <c r="T45" s="72"/>
      <c r="U45" s="72"/>
      <c r="V45" s="72"/>
      <c r="W45" s="72"/>
      <c r="X45" s="72"/>
      <c r="Y45" s="72"/>
      <c r="Z45" s="160"/>
      <c r="AA45" s="147"/>
      <c r="AB45" s="147"/>
      <c r="AC45" s="147"/>
      <c r="AD45" s="147"/>
      <c r="AE45" s="158"/>
      <c r="AF45" s="64"/>
      <c r="AG45" s="90"/>
      <c r="AH45" s="90"/>
      <c r="AI45" s="90"/>
      <c r="AJ45" s="44"/>
      <c r="AK45" s="79"/>
      <c r="AM45" s="122"/>
    </row>
    <row r="46" spans="1:39" s="123" customFormat="1" ht="11.25">
      <c r="A46" s="122"/>
      <c r="B46" s="122"/>
      <c r="C46" s="33"/>
      <c r="D46" s="26" t="s">
        <v>5</v>
      </c>
      <c r="E46" s="34"/>
      <c r="F46" s="74">
        <f>F22</f>
        <v>114</v>
      </c>
      <c r="G46" s="74">
        <f t="shared" ref="G46:L47" si="82">G22</f>
        <v>77</v>
      </c>
      <c r="H46" s="74">
        <f t="shared" si="82"/>
        <v>73</v>
      </c>
      <c r="I46" s="74">
        <f t="shared" si="82"/>
        <v>13</v>
      </c>
      <c r="J46" s="74">
        <f t="shared" si="82"/>
        <v>0</v>
      </c>
      <c r="K46" s="74">
        <f t="shared" si="82"/>
        <v>14</v>
      </c>
      <c r="L46" s="74">
        <f t="shared" si="82"/>
        <v>21</v>
      </c>
      <c r="M46" s="64">
        <f t="shared" ref="M46:M47" si="83">IFERROR(F46/G46-1,"n/a")</f>
        <v>0.48051948051948057</v>
      </c>
      <c r="N46" s="64">
        <f t="shared" ref="N46:N47" si="84">IFERROR(F46/H46-1,"n/a")</f>
        <v>0.56164383561643838</v>
      </c>
      <c r="O46" s="64">
        <f t="shared" ref="O46:O47" si="85">IFERROR(F46/I46-1,"n/a")</f>
        <v>7.7692307692307701</v>
      </c>
      <c r="P46" s="64" t="str">
        <f t="shared" ref="P46:P47" si="86">IFERROR(F46/J46-1,"n/a")</f>
        <v>n/a</v>
      </c>
      <c r="Q46" s="64">
        <f t="shared" ref="Q46:Q47" si="87">IFERROR(F46/K46-1,"n/a")</f>
        <v>7.1428571428571423</v>
      </c>
      <c r="R46" s="60">
        <f t="shared" ref="R46:R47" si="88">IFERROR(F46/L46-1,"n/a")</f>
        <v>4.4285714285714288</v>
      </c>
      <c r="S46" s="64"/>
      <c r="T46" s="74">
        <f>'Jan-25'!T46+'Feb-25'!F46</f>
        <v>1639</v>
      </c>
      <c r="U46" s="74">
        <f>'Jan-25'!U46+'Feb-25'!G46</f>
        <v>1384</v>
      </c>
      <c r="V46" s="74">
        <f>'Jan-25'!V46+'Feb-25'!H46</f>
        <v>1020</v>
      </c>
      <c r="W46" s="74">
        <f>'Jan-25'!W46+'Feb-25'!I46</f>
        <v>312</v>
      </c>
      <c r="X46" s="74">
        <f>'Jan-25'!X46+'Feb-25'!J46</f>
        <v>0</v>
      </c>
      <c r="Y46" s="74">
        <f>'Jan-25'!Y46+'Feb-25'!K46</f>
        <v>771</v>
      </c>
      <c r="Z46" s="162"/>
      <c r="AA46" s="147">
        <f t="shared" ref="AA46:AA47" si="89">IFERROR(T46/U46-1,"n/a")</f>
        <v>0.18424855491329484</v>
      </c>
      <c r="AB46" s="147">
        <f t="shared" ref="AB46:AB47" si="90">IFERROR(T46/V46-1,"n/a")</f>
        <v>0.60686274509803928</v>
      </c>
      <c r="AC46" s="147">
        <f t="shared" ref="AC46:AC47" si="91">IFERROR(T46/W46-1,"n/a")</f>
        <v>4.2532051282051286</v>
      </c>
      <c r="AD46" s="147" t="str">
        <f t="shared" ref="AD46:AD47" si="92">IFERROR(T46/X46-1,"n/a")</f>
        <v>n/a</v>
      </c>
      <c r="AE46" s="158">
        <f t="shared" ref="AE46:AE47" si="93">IFERROR(T46/Y46-1,"n/a")</f>
        <v>1.125810635538262</v>
      </c>
      <c r="AF46" s="119"/>
      <c r="AG46" s="89">
        <v>1471</v>
      </c>
      <c r="AH46" s="89">
        <v>1129</v>
      </c>
      <c r="AI46" s="89">
        <v>336</v>
      </c>
      <c r="AJ46" s="84">
        <v>43</v>
      </c>
      <c r="AK46" s="78">
        <v>781</v>
      </c>
      <c r="AM46" s="122"/>
    </row>
    <row r="47" spans="1:39" s="123" customFormat="1" ht="11.25">
      <c r="A47" s="122"/>
      <c r="B47" s="122"/>
      <c r="C47" s="33"/>
      <c r="D47" s="26" t="s">
        <v>11</v>
      </c>
      <c r="E47" s="32"/>
      <c r="F47" s="74">
        <f>F23</f>
        <v>321671</v>
      </c>
      <c r="G47" s="74">
        <f t="shared" si="82"/>
        <v>282857</v>
      </c>
      <c r="H47" s="74">
        <f t="shared" si="82"/>
        <v>247607</v>
      </c>
      <c r="I47" s="74">
        <f t="shared" si="82"/>
        <v>14032</v>
      </c>
      <c r="J47" s="74">
        <f t="shared" si="82"/>
        <v>0</v>
      </c>
      <c r="K47" s="74">
        <f t="shared" si="82"/>
        <v>47023</v>
      </c>
      <c r="L47" s="74">
        <f t="shared" si="82"/>
        <v>59703</v>
      </c>
      <c r="M47" s="64">
        <f t="shared" si="83"/>
        <v>0.13722128142488965</v>
      </c>
      <c r="N47" s="64">
        <f t="shared" si="84"/>
        <v>0.29911916868263022</v>
      </c>
      <c r="O47" s="64">
        <f t="shared" si="85"/>
        <v>21.924102052451538</v>
      </c>
      <c r="P47" s="64" t="str">
        <f t="shared" si="86"/>
        <v>n/a</v>
      </c>
      <c r="Q47" s="64">
        <f t="shared" si="87"/>
        <v>5.8407162452416905</v>
      </c>
      <c r="R47" s="60">
        <f t="shared" si="88"/>
        <v>4.3878532067065308</v>
      </c>
      <c r="S47" s="64"/>
      <c r="T47" s="74">
        <f>'Jan-25'!T47+'Feb-25'!F47</f>
        <v>4870668</v>
      </c>
      <c r="U47" s="74">
        <f>'Jan-25'!U47+'Feb-25'!G47</f>
        <v>4218300</v>
      </c>
      <c r="V47" s="74">
        <f>'Jan-25'!V47+'Feb-25'!H47</f>
        <v>2631174</v>
      </c>
      <c r="W47" s="74">
        <f>'Jan-25'!W47+'Feb-25'!I47</f>
        <v>500969</v>
      </c>
      <c r="X47" s="74">
        <f>'Jan-25'!X47+'Feb-25'!J47</f>
        <v>0</v>
      </c>
      <c r="Y47" s="74">
        <f>'Jan-25'!Y47+'Feb-25'!K47</f>
        <v>2413059</v>
      </c>
      <c r="Z47" s="162"/>
      <c r="AA47" s="147">
        <f t="shared" si="89"/>
        <v>0.15465187397766877</v>
      </c>
      <c r="AB47" s="147">
        <f t="shared" si="90"/>
        <v>0.851138693222113</v>
      </c>
      <c r="AC47" s="147">
        <f t="shared" si="91"/>
        <v>8.7224938070020297</v>
      </c>
      <c r="AD47" s="147" t="str">
        <f t="shared" si="92"/>
        <v>n/a</v>
      </c>
      <c r="AE47" s="158">
        <f t="shared" si="93"/>
        <v>1.0184620434063154</v>
      </c>
      <c r="AF47" s="119"/>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64"/>
      <c r="T48" s="72"/>
      <c r="U48" s="72"/>
      <c r="V48" s="72"/>
      <c r="W48" s="72"/>
      <c r="X48" s="72"/>
      <c r="Y48" s="72"/>
      <c r="Z48" s="160"/>
      <c r="AA48" s="147"/>
      <c r="AB48" s="147"/>
      <c r="AC48" s="147"/>
      <c r="AD48" s="147"/>
      <c r="AE48" s="158"/>
      <c r="AF48" s="64"/>
      <c r="AG48" s="90"/>
      <c r="AH48" s="90"/>
      <c r="AI48" s="90"/>
      <c r="AJ48" s="44"/>
      <c r="AK48" s="79"/>
      <c r="AM48" s="122"/>
    </row>
    <row r="49" spans="3:39" s="123" customFormat="1" ht="11.25">
      <c r="C49" s="33"/>
      <c r="D49" s="26" t="s">
        <v>5</v>
      </c>
      <c r="E49" s="32"/>
      <c r="F49" s="74">
        <f>F25</f>
        <v>0</v>
      </c>
      <c r="G49" s="74">
        <f t="shared" ref="G49:L50" si="94">G25</f>
        <v>0</v>
      </c>
      <c r="H49" s="74">
        <f t="shared" si="94"/>
        <v>0</v>
      </c>
      <c r="I49" s="74">
        <f t="shared" si="94"/>
        <v>0</v>
      </c>
      <c r="J49" s="74">
        <f t="shared" si="94"/>
        <v>0</v>
      </c>
      <c r="K49" s="74">
        <f t="shared" si="94"/>
        <v>0</v>
      </c>
      <c r="L49" s="74">
        <f t="shared" si="94"/>
        <v>0</v>
      </c>
      <c r="M49" s="64" t="str">
        <f t="shared" ref="M49:M52" si="95">IFERROR(F49/G49-1,"n/a")</f>
        <v>n/a</v>
      </c>
      <c r="N49" s="64" t="str">
        <f t="shared" ref="N49:N52" si="96">IFERROR(F49/H49-1,"n/a")</f>
        <v>n/a</v>
      </c>
      <c r="O49" s="64" t="str">
        <f t="shared" ref="O49:O52" si="97">IFERROR(F49/I49-1,"n/a")</f>
        <v>n/a</v>
      </c>
      <c r="P49" s="64" t="str">
        <f t="shared" ref="P49:P52" si="98">IFERROR(F49/J49-1,"n/a")</f>
        <v>n/a</v>
      </c>
      <c r="Q49" s="64" t="str">
        <f t="shared" ref="Q49:Q52" si="99">IFERROR(F49/K49-1,"n/a")</f>
        <v>n/a</v>
      </c>
      <c r="R49" s="60" t="str">
        <f t="shared" ref="R49:R52" si="100">IFERROR(F49/L49-1,"n/a")</f>
        <v>n/a</v>
      </c>
      <c r="S49" s="64"/>
      <c r="T49" s="74">
        <f>'Jan-25'!T49+'Feb-25'!F49</f>
        <v>14</v>
      </c>
      <c r="U49" s="74">
        <f>'Jan-25'!U49+'Feb-25'!G49</f>
        <v>21</v>
      </c>
      <c r="V49" s="74">
        <f>'Jan-25'!V49+'Feb-25'!H49</f>
        <v>9</v>
      </c>
      <c r="W49" s="74">
        <f>'Jan-25'!W49+'Feb-25'!I49</f>
        <v>0</v>
      </c>
      <c r="X49" s="74">
        <f>'Jan-25'!X49+'Feb-25'!J49</f>
        <v>0</v>
      </c>
      <c r="Y49" s="74">
        <f>'Jan-25'!Y49+'Feb-25'!K49</f>
        <v>16</v>
      </c>
      <c r="Z49" s="162"/>
      <c r="AA49" s="147">
        <f t="shared" ref="AA49:AA52" si="101">IFERROR(T49/U49-1,"n/a")</f>
        <v>-0.33333333333333337</v>
      </c>
      <c r="AB49" s="147">
        <f t="shared" ref="AB49:AB52" si="102">IFERROR(T49/V49-1,"n/a")</f>
        <v>0.55555555555555558</v>
      </c>
      <c r="AC49" s="147" t="str">
        <f t="shared" ref="AC49:AC52" si="103">IFERROR(T49/W49-1,"n/a")</f>
        <v>n/a</v>
      </c>
      <c r="AD49" s="147" t="str">
        <f t="shared" ref="AD49:AD52" si="104">IFERROR(T49/X49-1,"n/a")</f>
        <v>n/a</v>
      </c>
      <c r="AE49" s="158">
        <f t="shared" ref="AE49:AE52" si="105">IFERROR(T49/Y49-1,"n/a")</f>
        <v>-0.125</v>
      </c>
      <c r="AF49" s="119"/>
      <c r="AG49" s="89">
        <v>21</v>
      </c>
      <c r="AH49" s="89">
        <v>9</v>
      </c>
      <c r="AI49" s="68">
        <v>0</v>
      </c>
      <c r="AJ49" s="68">
        <v>0</v>
      </c>
      <c r="AK49" s="78">
        <v>16</v>
      </c>
      <c r="AM49" s="122"/>
    </row>
    <row r="50" spans="3:39" s="123" customFormat="1" ht="11.25">
      <c r="C50" s="33"/>
      <c r="D50" s="26" t="s">
        <v>11</v>
      </c>
      <c r="E50" s="32"/>
      <c r="F50" s="74">
        <f>F26</f>
        <v>0</v>
      </c>
      <c r="G50" s="74">
        <f t="shared" si="94"/>
        <v>0</v>
      </c>
      <c r="H50" s="74">
        <f t="shared" si="94"/>
        <v>0</v>
      </c>
      <c r="I50" s="74">
        <f t="shared" si="94"/>
        <v>0</v>
      </c>
      <c r="J50" s="74">
        <f t="shared" si="94"/>
        <v>0</v>
      </c>
      <c r="K50" s="74">
        <f t="shared" si="94"/>
        <v>0</v>
      </c>
      <c r="L50" s="74">
        <f t="shared" si="94"/>
        <v>0</v>
      </c>
      <c r="M50" s="64" t="str">
        <f t="shared" si="95"/>
        <v>n/a</v>
      </c>
      <c r="N50" s="64" t="str">
        <f t="shared" si="96"/>
        <v>n/a</v>
      </c>
      <c r="O50" s="64" t="str">
        <f t="shared" si="97"/>
        <v>n/a</v>
      </c>
      <c r="P50" s="64" t="str">
        <f t="shared" si="98"/>
        <v>n/a</v>
      </c>
      <c r="Q50" s="64" t="str">
        <f t="shared" si="99"/>
        <v>n/a</v>
      </c>
      <c r="R50" s="60" t="str">
        <f t="shared" si="100"/>
        <v>n/a</v>
      </c>
      <c r="S50" s="64"/>
      <c r="T50" s="74">
        <f>'Jan-25'!T50+'Feb-25'!F50</f>
        <v>47798</v>
      </c>
      <c r="U50" s="74">
        <f>'Jan-25'!U50+'Feb-25'!G50</f>
        <v>38626</v>
      </c>
      <c r="V50" s="74">
        <f>'Jan-25'!V50+'Feb-25'!H50</f>
        <v>15637</v>
      </c>
      <c r="W50" s="74">
        <f>'Jan-25'!W50+'Feb-25'!I50</f>
        <v>0</v>
      </c>
      <c r="X50" s="74">
        <f>'Jan-25'!X50+'Feb-25'!J50</f>
        <v>0</v>
      </c>
      <c r="Y50" s="74">
        <f>'Jan-25'!Y50+'Feb-25'!K50</f>
        <v>20248</v>
      </c>
      <c r="Z50" s="162"/>
      <c r="AA50" s="147">
        <f t="shared" si="101"/>
        <v>0.23745663542691453</v>
      </c>
      <c r="AB50" s="147">
        <f t="shared" si="102"/>
        <v>2.0567244356334333</v>
      </c>
      <c r="AC50" s="147" t="str">
        <f t="shared" si="103"/>
        <v>n/a</v>
      </c>
      <c r="AD50" s="147" t="str">
        <f t="shared" si="104"/>
        <v>n/a</v>
      </c>
      <c r="AE50" s="158">
        <f t="shared" si="105"/>
        <v>1.3606282101935996</v>
      </c>
      <c r="AF50" s="119"/>
      <c r="AG50" s="82">
        <v>38626</v>
      </c>
      <c r="AH50" s="82">
        <v>15637</v>
      </c>
      <c r="AI50" s="68">
        <v>0</v>
      </c>
      <c r="AJ50" s="68">
        <v>0</v>
      </c>
      <c r="AK50" s="78">
        <v>20248</v>
      </c>
      <c r="AM50" s="122"/>
    </row>
    <row r="51" spans="3:39" s="123" customFormat="1" ht="12" thickBot="1">
      <c r="C51" s="35" t="s">
        <v>12</v>
      </c>
      <c r="D51" s="36"/>
      <c r="E51" s="37"/>
      <c r="F51" s="75">
        <f t="shared" ref="F51:L52" si="106">F37+F40+F43+F46+F49</f>
        <v>476</v>
      </c>
      <c r="G51" s="75">
        <f t="shared" si="106"/>
        <v>313</v>
      </c>
      <c r="H51" s="75">
        <f t="shared" si="106"/>
        <v>242</v>
      </c>
      <c r="I51" s="75">
        <f t="shared" si="106"/>
        <v>185</v>
      </c>
      <c r="J51" s="75">
        <f t="shared" si="106"/>
        <v>5</v>
      </c>
      <c r="K51" s="75">
        <f t="shared" si="106"/>
        <v>193</v>
      </c>
      <c r="L51" s="75">
        <f t="shared" si="106"/>
        <v>187</v>
      </c>
      <c r="M51" s="66">
        <f t="shared" si="95"/>
        <v>0.52076677316293929</v>
      </c>
      <c r="N51" s="66">
        <f t="shared" si="96"/>
        <v>0.96694214876033069</v>
      </c>
      <c r="O51" s="66">
        <f t="shared" si="97"/>
        <v>1.5729729729729729</v>
      </c>
      <c r="P51" s="66">
        <f t="shared" si="98"/>
        <v>94.2</v>
      </c>
      <c r="Q51" s="66">
        <f t="shared" si="99"/>
        <v>1.4663212435233159</v>
      </c>
      <c r="R51" s="66">
        <f t="shared" si="100"/>
        <v>1.5454545454545454</v>
      </c>
      <c r="S51" s="66"/>
      <c r="T51" s="75">
        <f>T37+T40+T43+T46+T49</f>
        <v>5679</v>
      </c>
      <c r="U51" s="75">
        <f>U37+U40+U43+U46+U49</f>
        <v>4184</v>
      </c>
      <c r="V51" s="75">
        <f t="shared" ref="U51:Y52" si="107">V37+V40+V43+V46+V49</f>
        <v>3534</v>
      </c>
      <c r="W51" s="75">
        <f t="shared" si="107"/>
        <v>1408</v>
      </c>
      <c r="X51" s="75">
        <f t="shared" si="107"/>
        <v>100</v>
      </c>
      <c r="Y51" s="75">
        <f t="shared" si="107"/>
        <v>3081</v>
      </c>
      <c r="Z51" s="75"/>
      <c r="AA51" s="66">
        <f t="shared" si="101"/>
        <v>0.35731357552581255</v>
      </c>
      <c r="AB51" s="66">
        <f t="shared" si="102"/>
        <v>0.6069609507640068</v>
      </c>
      <c r="AC51" s="66">
        <f t="shared" si="103"/>
        <v>3.0333806818181817</v>
      </c>
      <c r="AD51" s="66">
        <f t="shared" si="104"/>
        <v>55.79</v>
      </c>
      <c r="AE51" s="66">
        <f t="shared" si="105"/>
        <v>0.84323271665043809</v>
      </c>
      <c r="AF51" s="62"/>
      <c r="AG51" s="46">
        <f t="shared" ref="AG51:AJ52" si="108">AG37+AG40+AG43+AG46+AG49</f>
        <v>4589</v>
      </c>
      <c r="AH51" s="46">
        <f t="shared" si="108"/>
        <v>3856</v>
      </c>
      <c r="AI51" s="46">
        <f t="shared" si="108"/>
        <v>1673</v>
      </c>
      <c r="AJ51" s="46">
        <f t="shared" si="108"/>
        <v>669</v>
      </c>
      <c r="AK51" s="80">
        <f>AK37+AK40+AK43+AK46+AK49</f>
        <v>3241</v>
      </c>
      <c r="AM51" s="122"/>
    </row>
    <row r="52" spans="3:39" s="123" customFormat="1" ht="12.75" thickTop="1" thickBot="1">
      <c r="C52" s="38" t="s">
        <v>13</v>
      </c>
      <c r="D52" s="39"/>
      <c r="E52" s="40"/>
      <c r="F52" s="76">
        <f t="shared" si="106"/>
        <v>1260797</v>
      </c>
      <c r="G52" s="76">
        <f t="shared" si="106"/>
        <v>994232</v>
      </c>
      <c r="H52" s="76">
        <f t="shared" si="106"/>
        <v>723641</v>
      </c>
      <c r="I52" s="76">
        <f t="shared" si="106"/>
        <v>240931</v>
      </c>
      <c r="J52" s="76">
        <f t="shared" si="106"/>
        <v>4669</v>
      </c>
      <c r="K52" s="76">
        <f t="shared" si="106"/>
        <v>494991</v>
      </c>
      <c r="L52" s="76">
        <f t="shared" si="106"/>
        <v>513063</v>
      </c>
      <c r="M52" s="67">
        <f t="shared" si="95"/>
        <v>0.2681114669413176</v>
      </c>
      <c r="N52" s="67">
        <f t="shared" si="96"/>
        <v>0.74229624910694669</v>
      </c>
      <c r="O52" s="67">
        <f t="shared" si="97"/>
        <v>4.2330210724232247</v>
      </c>
      <c r="P52" s="67">
        <f t="shared" si="98"/>
        <v>269.0357678303705</v>
      </c>
      <c r="Q52" s="67">
        <f t="shared" si="99"/>
        <v>1.5471109575729658</v>
      </c>
      <c r="R52" s="67">
        <f t="shared" si="100"/>
        <v>1.4573921721114171</v>
      </c>
      <c r="S52" s="67"/>
      <c r="T52" s="76">
        <f t="shared" ref="T52" si="109">T38+T41+T44+T47+T50</f>
        <v>16200813.4</v>
      </c>
      <c r="U52" s="76">
        <f t="shared" si="107"/>
        <v>12168376</v>
      </c>
      <c r="V52" s="76">
        <f t="shared" si="107"/>
        <v>8316010</v>
      </c>
      <c r="W52" s="76">
        <f t="shared" si="107"/>
        <v>1999170</v>
      </c>
      <c r="X52" s="76">
        <f t="shared" si="107"/>
        <v>43813</v>
      </c>
      <c r="Y52" s="76">
        <f t="shared" si="107"/>
        <v>8388896</v>
      </c>
      <c r="Z52" s="76"/>
      <c r="AA52" s="67">
        <f t="shared" si="101"/>
        <v>0.33138665340387252</v>
      </c>
      <c r="AB52" s="67">
        <f t="shared" si="102"/>
        <v>0.94814741685014803</v>
      </c>
      <c r="AC52" s="67">
        <f t="shared" si="103"/>
        <v>7.1037697644522471</v>
      </c>
      <c r="AD52" s="67">
        <f t="shared" si="104"/>
        <v>368.77183484353958</v>
      </c>
      <c r="AE52" s="67">
        <f t="shared" si="105"/>
        <v>0.93122115234233438</v>
      </c>
      <c r="AF52" s="63"/>
      <c r="AG52" s="47">
        <f t="shared" si="108"/>
        <v>13408675</v>
      </c>
      <c r="AH52" s="47">
        <f t="shared" si="108"/>
        <v>9237323</v>
      </c>
      <c r="AI52" s="47">
        <f t="shared" si="108"/>
        <v>2410085</v>
      </c>
      <c r="AJ52" s="47">
        <f t="shared" si="108"/>
        <v>1324261</v>
      </c>
      <c r="AK52" s="81">
        <f>AK38+AK41+AK44+AK47+AK50</f>
        <v>8638971</v>
      </c>
      <c r="AM52" s="122"/>
    </row>
    <row r="53" spans="3:39" s="123" customFormat="1" ht="12" thickTop="1">
      <c r="T53" s="131">
        <f>T51+T52-F51-F52-'Jan-25'!T51-'Jan-25'!T52</f>
        <v>0</v>
      </c>
      <c r="U53" s="131">
        <f>U51+U52-G51-G52-'Jan-25'!U51-'Jan-25'!U52</f>
        <v>0</v>
      </c>
      <c r="V53" s="131">
        <f>V51+V52-H51-H52-'Jan-25'!V51-'Jan-25'!V52</f>
        <v>0</v>
      </c>
      <c r="W53" s="131">
        <f>W51+W52-I51-I52-'Jan-25'!W51-'Jan-25'!W52</f>
        <v>0</v>
      </c>
      <c r="X53" s="131">
        <f>X51+X52-J51-J52-'Jan-25'!X51-'Jan-25'!X52</f>
        <v>0</v>
      </c>
      <c r="Y53" s="131">
        <f>Y51+Y52-K51-K52-'Jan-25'!Y51-'Jan-25'!Y52</f>
        <v>0</v>
      </c>
      <c r="AM53" s="122"/>
    </row>
    <row r="54" spans="3:39" s="123" customFormat="1" ht="11.25">
      <c r="F54" s="131"/>
      <c r="T54" s="131"/>
      <c r="U54" s="131"/>
      <c r="V54" s="131"/>
      <c r="W54" s="131"/>
      <c r="X54" s="131"/>
      <c r="Y54" s="131"/>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B905-2649-43F9-AD0C-DA5FB22F201C}">
  <dimension ref="A1:AM66"/>
  <sheetViews>
    <sheetView showGridLines="0" topLeftCell="I28" zoomScale="90" zoomScaleNormal="90" workbookViewId="0">
      <selection activeCell="Y37" sqref="Y3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9.5703125" bestFit="1" customWidth="1"/>
    <col min="20" max="21" width="12.5703125" bestFit="1" customWidth="1"/>
    <col min="22" max="24" width="11.5703125" bestFit="1" customWidth="1"/>
    <col min="25" max="25" width="11.85546875" bestFit="1" customWidth="1"/>
    <col min="26" max="26" width="11.85546875" customWidth="1"/>
    <col min="27" max="27" width="9.140625" bestFit="1" customWidth="1"/>
    <col min="28" max="28" width="8.85546875" bestFit="1" customWidth="1"/>
    <col min="29" max="29" width="8.85546875" customWidth="1"/>
    <col min="30" max="30" width="9" bestFit="1" customWidth="1"/>
    <col min="31" max="31" width="7.85546875" customWidth="1"/>
    <col min="32" max="32" width="9.5703125" bestFit="1" customWidth="1"/>
    <col min="33" max="33" width="10.14062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v>45337</v>
      </c>
      <c r="AL3" s="25"/>
      <c r="AM3" s="9"/>
    </row>
    <row r="4" spans="1:39" ht="15.75">
      <c r="A4" s="9"/>
      <c r="B4" s="11" t="s">
        <v>7</v>
      </c>
      <c r="C4" s="26"/>
      <c r="D4" s="93" t="s">
        <v>33</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7" t="str">
        <f>D4</f>
        <v>January</v>
      </c>
      <c r="G9" s="167"/>
      <c r="H9" s="167"/>
      <c r="I9" s="167"/>
      <c r="J9" s="167"/>
      <c r="K9" s="167"/>
      <c r="L9" s="167"/>
      <c r="M9" s="167"/>
      <c r="N9" s="167"/>
      <c r="O9" s="167"/>
      <c r="P9" s="167"/>
      <c r="Q9" s="167"/>
      <c r="R9" s="168"/>
      <c r="S9" s="169" t="str">
        <f>"January to "&amp; F9</f>
        <v>January to January</v>
      </c>
      <c r="T9" s="170"/>
      <c r="U9" s="170"/>
      <c r="V9" s="170"/>
      <c r="W9" s="170"/>
      <c r="X9" s="170"/>
      <c r="Y9" s="170"/>
      <c r="Z9" s="170"/>
      <c r="AA9" s="170"/>
      <c r="AB9" s="170"/>
      <c r="AC9" s="170"/>
      <c r="AD9" s="170"/>
      <c r="AE9" s="171"/>
      <c r="AF9" s="169" t="s">
        <v>57</v>
      </c>
      <c r="AG9" s="170"/>
      <c r="AH9" s="170"/>
      <c r="AI9" s="170"/>
      <c r="AJ9" s="170"/>
      <c r="AK9" s="172"/>
      <c r="AL9" s="122"/>
      <c r="AM9" s="122"/>
    </row>
    <row r="10" spans="1:39" s="123" customFormat="1" ht="13.5">
      <c r="A10" s="122"/>
      <c r="B10" s="124"/>
      <c r="C10" s="29"/>
      <c r="D10" s="30"/>
      <c r="E10" s="30"/>
      <c r="F10" s="173"/>
      <c r="G10" s="173"/>
      <c r="H10" s="173"/>
      <c r="I10" s="173"/>
      <c r="J10" s="173"/>
      <c r="K10" s="173"/>
      <c r="L10" s="173"/>
      <c r="M10" s="173"/>
      <c r="N10" s="173"/>
      <c r="O10" s="173"/>
      <c r="P10" s="173"/>
      <c r="Q10" s="173"/>
      <c r="R10" s="174"/>
      <c r="S10" s="175"/>
      <c r="T10" s="173"/>
      <c r="U10" s="173"/>
      <c r="V10" s="173"/>
      <c r="W10" s="173"/>
      <c r="X10" s="173"/>
      <c r="Y10" s="173"/>
      <c r="Z10" s="173"/>
      <c r="AA10" s="173"/>
      <c r="AB10" s="173"/>
      <c r="AC10" s="173"/>
      <c r="AD10" s="173"/>
      <c r="AE10" s="174"/>
      <c r="AF10" s="152"/>
      <c r="AG10" s="30"/>
      <c r="AH10" s="30"/>
      <c r="AI10" s="30"/>
      <c r="AJ10" s="30"/>
      <c r="AK10" s="56"/>
      <c r="AL10" s="122"/>
      <c r="AM10" s="122"/>
    </row>
    <row r="11" spans="1:39" s="123" customFormat="1" ht="26.25" customHeight="1">
      <c r="A11" s="125"/>
      <c r="B11" s="126"/>
      <c r="C11" s="59" t="s">
        <v>29</v>
      </c>
      <c r="D11" s="50"/>
      <c r="E11" s="51"/>
      <c r="F11" s="55">
        <v>2025</v>
      </c>
      <c r="G11" s="55">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404</v>
      </c>
      <c r="G13" s="71">
        <v>197</v>
      </c>
      <c r="H13" s="71">
        <v>188</v>
      </c>
      <c r="I13" s="71">
        <v>164</v>
      </c>
      <c r="J13" s="71">
        <v>0</v>
      </c>
      <c r="K13" s="71">
        <v>187</v>
      </c>
      <c r="L13" s="71">
        <v>189</v>
      </c>
      <c r="M13" s="64">
        <f>IFERROR(F13/G13-1,"n/a")</f>
        <v>1.0507614213197969</v>
      </c>
      <c r="N13" s="64">
        <f>IFERROR(F13/H13-1,"n/a")</f>
        <v>1.1489361702127661</v>
      </c>
      <c r="O13" s="64">
        <f>IFERROR(F13/I13-1,"n/a")</f>
        <v>1.4634146341463414</v>
      </c>
      <c r="P13" s="64" t="str">
        <f>IFERROR(F13/J13-1,"n/a")</f>
        <v>n/a</v>
      </c>
      <c r="Q13" s="64">
        <f>IFERROR(F13/K13-1,"n/a")</f>
        <v>1.1604278074866312</v>
      </c>
      <c r="R13" s="60">
        <f>IFERROR(F13/L13-1,"n/a")</f>
        <v>1.1375661375661377</v>
      </c>
      <c r="S13" s="68">
        <f t="shared" ref="S13:Y14" si="0">F13</f>
        <v>404</v>
      </c>
      <c r="T13" s="68">
        <f t="shared" si="0"/>
        <v>197</v>
      </c>
      <c r="U13" s="68">
        <f t="shared" si="0"/>
        <v>188</v>
      </c>
      <c r="V13" s="68">
        <f t="shared" si="0"/>
        <v>164</v>
      </c>
      <c r="W13" s="68">
        <f t="shared" si="0"/>
        <v>0</v>
      </c>
      <c r="X13" s="68">
        <f t="shared" si="0"/>
        <v>187</v>
      </c>
      <c r="Y13" s="68">
        <f t="shared" si="0"/>
        <v>189</v>
      </c>
      <c r="Z13" s="64">
        <f>IFERROR(S13/T13-1,"n/a")</f>
        <v>1.0507614213197969</v>
      </c>
      <c r="AA13" s="64">
        <f>IFERROR(S13/U13-1,"n/a")</f>
        <v>1.1489361702127661</v>
      </c>
      <c r="AB13" s="64">
        <f>IFERROR(S13/V13-1,"n/a")</f>
        <v>1.4634146341463414</v>
      </c>
      <c r="AC13" s="64" t="str">
        <f>IFERROR(S13/W13-1,"n/a")</f>
        <v>n/a</v>
      </c>
      <c r="AD13" s="64">
        <f>IFERROR(S13/X13-1,"n/a")</f>
        <v>1.1604278074866312</v>
      </c>
      <c r="AE13" s="60">
        <f>IFERROR(S13/Y13-1,"n/a")</f>
        <v>1.1375661375661377</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1052329</v>
      </c>
      <c r="G14" s="71">
        <v>621308</v>
      </c>
      <c r="H14" s="71">
        <v>522949</v>
      </c>
      <c r="I14" s="71">
        <v>195612</v>
      </c>
      <c r="J14" s="71">
        <v>0</v>
      </c>
      <c r="K14" s="71">
        <v>466080</v>
      </c>
      <c r="L14" s="71">
        <v>525262</v>
      </c>
      <c r="M14" s="64">
        <f>IFERROR(F14/G14-1,"n/a")</f>
        <v>0.69373161137471273</v>
      </c>
      <c r="N14" s="64">
        <f>IFERROR(F14/H14-1,"n/a")</f>
        <v>1.0122975663018763</v>
      </c>
      <c r="O14" s="64">
        <f>IFERROR(F14/I14-1,"n/a")</f>
        <v>4.3796750710590349</v>
      </c>
      <c r="P14" s="64" t="str">
        <f>IFERROR(F14/J14-1,"n/a")</f>
        <v>n/a</v>
      </c>
      <c r="Q14" s="64">
        <f>IFERROR(F14/K14-1,"n/a")</f>
        <v>1.2578291280466871</v>
      </c>
      <c r="R14" s="60">
        <f>IFERROR(F14/L14-1,"n/a")</f>
        <v>1.0034363803206783</v>
      </c>
      <c r="S14" s="68">
        <f t="shared" si="0"/>
        <v>1052329</v>
      </c>
      <c r="T14" s="68">
        <f t="shared" si="0"/>
        <v>621308</v>
      </c>
      <c r="U14" s="68">
        <f t="shared" si="0"/>
        <v>522949</v>
      </c>
      <c r="V14" s="68">
        <f t="shared" si="0"/>
        <v>195612</v>
      </c>
      <c r="W14" s="68">
        <f t="shared" si="0"/>
        <v>0</v>
      </c>
      <c r="X14" s="68">
        <f t="shared" si="0"/>
        <v>466080</v>
      </c>
      <c r="Y14" s="68">
        <f t="shared" si="0"/>
        <v>525262</v>
      </c>
      <c r="Z14" s="64">
        <f>IFERROR(S14/T14-1,"n/a")</f>
        <v>0.69373161137471273</v>
      </c>
      <c r="AA14" s="64">
        <f>IFERROR(S14/U14-1,"n/a")</f>
        <v>1.0122975663018763</v>
      </c>
      <c r="AB14" s="64">
        <f>IFERROR(S14/V14-1,"n/a")</f>
        <v>4.3796750710590349</v>
      </c>
      <c r="AC14" s="64" t="str">
        <f>IFERROR(S14/W14-1,"n/a")</f>
        <v>n/a</v>
      </c>
      <c r="AD14" s="64">
        <f>IFERROR(S14/X14-1,"n/a")</f>
        <v>1.2578291280466871</v>
      </c>
      <c r="AE14" s="60">
        <f>IFERROR(S14/Y14-1,"n/a")</f>
        <v>1.0034363803206783</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12</v>
      </c>
      <c r="G16" s="71">
        <v>12</v>
      </c>
      <c r="H16" s="71">
        <v>5</v>
      </c>
      <c r="I16" s="71">
        <v>3</v>
      </c>
      <c r="J16" s="71">
        <v>2</v>
      </c>
      <c r="K16" s="71">
        <v>5</v>
      </c>
      <c r="L16" s="71">
        <v>5</v>
      </c>
      <c r="M16" s="64">
        <f t="shared" ref="M16:M17" si="1">IFERROR(F16/G16-1,"n/a")</f>
        <v>0</v>
      </c>
      <c r="N16" s="64">
        <f t="shared" ref="N16:N17" si="2">IFERROR(F16/H16-1,"n/a")</f>
        <v>1.4</v>
      </c>
      <c r="O16" s="64">
        <f t="shared" ref="O16:O17" si="3">IFERROR(F16/I16-1,"n/a")</f>
        <v>3</v>
      </c>
      <c r="P16" s="64">
        <f t="shared" ref="P16:P17" si="4">IFERROR(F16/J16-1,"n/a")</f>
        <v>5</v>
      </c>
      <c r="Q16" s="64">
        <f t="shared" ref="Q16:Q17" si="5">IFERROR(F16/K16-1,"n/a")</f>
        <v>1.4</v>
      </c>
      <c r="R16" s="60">
        <f t="shared" ref="R16:R17" si="6">IFERROR(F16/L16-1,"n/a")</f>
        <v>1.4</v>
      </c>
      <c r="S16" s="68">
        <f t="shared" ref="S16:Y17" si="7">F16</f>
        <v>12</v>
      </c>
      <c r="T16" s="68">
        <f t="shared" si="7"/>
        <v>12</v>
      </c>
      <c r="U16" s="68">
        <f t="shared" si="7"/>
        <v>5</v>
      </c>
      <c r="V16" s="68">
        <f t="shared" si="7"/>
        <v>3</v>
      </c>
      <c r="W16" s="68">
        <f t="shared" si="7"/>
        <v>2</v>
      </c>
      <c r="X16" s="68">
        <f t="shared" si="7"/>
        <v>5</v>
      </c>
      <c r="Y16" s="68">
        <f t="shared" si="7"/>
        <v>5</v>
      </c>
      <c r="Z16" s="64">
        <f t="shared" ref="Z16:Z17" si="8">IFERROR(S16/T16-1,"n/a")</f>
        <v>0</v>
      </c>
      <c r="AA16" s="64">
        <f t="shared" ref="AA16:AA17" si="9">IFERROR(S16/U16-1,"n/a")</f>
        <v>1.4</v>
      </c>
      <c r="AB16" s="64">
        <f t="shared" ref="AB16:AB17" si="10">IFERROR(S16/V16-1,"n/a")</f>
        <v>3</v>
      </c>
      <c r="AC16" s="64">
        <f t="shared" ref="AC16:AC17" si="11">IFERROR(S16/W16-1,"n/a")</f>
        <v>5</v>
      </c>
      <c r="AD16" s="64">
        <f t="shared" ref="AD16:AD17" si="12">IFERROR(S16/X16-1,"n/a")</f>
        <v>1.4</v>
      </c>
      <c r="AE16" s="60">
        <f t="shared" ref="AE16:AE17" si="13">IFERROR(S16/Y16-1,"n/a")</f>
        <v>1.4</v>
      </c>
      <c r="AF16" s="68">
        <v>797</v>
      </c>
      <c r="AG16" s="68">
        <v>575</v>
      </c>
      <c r="AH16" s="68">
        <v>572</v>
      </c>
      <c r="AI16" s="68">
        <v>202</v>
      </c>
      <c r="AJ16" s="68">
        <v>54</v>
      </c>
      <c r="AK16" s="134">
        <v>586</v>
      </c>
      <c r="AL16" s="122"/>
      <c r="AM16" s="122"/>
    </row>
    <row r="17" spans="1:39" s="123" customFormat="1" ht="12.75">
      <c r="A17" s="122"/>
      <c r="B17" s="127"/>
      <c r="C17" s="33"/>
      <c r="D17" s="26" t="s">
        <v>11</v>
      </c>
      <c r="E17" s="32"/>
      <c r="F17" s="71">
        <v>36494</v>
      </c>
      <c r="G17" s="71">
        <v>45136</v>
      </c>
      <c r="H17" s="71">
        <v>15799</v>
      </c>
      <c r="I17" s="71">
        <v>1702</v>
      </c>
      <c r="J17" s="71">
        <v>1288</v>
      </c>
      <c r="K17" s="71">
        <v>23141</v>
      </c>
      <c r="L17" s="71">
        <v>20627</v>
      </c>
      <c r="M17" s="64">
        <f t="shared" si="1"/>
        <v>-0.19146579227224392</v>
      </c>
      <c r="N17" s="64">
        <f t="shared" si="2"/>
        <v>1.3098930312045067</v>
      </c>
      <c r="O17" s="64">
        <f t="shared" si="3"/>
        <v>20.441833137485311</v>
      </c>
      <c r="P17" s="64">
        <f t="shared" si="4"/>
        <v>27.33385093167702</v>
      </c>
      <c r="Q17" s="64">
        <f t="shared" si="5"/>
        <v>0.57702778618037254</v>
      </c>
      <c r="R17" s="60">
        <f t="shared" si="6"/>
        <v>0.76923449847287539</v>
      </c>
      <c r="S17" s="68">
        <f t="shared" si="7"/>
        <v>36494</v>
      </c>
      <c r="T17" s="68">
        <f t="shared" si="7"/>
        <v>45136</v>
      </c>
      <c r="U17" s="68">
        <f t="shared" si="7"/>
        <v>15799</v>
      </c>
      <c r="V17" s="68">
        <f t="shared" si="7"/>
        <v>1702</v>
      </c>
      <c r="W17" s="68">
        <f t="shared" si="7"/>
        <v>1288</v>
      </c>
      <c r="X17" s="68">
        <f t="shared" si="7"/>
        <v>23141</v>
      </c>
      <c r="Y17" s="68">
        <f t="shared" si="7"/>
        <v>20627</v>
      </c>
      <c r="Z17" s="64">
        <f t="shared" si="8"/>
        <v>-0.19146579227224392</v>
      </c>
      <c r="AA17" s="64">
        <f t="shared" si="9"/>
        <v>1.3098930312045067</v>
      </c>
      <c r="AB17" s="64">
        <f t="shared" si="10"/>
        <v>20.441833137485311</v>
      </c>
      <c r="AC17" s="64">
        <f t="shared" si="11"/>
        <v>27.33385093167702</v>
      </c>
      <c r="AD17" s="64">
        <f t="shared" si="12"/>
        <v>0.57702778618037254</v>
      </c>
      <c r="AE17" s="60">
        <f t="shared" si="13"/>
        <v>0.76923449847287539</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v>
      </c>
      <c r="G19" s="71">
        <v>2</v>
      </c>
      <c r="H19" s="71">
        <v>4</v>
      </c>
      <c r="I19" s="71">
        <v>3</v>
      </c>
      <c r="J19" s="71">
        <v>0</v>
      </c>
      <c r="K19" s="71">
        <v>1</v>
      </c>
      <c r="L19" s="71">
        <v>0</v>
      </c>
      <c r="M19" s="64">
        <f t="shared" ref="M19:M20" si="14">IFERROR(F19/G19-1,"n/a")</f>
        <v>-0.5</v>
      </c>
      <c r="N19" s="64">
        <f t="shared" ref="N19:N20" si="15">IFERROR(F19/H19-1,"n/a")</f>
        <v>-0.75</v>
      </c>
      <c r="O19" s="64">
        <f t="shared" ref="O19:O20" si="16">IFERROR(F19/I19-1,"n/a")</f>
        <v>-0.66666666666666674</v>
      </c>
      <c r="P19" s="64" t="str">
        <f t="shared" ref="P19:P20" si="17">IFERROR(F19/J19-1,"n/a")</f>
        <v>n/a</v>
      </c>
      <c r="Q19" s="64">
        <f t="shared" ref="Q19:Q20" si="18">IFERROR(F19/K19-1,"n/a")</f>
        <v>0</v>
      </c>
      <c r="R19" s="60" t="str">
        <f t="shared" ref="R19:R20" si="19">IFERROR(F19/L19-1,"n/a")</f>
        <v>n/a</v>
      </c>
      <c r="S19" s="68">
        <f t="shared" ref="S19:Y20" si="20">F19</f>
        <v>1</v>
      </c>
      <c r="T19" s="68">
        <f t="shared" si="20"/>
        <v>2</v>
      </c>
      <c r="U19" s="68">
        <f t="shared" si="20"/>
        <v>4</v>
      </c>
      <c r="V19" s="68">
        <f t="shared" si="20"/>
        <v>3</v>
      </c>
      <c r="W19" s="68">
        <f t="shared" si="20"/>
        <v>0</v>
      </c>
      <c r="X19" s="68">
        <f t="shared" si="20"/>
        <v>1</v>
      </c>
      <c r="Y19" s="68">
        <f t="shared" si="20"/>
        <v>0</v>
      </c>
      <c r="Z19" s="64">
        <f t="shared" ref="Z19:Z20" si="21">IFERROR(S19/T19-1,"n/a")</f>
        <v>-0.5</v>
      </c>
      <c r="AA19" s="64">
        <f t="shared" ref="AA19:AA20" si="22">IFERROR(S19/U19-1,"n/a")</f>
        <v>-0.75</v>
      </c>
      <c r="AB19" s="64">
        <f t="shared" ref="AB19:AB20" si="23">IFERROR(S19/V19-1,"n/a")</f>
        <v>-0.66666666666666674</v>
      </c>
      <c r="AC19" s="64" t="str">
        <f t="shared" ref="AC19:AC20" si="24">IFERROR(S19/W19-1,"n/a")</f>
        <v>n/a</v>
      </c>
      <c r="AD19" s="64">
        <f t="shared" ref="AD19:AD20" si="25">IFERROR(S19/X19-1,"n/a")</f>
        <v>0</v>
      </c>
      <c r="AE19" s="60" t="str">
        <f t="shared" ref="AE19:AE20" si="26">IFERROR(S19/Y19-1,"n/a")</f>
        <v>n/a</v>
      </c>
      <c r="AF19" s="68">
        <v>733</v>
      </c>
      <c r="AG19" s="68">
        <v>708</v>
      </c>
      <c r="AH19" s="68">
        <v>658</v>
      </c>
      <c r="AI19" s="68">
        <v>47</v>
      </c>
      <c r="AJ19" s="68">
        <v>9</v>
      </c>
      <c r="AK19" s="134">
        <v>290</v>
      </c>
      <c r="AL19" s="122"/>
      <c r="AM19" s="122"/>
    </row>
    <row r="20" spans="1:39" s="123" customFormat="1" ht="12.75">
      <c r="A20" s="122"/>
      <c r="B20" s="127"/>
      <c r="C20" s="33"/>
      <c r="D20" s="26" t="s">
        <v>11</v>
      </c>
      <c r="E20" s="32"/>
      <c r="F20" s="71">
        <v>1801</v>
      </c>
      <c r="G20" s="71">
        <v>2840</v>
      </c>
      <c r="H20" s="71">
        <v>3860</v>
      </c>
      <c r="I20" s="71">
        <v>814</v>
      </c>
      <c r="J20" s="71">
        <v>0</v>
      </c>
      <c r="K20" s="71">
        <v>823</v>
      </c>
      <c r="L20" s="71">
        <v>440</v>
      </c>
      <c r="M20" s="64">
        <f t="shared" si="14"/>
        <v>-0.36584507042253522</v>
      </c>
      <c r="N20" s="64">
        <f t="shared" si="15"/>
        <v>-0.53341968911917093</v>
      </c>
      <c r="O20" s="64">
        <f t="shared" si="16"/>
        <v>1.2125307125307123</v>
      </c>
      <c r="P20" s="64" t="str">
        <f t="shared" si="17"/>
        <v>n/a</v>
      </c>
      <c r="Q20" s="64">
        <f t="shared" si="18"/>
        <v>1.1883353584447143</v>
      </c>
      <c r="R20" s="60">
        <f t="shared" si="19"/>
        <v>3.0931818181818178</v>
      </c>
      <c r="S20" s="68">
        <f t="shared" si="20"/>
        <v>1801</v>
      </c>
      <c r="T20" s="68">
        <f t="shared" si="20"/>
        <v>2840</v>
      </c>
      <c r="U20" s="68">
        <f t="shared" si="20"/>
        <v>3860</v>
      </c>
      <c r="V20" s="68">
        <f t="shared" si="20"/>
        <v>814</v>
      </c>
      <c r="W20" s="68">
        <f t="shared" si="20"/>
        <v>0</v>
      </c>
      <c r="X20" s="68">
        <f t="shared" si="20"/>
        <v>823</v>
      </c>
      <c r="Y20" s="68">
        <f t="shared" si="20"/>
        <v>440</v>
      </c>
      <c r="Z20" s="64">
        <f t="shared" si="21"/>
        <v>-0.36584507042253522</v>
      </c>
      <c r="AA20" s="64">
        <f t="shared" si="22"/>
        <v>-0.53341968911917093</v>
      </c>
      <c r="AB20" s="64">
        <f t="shared" si="23"/>
        <v>1.2125307125307123</v>
      </c>
      <c r="AC20" s="64" t="str">
        <f t="shared" si="24"/>
        <v>n/a</v>
      </c>
      <c r="AD20" s="64">
        <f t="shared" si="25"/>
        <v>1.1883353584447143</v>
      </c>
      <c r="AE20" s="60">
        <f t="shared" si="26"/>
        <v>3.0931818181818178</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133</v>
      </c>
      <c r="G22" s="71">
        <v>95</v>
      </c>
      <c r="H22" s="71">
        <v>106</v>
      </c>
      <c r="I22" s="71">
        <v>16</v>
      </c>
      <c r="J22" s="71">
        <v>0</v>
      </c>
      <c r="K22" s="71">
        <v>19</v>
      </c>
      <c r="L22" s="71">
        <v>24</v>
      </c>
      <c r="M22" s="64">
        <f t="shared" ref="M22:M23" si="27">IFERROR(F22/G22-1,"n/a")</f>
        <v>0.39999999999999991</v>
      </c>
      <c r="N22" s="64">
        <f t="shared" ref="N22:N23" si="28">IFERROR(F22/H22-1,"n/a")</f>
        <v>0.25471698113207553</v>
      </c>
      <c r="O22" s="64">
        <f t="shared" ref="O22:O23" si="29">IFERROR(F22/I22-1,"n/a")</f>
        <v>7.3125</v>
      </c>
      <c r="P22" s="64" t="str">
        <f t="shared" ref="P22:P23" si="30">IFERROR(F22/J22-1,"n/a")</f>
        <v>n/a</v>
      </c>
      <c r="Q22" s="64">
        <f t="shared" ref="Q22:Q23" si="31">IFERROR(F22/K22-1,"n/a")</f>
        <v>6</v>
      </c>
      <c r="R22" s="60">
        <f t="shared" ref="R22:R23" si="32">IFERROR(F22/L22-1,"n/a")</f>
        <v>4.541666666666667</v>
      </c>
      <c r="S22" s="68">
        <f t="shared" ref="S22:Y23" si="33">F22</f>
        <v>133</v>
      </c>
      <c r="T22" s="68">
        <f t="shared" si="33"/>
        <v>95</v>
      </c>
      <c r="U22" s="68">
        <f t="shared" si="33"/>
        <v>106</v>
      </c>
      <c r="V22" s="68">
        <f t="shared" si="33"/>
        <v>16</v>
      </c>
      <c r="W22" s="68">
        <f t="shared" si="33"/>
        <v>0</v>
      </c>
      <c r="X22" s="68">
        <f t="shared" si="33"/>
        <v>19</v>
      </c>
      <c r="Y22" s="68">
        <f t="shared" si="33"/>
        <v>24</v>
      </c>
      <c r="Z22" s="64">
        <f t="shared" ref="Z22:Z23" si="34">IFERROR(S22/T22-1,"n/a")</f>
        <v>0.39999999999999991</v>
      </c>
      <c r="AA22" s="64">
        <f t="shared" ref="AA22:AA23" si="35">IFERROR(S22/U22-1,"n/a")</f>
        <v>0.25471698113207553</v>
      </c>
      <c r="AB22" s="64">
        <f t="shared" ref="AB22:AB23" si="36">IFERROR(S22/V22-1,"n/a")</f>
        <v>7.3125</v>
      </c>
      <c r="AC22" s="64" t="str">
        <f t="shared" ref="AC22:AC23" si="37">IFERROR(S22/W22-1,"n/a")</f>
        <v>n/a</v>
      </c>
      <c r="AD22" s="64">
        <f t="shared" ref="AD22:AD23" si="38">IFERROR(S22/X22-1,"n/a")</f>
        <v>6</v>
      </c>
      <c r="AE22" s="60">
        <f t="shared" ref="AE22:AE23" si="39">IFERROR(S22/Y22-1,"n/a")</f>
        <v>4.541666666666667</v>
      </c>
      <c r="AF22" s="68">
        <v>1651</v>
      </c>
      <c r="AG22" s="68">
        <v>1500</v>
      </c>
      <c r="AH22" s="68">
        <v>895</v>
      </c>
      <c r="AI22" s="68">
        <v>283</v>
      </c>
      <c r="AJ22" s="68">
        <v>43</v>
      </c>
      <c r="AK22" s="134">
        <v>827</v>
      </c>
      <c r="AL22" s="122"/>
      <c r="AM22" s="122"/>
    </row>
    <row r="23" spans="1:39" s="123" customFormat="1" ht="12.75">
      <c r="A23" s="122"/>
      <c r="B23" s="127"/>
      <c r="C23" s="33"/>
      <c r="D23" s="26" t="s">
        <v>11</v>
      </c>
      <c r="E23" s="32"/>
      <c r="F23" s="71">
        <v>415578</v>
      </c>
      <c r="G23" s="71">
        <v>313581</v>
      </c>
      <c r="H23" s="71">
        <v>290797</v>
      </c>
      <c r="I23" s="71">
        <v>21828</v>
      </c>
      <c r="J23" s="71">
        <v>0</v>
      </c>
      <c r="K23" s="71">
        <v>64994</v>
      </c>
      <c r="L23" s="71">
        <v>74523</v>
      </c>
      <c r="M23" s="64">
        <f t="shared" si="27"/>
        <v>0.32526524247323652</v>
      </c>
      <c r="N23" s="64">
        <f t="shared" si="28"/>
        <v>0.42910002510342271</v>
      </c>
      <c r="O23" s="64">
        <f t="shared" si="29"/>
        <v>18.038757559098407</v>
      </c>
      <c r="P23" s="64" t="str">
        <f t="shared" si="30"/>
        <v>n/a</v>
      </c>
      <c r="Q23" s="64">
        <f t="shared" si="31"/>
        <v>5.3940979167307752</v>
      </c>
      <c r="R23" s="60">
        <f t="shared" si="32"/>
        <v>4.5765065818606336</v>
      </c>
      <c r="S23" s="68">
        <f t="shared" si="33"/>
        <v>415578</v>
      </c>
      <c r="T23" s="68">
        <f t="shared" si="33"/>
        <v>313581</v>
      </c>
      <c r="U23" s="68">
        <f t="shared" si="33"/>
        <v>290797</v>
      </c>
      <c r="V23" s="68">
        <f t="shared" si="33"/>
        <v>21828</v>
      </c>
      <c r="W23" s="68">
        <f t="shared" si="33"/>
        <v>0</v>
      </c>
      <c r="X23" s="68">
        <f t="shared" si="33"/>
        <v>64994</v>
      </c>
      <c r="Y23" s="68">
        <f t="shared" si="33"/>
        <v>74523</v>
      </c>
      <c r="Z23" s="64">
        <f t="shared" si="34"/>
        <v>0.32526524247323652</v>
      </c>
      <c r="AA23" s="64">
        <f t="shared" si="35"/>
        <v>0.42910002510342271</v>
      </c>
      <c r="AB23" s="64">
        <f t="shared" si="36"/>
        <v>18.038757559098407</v>
      </c>
      <c r="AC23" s="64" t="str">
        <f t="shared" si="37"/>
        <v>n/a</v>
      </c>
      <c r="AD23" s="64">
        <f t="shared" si="38"/>
        <v>5.3940979167307752</v>
      </c>
      <c r="AE23" s="60">
        <f t="shared" si="39"/>
        <v>4.5765065818606336</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0</v>
      </c>
      <c r="G25" s="71">
        <v>0</v>
      </c>
      <c r="H25" s="71">
        <v>0</v>
      </c>
      <c r="I25" s="71">
        <v>0</v>
      </c>
      <c r="J25" s="71">
        <v>0</v>
      </c>
      <c r="K25" s="71">
        <v>0</v>
      </c>
      <c r="L25" s="71">
        <v>0</v>
      </c>
      <c r="M25" s="64" t="str">
        <f t="shared" ref="M25:M28" si="40">IFERROR(F25/G25-1,"n/a")</f>
        <v>n/a</v>
      </c>
      <c r="N25" s="64" t="str">
        <f t="shared" ref="N25:N28" si="41">IFERROR(F25/H25-1,"n/a")</f>
        <v>n/a</v>
      </c>
      <c r="O25" s="64" t="str">
        <f t="shared" ref="O25:O28" si="42">IFERROR(F25/I25-1,"n/a")</f>
        <v>n/a</v>
      </c>
      <c r="P25" s="64" t="str">
        <f t="shared" ref="P25:P28" si="43">IFERROR(F25/J25-1,"n/a")</f>
        <v>n/a</v>
      </c>
      <c r="Q25" s="64" t="str">
        <f t="shared" ref="Q25:Q28" si="44">IFERROR(F25/K25-1,"n/a")</f>
        <v>n/a</v>
      </c>
      <c r="R25" s="60" t="str">
        <f t="shared" ref="R25:R28" si="45">IFERROR(F25/L25-1,"n/a")</f>
        <v>n/a</v>
      </c>
      <c r="S25" s="68">
        <f t="shared" ref="S25:Y26" si="46">F25</f>
        <v>0</v>
      </c>
      <c r="T25" s="68">
        <f t="shared" si="46"/>
        <v>0</v>
      </c>
      <c r="U25" s="68">
        <f t="shared" si="46"/>
        <v>0</v>
      </c>
      <c r="V25" s="68">
        <f t="shared" si="46"/>
        <v>0</v>
      </c>
      <c r="W25" s="68">
        <f t="shared" si="46"/>
        <v>0</v>
      </c>
      <c r="X25" s="68">
        <f t="shared" si="46"/>
        <v>0</v>
      </c>
      <c r="Y25" s="68">
        <f t="shared" si="46"/>
        <v>0</v>
      </c>
      <c r="Z25" s="64" t="str">
        <f t="shared" ref="Z25:Z26" si="47">IFERROR(S25/T25-1,"n/a")</f>
        <v>n/a</v>
      </c>
      <c r="AA25" s="64" t="str">
        <f t="shared" ref="AA25:AA26" si="48">IFERROR(S25/U25-1,"n/a")</f>
        <v>n/a</v>
      </c>
      <c r="AB25" s="64" t="str">
        <f t="shared" ref="AB25:AB26" si="49">IFERROR(S25/V25-1,"n/a")</f>
        <v>n/a</v>
      </c>
      <c r="AC25" s="64" t="str">
        <f t="shared" ref="AC25:AC26" si="50">IFERROR(S25/W25-1,"n/a")</f>
        <v>n/a</v>
      </c>
      <c r="AD25" s="64" t="str">
        <f t="shared" ref="AD25:AD26" si="51">IFERROR(S25/X25-1,"n/a")</f>
        <v>n/a</v>
      </c>
      <c r="AE25" s="60" t="str">
        <f t="shared" ref="AE25:AE26" si="52">IFERROR(S25/Y25-1,"n/a")</f>
        <v>n/a</v>
      </c>
      <c r="AF25" s="68">
        <v>14</v>
      </c>
      <c r="AG25" s="68">
        <v>21</v>
      </c>
      <c r="AH25" s="68">
        <v>9</v>
      </c>
      <c r="AI25" s="68">
        <v>0</v>
      </c>
      <c r="AJ25" s="68">
        <v>0</v>
      </c>
      <c r="AK25" s="134">
        <v>16</v>
      </c>
      <c r="AL25" s="122"/>
      <c r="AM25" s="122"/>
    </row>
    <row r="26" spans="1:39" s="123" customFormat="1" ht="12.75">
      <c r="A26" s="122"/>
      <c r="B26" s="127"/>
      <c r="C26" s="33"/>
      <c r="D26" s="26" t="s">
        <v>11</v>
      </c>
      <c r="E26" s="32"/>
      <c r="F26" s="71">
        <v>0</v>
      </c>
      <c r="G26" s="71">
        <v>0</v>
      </c>
      <c r="H26" s="71">
        <v>0</v>
      </c>
      <c r="I26" s="71">
        <v>0</v>
      </c>
      <c r="J26" s="71">
        <v>0</v>
      </c>
      <c r="K26" s="71">
        <v>0</v>
      </c>
      <c r="L26" s="71">
        <v>0</v>
      </c>
      <c r="M26" s="64" t="str">
        <f t="shared" si="40"/>
        <v>n/a</v>
      </c>
      <c r="N26" s="64" t="str">
        <f t="shared" si="41"/>
        <v>n/a</v>
      </c>
      <c r="O26" s="64" t="str">
        <f t="shared" si="42"/>
        <v>n/a</v>
      </c>
      <c r="P26" s="64" t="str">
        <f t="shared" si="43"/>
        <v>n/a</v>
      </c>
      <c r="Q26" s="64" t="str">
        <f t="shared" si="44"/>
        <v>n/a</v>
      </c>
      <c r="R26" s="60" t="str">
        <f t="shared" si="45"/>
        <v>n/a</v>
      </c>
      <c r="S26" s="68">
        <f t="shared" si="46"/>
        <v>0</v>
      </c>
      <c r="T26" s="68">
        <f t="shared" si="46"/>
        <v>0</v>
      </c>
      <c r="U26" s="68">
        <f t="shared" si="46"/>
        <v>0</v>
      </c>
      <c r="V26" s="68">
        <f t="shared" si="46"/>
        <v>0</v>
      </c>
      <c r="W26" s="68">
        <f t="shared" si="46"/>
        <v>0</v>
      </c>
      <c r="X26" s="68">
        <f t="shared" si="46"/>
        <v>0</v>
      </c>
      <c r="Y26" s="68">
        <f t="shared" si="46"/>
        <v>0</v>
      </c>
      <c r="Z26" s="64" t="str">
        <f t="shared" si="47"/>
        <v>n/a</v>
      </c>
      <c r="AA26" s="64" t="str">
        <f t="shared" si="48"/>
        <v>n/a</v>
      </c>
      <c r="AB26" s="64" t="str">
        <f t="shared" si="49"/>
        <v>n/a</v>
      </c>
      <c r="AC26" s="64" t="str">
        <f t="shared" si="50"/>
        <v>n/a</v>
      </c>
      <c r="AD26" s="64" t="str">
        <f t="shared" si="51"/>
        <v>n/a</v>
      </c>
      <c r="AE26" s="60" t="str">
        <f t="shared" si="52"/>
        <v>n/a</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 si="53">F13+F16+F19+F22+F25</f>
        <v>550</v>
      </c>
      <c r="G27" s="75">
        <f t="shared" ref="G27:L28" si="54">G13+G16+G19+G22+G25</f>
        <v>306</v>
      </c>
      <c r="H27" s="75">
        <f t="shared" si="54"/>
        <v>303</v>
      </c>
      <c r="I27" s="75">
        <f t="shared" si="54"/>
        <v>186</v>
      </c>
      <c r="J27" s="75">
        <f t="shared" si="54"/>
        <v>2</v>
      </c>
      <c r="K27" s="75">
        <f t="shared" si="54"/>
        <v>212</v>
      </c>
      <c r="L27" s="75">
        <f t="shared" si="54"/>
        <v>218</v>
      </c>
      <c r="M27" s="66">
        <f t="shared" si="40"/>
        <v>0.79738562091503273</v>
      </c>
      <c r="N27" s="66">
        <f t="shared" si="41"/>
        <v>0.81518151815181517</v>
      </c>
      <c r="O27" s="66">
        <f t="shared" si="42"/>
        <v>1.956989247311828</v>
      </c>
      <c r="P27" s="66">
        <f t="shared" si="43"/>
        <v>274</v>
      </c>
      <c r="Q27" s="66">
        <f t="shared" si="44"/>
        <v>1.5943396226415096</v>
      </c>
      <c r="R27" s="62">
        <f t="shared" si="45"/>
        <v>1.522935779816514</v>
      </c>
      <c r="S27" s="75">
        <f t="shared" ref="S27" si="55">S13+S16+S19+S22+S25</f>
        <v>550</v>
      </c>
      <c r="T27" s="75">
        <f t="shared" ref="T27:Y28" si="56">T13+T16+T19+T22+T25</f>
        <v>306</v>
      </c>
      <c r="U27" s="75">
        <f t="shared" si="56"/>
        <v>303</v>
      </c>
      <c r="V27" s="75">
        <f t="shared" si="56"/>
        <v>186</v>
      </c>
      <c r="W27" s="75">
        <f t="shared" si="56"/>
        <v>2</v>
      </c>
      <c r="X27" s="75">
        <f t="shared" si="56"/>
        <v>212</v>
      </c>
      <c r="Y27" s="75">
        <f t="shared" si="56"/>
        <v>218</v>
      </c>
      <c r="Z27" s="66">
        <f t="shared" ref="Z27:Z28" si="57">IFERROR(S27/T27-1,"n/a")</f>
        <v>0.79738562091503273</v>
      </c>
      <c r="AA27" s="66">
        <f t="shared" ref="AA27:AA28" si="58">IFERROR(S27/U27-1,"n/a")</f>
        <v>0.81518151815181517</v>
      </c>
      <c r="AB27" s="66">
        <f t="shared" ref="AB27:AB28" si="59">IFERROR(S27/V27-1,"n/a")</f>
        <v>1.956989247311828</v>
      </c>
      <c r="AC27" s="66">
        <f t="shared" ref="AC27:AC28" si="60">IFERROR(S27/W27-1,"n/a")</f>
        <v>274</v>
      </c>
      <c r="AD27" s="66">
        <f t="shared" ref="AD27:AD28" si="61">IFERROR(S27/X27-1,"n/a")</f>
        <v>1.5943396226415096</v>
      </c>
      <c r="AE27" s="62">
        <f t="shared" ref="AE27:AE28" si="62">IFERROR(S27/Y27-1,"n/a")</f>
        <v>1.522935779816514</v>
      </c>
      <c r="AF27" s="75">
        <f t="shared" ref="AF27:AH28" si="63">AF13+AF16+AF19+AF22+AF25</f>
        <v>5678</v>
      </c>
      <c r="AG27" s="75">
        <f t="shared" si="63"/>
        <v>4434</v>
      </c>
      <c r="AH27" s="75">
        <f t="shared" si="63"/>
        <v>3620</v>
      </c>
      <c r="AI27" s="46">
        <f t="shared" ref="AI27:AK28" si="64">AI13+AI16+AI19+AI22+AI25</f>
        <v>1054</v>
      </c>
      <c r="AJ27" s="46">
        <f t="shared" si="64"/>
        <v>657</v>
      </c>
      <c r="AK27" s="80">
        <f t="shared" si="64"/>
        <v>3310</v>
      </c>
      <c r="AL27" s="122"/>
      <c r="AM27" s="122"/>
    </row>
    <row r="28" spans="1:39" s="123" customFormat="1" ht="14.25" thickTop="1" thickBot="1">
      <c r="A28" s="122"/>
      <c r="B28" s="127"/>
      <c r="C28" s="38" t="s">
        <v>13</v>
      </c>
      <c r="D28" s="39"/>
      <c r="E28" s="40"/>
      <c r="F28" s="76">
        <f t="shared" ref="F28" si="65">F14+F17+F20+F23+F26</f>
        <v>1506202</v>
      </c>
      <c r="G28" s="76">
        <f t="shared" si="54"/>
        <v>982865</v>
      </c>
      <c r="H28" s="76">
        <f t="shared" si="54"/>
        <v>833405</v>
      </c>
      <c r="I28" s="76">
        <f t="shared" si="54"/>
        <v>219956</v>
      </c>
      <c r="J28" s="76">
        <f t="shared" si="54"/>
        <v>1288</v>
      </c>
      <c r="K28" s="76">
        <f t="shared" si="54"/>
        <v>555038</v>
      </c>
      <c r="L28" s="76">
        <f t="shared" si="54"/>
        <v>620852</v>
      </c>
      <c r="M28" s="67">
        <f t="shared" si="40"/>
        <v>0.53246071434021958</v>
      </c>
      <c r="N28" s="67">
        <f t="shared" si="41"/>
        <v>0.80728697332029453</v>
      </c>
      <c r="O28" s="67">
        <f t="shared" si="42"/>
        <v>5.8477422757278728</v>
      </c>
      <c r="P28" s="67">
        <f t="shared" si="43"/>
        <v>1168.4114906832299</v>
      </c>
      <c r="Q28" s="67">
        <f t="shared" si="44"/>
        <v>1.7136916751645832</v>
      </c>
      <c r="R28" s="63">
        <f t="shared" si="45"/>
        <v>1.4260242376605055</v>
      </c>
      <c r="S28" s="76">
        <f t="shared" ref="S28" si="66">S14+S17+S20+S23+S26</f>
        <v>1506202</v>
      </c>
      <c r="T28" s="76">
        <f t="shared" si="56"/>
        <v>982865</v>
      </c>
      <c r="U28" s="76">
        <f t="shared" si="56"/>
        <v>833405</v>
      </c>
      <c r="V28" s="76">
        <f t="shared" si="56"/>
        <v>219956</v>
      </c>
      <c r="W28" s="76">
        <f t="shared" si="56"/>
        <v>1288</v>
      </c>
      <c r="X28" s="76">
        <f t="shared" si="56"/>
        <v>555038</v>
      </c>
      <c r="Y28" s="76">
        <f t="shared" si="56"/>
        <v>620852</v>
      </c>
      <c r="Z28" s="67">
        <f t="shared" si="57"/>
        <v>0.53246071434021958</v>
      </c>
      <c r="AA28" s="67">
        <f t="shared" si="58"/>
        <v>0.80728697332029453</v>
      </c>
      <c r="AB28" s="67">
        <f t="shared" si="59"/>
        <v>5.8477422757278728</v>
      </c>
      <c r="AC28" s="67">
        <f t="shared" si="60"/>
        <v>1168.4114906832299</v>
      </c>
      <c r="AD28" s="67">
        <f t="shared" si="61"/>
        <v>1.7136916751645832</v>
      </c>
      <c r="AE28" s="63">
        <f t="shared" si="62"/>
        <v>1.4260242376605055</v>
      </c>
      <c r="AF28" s="76">
        <f t="shared" si="63"/>
        <v>16671008.4</v>
      </c>
      <c r="AG28" s="76">
        <f t="shared" si="63"/>
        <v>12658551</v>
      </c>
      <c r="AH28" s="76">
        <f t="shared" si="63"/>
        <v>7626669</v>
      </c>
      <c r="AI28" s="47">
        <f t="shared" si="64"/>
        <v>1552483</v>
      </c>
      <c r="AJ28" s="47">
        <f t="shared" si="64"/>
        <v>1314158</v>
      </c>
      <c r="AK28" s="81">
        <f t="shared" si="64"/>
        <v>9152531</v>
      </c>
      <c r="AL28" s="122"/>
      <c r="AM28" s="122"/>
    </row>
    <row r="29" spans="1:39" s="123" customFormat="1" ht="12" thickTop="1">
      <c r="A29" s="122"/>
      <c r="B29" s="122"/>
      <c r="C29" s="122"/>
      <c r="D29" s="122"/>
      <c r="E29" s="122"/>
      <c r="F29" s="122"/>
      <c r="G29" s="122"/>
      <c r="H29" s="128"/>
      <c r="I29" s="128"/>
      <c r="J29" s="128"/>
      <c r="K29" s="128"/>
      <c r="L29" s="128"/>
      <c r="M29" s="128"/>
      <c r="N29" s="128"/>
      <c r="O29" s="128"/>
      <c r="P29" s="128"/>
      <c r="Q29" s="128"/>
      <c r="R29" s="122"/>
      <c r="S29" s="122"/>
      <c r="T29" s="122"/>
      <c r="U29" s="122"/>
      <c r="V29" s="122"/>
      <c r="W29" s="122"/>
      <c r="X29" s="122"/>
      <c r="Y29" s="122"/>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2"/>
      <c r="T30" s="122"/>
      <c r="U30" s="128"/>
      <c r="V30" s="122"/>
      <c r="W30" s="122"/>
      <c r="X30" s="122"/>
      <c r="Y30" s="122"/>
      <c r="Z30" s="122"/>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70" t="str">
        <f>F9</f>
        <v>January</v>
      </c>
      <c r="G33" s="170"/>
      <c r="H33" s="170"/>
      <c r="I33" s="170"/>
      <c r="J33" s="170"/>
      <c r="K33" s="170"/>
      <c r="L33" s="170"/>
      <c r="M33" s="170"/>
      <c r="N33" s="170"/>
      <c r="O33" s="170"/>
      <c r="P33" s="170"/>
      <c r="Q33" s="170"/>
      <c r="R33" s="171"/>
      <c r="S33" s="176" t="str">
        <f>"April to "&amp;D4&amp;" (YTD)"</f>
        <v>April to January (YTD)</v>
      </c>
      <c r="T33" s="177"/>
      <c r="U33" s="177"/>
      <c r="V33" s="177"/>
      <c r="W33" s="177"/>
      <c r="X33" s="177"/>
      <c r="Y33" s="177"/>
      <c r="Z33" s="177"/>
      <c r="AA33" s="177"/>
      <c r="AB33" s="177"/>
      <c r="AC33" s="177"/>
      <c r="AD33" s="177"/>
      <c r="AE33" s="178"/>
      <c r="AF33" s="176" t="s">
        <v>58</v>
      </c>
      <c r="AG33" s="177"/>
      <c r="AH33" s="177"/>
      <c r="AI33" s="177"/>
      <c r="AJ33" s="177"/>
      <c r="AK33" s="179"/>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75"/>
      <c r="AH34" s="173"/>
      <c r="AI34" s="173"/>
      <c r="AJ34" s="173"/>
      <c r="AK34" s="174"/>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c r="T35" s="53" t="s">
        <v>128</v>
      </c>
      <c r="U35" s="53" t="s">
        <v>114</v>
      </c>
      <c r="V35" s="53" t="s">
        <v>53</v>
      </c>
      <c r="W35" s="52" t="s">
        <v>54</v>
      </c>
      <c r="X35" s="52" t="s">
        <v>59</v>
      </c>
      <c r="Y35" s="52" t="s">
        <v>64</v>
      </c>
      <c r="Z35" s="52"/>
      <c r="AA35" s="53" t="s">
        <v>129</v>
      </c>
      <c r="AB35" s="53" t="s">
        <v>140</v>
      </c>
      <c r="AC35" s="53" t="s">
        <v>141</v>
      </c>
      <c r="AD35" s="53" t="s">
        <v>142</v>
      </c>
      <c r="AE35" s="57" t="s">
        <v>143</v>
      </c>
      <c r="AF35" s="53"/>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404</v>
      </c>
      <c r="G37" s="74">
        <f t="shared" ref="G37:L38" si="67">G13</f>
        <v>197</v>
      </c>
      <c r="H37" s="74">
        <f t="shared" si="67"/>
        <v>188</v>
      </c>
      <c r="I37" s="74">
        <f t="shared" si="67"/>
        <v>164</v>
      </c>
      <c r="J37" s="74">
        <f t="shared" si="67"/>
        <v>0</v>
      </c>
      <c r="K37" s="74">
        <f t="shared" si="67"/>
        <v>187</v>
      </c>
      <c r="L37" s="74">
        <f t="shared" si="67"/>
        <v>189</v>
      </c>
      <c r="M37" s="64">
        <f t="shared" ref="M37:M38" si="68">IFERROR(F37/G37-1,"n/a")</f>
        <v>1.0507614213197969</v>
      </c>
      <c r="N37" s="64">
        <f t="shared" ref="N37:N38" si="69">IFERROR(F37/H37-1,"n/a")</f>
        <v>1.1489361702127661</v>
      </c>
      <c r="O37" s="64">
        <f t="shared" ref="O37:O38" si="70">IFERROR(F37/I37-1,"n/a")</f>
        <v>1.4634146341463414</v>
      </c>
      <c r="P37" s="64" t="str">
        <f t="shared" ref="P37:P38" si="71">IFERROR(F37/J37-1,"n/a")</f>
        <v>n/a</v>
      </c>
      <c r="Q37" s="64">
        <f t="shared" ref="Q37:Q38" si="72">IFERROR(F37/K37-1,"n/a")</f>
        <v>1.1604278074866312</v>
      </c>
      <c r="R37" s="60">
        <f t="shared" ref="R37:R38" si="73">IFERROR(F37/L37-1,"n/a")</f>
        <v>1.1375661375661377</v>
      </c>
      <c r="S37" s="64"/>
      <c r="T37" s="74">
        <f>'Dec-24'!Q37+F37</f>
        <v>2185</v>
      </c>
      <c r="U37" s="74">
        <f>'Dec-24'!R37+G37</f>
        <v>1297</v>
      </c>
      <c r="V37" s="74">
        <f>'Dec-24'!S37+H37</f>
        <v>1144</v>
      </c>
      <c r="W37" s="74">
        <f>'Dec-24'!T37+I37</f>
        <v>679</v>
      </c>
      <c r="X37" s="74">
        <f>'Dec-24'!U37+J37</f>
        <v>42</v>
      </c>
      <c r="Y37" s="74">
        <f>'Dec-24'!V37+K37</f>
        <v>1255</v>
      </c>
      <c r="Z37" s="162"/>
      <c r="AA37" s="147">
        <f>IFERROR(T37/U37-1,"n/a")</f>
        <v>0.68465690053970696</v>
      </c>
      <c r="AB37" s="147">
        <f>IFERROR(T37/V37-1,"n/a")</f>
        <v>0.909965034965035</v>
      </c>
      <c r="AC37" s="147">
        <f>IFERROR(T37/W37-1,"n/a")</f>
        <v>2.2179675994108985</v>
      </c>
      <c r="AD37" s="147">
        <f>IFERROR(T37/X37-1,"n/a")</f>
        <v>51.023809523809526</v>
      </c>
      <c r="AE37" s="158">
        <f>IFERROR(T37/Y37-1,"n/a")</f>
        <v>0.74103585657370519</v>
      </c>
      <c r="AF37" s="119"/>
      <c r="AG37" s="89">
        <v>1802</v>
      </c>
      <c r="AH37" s="89">
        <v>1486</v>
      </c>
      <c r="AI37" s="89">
        <v>1052</v>
      </c>
      <c r="AJ37" s="70">
        <v>551</v>
      </c>
      <c r="AK37" s="78">
        <v>1584</v>
      </c>
      <c r="AM37" s="122"/>
    </row>
    <row r="38" spans="1:39" s="123" customFormat="1" ht="11.25">
      <c r="A38" s="122"/>
      <c r="B38" s="122"/>
      <c r="C38" s="33"/>
      <c r="D38" s="26" t="s">
        <v>11</v>
      </c>
      <c r="E38" s="32"/>
      <c r="F38" s="74">
        <f>F14</f>
        <v>1052329</v>
      </c>
      <c r="G38" s="74">
        <f t="shared" si="67"/>
        <v>621308</v>
      </c>
      <c r="H38" s="74">
        <f t="shared" si="67"/>
        <v>522949</v>
      </c>
      <c r="I38" s="74">
        <f t="shared" si="67"/>
        <v>195612</v>
      </c>
      <c r="J38" s="74">
        <f t="shared" si="67"/>
        <v>0</v>
      </c>
      <c r="K38" s="74">
        <f t="shared" si="67"/>
        <v>466080</v>
      </c>
      <c r="L38" s="74">
        <f t="shared" si="67"/>
        <v>525262</v>
      </c>
      <c r="M38" s="64">
        <f t="shared" si="68"/>
        <v>0.69373161137471273</v>
      </c>
      <c r="N38" s="64">
        <f t="shared" si="69"/>
        <v>1.0122975663018763</v>
      </c>
      <c r="O38" s="64">
        <f t="shared" si="70"/>
        <v>4.3796750710590349</v>
      </c>
      <c r="P38" s="64" t="str">
        <f t="shared" si="71"/>
        <v>n/a</v>
      </c>
      <c r="Q38" s="64">
        <f t="shared" si="72"/>
        <v>1.2578291280466871</v>
      </c>
      <c r="R38" s="60">
        <f t="shared" si="73"/>
        <v>1.0034363803206783</v>
      </c>
      <c r="S38" s="64"/>
      <c r="T38" s="74">
        <f>'Dec-24'!Q38+F38</f>
        <v>6917994</v>
      </c>
      <c r="U38" s="74">
        <f>'Dec-24'!R38+G38</f>
        <v>4315661</v>
      </c>
      <c r="V38" s="74">
        <f>'Dec-24'!S38+H38</f>
        <v>3355704</v>
      </c>
      <c r="W38" s="74">
        <f>'Dec-24'!T38+I38</f>
        <v>958813</v>
      </c>
      <c r="X38" s="74">
        <f>'Dec-24'!U38+J38</f>
        <v>0</v>
      </c>
      <c r="Y38" s="74">
        <f>'Dec-24'!V38+K38</f>
        <v>3586052</v>
      </c>
      <c r="Z38" s="162"/>
      <c r="AA38" s="147">
        <f>IFERROR(T38/U38-1,"n/a")</f>
        <v>0.60299754776846459</v>
      </c>
      <c r="AB38" s="147">
        <f>IFERROR(T38/V38-1,"n/a")</f>
        <v>1.0615626408050294</v>
      </c>
      <c r="AC38" s="147">
        <f>IFERROR(T38/W38-1,"n/a")</f>
        <v>6.2151650008917274</v>
      </c>
      <c r="AD38" s="147" t="str">
        <f>IFERROR(T38/X38-1,"n/a")</f>
        <v>n/a</v>
      </c>
      <c r="AE38" s="158">
        <f>IFERROR(T38/Y38-1,"n/a")</f>
        <v>0.92913934321086256</v>
      </c>
      <c r="AF38" s="119"/>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65"/>
      <c r="T39" s="26"/>
      <c r="U39" s="26"/>
      <c r="V39" s="26"/>
      <c r="W39" s="26"/>
      <c r="X39" s="26"/>
      <c r="Y39" s="26"/>
      <c r="Z39" s="146"/>
      <c r="AA39" s="148"/>
      <c r="AB39" s="148"/>
      <c r="AC39" s="148"/>
      <c r="AD39" s="148"/>
      <c r="AE39" s="159"/>
      <c r="AF39" s="65"/>
      <c r="AG39" s="90"/>
      <c r="AH39" s="90"/>
      <c r="AI39" s="90"/>
      <c r="AJ39" s="44"/>
      <c r="AK39" s="79"/>
      <c r="AM39" s="122"/>
    </row>
    <row r="40" spans="1:39" s="123" customFormat="1" ht="11.25">
      <c r="A40" s="122"/>
      <c r="B40" s="122"/>
      <c r="C40" s="33"/>
      <c r="D40" s="26" t="s">
        <v>5</v>
      </c>
      <c r="E40" s="32"/>
      <c r="F40" s="74">
        <f t="shared" ref="F40:L40" si="74">F16</f>
        <v>12</v>
      </c>
      <c r="G40" s="74">
        <f t="shared" si="74"/>
        <v>12</v>
      </c>
      <c r="H40" s="74">
        <f t="shared" si="74"/>
        <v>5</v>
      </c>
      <c r="I40" s="74">
        <f t="shared" si="74"/>
        <v>3</v>
      </c>
      <c r="J40" s="74">
        <f t="shared" si="74"/>
        <v>2</v>
      </c>
      <c r="K40" s="74">
        <f t="shared" si="74"/>
        <v>5</v>
      </c>
      <c r="L40" s="74">
        <f t="shared" si="74"/>
        <v>5</v>
      </c>
      <c r="M40" s="64">
        <f t="shared" ref="M40:M41" si="75">IFERROR(F40/G40-1,"n/a")</f>
        <v>0</v>
      </c>
      <c r="N40" s="64">
        <f t="shared" ref="N40:N41" si="76">IFERROR(F40/H40-1,"n/a")</f>
        <v>1.4</v>
      </c>
      <c r="O40" s="64">
        <f t="shared" ref="O40:O41" si="77">IFERROR(F40/I40-1,"n/a")</f>
        <v>3</v>
      </c>
      <c r="P40" s="64">
        <f t="shared" ref="P40:P41" si="78">IFERROR(F40/J40-1,"n/a")</f>
        <v>5</v>
      </c>
      <c r="Q40" s="64">
        <f t="shared" ref="Q40:Q41" si="79">IFERROR(F40/K40-1,"n/a")</f>
        <v>1.4</v>
      </c>
      <c r="R40" s="60">
        <f t="shared" ref="R40:R41" si="80">IFERROR(F40/L40-1,"n/a")</f>
        <v>1.4</v>
      </c>
      <c r="S40" s="64"/>
      <c r="T40" s="74">
        <f>'Dec-24'!Q40+F40</f>
        <v>772</v>
      </c>
      <c r="U40" s="74">
        <f>'Dec-24'!R40+G40</f>
        <v>559</v>
      </c>
      <c r="V40" s="74">
        <f>'Dec-24'!S40+H40</f>
        <v>542</v>
      </c>
      <c r="W40" s="74">
        <f>'Dec-24'!T40+I40</f>
        <v>195</v>
      </c>
      <c r="X40" s="74">
        <f>'Dec-24'!U40+J40</f>
        <v>46</v>
      </c>
      <c r="Y40" s="74">
        <f>'Dec-24'!V40+K40</f>
        <v>575</v>
      </c>
      <c r="Z40" s="162"/>
      <c r="AA40" s="147">
        <f t="shared" ref="AA40:AA41" si="81">IFERROR(T40/U40-1,"n/a")</f>
        <v>0.38103756708407865</v>
      </c>
      <c r="AB40" s="147">
        <f t="shared" ref="AB40:AB41" si="82">IFERROR(T40/V40-1,"n/a")</f>
        <v>0.42435424354243545</v>
      </c>
      <c r="AC40" s="147">
        <f t="shared" ref="AC40:AC41" si="83">IFERROR(T40/W40-1,"n/a")</f>
        <v>2.9589743589743591</v>
      </c>
      <c r="AD40" s="147">
        <f t="shared" ref="AD40:AD41" si="84">IFERROR(T40/X40-1,"n/a")</f>
        <v>15.782608695652176</v>
      </c>
      <c r="AE40" s="158">
        <f t="shared" ref="AE40:AE41" si="85">IFERROR(T40/Y40-1,"n/a")</f>
        <v>0.34260869565217389</v>
      </c>
      <c r="AF40" s="119"/>
      <c r="AG40" s="89">
        <v>583</v>
      </c>
      <c r="AH40" s="89">
        <v>563</v>
      </c>
      <c r="AI40" s="89">
        <v>226</v>
      </c>
      <c r="AJ40" s="70">
        <v>66</v>
      </c>
      <c r="AK40" s="78">
        <v>573</v>
      </c>
      <c r="AM40" s="122"/>
    </row>
    <row r="41" spans="1:39" s="123" customFormat="1" ht="11.25">
      <c r="A41" s="122"/>
      <c r="B41" s="122"/>
      <c r="C41" s="33"/>
      <c r="D41" s="26" t="s">
        <v>11</v>
      </c>
      <c r="E41" s="32"/>
      <c r="F41" s="74">
        <f t="shared" ref="F41:L41" si="86">F17</f>
        <v>36494</v>
      </c>
      <c r="G41" s="74">
        <f t="shared" si="86"/>
        <v>45136</v>
      </c>
      <c r="H41" s="74">
        <f t="shared" si="86"/>
        <v>15799</v>
      </c>
      <c r="I41" s="74">
        <f t="shared" si="86"/>
        <v>1702</v>
      </c>
      <c r="J41" s="74">
        <f t="shared" si="86"/>
        <v>1288</v>
      </c>
      <c r="K41" s="74">
        <f t="shared" si="86"/>
        <v>23141</v>
      </c>
      <c r="L41" s="74">
        <f t="shared" si="86"/>
        <v>20627</v>
      </c>
      <c r="M41" s="64">
        <f t="shared" si="75"/>
        <v>-0.19146579227224392</v>
      </c>
      <c r="N41" s="64">
        <f t="shared" si="76"/>
        <v>1.3098930312045067</v>
      </c>
      <c r="O41" s="64">
        <f t="shared" si="77"/>
        <v>20.441833137485311</v>
      </c>
      <c r="P41" s="64">
        <f t="shared" si="78"/>
        <v>27.33385093167702</v>
      </c>
      <c r="Q41" s="64">
        <f t="shared" si="79"/>
        <v>0.57702778618037254</v>
      </c>
      <c r="R41" s="60">
        <f t="shared" si="80"/>
        <v>0.76923449847287539</v>
      </c>
      <c r="S41" s="64"/>
      <c r="T41" s="74">
        <f>'Dec-24'!Q41+F41</f>
        <v>1966896</v>
      </c>
      <c r="U41" s="74">
        <f>'Dec-24'!R41+G41</f>
        <v>1624894</v>
      </c>
      <c r="V41" s="74">
        <f>'Dec-24'!S41+H41</f>
        <v>949191</v>
      </c>
      <c r="W41" s="74">
        <f>'Dec-24'!T41+I41</f>
        <v>294134</v>
      </c>
      <c r="X41" s="74">
        <f>'Dec-24'!U41+J41</f>
        <v>30850</v>
      </c>
      <c r="Y41" s="74">
        <f>'Dec-24'!V41+K41</f>
        <v>1341300</v>
      </c>
      <c r="Z41" s="162"/>
      <c r="AA41" s="147">
        <f t="shared" si="81"/>
        <v>0.21047649877468921</v>
      </c>
      <c r="AB41" s="147">
        <f t="shared" si="82"/>
        <v>1.0721814682187252</v>
      </c>
      <c r="AC41" s="147">
        <f t="shared" si="83"/>
        <v>5.6870745986523152</v>
      </c>
      <c r="AD41" s="147">
        <f t="shared" si="84"/>
        <v>62.756758508914103</v>
      </c>
      <c r="AE41" s="158">
        <f t="shared" si="85"/>
        <v>0.46641019906061287</v>
      </c>
      <c r="AF41" s="119"/>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64"/>
      <c r="T42" s="87"/>
      <c r="U42" s="87"/>
      <c r="V42" s="87"/>
      <c r="W42" s="87"/>
      <c r="X42" s="87"/>
      <c r="Y42" s="87"/>
      <c r="Z42" s="110"/>
      <c r="AA42" s="147"/>
      <c r="AB42" s="147"/>
      <c r="AC42" s="147"/>
      <c r="AD42" s="147"/>
      <c r="AE42" s="158"/>
      <c r="AF42" s="64"/>
      <c r="AG42" s="90"/>
      <c r="AH42" s="90"/>
      <c r="AI42" s="90"/>
      <c r="AJ42" s="44"/>
      <c r="AK42" s="79"/>
      <c r="AM42" s="122"/>
    </row>
    <row r="43" spans="1:39" s="123" customFormat="1" ht="11.25">
      <c r="A43" s="122"/>
      <c r="B43" s="122"/>
      <c r="C43" s="33"/>
      <c r="D43" s="26" t="s">
        <v>5</v>
      </c>
      <c r="E43" s="32"/>
      <c r="F43" s="74">
        <f>F19</f>
        <v>1</v>
      </c>
      <c r="G43" s="74">
        <f t="shared" ref="G43:L44" si="87">G19</f>
        <v>2</v>
      </c>
      <c r="H43" s="74">
        <f t="shared" si="87"/>
        <v>4</v>
      </c>
      <c r="I43" s="74">
        <f t="shared" si="87"/>
        <v>3</v>
      </c>
      <c r="J43" s="74">
        <f t="shared" si="87"/>
        <v>0</v>
      </c>
      <c r="K43" s="74">
        <f t="shared" si="87"/>
        <v>1</v>
      </c>
      <c r="L43" s="74">
        <f t="shared" si="87"/>
        <v>0</v>
      </c>
      <c r="M43" s="64">
        <f t="shared" ref="M43:M44" si="88">IFERROR(F43/G43-1,"n/a")</f>
        <v>-0.5</v>
      </c>
      <c r="N43" s="64">
        <f t="shared" ref="N43:N44" si="89">IFERROR(F43/H43-1,"n/a")</f>
        <v>-0.75</v>
      </c>
      <c r="O43" s="64">
        <f t="shared" ref="O43:O44" si="90">IFERROR(F43/I43-1,"n/a")</f>
        <v>-0.66666666666666674</v>
      </c>
      <c r="P43" s="64" t="str">
        <f t="shared" ref="P43:P44" si="91">IFERROR(F43/J43-1,"n/a")</f>
        <v>n/a</v>
      </c>
      <c r="Q43" s="64">
        <f t="shared" ref="Q43:Q44" si="92">IFERROR(F43/K43-1,"n/a")</f>
        <v>0</v>
      </c>
      <c r="R43" s="60" t="str">
        <f t="shared" ref="R43:R44" si="93">IFERROR(F43/L43-1,"n/a")</f>
        <v>n/a</v>
      </c>
      <c r="S43" s="64"/>
      <c r="T43" s="74">
        <f>'Dec-24'!Q43+F43</f>
        <v>707</v>
      </c>
      <c r="U43" s="74">
        <f>'Dec-24'!R43+G43</f>
        <v>687</v>
      </c>
      <c r="V43" s="74">
        <f>'Dec-24'!S43+H43</f>
        <v>650</v>
      </c>
      <c r="W43" s="74">
        <f>'Dec-24'!T43+I43</f>
        <v>50</v>
      </c>
      <c r="X43" s="74">
        <f>'Dec-24'!U43+J43</f>
        <v>7</v>
      </c>
      <c r="Y43" s="74">
        <f>'Dec-24'!V43+K43</f>
        <v>285</v>
      </c>
      <c r="Z43" s="162"/>
      <c r="AA43" s="147">
        <f t="shared" ref="AA43:AA44" si="94">IFERROR(T43/U43-1,"n/a")</f>
        <v>2.9112081513828159E-2</v>
      </c>
      <c r="AB43" s="147">
        <f t="shared" ref="AB43:AB44" si="95">IFERROR(T43/V43-1,"n/a")</f>
        <v>8.7692307692307736E-2</v>
      </c>
      <c r="AC43" s="147">
        <f t="shared" ref="AC43:AC44" si="96">IFERROR(T43/W43-1,"n/a")</f>
        <v>13.14</v>
      </c>
      <c r="AD43" s="147">
        <f t="shared" ref="AD43:AD44" si="97">IFERROR(T43/X43-1,"n/a")</f>
        <v>100</v>
      </c>
      <c r="AE43" s="158">
        <f t="shared" ref="AE43:AE44" si="98">IFERROR(T43/Y43-1,"n/a")</f>
        <v>1.4807017543859651</v>
      </c>
      <c r="AF43" s="119"/>
      <c r="AG43" s="89">
        <v>712</v>
      </c>
      <c r="AH43" s="89">
        <v>669</v>
      </c>
      <c r="AI43" s="89">
        <v>59</v>
      </c>
      <c r="AJ43" s="70">
        <v>9</v>
      </c>
      <c r="AK43" s="78">
        <v>287</v>
      </c>
      <c r="AM43" s="122"/>
    </row>
    <row r="44" spans="1:39" s="123" customFormat="1" ht="11.25">
      <c r="A44" s="122"/>
      <c r="B44" s="122"/>
      <c r="C44" s="33"/>
      <c r="D44" s="26" t="s">
        <v>11</v>
      </c>
      <c r="E44" s="32"/>
      <c r="F44" s="74">
        <f>F20</f>
        <v>1801</v>
      </c>
      <c r="G44" s="74">
        <f t="shared" si="87"/>
        <v>2840</v>
      </c>
      <c r="H44" s="74">
        <f t="shared" si="87"/>
        <v>3860</v>
      </c>
      <c r="I44" s="74">
        <f t="shared" si="87"/>
        <v>814</v>
      </c>
      <c r="J44" s="74">
        <f t="shared" si="87"/>
        <v>0</v>
      </c>
      <c r="K44" s="74">
        <f t="shared" si="87"/>
        <v>823</v>
      </c>
      <c r="L44" s="74">
        <f t="shared" si="87"/>
        <v>440</v>
      </c>
      <c r="M44" s="64">
        <f t="shared" si="88"/>
        <v>-0.36584507042253522</v>
      </c>
      <c r="N44" s="64">
        <f t="shared" si="89"/>
        <v>-0.53341968911917093</v>
      </c>
      <c r="O44" s="64">
        <f t="shared" si="90"/>
        <v>1.2125307125307123</v>
      </c>
      <c r="P44" s="64" t="str">
        <f t="shared" si="91"/>
        <v>n/a</v>
      </c>
      <c r="Q44" s="64">
        <f t="shared" si="92"/>
        <v>1.1883353584447143</v>
      </c>
      <c r="R44" s="60">
        <f t="shared" si="93"/>
        <v>3.0931818181818178</v>
      </c>
      <c r="S44" s="64"/>
      <c r="T44" s="74">
        <f>'Dec-24'!Q44+F44</f>
        <v>1458331.4</v>
      </c>
      <c r="U44" s="74">
        <f>'Dec-24'!R44+G44</f>
        <v>1259520</v>
      </c>
      <c r="V44" s="74">
        <f>'Dec-24'!S44+H44</f>
        <v>888270</v>
      </c>
      <c r="W44" s="74">
        <f>'Dec-24'!T44+I44</f>
        <v>18355</v>
      </c>
      <c r="X44" s="74">
        <f>'Dec-24'!U44+J44</f>
        <v>8294</v>
      </c>
      <c r="Y44" s="74">
        <f>'Dec-24'!V44+K44</f>
        <v>580269</v>
      </c>
      <c r="Z44" s="162"/>
      <c r="AA44" s="147">
        <f t="shared" si="94"/>
        <v>0.15784695757113809</v>
      </c>
      <c r="AB44" s="147">
        <f t="shared" si="95"/>
        <v>0.64176590451101578</v>
      </c>
      <c r="AC44" s="147">
        <f t="shared" si="96"/>
        <v>78.451451920457629</v>
      </c>
      <c r="AD44" s="147">
        <f t="shared" si="97"/>
        <v>174.82968410899446</v>
      </c>
      <c r="AE44" s="158">
        <f t="shared" si="98"/>
        <v>1.5131988784512007</v>
      </c>
      <c r="AF44" s="119"/>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64"/>
      <c r="T45" s="72"/>
      <c r="U45" s="72"/>
      <c r="V45" s="72"/>
      <c r="W45" s="72"/>
      <c r="X45" s="72"/>
      <c r="Y45" s="72"/>
      <c r="Z45" s="160"/>
      <c r="AA45" s="147"/>
      <c r="AB45" s="147"/>
      <c r="AC45" s="147"/>
      <c r="AD45" s="147"/>
      <c r="AE45" s="158"/>
      <c r="AF45" s="64"/>
      <c r="AG45" s="90"/>
      <c r="AH45" s="90"/>
      <c r="AI45" s="90"/>
      <c r="AJ45" s="44"/>
      <c r="AK45" s="79"/>
      <c r="AM45" s="122"/>
    </row>
    <row r="46" spans="1:39" s="123" customFormat="1" ht="11.25">
      <c r="A46" s="122"/>
      <c r="B46" s="122"/>
      <c r="C46" s="33"/>
      <c r="D46" s="26" t="s">
        <v>5</v>
      </c>
      <c r="E46" s="34"/>
      <c r="F46" s="74">
        <f>F22</f>
        <v>133</v>
      </c>
      <c r="G46" s="74">
        <f t="shared" ref="G46:L47" si="99">G22</f>
        <v>95</v>
      </c>
      <c r="H46" s="74">
        <f t="shared" si="99"/>
        <v>106</v>
      </c>
      <c r="I46" s="74">
        <f t="shared" si="99"/>
        <v>16</v>
      </c>
      <c r="J46" s="74">
        <f t="shared" si="99"/>
        <v>0</v>
      </c>
      <c r="K46" s="74">
        <f t="shared" si="99"/>
        <v>19</v>
      </c>
      <c r="L46" s="74">
        <f t="shared" si="99"/>
        <v>24</v>
      </c>
      <c r="M46" s="64">
        <f t="shared" ref="M46:M47" si="100">IFERROR(F46/G46-1,"n/a")</f>
        <v>0.39999999999999991</v>
      </c>
      <c r="N46" s="64">
        <f t="shared" ref="N46:N47" si="101">IFERROR(F46/H46-1,"n/a")</f>
        <v>0.25471698113207553</v>
      </c>
      <c r="O46" s="64">
        <f t="shared" ref="O46:O47" si="102">IFERROR(F46/I46-1,"n/a")</f>
        <v>7.3125</v>
      </c>
      <c r="P46" s="64" t="str">
        <f t="shared" ref="P46:P47" si="103">IFERROR(F46/J46-1,"n/a")</f>
        <v>n/a</v>
      </c>
      <c r="Q46" s="64">
        <f t="shared" ref="Q46:Q47" si="104">IFERROR(F46/K46-1,"n/a")</f>
        <v>6</v>
      </c>
      <c r="R46" s="60">
        <f t="shared" ref="R46:R47" si="105">IFERROR(F46/L46-1,"n/a")</f>
        <v>4.541666666666667</v>
      </c>
      <c r="S46" s="64"/>
      <c r="T46" s="74">
        <f>'Dec-24'!Q46+F46</f>
        <v>1525</v>
      </c>
      <c r="U46" s="74">
        <f>'Dec-24'!R46+G46</f>
        <v>1307</v>
      </c>
      <c r="V46" s="74">
        <f>'Dec-24'!S46+H46</f>
        <v>947</v>
      </c>
      <c r="W46" s="74">
        <f>'Dec-24'!T46+I46</f>
        <v>299</v>
      </c>
      <c r="X46" s="74">
        <f>'Dec-24'!U46+J46</f>
        <v>0</v>
      </c>
      <c r="Y46" s="74">
        <f>'Dec-24'!V46+K46</f>
        <v>757</v>
      </c>
      <c r="Z46" s="162"/>
      <c r="AA46" s="147">
        <f t="shared" ref="AA46:AA47" si="106">IFERROR(T46/U46-1,"n/a")</f>
        <v>0.16679418515684774</v>
      </c>
      <c r="AB46" s="147">
        <f t="shared" ref="AB46:AB47" si="107">IFERROR(T46/V46-1,"n/a")</f>
        <v>0.61034846884899685</v>
      </c>
      <c r="AC46" s="147">
        <f t="shared" ref="AC46:AC47" si="108">IFERROR(T46/W46-1,"n/a")</f>
        <v>4.1003344481605355</v>
      </c>
      <c r="AD46" s="147" t="str">
        <f t="shared" ref="AD46:AD47" si="109">IFERROR(T46/X46-1,"n/a")</f>
        <v>n/a</v>
      </c>
      <c r="AE46" s="158">
        <f t="shared" ref="AE46:AE47" si="110">IFERROR(T46/Y46-1,"n/a")</f>
        <v>1.0145310435931307</v>
      </c>
      <c r="AF46" s="119"/>
      <c r="AG46" s="89">
        <v>1471</v>
      </c>
      <c r="AH46" s="89">
        <v>1129</v>
      </c>
      <c r="AI46" s="89">
        <v>336</v>
      </c>
      <c r="AJ46" s="84">
        <v>43</v>
      </c>
      <c r="AK46" s="78">
        <v>781</v>
      </c>
      <c r="AM46" s="122"/>
    </row>
    <row r="47" spans="1:39" s="123" customFormat="1" ht="11.25">
      <c r="A47" s="122"/>
      <c r="B47" s="122"/>
      <c r="C47" s="33"/>
      <c r="D47" s="26" t="s">
        <v>11</v>
      </c>
      <c r="E47" s="32"/>
      <c r="F47" s="74">
        <f>F23</f>
        <v>415578</v>
      </c>
      <c r="G47" s="74">
        <f t="shared" si="99"/>
        <v>313581</v>
      </c>
      <c r="H47" s="74">
        <f t="shared" si="99"/>
        <v>290797</v>
      </c>
      <c r="I47" s="74">
        <f t="shared" si="99"/>
        <v>21828</v>
      </c>
      <c r="J47" s="74">
        <f t="shared" si="99"/>
        <v>0</v>
      </c>
      <c r="K47" s="74">
        <f t="shared" si="99"/>
        <v>64994</v>
      </c>
      <c r="L47" s="74">
        <f t="shared" si="99"/>
        <v>74523</v>
      </c>
      <c r="M47" s="64">
        <f t="shared" si="100"/>
        <v>0.32526524247323652</v>
      </c>
      <c r="N47" s="64">
        <f t="shared" si="101"/>
        <v>0.42910002510342271</v>
      </c>
      <c r="O47" s="64">
        <f t="shared" si="102"/>
        <v>18.038757559098407</v>
      </c>
      <c r="P47" s="64" t="str">
        <f t="shared" si="103"/>
        <v>n/a</v>
      </c>
      <c r="Q47" s="64">
        <f t="shared" si="104"/>
        <v>5.3940979167307752</v>
      </c>
      <c r="R47" s="60">
        <f t="shared" si="105"/>
        <v>4.5765065818606336</v>
      </c>
      <c r="S47" s="64"/>
      <c r="T47" s="74">
        <f>'Dec-24'!Q47+F47</f>
        <v>4548997</v>
      </c>
      <c r="U47" s="74">
        <f>'Dec-24'!R47+G47</f>
        <v>3935443</v>
      </c>
      <c r="V47" s="74">
        <f>'Dec-24'!S47+H47</f>
        <v>2383567</v>
      </c>
      <c r="W47" s="74">
        <f>'Dec-24'!T47+I47</f>
        <v>486937</v>
      </c>
      <c r="X47" s="74">
        <f>'Dec-24'!U47+J47</f>
        <v>0</v>
      </c>
      <c r="Y47" s="74">
        <f>'Dec-24'!V47+K47</f>
        <v>2366036</v>
      </c>
      <c r="Z47" s="162"/>
      <c r="AA47" s="147">
        <f t="shared" si="106"/>
        <v>0.15590468468225804</v>
      </c>
      <c r="AB47" s="147">
        <f t="shared" si="107"/>
        <v>0.90848295852392646</v>
      </c>
      <c r="AC47" s="147">
        <f t="shared" si="108"/>
        <v>8.3420647845614528</v>
      </c>
      <c r="AD47" s="147" t="str">
        <f t="shared" si="109"/>
        <v>n/a</v>
      </c>
      <c r="AE47" s="158">
        <f t="shared" si="110"/>
        <v>0.92262374706048433</v>
      </c>
      <c r="AF47" s="119"/>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64"/>
      <c r="T48" s="72"/>
      <c r="U48" s="72"/>
      <c r="V48" s="72"/>
      <c r="W48" s="72"/>
      <c r="X48" s="72"/>
      <c r="Y48" s="72"/>
      <c r="Z48" s="160"/>
      <c r="AA48" s="147"/>
      <c r="AB48" s="147"/>
      <c r="AC48" s="147"/>
      <c r="AD48" s="147"/>
      <c r="AE48" s="158"/>
      <c r="AF48" s="64"/>
      <c r="AG48" s="90"/>
      <c r="AH48" s="90"/>
      <c r="AI48" s="90"/>
      <c r="AJ48" s="44"/>
      <c r="AK48" s="79"/>
      <c r="AM48" s="122"/>
    </row>
    <row r="49" spans="3:39" s="123" customFormat="1" ht="11.25">
      <c r="C49" s="33"/>
      <c r="D49" s="26" t="s">
        <v>5</v>
      </c>
      <c r="E49" s="32"/>
      <c r="F49" s="74">
        <f>F25</f>
        <v>0</v>
      </c>
      <c r="G49" s="74">
        <f t="shared" ref="G49:L50" si="111">G25</f>
        <v>0</v>
      </c>
      <c r="H49" s="74">
        <f t="shared" si="111"/>
        <v>0</v>
      </c>
      <c r="I49" s="74">
        <f t="shared" si="111"/>
        <v>0</v>
      </c>
      <c r="J49" s="74">
        <f t="shared" si="111"/>
        <v>0</v>
      </c>
      <c r="K49" s="74">
        <f t="shared" si="111"/>
        <v>0</v>
      </c>
      <c r="L49" s="74">
        <f t="shared" si="111"/>
        <v>0</v>
      </c>
      <c r="M49" s="64" t="str">
        <f t="shared" ref="M49:M52" si="112">IFERROR(F49/G49-1,"n/a")</f>
        <v>n/a</v>
      </c>
      <c r="N49" s="64" t="str">
        <f t="shared" ref="N49:N52" si="113">IFERROR(F49/H49-1,"n/a")</f>
        <v>n/a</v>
      </c>
      <c r="O49" s="64" t="str">
        <f t="shared" ref="O49:O52" si="114">IFERROR(F49/I49-1,"n/a")</f>
        <v>n/a</v>
      </c>
      <c r="P49" s="64" t="str">
        <f t="shared" ref="P49:P52" si="115">IFERROR(F49/J49-1,"n/a")</f>
        <v>n/a</v>
      </c>
      <c r="Q49" s="64" t="str">
        <f t="shared" ref="Q49:Q52" si="116">IFERROR(F49/K49-1,"n/a")</f>
        <v>n/a</v>
      </c>
      <c r="R49" s="60" t="str">
        <f t="shared" ref="R49:R52" si="117">IFERROR(F49/L49-1,"n/a")</f>
        <v>n/a</v>
      </c>
      <c r="S49" s="64"/>
      <c r="T49" s="74">
        <f>'Dec-24'!Q49+F49</f>
        <v>14</v>
      </c>
      <c r="U49" s="74">
        <f>'Dec-24'!R49+G49</f>
        <v>21</v>
      </c>
      <c r="V49" s="74">
        <f>'Dec-24'!S49+H49</f>
        <v>9</v>
      </c>
      <c r="W49" s="74">
        <f>'Dec-24'!T49+I49</f>
        <v>0</v>
      </c>
      <c r="X49" s="74">
        <f>'Dec-24'!U49+J49</f>
        <v>0</v>
      </c>
      <c r="Y49" s="74">
        <f>'Dec-24'!V49+K49</f>
        <v>16</v>
      </c>
      <c r="Z49" s="162"/>
      <c r="AA49" s="147">
        <f t="shared" ref="AA49:AA50" si="118">IFERROR(T49/U49-1,"n/a")</f>
        <v>-0.33333333333333337</v>
      </c>
      <c r="AB49" s="147">
        <f t="shared" ref="AB49:AB50" si="119">IFERROR(T49/V49-1,"n/a")</f>
        <v>0.55555555555555558</v>
      </c>
      <c r="AC49" s="147" t="str">
        <f t="shared" ref="AC49:AC50" si="120">IFERROR(T49/W49-1,"n/a")</f>
        <v>n/a</v>
      </c>
      <c r="AD49" s="147" t="str">
        <f t="shared" ref="AD49:AD50" si="121">IFERROR(T49/X49-1,"n/a")</f>
        <v>n/a</v>
      </c>
      <c r="AE49" s="158">
        <f t="shared" ref="AE49:AE50" si="122">IFERROR(T49/Y49-1,"n/a")</f>
        <v>-0.125</v>
      </c>
      <c r="AF49" s="119"/>
      <c r="AG49" s="89">
        <v>21</v>
      </c>
      <c r="AH49" s="89">
        <v>9</v>
      </c>
      <c r="AI49" s="68">
        <v>0</v>
      </c>
      <c r="AJ49" s="68">
        <v>0</v>
      </c>
      <c r="AK49" s="78">
        <v>16</v>
      </c>
      <c r="AM49" s="122"/>
    </row>
    <row r="50" spans="3:39" s="123" customFormat="1" ht="11.25">
      <c r="C50" s="33"/>
      <c r="D50" s="26" t="s">
        <v>11</v>
      </c>
      <c r="E50" s="32"/>
      <c r="F50" s="74">
        <f>F26</f>
        <v>0</v>
      </c>
      <c r="G50" s="74">
        <f t="shared" si="111"/>
        <v>0</v>
      </c>
      <c r="H50" s="74">
        <f t="shared" si="111"/>
        <v>0</v>
      </c>
      <c r="I50" s="74">
        <f t="shared" si="111"/>
        <v>0</v>
      </c>
      <c r="J50" s="74">
        <f t="shared" si="111"/>
        <v>0</v>
      </c>
      <c r="K50" s="74">
        <f t="shared" si="111"/>
        <v>0</v>
      </c>
      <c r="L50" s="74">
        <f t="shared" si="111"/>
        <v>0</v>
      </c>
      <c r="M50" s="64" t="str">
        <f t="shared" si="112"/>
        <v>n/a</v>
      </c>
      <c r="N50" s="64" t="str">
        <f t="shared" si="113"/>
        <v>n/a</v>
      </c>
      <c r="O50" s="64" t="str">
        <f t="shared" si="114"/>
        <v>n/a</v>
      </c>
      <c r="P50" s="64" t="str">
        <f t="shared" si="115"/>
        <v>n/a</v>
      </c>
      <c r="Q50" s="64" t="str">
        <f t="shared" si="116"/>
        <v>n/a</v>
      </c>
      <c r="R50" s="60" t="str">
        <f t="shared" si="117"/>
        <v>n/a</v>
      </c>
      <c r="S50" s="64"/>
      <c r="T50" s="74">
        <f>'Dec-24'!Q50+F50</f>
        <v>47798</v>
      </c>
      <c r="U50" s="74">
        <f>'Dec-24'!R50+G50</f>
        <v>38626</v>
      </c>
      <c r="V50" s="74">
        <f>'Dec-24'!S50+H50</f>
        <v>15637</v>
      </c>
      <c r="W50" s="74">
        <f>'Dec-24'!T50+I50</f>
        <v>0</v>
      </c>
      <c r="X50" s="74">
        <f>'Dec-24'!U50+J50</f>
        <v>0</v>
      </c>
      <c r="Y50" s="74">
        <f>'Dec-24'!V50+K50</f>
        <v>20248</v>
      </c>
      <c r="Z50" s="162"/>
      <c r="AA50" s="147">
        <f t="shared" si="118"/>
        <v>0.23745663542691453</v>
      </c>
      <c r="AB50" s="147">
        <f t="shared" si="119"/>
        <v>2.0567244356334333</v>
      </c>
      <c r="AC50" s="147" t="str">
        <f t="shared" si="120"/>
        <v>n/a</v>
      </c>
      <c r="AD50" s="147" t="str">
        <f t="shared" si="121"/>
        <v>n/a</v>
      </c>
      <c r="AE50" s="158">
        <f t="shared" si="122"/>
        <v>1.3606282101935996</v>
      </c>
      <c r="AF50" s="119"/>
      <c r="AG50" s="82">
        <v>38626</v>
      </c>
      <c r="AH50" s="82">
        <v>15637</v>
      </c>
      <c r="AI50" s="68">
        <v>0</v>
      </c>
      <c r="AJ50" s="68">
        <v>0</v>
      </c>
      <c r="AK50" s="78">
        <v>20248</v>
      </c>
      <c r="AM50" s="122"/>
    </row>
    <row r="51" spans="3:39" s="123" customFormat="1" ht="12" thickBot="1">
      <c r="C51" s="35" t="s">
        <v>12</v>
      </c>
      <c r="D51" s="36"/>
      <c r="E51" s="37"/>
      <c r="F51" s="75">
        <f t="shared" ref="F51:H52" si="123">F37+F40+F43+F46+F49</f>
        <v>550</v>
      </c>
      <c r="G51" s="75">
        <f t="shared" si="123"/>
        <v>306</v>
      </c>
      <c r="H51" s="75">
        <f t="shared" si="123"/>
        <v>303</v>
      </c>
      <c r="I51" s="75">
        <f t="shared" ref="I51:L52" si="124">I37+I40+I43+I46+I49</f>
        <v>186</v>
      </c>
      <c r="J51" s="75">
        <f t="shared" si="124"/>
        <v>2</v>
      </c>
      <c r="K51" s="75">
        <f t="shared" si="124"/>
        <v>212</v>
      </c>
      <c r="L51" s="75">
        <f t="shared" si="124"/>
        <v>218</v>
      </c>
      <c r="M51" s="66">
        <f t="shared" si="112"/>
        <v>0.79738562091503273</v>
      </c>
      <c r="N51" s="66">
        <f t="shared" si="113"/>
        <v>0.81518151815181517</v>
      </c>
      <c r="O51" s="66">
        <f t="shared" si="114"/>
        <v>1.956989247311828</v>
      </c>
      <c r="P51" s="66">
        <f t="shared" si="115"/>
        <v>274</v>
      </c>
      <c r="Q51" s="66">
        <f t="shared" si="116"/>
        <v>1.5943396226415096</v>
      </c>
      <c r="R51" s="66">
        <f t="shared" si="117"/>
        <v>1.522935779816514</v>
      </c>
      <c r="S51" s="66"/>
      <c r="T51" s="75">
        <f>T37+T40+T43+T46+T49</f>
        <v>5203</v>
      </c>
      <c r="U51" s="75">
        <f>U37+U40+U43+U46+U49</f>
        <v>3871</v>
      </c>
      <c r="V51" s="75">
        <f t="shared" ref="U51:Y52" si="125">V37+V40+V43+V46+V49</f>
        <v>3292</v>
      </c>
      <c r="W51" s="75">
        <f t="shared" si="125"/>
        <v>1223</v>
      </c>
      <c r="X51" s="75">
        <f t="shared" si="125"/>
        <v>95</v>
      </c>
      <c r="Y51" s="75">
        <f t="shared" si="125"/>
        <v>2888</v>
      </c>
      <c r="Z51" s="75"/>
      <c r="AA51" s="66">
        <f t="shared" ref="AA51:AA52" si="126">IFERROR(T51/U51-1,"n/a")</f>
        <v>0.34409713252389573</v>
      </c>
      <c r="AB51" s="66">
        <f t="shared" ref="AB51:AB52" si="127">IFERROR(T51/V51-1,"n/a")</f>
        <v>0.58049817739975706</v>
      </c>
      <c r="AC51" s="66">
        <f t="shared" ref="AC51:AC52" si="128">IFERROR(T51/W51-1,"n/a")</f>
        <v>3.2542927228127558</v>
      </c>
      <c r="AD51" s="66">
        <f t="shared" ref="AD51:AD52" si="129">IFERROR(T51/X51-1,"n/a")</f>
        <v>53.768421052631581</v>
      </c>
      <c r="AE51" s="66">
        <f t="shared" ref="AE51:AE52" si="130">IFERROR(T51/Y51-1,"n/a")</f>
        <v>0.80159279778393344</v>
      </c>
      <c r="AF51" s="62"/>
      <c r="AG51" s="46">
        <f t="shared" ref="AG51" si="131">AG37+AG40+AG43+AG46+AG49</f>
        <v>4589</v>
      </c>
      <c r="AH51" s="46">
        <f t="shared" ref="AH51:AJ52" si="132">AH37+AH40+AH43+AH46+AH49</f>
        <v>3856</v>
      </c>
      <c r="AI51" s="46">
        <f t="shared" si="132"/>
        <v>1673</v>
      </c>
      <c r="AJ51" s="46">
        <f t="shared" si="132"/>
        <v>669</v>
      </c>
      <c r="AK51" s="80">
        <f>AK37+AK40+AK43+AK46+AK49</f>
        <v>3241</v>
      </c>
      <c r="AM51" s="122"/>
    </row>
    <row r="52" spans="3:39" s="123" customFormat="1" ht="12.75" thickTop="1" thickBot="1">
      <c r="C52" s="38" t="s">
        <v>13</v>
      </c>
      <c r="D52" s="39"/>
      <c r="E52" s="40"/>
      <c r="F52" s="76">
        <f t="shared" si="123"/>
        <v>1506202</v>
      </c>
      <c r="G52" s="76">
        <f t="shared" si="123"/>
        <v>982865</v>
      </c>
      <c r="H52" s="76">
        <f t="shared" si="123"/>
        <v>833405</v>
      </c>
      <c r="I52" s="76">
        <f t="shared" si="124"/>
        <v>219956</v>
      </c>
      <c r="J52" s="76">
        <f t="shared" si="124"/>
        <v>1288</v>
      </c>
      <c r="K52" s="76">
        <f t="shared" si="124"/>
        <v>555038</v>
      </c>
      <c r="L52" s="76">
        <f t="shared" si="124"/>
        <v>620852</v>
      </c>
      <c r="M52" s="67">
        <f t="shared" si="112"/>
        <v>0.53246071434021958</v>
      </c>
      <c r="N52" s="67">
        <f t="shared" si="113"/>
        <v>0.80728697332029453</v>
      </c>
      <c r="O52" s="67">
        <f t="shared" si="114"/>
        <v>5.8477422757278728</v>
      </c>
      <c r="P52" s="67">
        <f t="shared" si="115"/>
        <v>1168.4114906832299</v>
      </c>
      <c r="Q52" s="67">
        <f t="shared" si="116"/>
        <v>1.7136916751645832</v>
      </c>
      <c r="R52" s="67">
        <f t="shared" si="117"/>
        <v>1.4260242376605055</v>
      </c>
      <c r="S52" s="67"/>
      <c r="T52" s="76">
        <f t="shared" ref="T52" si="133">T38+T41+T44+T47+T50</f>
        <v>14940016.4</v>
      </c>
      <c r="U52" s="76">
        <f t="shared" si="125"/>
        <v>11174144</v>
      </c>
      <c r="V52" s="76">
        <f t="shared" si="125"/>
        <v>7592369</v>
      </c>
      <c r="W52" s="76">
        <f t="shared" si="125"/>
        <v>1758239</v>
      </c>
      <c r="X52" s="76">
        <f t="shared" si="125"/>
        <v>39144</v>
      </c>
      <c r="Y52" s="76">
        <f t="shared" si="125"/>
        <v>7893905</v>
      </c>
      <c r="Z52" s="76"/>
      <c r="AA52" s="67">
        <f t="shared" si="126"/>
        <v>0.33701663411532912</v>
      </c>
      <c r="AB52" s="67">
        <f t="shared" si="127"/>
        <v>0.96776742542413308</v>
      </c>
      <c r="AC52" s="67">
        <f t="shared" si="128"/>
        <v>7.4971476574003884</v>
      </c>
      <c r="AD52" s="67">
        <f t="shared" si="129"/>
        <v>380.66810750051093</v>
      </c>
      <c r="AE52" s="67">
        <f t="shared" si="130"/>
        <v>0.89260149444413139</v>
      </c>
      <c r="AF52" s="63"/>
      <c r="AG52" s="47">
        <f t="shared" ref="AG52" si="134">AG38+AG41+AG44+AG47+AG50</f>
        <v>13408675</v>
      </c>
      <c r="AH52" s="47">
        <f t="shared" si="132"/>
        <v>9237323</v>
      </c>
      <c r="AI52" s="47">
        <f t="shared" si="132"/>
        <v>2410085</v>
      </c>
      <c r="AJ52" s="47">
        <f t="shared" si="132"/>
        <v>1324261</v>
      </c>
      <c r="AK52" s="81">
        <f>AK38+AK41+AK44+AK47+AK50</f>
        <v>8638971</v>
      </c>
      <c r="AM52" s="122"/>
    </row>
    <row r="53" spans="3:39" s="123" customFormat="1" ht="12" thickTop="1">
      <c r="T53" s="131"/>
      <c r="U53" s="131"/>
      <c r="V53" s="131"/>
      <c r="W53" s="131"/>
      <c r="X53" s="131"/>
      <c r="Y53" s="131"/>
      <c r="AM53" s="122"/>
    </row>
    <row r="54" spans="3:39" s="123" customFormat="1" ht="11.25">
      <c r="U54" s="131"/>
      <c r="V54" s="131"/>
      <c r="W54" s="131"/>
      <c r="X54" s="131"/>
      <c r="Y54" s="131"/>
      <c r="Z54" s="131"/>
      <c r="AM54" s="122"/>
    </row>
    <row r="55" spans="3:39" ht="15">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S9:AE9"/>
    <mergeCell ref="F9:R9"/>
    <mergeCell ref="AF9:AK9"/>
    <mergeCell ref="S10:AE10"/>
    <mergeCell ref="F10:R10"/>
    <mergeCell ref="F33:R33"/>
    <mergeCell ref="S33:AE33"/>
    <mergeCell ref="AF33:AK33"/>
  </mergeCells>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B1748-C0EB-4C9E-B4DA-6E5563102FBF}">
  <dimension ref="A1:XFC66"/>
  <sheetViews>
    <sheetView showGridLines="0" topLeftCell="A30" zoomScale="85" zoomScaleNormal="85" workbookViewId="0">
      <selection activeCell="A37" sqref="A37"/>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4.57031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5.7109375" bestFit="1" customWidth="1"/>
    <col min="35" max="16382" width="8.85546875" hidden="1"/>
    <col min="16383" max="16383" width="5" bestFit="1" customWidth="1"/>
    <col min="16384" max="16384" width="5.85546875" customWidth="1"/>
  </cols>
  <sheetData>
    <row r="1" spans="1:34 16383:16383"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16383:16383"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16383:16383"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45657</v>
      </c>
      <c r="AG3" s="25"/>
      <c r="AH3" s="9"/>
    </row>
    <row r="4" spans="1:34 16383:16383" ht="15.75">
      <c r="A4" s="9"/>
      <c r="B4" s="11" t="s">
        <v>7</v>
      </c>
      <c r="C4" s="26"/>
      <c r="D4" s="151" t="s">
        <v>31</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16383:16383"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16383:16383"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16383:16383"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16383:16383"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16383:16383" s="123" customFormat="1" ht="15" customHeight="1">
      <c r="A9" s="122"/>
      <c r="C9" s="27" t="s">
        <v>7</v>
      </c>
      <c r="D9" s="28"/>
      <c r="E9" s="28"/>
      <c r="F9" s="167" t="str">
        <f>D4</f>
        <v>December</v>
      </c>
      <c r="G9" s="167"/>
      <c r="H9" s="167"/>
      <c r="I9" s="167"/>
      <c r="J9" s="167"/>
      <c r="K9" s="167"/>
      <c r="L9" s="167"/>
      <c r="M9" s="167"/>
      <c r="N9" s="167"/>
      <c r="O9" s="167"/>
      <c r="P9" s="168"/>
      <c r="Q9" s="169" t="str">
        <f>"January to "&amp; D4</f>
        <v>January to December</v>
      </c>
      <c r="R9" s="170"/>
      <c r="S9" s="170"/>
      <c r="T9" s="170"/>
      <c r="U9" s="170"/>
      <c r="V9" s="170"/>
      <c r="W9" s="170"/>
      <c r="X9" s="170"/>
      <c r="Y9" s="170"/>
      <c r="Z9" s="170"/>
      <c r="AA9" s="171"/>
      <c r="AB9" s="169" t="s">
        <v>57</v>
      </c>
      <c r="AC9" s="170"/>
      <c r="AD9" s="170"/>
      <c r="AE9" s="170"/>
      <c r="AF9" s="172"/>
      <c r="AG9" s="122"/>
      <c r="AH9" s="122"/>
    </row>
    <row r="10" spans="1:34 16383:16383"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16383:16383"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16383:16383"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16383:16383" s="123" customFormat="1" ht="12.75">
      <c r="A13" s="122"/>
      <c r="B13" s="127"/>
      <c r="C13" s="33"/>
      <c r="D13" s="26" t="s">
        <v>5</v>
      </c>
      <c r="E13" s="32"/>
      <c r="F13" s="71">
        <v>390</v>
      </c>
      <c r="G13" s="71">
        <v>229</v>
      </c>
      <c r="H13" s="71">
        <v>191</v>
      </c>
      <c r="I13" s="71">
        <v>172</v>
      </c>
      <c r="J13" s="71">
        <v>0</v>
      </c>
      <c r="K13" s="71">
        <v>200</v>
      </c>
      <c r="L13" s="64">
        <f>IFERROR(F13/G13-1,"n/a")</f>
        <v>0.70305676855895194</v>
      </c>
      <c r="M13" s="64">
        <f>IFERROR(F13/H13-1,"n/a")</f>
        <v>1.0418848167539267</v>
      </c>
      <c r="N13" s="64">
        <f>IFERROR(F13/I13-1,"n/a")</f>
        <v>1.2674418604651163</v>
      </c>
      <c r="O13" s="64" t="str">
        <f>IFERROR(F13/J13-1,"n/a")</f>
        <v>n/a</v>
      </c>
      <c r="P13" s="60">
        <f>IFERROR(F13/K13-1,"n/a")</f>
        <v>0.95</v>
      </c>
      <c r="Q13" s="68">
        <f>'Nov-24'!Q13+F13</f>
        <v>2483</v>
      </c>
      <c r="R13" s="68">
        <f>'Nov-24'!R13+G13</f>
        <v>1630</v>
      </c>
      <c r="S13" s="68">
        <f>'Nov-24'!S13+H13</f>
        <v>1486</v>
      </c>
      <c r="T13" s="68">
        <f>'Nov-24'!T13+I13+7</f>
        <v>522</v>
      </c>
      <c r="U13" s="68">
        <f>'Nov-24'!U13+J13</f>
        <v>551</v>
      </c>
      <c r="V13" s="68">
        <f>'Nov-24'!V13+K13+7</f>
        <v>1591</v>
      </c>
      <c r="W13" s="64">
        <f>IFERROR(Q13/R13-1,"n/a")</f>
        <v>0.52331288343558291</v>
      </c>
      <c r="X13" s="64">
        <f>IFERROR(Q13/S13-1,"n/a")</f>
        <v>0.6709286675639301</v>
      </c>
      <c r="Y13" s="64">
        <f>IFERROR(Q13/T13-1,"n/a")</f>
        <v>3.7567049808429118</v>
      </c>
      <c r="Z13" s="64">
        <f>IFERROR(Q13/U13-1,"n/a")</f>
        <v>3.5063520871143377</v>
      </c>
      <c r="AA13" s="60">
        <f>IFERROR(Q13/V13-1,"n/a")</f>
        <v>0.56065367693274659</v>
      </c>
      <c r="AB13" s="68">
        <v>1630</v>
      </c>
      <c r="AC13" s="68">
        <v>1486</v>
      </c>
      <c r="AD13" s="68">
        <f>522</f>
        <v>522</v>
      </c>
      <c r="AE13" s="68">
        <v>551</v>
      </c>
      <c r="AF13" s="134">
        <f>1591</f>
        <v>1591</v>
      </c>
      <c r="AG13" s="128"/>
      <c r="AH13" s="128"/>
      <c r="XFC13" s="131"/>
    </row>
    <row r="14" spans="1:34 16383:16383" s="123" customFormat="1" ht="12.75">
      <c r="A14" s="122"/>
      <c r="B14" s="127"/>
      <c r="C14" s="33"/>
      <c r="D14" s="26" t="s">
        <v>11</v>
      </c>
      <c r="E14" s="32"/>
      <c r="F14" s="71">
        <v>1045081</v>
      </c>
      <c r="G14" s="71">
        <v>666281</v>
      </c>
      <c r="H14" s="71">
        <v>518319</v>
      </c>
      <c r="I14" s="71">
        <v>253217</v>
      </c>
      <c r="J14" s="71">
        <v>0</v>
      </c>
      <c r="K14" s="71">
        <v>506611</v>
      </c>
      <c r="L14" s="64">
        <f>IFERROR(F14/G14-1,"n/a")</f>
        <v>0.56852889396515893</v>
      </c>
      <c r="M14" s="64">
        <f>IFERROR(F14/H14-1,"n/a")</f>
        <v>1.0162891964215088</v>
      </c>
      <c r="N14" s="64">
        <f>IFERROR(F14/I14-1,"n/a")</f>
        <v>3.1272149974132857</v>
      </c>
      <c r="O14" s="64" t="str">
        <f>IFERROR(F14/J14-1,"n/a")</f>
        <v>n/a</v>
      </c>
      <c r="P14" s="60">
        <f>IFERROR(F14/K14-1,"n/a")</f>
        <v>1.062886514505212</v>
      </c>
      <c r="Q14" s="68">
        <f>'Nov-24'!Q14+F14</f>
        <v>8019489</v>
      </c>
      <c r="R14" s="68">
        <f>'Nov-24'!R14+G14</f>
        <v>5232537</v>
      </c>
      <c r="S14" s="68">
        <f>'Nov-24'!S14+H14</f>
        <v>3592413</v>
      </c>
      <c r="T14" s="68">
        <f>'Nov-24'!T14+I14+5111</f>
        <v>768312</v>
      </c>
      <c r="U14" s="68">
        <f>'Nov-24'!U14+J14</f>
        <v>1092884</v>
      </c>
      <c r="V14" s="68">
        <f>'Nov-24'!V14+K14+21403</f>
        <v>4592479</v>
      </c>
      <c r="W14" s="64">
        <f>IFERROR(Q14/R14-1,"n/a")</f>
        <v>0.53261964511669957</v>
      </c>
      <c r="X14" s="64">
        <f>IFERROR(Q14/S14-1,"n/a")</f>
        <v>1.232340490917943</v>
      </c>
      <c r="Y14" s="64">
        <f>IFERROR(Q14/T14-1,"n/a")</f>
        <v>9.4378026114391034</v>
      </c>
      <c r="Z14" s="64">
        <f>IFERROR(Q14/U14-1,"n/a")</f>
        <v>6.337914179363958</v>
      </c>
      <c r="AA14" s="60">
        <f>IFERROR(Q14/V14-1,"n/a")</f>
        <v>0.74622224728735831</v>
      </c>
      <c r="AB14" s="68">
        <v>5232537</v>
      </c>
      <c r="AC14" s="68">
        <v>3592413</v>
      </c>
      <c r="AD14" s="68">
        <f>768312</f>
        <v>768312</v>
      </c>
      <c r="AE14" s="68">
        <v>1092884</v>
      </c>
      <c r="AF14" s="134">
        <f>4592479</f>
        <v>4592479</v>
      </c>
      <c r="AG14" s="128"/>
      <c r="AH14" s="128"/>
      <c r="XFC14" s="128"/>
    </row>
    <row r="15" spans="1:34 16383:16383"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16383:16383" s="123" customFormat="1" ht="12.75">
      <c r="A16" s="122"/>
      <c r="B16" s="127"/>
      <c r="C16" s="33"/>
      <c r="D16" s="26" t="s">
        <v>5</v>
      </c>
      <c r="E16" s="32"/>
      <c r="F16" s="71">
        <v>17</v>
      </c>
      <c r="G16" s="71">
        <v>12</v>
      </c>
      <c r="H16" s="71">
        <v>6</v>
      </c>
      <c r="I16" s="71">
        <v>7</v>
      </c>
      <c r="J16" s="71">
        <v>6</v>
      </c>
      <c r="K16" s="71">
        <v>47</v>
      </c>
      <c r="L16" s="64">
        <f>IFERROR(F16/G16-1,"n/a")</f>
        <v>0.41666666666666674</v>
      </c>
      <c r="M16" s="64">
        <f>IFERROR(F16/H16-1,"n/a")</f>
        <v>1.8333333333333335</v>
      </c>
      <c r="N16" s="64">
        <f>IFERROR(F16/I16-1,"n/a")</f>
        <v>1.4285714285714284</v>
      </c>
      <c r="O16" s="64">
        <f>IFERROR(F16/J16-1,"n/a")</f>
        <v>1.8333333333333335</v>
      </c>
      <c r="P16" s="60">
        <f>IFERROR(F16/K16-1,"n/a")</f>
        <v>-0.63829787234042556</v>
      </c>
      <c r="Q16" s="68">
        <f>'Nov-24'!Q16+F16</f>
        <v>797</v>
      </c>
      <c r="R16" s="68">
        <f>'Nov-24'!R16+G16+1</f>
        <v>575</v>
      </c>
      <c r="S16" s="68">
        <f>'Nov-24'!S16+H16</f>
        <v>573</v>
      </c>
      <c r="T16" s="68">
        <f>'Nov-24'!T16+I16-2</f>
        <v>202</v>
      </c>
      <c r="U16" s="68">
        <f>'Nov-24'!U16+J16</f>
        <v>54</v>
      </c>
      <c r="V16" s="68">
        <f>'Nov-24'!V16+K16-7</f>
        <v>586</v>
      </c>
      <c r="W16" s="64">
        <f>IFERROR(Q16/R16-1,"n/a")</f>
        <v>0.38608695652173908</v>
      </c>
      <c r="X16" s="64">
        <f>IFERROR(Q16/S16-1,"n/a")</f>
        <v>0.39092495636998259</v>
      </c>
      <c r="Y16" s="64">
        <f>IFERROR(Q16/T16-1,"n/a")</f>
        <v>2.9455445544554455</v>
      </c>
      <c r="Z16" s="64">
        <f>IFERROR(Q16/U16-1,"n/a")</f>
        <v>13.75925925925926</v>
      </c>
      <c r="AA16" s="60">
        <f>IFERROR(Q16/V16-1,"n/a")</f>
        <v>0.36006825938566545</v>
      </c>
      <c r="AB16" s="68">
        <f>575</f>
        <v>575</v>
      </c>
      <c r="AC16" s="68">
        <v>572</v>
      </c>
      <c r="AD16" s="68">
        <f>202</f>
        <v>202</v>
      </c>
      <c r="AE16" s="68">
        <v>54</v>
      </c>
      <c r="AF16" s="134">
        <f>586</f>
        <v>586</v>
      </c>
      <c r="AG16" s="128"/>
      <c r="AH16" s="128"/>
      <c r="XFC16" s="131"/>
    </row>
    <row r="17" spans="1:34 16383:16383" s="123" customFormat="1" ht="12.75">
      <c r="A17" s="122"/>
      <c r="B17" s="127"/>
      <c r="C17" s="33"/>
      <c r="D17" s="26" t="s">
        <v>11</v>
      </c>
      <c r="E17" s="32"/>
      <c r="F17" s="71">
        <v>37402</v>
      </c>
      <c r="G17" s="71">
        <v>30889</v>
      </c>
      <c r="H17" s="71">
        <v>22360</v>
      </c>
      <c r="I17" s="71">
        <v>13748</v>
      </c>
      <c r="J17" s="71">
        <v>2141</v>
      </c>
      <c r="K17" s="71">
        <v>55736</v>
      </c>
      <c r="L17" s="64">
        <f>IFERROR(F17/G17-1,"n/a")</f>
        <v>0.21085175952604485</v>
      </c>
      <c r="M17" s="64">
        <f>IFERROR(F17/H17-1,"n/a")</f>
        <v>0.67271914132379251</v>
      </c>
      <c r="N17" s="64">
        <f>IFERROR(F17/I17-1,"n/a")</f>
        <v>1.7205411696246729</v>
      </c>
      <c r="O17" s="64">
        <f>IFERROR(F17/J17-1,"n/a")</f>
        <v>16.469406819243343</v>
      </c>
      <c r="P17" s="60">
        <f>IFERROR(F17/K17-1,"n/a")</f>
        <v>-0.32894359121573136</v>
      </c>
      <c r="Q17" s="68">
        <f>'Nov-24'!Q17+F17</f>
        <v>2060976</v>
      </c>
      <c r="R17" s="68">
        <f>'Nov-24'!R17+G17-2128</f>
        <v>1660685</v>
      </c>
      <c r="S17" s="68">
        <f>'Nov-24'!S17+H17</f>
        <v>969900</v>
      </c>
      <c r="T17" s="68">
        <f>'Nov-24'!T17+I17-1014</f>
        <v>301521</v>
      </c>
      <c r="U17" s="68">
        <f>'Nov-24'!U17+J17</f>
        <v>70675</v>
      </c>
      <c r="V17" s="68">
        <f>'Nov-24'!V17+K17+2399</f>
        <v>1400932</v>
      </c>
      <c r="W17" s="64">
        <f>IFERROR(Q17/R17-1,"n/a")</f>
        <v>0.24103969145262338</v>
      </c>
      <c r="X17" s="64">
        <f>IFERROR(Q17/S17-1,"n/a")</f>
        <v>1.1249365914011755</v>
      </c>
      <c r="Y17" s="64">
        <f>IFERROR(Q17/T17-1,"n/a")</f>
        <v>5.8352652054085787</v>
      </c>
      <c r="Z17" s="64">
        <f>IFERROR(Q17/U17-1,"n/a")</f>
        <v>28.16131588256102</v>
      </c>
      <c r="AA17" s="60">
        <f>IFERROR(Q17/V17-1,"n/a")</f>
        <v>0.47114635114338177</v>
      </c>
      <c r="AB17" s="68">
        <f>1660685</f>
        <v>1660685</v>
      </c>
      <c r="AC17" s="68">
        <v>965963</v>
      </c>
      <c r="AD17" s="68">
        <f>301521</f>
        <v>301521</v>
      </c>
      <c r="AE17" s="68">
        <v>70675</v>
      </c>
      <c r="AF17" s="134">
        <f>1400932</f>
        <v>1400932</v>
      </c>
      <c r="AG17" s="128"/>
      <c r="AH17" s="128"/>
      <c r="XFC17" s="131"/>
    </row>
    <row r="18" spans="1:34 16383:16383"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16383:16383" s="123" customFormat="1" ht="12.75">
      <c r="A19" s="122"/>
      <c r="B19" s="127"/>
      <c r="C19" s="33"/>
      <c r="D19" s="26" t="s">
        <v>5</v>
      </c>
      <c r="E19" s="32"/>
      <c r="F19" s="71">
        <v>6</v>
      </c>
      <c r="G19" s="71">
        <v>8</v>
      </c>
      <c r="H19" s="71">
        <v>9</v>
      </c>
      <c r="I19" s="71">
        <v>3</v>
      </c>
      <c r="J19" s="71">
        <v>0</v>
      </c>
      <c r="K19" s="71">
        <v>10</v>
      </c>
      <c r="L19" s="64">
        <f>IFERROR(F19/G19-1,"n/a")</f>
        <v>-0.25</v>
      </c>
      <c r="M19" s="64">
        <f>IFERROR(F19/H19-1,"n/a")</f>
        <v>-0.33333333333333337</v>
      </c>
      <c r="N19" s="64">
        <f>IFERROR(F19/I19-1,"n/a")</f>
        <v>1</v>
      </c>
      <c r="O19" s="64" t="str">
        <f>IFERROR(F19/J19-1,"n/a")</f>
        <v>n/a</v>
      </c>
      <c r="P19" s="60">
        <f>IFERROR(F19/K19-1,"n/a")</f>
        <v>-0.4</v>
      </c>
      <c r="Q19" s="68">
        <f>'Nov-24'!Q19+F19</f>
        <v>733</v>
      </c>
      <c r="R19" s="68">
        <f>'Nov-24'!R19+G19</f>
        <v>708</v>
      </c>
      <c r="S19" s="68">
        <f>'Nov-24'!S19+H19</f>
        <v>658</v>
      </c>
      <c r="T19" s="68">
        <f>'Nov-24'!T19+I19</f>
        <v>47</v>
      </c>
      <c r="U19" s="68">
        <f>'Nov-24'!U19+J19-1</f>
        <v>9</v>
      </c>
      <c r="V19" s="68">
        <f>'Nov-24'!V19+K19</f>
        <v>290</v>
      </c>
      <c r="W19" s="64">
        <f>IFERROR(Q19/R19-1,"n/a")</f>
        <v>3.5310734463276816E-2</v>
      </c>
      <c r="X19" s="64">
        <f>IFERROR(Q19/S19-1,"n/a")</f>
        <v>0.11398176291793316</v>
      </c>
      <c r="Y19" s="64">
        <f>IFERROR(Q19/T19-1,"n/a")</f>
        <v>14.595744680851064</v>
      </c>
      <c r="Z19" s="64">
        <f>IFERROR(Q19/U19-1,"n/a")</f>
        <v>80.444444444444443</v>
      </c>
      <c r="AA19" s="60">
        <f>IFERROR(Q19/V19-1,"n/a")</f>
        <v>1.5275862068965518</v>
      </c>
      <c r="AB19" s="68">
        <v>708</v>
      </c>
      <c r="AC19" s="68">
        <v>658</v>
      </c>
      <c r="AD19" s="68">
        <v>47</v>
      </c>
      <c r="AE19" s="68">
        <f>9</f>
        <v>9</v>
      </c>
      <c r="AF19" s="134">
        <v>290</v>
      </c>
      <c r="AG19" s="128"/>
      <c r="AH19" s="128"/>
      <c r="XFC19" s="131"/>
    </row>
    <row r="20" spans="1:34 16383:16383" s="123" customFormat="1" ht="12.75">
      <c r="A20" s="122"/>
      <c r="B20" s="127"/>
      <c r="C20" s="33"/>
      <c r="D20" s="26" t="s">
        <v>11</v>
      </c>
      <c r="E20" s="32"/>
      <c r="F20" s="71">
        <v>8208</v>
      </c>
      <c r="G20" s="71">
        <v>7403</v>
      </c>
      <c r="H20" s="71">
        <v>6763</v>
      </c>
      <c r="I20" s="71">
        <v>864</v>
      </c>
      <c r="J20" s="71">
        <v>0</v>
      </c>
      <c r="K20" s="71">
        <v>10787</v>
      </c>
      <c r="L20" s="64">
        <f>IFERROR(F20/G20-1,"n/a")</f>
        <v>0.10873970012157241</v>
      </c>
      <c r="M20" s="64">
        <f>IFERROR(F20/H20-1,"n/a")</f>
        <v>0.21366257577997927</v>
      </c>
      <c r="N20" s="64">
        <f>IFERROR(F20/I20-1,"n/a")</f>
        <v>8.5</v>
      </c>
      <c r="O20" s="64" t="str">
        <f>IFERROR(F20/J20-1,"n/a")</f>
        <v>n/a</v>
      </c>
      <c r="P20" s="60">
        <f>IFERROR(F20/K20-1,"n/a")</f>
        <v>-0.23908408269212944</v>
      </c>
      <c r="Q20" s="68">
        <f>'Nov-24'!Q20+F20</f>
        <v>1496271.4</v>
      </c>
      <c r="R20" s="68">
        <f>'Nov-24'!R20+G20</f>
        <v>1277526</v>
      </c>
      <c r="S20" s="68">
        <f>'Nov-24'!S20+H20</f>
        <v>887495</v>
      </c>
      <c r="T20" s="68">
        <f>'Nov-24'!T20+I20</f>
        <v>17541</v>
      </c>
      <c r="U20" s="68">
        <f>'Nov-24'!U20+J20</f>
        <v>10047</v>
      </c>
      <c r="V20" s="68">
        <f>'Nov-24'!V20+K20</f>
        <v>585930</v>
      </c>
      <c r="W20" s="64">
        <f>IFERROR(Q20/R20-1,"n/a")</f>
        <v>0.17122579109935909</v>
      </c>
      <c r="X20" s="64">
        <f>IFERROR(Q20/S20-1,"n/a")</f>
        <v>0.68594910393861364</v>
      </c>
      <c r="Y20" s="64">
        <f>IFERROR(Q20/T20-1,"n/a")</f>
        <v>84.301373923949598</v>
      </c>
      <c r="Z20" s="64">
        <f>IFERROR(Q20/U20-1,"n/a")</f>
        <v>147.92718224345575</v>
      </c>
      <c r="AA20" s="60">
        <f>IFERROR(Q20/V20-1,"n/a")</f>
        <v>1.5536692096325497</v>
      </c>
      <c r="AB20" s="68">
        <v>1277526</v>
      </c>
      <c r="AC20" s="68">
        <v>887495</v>
      </c>
      <c r="AD20" s="68">
        <v>17541</v>
      </c>
      <c r="AE20" s="68">
        <v>10046.999999999998</v>
      </c>
      <c r="AF20" s="134">
        <v>585930</v>
      </c>
      <c r="AG20" s="128"/>
      <c r="AH20" s="128"/>
      <c r="XFC20" s="131"/>
    </row>
    <row r="21" spans="1:34 16383:16383"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16383:16383" s="123" customFormat="1" ht="12.75">
      <c r="A22" s="122"/>
      <c r="B22" s="127"/>
      <c r="C22" s="33"/>
      <c r="D22" s="26" t="s">
        <v>5</v>
      </c>
      <c r="E22" s="34"/>
      <c r="F22" s="71">
        <v>177</v>
      </c>
      <c r="G22" s="71">
        <v>128</v>
      </c>
      <c r="H22" s="71">
        <v>67</v>
      </c>
      <c r="I22" s="71">
        <v>25</v>
      </c>
      <c r="J22" s="71">
        <v>0</v>
      </c>
      <c r="K22" s="71">
        <v>20</v>
      </c>
      <c r="L22" s="64">
        <f>IFERROR(F22/G22-1,"n/a")</f>
        <v>0.3828125</v>
      </c>
      <c r="M22" s="64">
        <f>IFERROR(F22/H22-1,"n/a")</f>
        <v>1.6417910447761193</v>
      </c>
      <c r="N22" s="64">
        <f>IFERROR(F22/I22-1,"n/a")</f>
        <v>6.08</v>
      </c>
      <c r="O22" s="64" t="str">
        <f>IFERROR(F22/J22-1,"n/a")</f>
        <v>n/a</v>
      </c>
      <c r="P22" s="60">
        <f>IFERROR(F22/K22-1,"n/a")</f>
        <v>7.85</v>
      </c>
      <c r="Q22" s="68">
        <f>'Nov-24'!Q22+F22</f>
        <v>1651</v>
      </c>
      <c r="R22" s="68">
        <f>'Nov-24'!R22+G22+1</f>
        <v>1500</v>
      </c>
      <c r="S22" s="68">
        <f>'Nov-24'!S22+H22</f>
        <v>894</v>
      </c>
      <c r="T22" s="68">
        <f>'Nov-24'!T22+I22</f>
        <v>283</v>
      </c>
      <c r="U22" s="68">
        <f>'Nov-24'!U22+J22</f>
        <v>43</v>
      </c>
      <c r="V22" s="68">
        <f>'Nov-24'!V22+K22</f>
        <v>827</v>
      </c>
      <c r="W22" s="64">
        <f>IFERROR(Q22/R22-1,"n/a")</f>
        <v>0.10066666666666668</v>
      </c>
      <c r="X22" s="64">
        <f>IFERROR(Q22/S22-1,"n/a")</f>
        <v>0.84675615212527955</v>
      </c>
      <c r="Y22" s="64">
        <f>IFERROR(Q22/T22-1,"n/a")</f>
        <v>4.8339222614840986</v>
      </c>
      <c r="Z22" s="64">
        <f>IFERROR(Q22/U22-1,"n/a")</f>
        <v>37.395348837209305</v>
      </c>
      <c r="AA22" s="60">
        <f>IFERROR(Q22/V22-1,"n/a")</f>
        <v>0.99637243047158397</v>
      </c>
      <c r="AB22" s="68">
        <f>1500</f>
        <v>1500</v>
      </c>
      <c r="AC22" s="68">
        <v>895</v>
      </c>
      <c r="AD22" s="68">
        <v>283</v>
      </c>
      <c r="AE22" s="68">
        <v>43</v>
      </c>
      <c r="AF22" s="134">
        <v>827</v>
      </c>
      <c r="AG22" s="128"/>
      <c r="AH22" s="128"/>
      <c r="XFC22" s="131"/>
    </row>
    <row r="23" spans="1:34 16383:16383" s="123" customFormat="1" ht="12.75">
      <c r="A23" s="122"/>
      <c r="B23" s="127"/>
      <c r="C23" s="33"/>
      <c r="D23" s="26" t="s">
        <v>11</v>
      </c>
      <c r="E23" s="32"/>
      <c r="F23" s="71">
        <v>483121</v>
      </c>
      <c r="G23" s="71">
        <v>383396</v>
      </c>
      <c r="H23" s="71">
        <v>215490</v>
      </c>
      <c r="I23" s="71">
        <v>39214</v>
      </c>
      <c r="J23" s="71">
        <v>0</v>
      </c>
      <c r="K23" s="71">
        <v>58943</v>
      </c>
      <c r="L23" s="64">
        <f>IFERROR(F23/G23-1,"n/a")</f>
        <v>0.26010965163955801</v>
      </c>
      <c r="M23" s="64">
        <f>IFERROR(F23/H23-1,"n/a")</f>
        <v>1.2419648243537984</v>
      </c>
      <c r="N23" s="64">
        <f>IFERROR(F23/I23-1,"n/a")</f>
        <v>11.320115264956392</v>
      </c>
      <c r="O23" s="64" t="str">
        <f>IFERROR(F23/J23-1,"n/a")</f>
        <v>n/a</v>
      </c>
      <c r="P23" s="60">
        <f>IFERROR(F23/K23-1,"n/a")</f>
        <v>7.1964100911049655</v>
      </c>
      <c r="Q23" s="68">
        <f>'Nov-24'!Q23+F23</f>
        <v>5046474</v>
      </c>
      <c r="R23" s="68">
        <f>'Nov-24'!R23+G23-8959</f>
        <v>4449177</v>
      </c>
      <c r="S23" s="68">
        <f>'Nov-24'!S23+H23</f>
        <v>2161224</v>
      </c>
      <c r="T23" s="68">
        <f>'Nov-24'!T23+I23</f>
        <v>465109</v>
      </c>
      <c r="U23" s="68">
        <f>'Nov-24'!U23+J23</f>
        <v>140552</v>
      </c>
      <c r="V23" s="68">
        <f>'Nov-24'!V23+K23</f>
        <v>2552942</v>
      </c>
      <c r="W23" s="64">
        <f>IFERROR(Q23/R23-1,"n/a")</f>
        <v>0.1342488734433358</v>
      </c>
      <c r="X23" s="64">
        <f>IFERROR(Q23/S23-1,"n/a")</f>
        <v>1.3350073847042232</v>
      </c>
      <c r="Y23" s="64">
        <f>IFERROR(Q23/T23-1,"n/a")</f>
        <v>9.8500889038913453</v>
      </c>
      <c r="Z23" s="64">
        <f>IFERROR(Q23/U23-1,"n/a")</f>
        <v>34.904675849507655</v>
      </c>
      <c r="AA23" s="60">
        <f>IFERROR(Q23/V23-1,"n/a")</f>
        <v>0.9767288093501536</v>
      </c>
      <c r="AB23" s="68">
        <f>4449177</f>
        <v>4449177</v>
      </c>
      <c r="AC23" s="68">
        <v>2165161</v>
      </c>
      <c r="AD23" s="68">
        <v>465109</v>
      </c>
      <c r="AE23" s="68">
        <v>140552</v>
      </c>
      <c r="AF23" s="134">
        <v>2552942</v>
      </c>
      <c r="AG23" s="128"/>
      <c r="AH23" s="128"/>
      <c r="XFC23" s="131"/>
    </row>
    <row r="24" spans="1:34 16383:16383"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16383:16383" s="123" customFormat="1" ht="12.75">
      <c r="B25" s="127"/>
      <c r="C25" s="33"/>
      <c r="D25" s="26" t="s">
        <v>5</v>
      </c>
      <c r="E25" s="32"/>
      <c r="F25" s="71">
        <v>0</v>
      </c>
      <c r="G25" s="71">
        <v>0</v>
      </c>
      <c r="H25" s="71">
        <v>0</v>
      </c>
      <c r="I25" s="71">
        <v>0</v>
      </c>
      <c r="J25" s="71">
        <v>0</v>
      </c>
      <c r="K25" s="71">
        <v>0</v>
      </c>
      <c r="L25" s="64" t="str">
        <f>IFERROR(F25/G25-1,"n/a")</f>
        <v>n/a</v>
      </c>
      <c r="M25" s="64" t="str">
        <f>IFERROR(F25/H25-1,"n/a")</f>
        <v>n/a</v>
      </c>
      <c r="N25" s="64" t="str">
        <f>IFERROR(F25/I25-1,"n/a")</f>
        <v>n/a</v>
      </c>
      <c r="O25" s="64" t="str">
        <f>IFERROR(F25/J25-1,"n/a")</f>
        <v>n/a</v>
      </c>
      <c r="P25" s="60" t="str">
        <f>IFERROR(F25/K25-1,"n/a")</f>
        <v>n/a</v>
      </c>
      <c r="Q25" s="68">
        <f>'Nov-24'!Q25+F25</f>
        <v>14</v>
      </c>
      <c r="R25" s="68">
        <f>'Nov-24'!R25+G25</f>
        <v>21</v>
      </c>
      <c r="S25" s="68">
        <f>'Nov-24'!S25+H25</f>
        <v>9</v>
      </c>
      <c r="T25" s="68">
        <f>'Nov-24'!T25+I25</f>
        <v>0</v>
      </c>
      <c r="U25" s="68">
        <f>'Nov-24'!U25+J25</f>
        <v>0</v>
      </c>
      <c r="V25" s="68">
        <f>'Nov-24'!V25+K25</f>
        <v>16</v>
      </c>
      <c r="W25" s="64">
        <f>IFERROR(Q25/R25-1,"n/a")</f>
        <v>-0.33333333333333337</v>
      </c>
      <c r="X25" s="64">
        <f>IFERROR(Q25/S25-1,"n/a")</f>
        <v>0.55555555555555558</v>
      </c>
      <c r="Y25" s="64" t="str">
        <f>IFERROR(Q25/T25-1,"n/a")</f>
        <v>n/a</v>
      </c>
      <c r="Z25" s="64" t="str">
        <f>IFERROR(Q25/U25-1,"n/a")</f>
        <v>n/a</v>
      </c>
      <c r="AA25" s="60">
        <f>IFERROR(Q25/V25-1,"n/a")</f>
        <v>-0.125</v>
      </c>
      <c r="AB25" s="68">
        <v>21</v>
      </c>
      <c r="AC25" s="68">
        <v>9</v>
      </c>
      <c r="AD25" s="68">
        <v>0</v>
      </c>
      <c r="AE25" s="68">
        <v>0</v>
      </c>
      <c r="AF25" s="134">
        <v>16</v>
      </c>
      <c r="AG25" s="128"/>
      <c r="AH25" s="128"/>
      <c r="XFC25" s="131"/>
    </row>
    <row r="26" spans="1:34 16383:16383" s="123" customFormat="1" ht="12.75">
      <c r="A26" s="122"/>
      <c r="B26" s="127"/>
      <c r="C26" s="33"/>
      <c r="D26" s="26" t="s">
        <v>11</v>
      </c>
      <c r="E26" s="32"/>
      <c r="F26" s="71">
        <v>0</v>
      </c>
      <c r="G26" s="71">
        <v>0</v>
      </c>
      <c r="H26" s="71">
        <v>0</v>
      </c>
      <c r="I26" s="71">
        <v>0</v>
      </c>
      <c r="J26" s="71">
        <v>0</v>
      </c>
      <c r="K26" s="71">
        <v>0</v>
      </c>
      <c r="L26" s="64" t="str">
        <f>IFERROR(F26/G26-1,"n/a")</f>
        <v>n/a</v>
      </c>
      <c r="M26" s="64" t="str">
        <f>IFERROR(F26/H26-1,"n/a")</f>
        <v>n/a</v>
      </c>
      <c r="N26" s="64" t="str">
        <f>IFERROR(F26/I26-1,"n/a")</f>
        <v>n/a</v>
      </c>
      <c r="O26" s="64" t="str">
        <f>IFERROR(F26/J26-1,"n/a")</f>
        <v>n/a</v>
      </c>
      <c r="P26" s="60" t="str">
        <f>IFERROR(F26/K26-1,"n/a")</f>
        <v>n/a</v>
      </c>
      <c r="Q26" s="68">
        <f>'Nov-24'!Q26+F26</f>
        <v>47798</v>
      </c>
      <c r="R26" s="68">
        <f>'Nov-24'!R26+G26</f>
        <v>38626</v>
      </c>
      <c r="S26" s="68">
        <f>'Nov-24'!S26+H26</f>
        <v>15637</v>
      </c>
      <c r="T26" s="68">
        <f>'Nov-24'!T26+I26</f>
        <v>0</v>
      </c>
      <c r="U26" s="68">
        <f>'Nov-24'!U26+J26</f>
        <v>0</v>
      </c>
      <c r="V26" s="68">
        <f>'Nov-24'!V26+K26</f>
        <v>20248</v>
      </c>
      <c r="W26" s="64">
        <f>IFERROR(Q26/R26-1,"n/a")</f>
        <v>0.23745663542691453</v>
      </c>
      <c r="X26" s="64">
        <f>IFERROR(Q26/S26-1,"n/a")</f>
        <v>2.0567244356334333</v>
      </c>
      <c r="Y26" s="64" t="str">
        <f>IFERROR(Q26/T26-1,"n/a")</f>
        <v>n/a</v>
      </c>
      <c r="Z26" s="64" t="str">
        <f>IFERROR(Q26/U26-1,"n/a")</f>
        <v>n/a</v>
      </c>
      <c r="AA26" s="60">
        <f>IFERROR(Q26/V26-1,"n/a")</f>
        <v>1.3606282101935996</v>
      </c>
      <c r="AB26" s="68">
        <v>38626</v>
      </c>
      <c r="AC26" s="68">
        <v>15637</v>
      </c>
      <c r="AD26" s="68">
        <v>0</v>
      </c>
      <c r="AE26" s="68">
        <v>0</v>
      </c>
      <c r="AF26" s="136">
        <v>20248</v>
      </c>
      <c r="AG26" s="128"/>
      <c r="AH26" s="128"/>
      <c r="XFC26" s="131"/>
    </row>
    <row r="27" spans="1:34 16383:16383" s="123" customFormat="1" ht="13.5" thickBot="1">
      <c r="A27" s="122"/>
      <c r="B27" s="127"/>
      <c r="C27" s="35" t="s">
        <v>12</v>
      </c>
      <c r="D27" s="36"/>
      <c r="E27" s="37"/>
      <c r="F27" s="75">
        <f t="shared" ref="F27:K28" si="0">F13+F16+F19+F22+F25</f>
        <v>590</v>
      </c>
      <c r="G27" s="75">
        <f t="shared" si="0"/>
        <v>377</v>
      </c>
      <c r="H27" s="75">
        <f t="shared" si="0"/>
        <v>273</v>
      </c>
      <c r="I27" s="75">
        <f t="shared" si="0"/>
        <v>207</v>
      </c>
      <c r="J27" s="75">
        <f t="shared" si="0"/>
        <v>6</v>
      </c>
      <c r="K27" s="75">
        <f t="shared" si="0"/>
        <v>277</v>
      </c>
      <c r="L27" s="66">
        <f>IFERROR(F27/G27-1,"n/a")</f>
        <v>0.5649867374005304</v>
      </c>
      <c r="M27" s="66">
        <f>IFERROR(F27/H27-1,"n/a")</f>
        <v>1.161172161172161</v>
      </c>
      <c r="N27" s="66">
        <f>IFERROR(F27/I27-1,"n/a")</f>
        <v>1.8502415458937196</v>
      </c>
      <c r="O27" s="66">
        <f>IFERROR(F27/J27-1,"n/a")</f>
        <v>97.333333333333329</v>
      </c>
      <c r="P27" s="62">
        <f>IFERROR(F27/K27-1,"n/a")</f>
        <v>1.1299638989169676</v>
      </c>
      <c r="Q27" s="75">
        <f t="shared" ref="Q27:V28" si="1">Q13+Q16+Q19+Q22+Q25</f>
        <v>5678</v>
      </c>
      <c r="R27" s="75">
        <f t="shared" si="1"/>
        <v>4434</v>
      </c>
      <c r="S27" s="75">
        <f t="shared" si="1"/>
        <v>3620</v>
      </c>
      <c r="T27" s="75">
        <f t="shared" si="1"/>
        <v>1054</v>
      </c>
      <c r="U27" s="75">
        <f t="shared" si="1"/>
        <v>657</v>
      </c>
      <c r="V27" s="75">
        <f t="shared" si="1"/>
        <v>3310</v>
      </c>
      <c r="W27" s="66">
        <f>IFERROR(Q27/R27-1,"n/a")</f>
        <v>0.28055931438881365</v>
      </c>
      <c r="X27" s="66">
        <f>IFERROR(Q27/S27-1,"n/a")</f>
        <v>0.56850828729281777</v>
      </c>
      <c r="Y27" s="66">
        <f>IFERROR(Q27/T27-1,"n/a")</f>
        <v>4.387096774193548</v>
      </c>
      <c r="Z27" s="66">
        <f>IFERROR(Q27/U27-1,"n/a")</f>
        <v>7.6423135464231358</v>
      </c>
      <c r="AA27" s="62">
        <f>IFERROR(Q27/V27-1,"n/a")</f>
        <v>0.71540785498489434</v>
      </c>
      <c r="AB27" s="75">
        <f>AB13+AB16+AB19+AB22+AB25</f>
        <v>4434</v>
      </c>
      <c r="AC27" s="75">
        <f>AC13+AC16+AC19+AC22+AC25</f>
        <v>3620</v>
      </c>
      <c r="AD27" s="46">
        <f t="shared" ref="AD27:AF28" si="2">AD13+AD16+AD19+AD22+AD25</f>
        <v>1054</v>
      </c>
      <c r="AE27" s="46">
        <f t="shared" si="2"/>
        <v>657</v>
      </c>
      <c r="AF27" s="80">
        <f t="shared" si="2"/>
        <v>3310</v>
      </c>
      <c r="AG27" s="122"/>
      <c r="AH27" s="122"/>
    </row>
    <row r="28" spans="1:34 16383:16383" s="123" customFormat="1" ht="14.25" thickTop="1" thickBot="1">
      <c r="A28" s="122"/>
      <c r="B28" s="127"/>
      <c r="C28" s="38" t="s">
        <v>13</v>
      </c>
      <c r="D28" s="39"/>
      <c r="E28" s="40"/>
      <c r="F28" s="76">
        <f t="shared" si="0"/>
        <v>1573812</v>
      </c>
      <c r="G28" s="76">
        <f t="shared" si="0"/>
        <v>1087969</v>
      </c>
      <c r="H28" s="76">
        <f t="shared" si="0"/>
        <v>762932</v>
      </c>
      <c r="I28" s="76">
        <f t="shared" si="0"/>
        <v>307043</v>
      </c>
      <c r="J28" s="76">
        <f t="shared" si="0"/>
        <v>2141</v>
      </c>
      <c r="K28" s="76">
        <f t="shared" si="0"/>
        <v>632077</v>
      </c>
      <c r="L28" s="67">
        <f>IFERROR(F28/G28-1,"n/a")</f>
        <v>0.44655959866503547</v>
      </c>
      <c r="M28" s="67">
        <f>IFERROR(F28/H28-1,"n/a")</f>
        <v>1.0628470165099904</v>
      </c>
      <c r="N28" s="67">
        <f>IFERROR(F28/I28-1,"n/a")</f>
        <v>4.125705520073736</v>
      </c>
      <c r="O28" s="67">
        <f>IFERROR(F28/J28-1,"n/a")</f>
        <v>734.08267164876224</v>
      </c>
      <c r="P28" s="63">
        <f>IFERROR(F28/K28-1,"n/a")</f>
        <v>1.4899055020195324</v>
      </c>
      <c r="Q28" s="76">
        <f t="shared" si="1"/>
        <v>16671008.4</v>
      </c>
      <c r="R28" s="76">
        <f t="shared" si="1"/>
        <v>12658551</v>
      </c>
      <c r="S28" s="76">
        <f t="shared" si="1"/>
        <v>7626669</v>
      </c>
      <c r="T28" s="76">
        <f t="shared" si="1"/>
        <v>1552483</v>
      </c>
      <c r="U28" s="76">
        <f t="shared" si="1"/>
        <v>1314158</v>
      </c>
      <c r="V28" s="76">
        <f t="shared" si="1"/>
        <v>9152531</v>
      </c>
      <c r="W28" s="67">
        <f>IFERROR(Q28/R28-1,"n/a")</f>
        <v>0.31697604251861056</v>
      </c>
      <c r="X28" s="67">
        <f>IFERROR(Q28/S28-1,"n/a")</f>
        <v>1.1858832997734661</v>
      </c>
      <c r="Y28" s="67">
        <f>IFERROR(Q28/T28-1,"n/a")</f>
        <v>9.7382872469456991</v>
      </c>
      <c r="Z28" s="67">
        <f>IFERROR(Q28/U28-1,"n/a")</f>
        <v>11.685695631727691</v>
      </c>
      <c r="AA28" s="63">
        <f>IFERROR(Q28/V28-1,"n/a")</f>
        <v>0.82146429222692618</v>
      </c>
      <c r="AB28" s="76">
        <f>AB14+AB17+AB20+AB23+AB26</f>
        <v>12658551</v>
      </c>
      <c r="AC28" s="76">
        <f>AC14+AC17+AC20+AC23+AC26</f>
        <v>7626669</v>
      </c>
      <c r="AD28" s="47">
        <f t="shared" si="2"/>
        <v>1552483</v>
      </c>
      <c r="AE28" s="47">
        <f t="shared" si="2"/>
        <v>1314158</v>
      </c>
      <c r="AF28" s="81">
        <f t="shared" si="2"/>
        <v>9152531</v>
      </c>
      <c r="AG28" s="122"/>
      <c r="AH28" s="122"/>
    </row>
    <row r="29" spans="1:34 16383:16383" s="123" customFormat="1" ht="12" thickTop="1">
      <c r="A29" s="122"/>
      <c r="B29" s="122"/>
      <c r="C29" s="122"/>
      <c r="D29" s="122"/>
      <c r="E29" s="122"/>
      <c r="F29" s="122"/>
      <c r="G29" s="128"/>
      <c r="H29" s="128"/>
      <c r="I29" s="128"/>
      <c r="J29" s="128"/>
      <c r="K29" s="128"/>
      <c r="L29" s="128"/>
      <c r="M29" s="128"/>
      <c r="N29" s="128"/>
      <c r="O29" s="128"/>
      <c r="P29" s="122"/>
      <c r="Q29" s="122"/>
      <c r="R29" s="128"/>
      <c r="S29" s="128"/>
      <c r="T29" s="128"/>
      <c r="U29" s="128"/>
      <c r="V29" s="128"/>
      <c r="W29" s="122"/>
      <c r="X29" s="122"/>
      <c r="Y29" s="122"/>
      <c r="Z29" s="122"/>
      <c r="AA29" s="122"/>
      <c r="AB29" s="128">
        <f>R28-AB28</f>
        <v>0</v>
      </c>
      <c r="AC29" s="128">
        <f>S28-AC28</f>
        <v>0</v>
      </c>
      <c r="AD29" s="128">
        <f>T28-AD28</f>
        <v>0</v>
      </c>
      <c r="AE29" s="128">
        <f>U28-AE28</f>
        <v>0</v>
      </c>
      <c r="AF29" s="128">
        <f>V28-AF28</f>
        <v>0</v>
      </c>
      <c r="AG29" s="122"/>
      <c r="AH29" s="122"/>
    </row>
    <row r="30" spans="1:34 16383:16383" s="123" customFormat="1" ht="11.25">
      <c r="A30" s="122"/>
      <c r="B30" s="122"/>
      <c r="C30" s="122"/>
      <c r="D30" s="122"/>
      <c r="E30" s="122"/>
      <c r="F30" s="122"/>
      <c r="G30" s="128"/>
      <c r="H30" s="128"/>
      <c r="I30" s="128"/>
      <c r="J30" s="128"/>
      <c r="K30" s="128"/>
      <c r="L30" s="128"/>
      <c r="M30" s="128"/>
      <c r="N30" s="128"/>
      <c r="O30" s="128"/>
      <c r="P30" s="122"/>
      <c r="Q30" s="128"/>
      <c r="R30" s="128"/>
      <c r="S30" s="122"/>
      <c r="T30" s="122"/>
      <c r="U30" s="122"/>
      <c r="V30" s="122"/>
      <c r="W30" s="122"/>
      <c r="X30" s="122"/>
      <c r="Y30" s="122"/>
      <c r="Z30" s="122"/>
      <c r="AA30" s="122"/>
      <c r="AB30" s="128">
        <f>AB27-R27</f>
        <v>0</v>
      </c>
      <c r="AC30" s="128">
        <f>AC27-S27</f>
        <v>0</v>
      </c>
      <c r="AD30" s="128">
        <f>AD27-T27</f>
        <v>0</v>
      </c>
      <c r="AE30" s="128">
        <f>AE27-U27</f>
        <v>0</v>
      </c>
      <c r="AF30" s="128">
        <f>AF27-V27</f>
        <v>0</v>
      </c>
      <c r="AG30" s="122"/>
      <c r="AH30" s="122"/>
    </row>
    <row r="31" spans="1:34 16383:16383"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16383:16383"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December</v>
      </c>
      <c r="G33" s="170"/>
      <c r="H33" s="170"/>
      <c r="I33" s="170"/>
      <c r="J33" s="170"/>
      <c r="K33" s="170"/>
      <c r="L33" s="170"/>
      <c r="M33" s="170"/>
      <c r="N33" s="170"/>
      <c r="O33" s="170"/>
      <c r="P33" s="171"/>
      <c r="Q33" s="176" t="s">
        <v>138</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F38" si="3">F13</f>
        <v>390</v>
      </c>
      <c r="G37" s="74">
        <f t="shared" ref="G37:K38" si="4">+G13</f>
        <v>229</v>
      </c>
      <c r="H37" s="74">
        <f t="shared" si="4"/>
        <v>191</v>
      </c>
      <c r="I37" s="74">
        <f t="shared" si="4"/>
        <v>172</v>
      </c>
      <c r="J37" s="74">
        <f t="shared" si="4"/>
        <v>0</v>
      </c>
      <c r="K37" s="74">
        <f t="shared" si="4"/>
        <v>200</v>
      </c>
      <c r="L37" s="64">
        <f>IFERROR(F37/G37-1,"n/a")</f>
        <v>0.70305676855895194</v>
      </c>
      <c r="M37" s="64">
        <f>IFERROR(F37/H37-1,"n/a")</f>
        <v>1.0418848167539267</v>
      </c>
      <c r="N37" s="64">
        <f>IFERROR(F37/I37-1,"n/a")</f>
        <v>1.2674418604651163</v>
      </c>
      <c r="O37" s="64" t="str">
        <f>IFERROR(F37/J37-1,"n/a")</f>
        <v>n/a</v>
      </c>
      <c r="P37" s="60">
        <f>IFERROR(F37/K37-1,"n/a")</f>
        <v>0.95</v>
      </c>
      <c r="Q37" s="74">
        <f>'Nov-24'!Q37+F37</f>
        <v>1781</v>
      </c>
      <c r="R37" s="74">
        <f>'Nov-24'!R37+G37</f>
        <v>1100</v>
      </c>
      <c r="S37" s="74">
        <f>'Nov-24'!S37+H37</f>
        <v>956</v>
      </c>
      <c r="T37" s="74">
        <f>'Nov-24'!T37+I37</f>
        <v>515</v>
      </c>
      <c r="U37" s="74">
        <f>'Nov-24'!U37+J37</f>
        <v>42</v>
      </c>
      <c r="V37" s="74">
        <f>'Nov-24'!V37+K37</f>
        <v>1068</v>
      </c>
      <c r="W37" s="147">
        <f>IFERROR(Q37/R37-1,"n/a")</f>
        <v>0.61909090909090914</v>
      </c>
      <c r="X37" s="147">
        <f>IFERROR(R37/S37-1,"n/a")</f>
        <v>0.15062761506276146</v>
      </c>
      <c r="Y37" s="147">
        <f>IFERROR(R37/T37-1,"n/a")</f>
        <v>1.1359223300970873</v>
      </c>
      <c r="Z37" s="147">
        <f>IFERROR(R37/U37-1,"n/a")</f>
        <v>25.19047619047619</v>
      </c>
      <c r="AA37" s="158">
        <f>IFERROR(R37/V37-1,"n/a")</f>
        <v>2.9962546816479474E-2</v>
      </c>
      <c r="AB37" s="147"/>
      <c r="AC37" s="89">
        <v>1486</v>
      </c>
      <c r="AD37" s="89">
        <v>1052</v>
      </c>
      <c r="AE37" s="70">
        <v>551</v>
      </c>
      <c r="AF37" s="78">
        <v>1584</v>
      </c>
      <c r="AH37" s="122"/>
    </row>
    <row r="38" spans="1:34" s="123" customFormat="1" ht="11.25">
      <c r="A38" s="122"/>
      <c r="B38" s="122"/>
      <c r="C38" s="33"/>
      <c r="D38" s="26" t="s">
        <v>11</v>
      </c>
      <c r="E38" s="32"/>
      <c r="F38" s="74">
        <f t="shared" si="3"/>
        <v>1045081</v>
      </c>
      <c r="G38" s="74">
        <f t="shared" si="4"/>
        <v>666281</v>
      </c>
      <c r="H38" s="74">
        <f t="shared" si="4"/>
        <v>518319</v>
      </c>
      <c r="I38" s="74">
        <f t="shared" si="4"/>
        <v>253217</v>
      </c>
      <c r="J38" s="74">
        <f t="shared" si="4"/>
        <v>0</v>
      </c>
      <c r="K38" s="74">
        <f t="shared" si="4"/>
        <v>506611</v>
      </c>
      <c r="L38" s="64">
        <f>IFERROR(F38/G38-1,"n/a")</f>
        <v>0.56852889396515893</v>
      </c>
      <c r="M38" s="64">
        <f>IFERROR(F38/H38-1,"n/a")</f>
        <v>1.0162891964215088</v>
      </c>
      <c r="N38" s="64">
        <f>IFERROR(F38/I38-1,"n/a")</f>
        <v>3.1272149974132857</v>
      </c>
      <c r="O38" s="64" t="str">
        <f>IFERROR(F38/J38-1,"n/a")</f>
        <v>n/a</v>
      </c>
      <c r="P38" s="60">
        <f>IFERROR(F38/K38-1,"n/a")</f>
        <v>1.062886514505212</v>
      </c>
      <c r="Q38" s="74">
        <f>'Nov-24'!Q38+F38</f>
        <v>5865665</v>
      </c>
      <c r="R38" s="74">
        <f>'Nov-24'!R38+G38</f>
        <v>3694353</v>
      </c>
      <c r="S38" s="74">
        <f>'Nov-24'!S38+H38</f>
        <v>2832755</v>
      </c>
      <c r="T38" s="74">
        <f>'Nov-24'!T38+I38</f>
        <v>763201</v>
      </c>
      <c r="U38" s="74">
        <f>'Nov-24'!U38+J38</f>
        <v>0</v>
      </c>
      <c r="V38" s="74">
        <f>'Nov-24'!V38+K38</f>
        <v>3119972</v>
      </c>
      <c r="W38" s="147">
        <f>IFERROR(Q38/R38-1,"n/a")</f>
        <v>0.58773809649483955</v>
      </c>
      <c r="X38" s="147">
        <f>IFERROR(R38/S38-1,"n/a")</f>
        <v>0.30415549526874019</v>
      </c>
      <c r="Y38" s="147">
        <f>IFERROR(R38/T38-1,"n/a")</f>
        <v>3.8406029342204739</v>
      </c>
      <c r="Z38" s="147" t="str">
        <f>IFERROR(R38/U38-1,"n/a")</f>
        <v>n/a</v>
      </c>
      <c r="AA38" s="158">
        <f>IFERROR(R38/V38-1,"n/a")</f>
        <v>0.18409812652164836</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148"/>
      <c r="X39" s="148"/>
      <c r="Y39" s="148"/>
      <c r="Z39" s="148"/>
      <c r="AA39" s="159"/>
      <c r="AB39" s="148"/>
      <c r="AC39" s="90"/>
      <c r="AD39" s="90"/>
      <c r="AE39" s="44"/>
      <c r="AF39" s="79"/>
      <c r="AH39" s="122"/>
    </row>
    <row r="40" spans="1:34" s="123" customFormat="1" ht="11.25">
      <c r="A40" s="122"/>
      <c r="B40" s="122"/>
      <c r="C40" s="33"/>
      <c r="D40" s="26" t="s">
        <v>5</v>
      </c>
      <c r="E40" s="32"/>
      <c r="F40" s="74">
        <f t="shared" ref="F40:F41" si="5">F16</f>
        <v>17</v>
      </c>
      <c r="G40" s="74">
        <f t="shared" ref="G40:K41" si="6">+G16</f>
        <v>12</v>
      </c>
      <c r="H40" s="74">
        <f t="shared" si="6"/>
        <v>6</v>
      </c>
      <c r="I40" s="74">
        <f t="shared" si="6"/>
        <v>7</v>
      </c>
      <c r="J40" s="74">
        <f t="shared" si="6"/>
        <v>6</v>
      </c>
      <c r="K40" s="74">
        <f t="shared" si="6"/>
        <v>47</v>
      </c>
      <c r="L40" s="64">
        <f>IFERROR(F40/G40-1,"n/a")</f>
        <v>0.41666666666666674</v>
      </c>
      <c r="M40" s="64">
        <f>IFERROR(F40/H40-1,"n/a")</f>
        <v>1.8333333333333335</v>
      </c>
      <c r="N40" s="64">
        <f>IFERROR(F40/I40-1,"n/a")</f>
        <v>1.4285714285714284</v>
      </c>
      <c r="O40" s="64">
        <f>IFERROR(F40/J40-1,"n/a")</f>
        <v>1.8333333333333335</v>
      </c>
      <c r="P40" s="60">
        <f>IFERROR(F40/K40-1,"n/a")</f>
        <v>-0.63829787234042556</v>
      </c>
      <c r="Q40" s="74">
        <f>'Nov-24'!Q40+F40</f>
        <v>760</v>
      </c>
      <c r="R40" s="74">
        <f>'Nov-24'!R40+G40</f>
        <v>547</v>
      </c>
      <c r="S40" s="74">
        <f>'Nov-24'!S40+H40</f>
        <v>537</v>
      </c>
      <c r="T40" s="74">
        <f>'Nov-24'!T40+I40</f>
        <v>192</v>
      </c>
      <c r="U40" s="74">
        <f>'Nov-24'!U40+J40</f>
        <v>44</v>
      </c>
      <c r="V40" s="74">
        <f>'Nov-24'!V40+K40</f>
        <v>570</v>
      </c>
      <c r="W40" s="147">
        <f>IFERROR(Q40/R40-1,"n/a")</f>
        <v>0.38939670932358328</v>
      </c>
      <c r="X40" s="147">
        <f>IFERROR(R40/S40-1,"n/a")</f>
        <v>1.862197392923659E-2</v>
      </c>
      <c r="Y40" s="147">
        <f>IFERROR(R40/T40-1,"n/a")</f>
        <v>1.8489583333333335</v>
      </c>
      <c r="Z40" s="147">
        <f>IFERROR(R40/U40-1,"n/a")</f>
        <v>11.431818181818182</v>
      </c>
      <c r="AA40" s="158">
        <f>IFERROR(R40/V40-1,"n/a")</f>
        <v>-4.0350877192982471E-2</v>
      </c>
      <c r="AB40" s="147"/>
      <c r="AC40" s="89">
        <v>563</v>
      </c>
      <c r="AD40" s="89">
        <v>226</v>
      </c>
      <c r="AE40" s="70">
        <v>66</v>
      </c>
      <c r="AF40" s="78">
        <v>573</v>
      </c>
      <c r="AH40" s="122"/>
    </row>
    <row r="41" spans="1:34" s="123" customFormat="1" ht="11.25">
      <c r="A41" s="122"/>
      <c r="B41" s="122"/>
      <c r="C41" s="33"/>
      <c r="D41" s="26" t="s">
        <v>11</v>
      </c>
      <c r="E41" s="32"/>
      <c r="F41" s="74">
        <f t="shared" si="5"/>
        <v>37402</v>
      </c>
      <c r="G41" s="74">
        <f t="shared" si="6"/>
        <v>30889</v>
      </c>
      <c r="H41" s="74">
        <f t="shared" si="6"/>
        <v>22360</v>
      </c>
      <c r="I41" s="74">
        <f t="shared" si="6"/>
        <v>13748</v>
      </c>
      <c r="J41" s="74">
        <f t="shared" si="6"/>
        <v>2141</v>
      </c>
      <c r="K41" s="74">
        <f t="shared" si="6"/>
        <v>55736</v>
      </c>
      <c r="L41" s="64">
        <f>IFERROR(F41/G41-1,"n/a")</f>
        <v>0.21085175952604485</v>
      </c>
      <c r="M41" s="64">
        <f>IFERROR(F41/H41-1,"n/a")</f>
        <v>0.67271914132379251</v>
      </c>
      <c r="N41" s="64">
        <f>IFERROR(F41/I41-1,"n/a")</f>
        <v>1.7205411696246729</v>
      </c>
      <c r="O41" s="64">
        <f>IFERROR(F41/J41-1,"n/a")</f>
        <v>16.469406819243343</v>
      </c>
      <c r="P41" s="60">
        <f>IFERROR(F41/K41-1,"n/a")</f>
        <v>-0.32894359121573136</v>
      </c>
      <c r="Q41" s="74">
        <f>'Nov-24'!Q41+F41</f>
        <v>1930402</v>
      </c>
      <c r="R41" s="74">
        <f>'Nov-24'!R41+G41</f>
        <v>1579758</v>
      </c>
      <c r="S41" s="74">
        <f>'Nov-24'!S41+H41</f>
        <v>933392</v>
      </c>
      <c r="T41" s="74">
        <f>'Nov-24'!T41+I41</f>
        <v>292432</v>
      </c>
      <c r="U41" s="74">
        <f>'Nov-24'!U41+J41</f>
        <v>29562</v>
      </c>
      <c r="V41" s="74">
        <f>'Nov-24'!V41+K41</f>
        <v>1318159</v>
      </c>
      <c r="W41" s="147">
        <f>IFERROR(Q41/R41-1,"n/a")</f>
        <v>0.22196057877219166</v>
      </c>
      <c r="X41" s="147">
        <f>IFERROR(R41/S41-1,"n/a")</f>
        <v>0.69249147196461935</v>
      </c>
      <c r="Y41" s="147">
        <f>IFERROR(R41/T41-1,"n/a")</f>
        <v>4.4021379329211578</v>
      </c>
      <c r="Z41" s="147">
        <f>IFERROR(R41/U41-1,"n/a")</f>
        <v>52.438806576009739</v>
      </c>
      <c r="AA41" s="158">
        <f>IFERROR(R41/V41-1,"n/a")</f>
        <v>0.19845784916690623</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87"/>
      <c r="L42" s="64"/>
      <c r="M42" s="64"/>
      <c r="N42" s="64"/>
      <c r="O42" s="64"/>
      <c r="P42" s="60"/>
      <c r="Q42" s="87"/>
      <c r="R42" s="87"/>
      <c r="S42" s="87"/>
      <c r="T42" s="87"/>
      <c r="U42" s="87"/>
      <c r="V42" s="72"/>
      <c r="W42" s="147"/>
      <c r="X42" s="147"/>
      <c r="Y42" s="147"/>
      <c r="Z42" s="147"/>
      <c r="AA42" s="158"/>
      <c r="AB42" s="147"/>
      <c r="AC42" s="90"/>
      <c r="AD42" s="90"/>
      <c r="AE42" s="44"/>
      <c r="AF42" s="79"/>
      <c r="AH42" s="122"/>
    </row>
    <row r="43" spans="1:34" s="123" customFormat="1" ht="11.25">
      <c r="A43" s="122"/>
      <c r="B43" s="122"/>
      <c r="C43" s="33"/>
      <c r="D43" s="26" t="s">
        <v>5</v>
      </c>
      <c r="E43" s="32"/>
      <c r="F43" s="74">
        <f t="shared" ref="F43:F44" si="7">F19</f>
        <v>6</v>
      </c>
      <c r="G43" s="74">
        <f t="shared" ref="G43:K44" si="8">+G19</f>
        <v>8</v>
      </c>
      <c r="H43" s="74">
        <f t="shared" si="8"/>
        <v>9</v>
      </c>
      <c r="I43" s="74">
        <f t="shared" si="8"/>
        <v>3</v>
      </c>
      <c r="J43" s="74">
        <f t="shared" si="8"/>
        <v>0</v>
      </c>
      <c r="K43" s="74">
        <f t="shared" si="8"/>
        <v>10</v>
      </c>
      <c r="L43" s="64">
        <f>IFERROR(F43/G43-1,"n/a")</f>
        <v>-0.25</v>
      </c>
      <c r="M43" s="64">
        <f>IFERROR(F43/H43-1,"n/a")</f>
        <v>-0.33333333333333337</v>
      </c>
      <c r="N43" s="64">
        <f>IFERROR(F43/I43-1,"n/a")</f>
        <v>1</v>
      </c>
      <c r="O43" s="64" t="str">
        <f>IFERROR(F43/J43-1,"n/a")</f>
        <v>n/a</v>
      </c>
      <c r="P43" s="60">
        <f>IFERROR(F43/K43-1,"n/a")</f>
        <v>-0.4</v>
      </c>
      <c r="Q43" s="74">
        <f>'Nov-24'!Q43+F43</f>
        <v>706</v>
      </c>
      <c r="R43" s="74">
        <f>'Nov-24'!R43+G43</f>
        <v>685</v>
      </c>
      <c r="S43" s="74">
        <f>'Nov-24'!S43+H43</f>
        <v>646</v>
      </c>
      <c r="T43" s="74">
        <f>'Nov-24'!T43+I43</f>
        <v>47</v>
      </c>
      <c r="U43" s="74">
        <f>'Nov-24'!U43+J43</f>
        <v>7</v>
      </c>
      <c r="V43" s="74">
        <f>'Nov-24'!V43+K43</f>
        <v>284</v>
      </c>
      <c r="W43" s="147">
        <f>IFERROR(Q43/R43-1,"n/a")</f>
        <v>3.0656934306569239E-2</v>
      </c>
      <c r="X43" s="147">
        <f>IFERROR(R43/S43-1,"n/a")</f>
        <v>6.0371517027863808E-2</v>
      </c>
      <c r="Y43" s="147">
        <f>IFERROR(R43/T43-1,"n/a")</f>
        <v>13.574468085106384</v>
      </c>
      <c r="Z43" s="147">
        <f>IFERROR(R43/U43-1,"n/a")</f>
        <v>96.857142857142861</v>
      </c>
      <c r="AA43" s="158">
        <f>IFERROR(R43/V43-1,"n/a")</f>
        <v>1.4119718309859155</v>
      </c>
      <c r="AB43" s="147"/>
      <c r="AC43" s="89">
        <v>669</v>
      </c>
      <c r="AD43" s="89">
        <v>59</v>
      </c>
      <c r="AE43" s="70">
        <v>9</v>
      </c>
      <c r="AF43" s="78">
        <v>287</v>
      </c>
      <c r="AH43" s="122"/>
    </row>
    <row r="44" spans="1:34" s="123" customFormat="1" ht="11.25">
      <c r="A44" s="122"/>
      <c r="B44" s="122"/>
      <c r="C44" s="33"/>
      <c r="D44" s="26" t="s">
        <v>11</v>
      </c>
      <c r="E44" s="32"/>
      <c r="F44" s="74">
        <f t="shared" si="7"/>
        <v>8208</v>
      </c>
      <c r="G44" s="74">
        <f t="shared" si="8"/>
        <v>7403</v>
      </c>
      <c r="H44" s="74">
        <f t="shared" si="8"/>
        <v>6763</v>
      </c>
      <c r="I44" s="74">
        <f t="shared" si="8"/>
        <v>864</v>
      </c>
      <c r="J44" s="74">
        <f t="shared" si="8"/>
        <v>0</v>
      </c>
      <c r="K44" s="74">
        <f t="shared" si="8"/>
        <v>10787</v>
      </c>
      <c r="L44" s="64">
        <f>IFERROR(F44/G44-1,"n/a")</f>
        <v>0.10873970012157241</v>
      </c>
      <c r="M44" s="64">
        <f>IFERROR(F44/H44-1,"n/a")</f>
        <v>0.21366257577997927</v>
      </c>
      <c r="N44" s="64">
        <f>IFERROR(F44/I44-1,"n/a")</f>
        <v>8.5</v>
      </c>
      <c r="O44" s="64" t="str">
        <f>IFERROR(F44/J44-1,"n/a")</f>
        <v>n/a</v>
      </c>
      <c r="P44" s="60">
        <f>IFERROR(F44/K44-1,"n/a")</f>
        <v>-0.23908408269212944</v>
      </c>
      <c r="Q44" s="74">
        <f>'Nov-24'!Q44+F44</f>
        <v>1456530.4</v>
      </c>
      <c r="R44" s="74">
        <f>'Nov-24'!R44+G44</f>
        <v>1256680</v>
      </c>
      <c r="S44" s="74">
        <f>'Nov-24'!S44+H44</f>
        <v>884410</v>
      </c>
      <c r="T44" s="74">
        <f>'Nov-24'!T44+I44</f>
        <v>17541</v>
      </c>
      <c r="U44" s="74">
        <f>'Nov-24'!U44+J44</f>
        <v>8294</v>
      </c>
      <c r="V44" s="74">
        <f>'Nov-24'!V44+K44</f>
        <v>579446</v>
      </c>
      <c r="W44" s="147">
        <f>IFERROR(Q44/R44-1,"n/a")</f>
        <v>0.15903046121526554</v>
      </c>
      <c r="X44" s="147">
        <f>IFERROR(R44/S44-1,"n/a")</f>
        <v>0.42092468425277874</v>
      </c>
      <c r="Y44" s="147">
        <f>IFERROR(R44/T44-1,"n/a")</f>
        <v>70.642437717347931</v>
      </c>
      <c r="Z44" s="147">
        <f>IFERROR(R44/U44-1,"n/a")</f>
        <v>150.51675910296601</v>
      </c>
      <c r="AA44" s="158">
        <f>IFERROR(R44/V44-1,"n/a")</f>
        <v>1.1687611960389752</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147"/>
      <c r="X45" s="147"/>
      <c r="Y45" s="147"/>
      <c r="Z45" s="147"/>
      <c r="AA45" s="158"/>
      <c r="AB45" s="147"/>
      <c r="AC45" s="90"/>
      <c r="AD45" s="90"/>
      <c r="AE45" s="44"/>
      <c r="AF45" s="79"/>
      <c r="AH45" s="122"/>
    </row>
    <row r="46" spans="1:34" s="123" customFormat="1" ht="11.25">
      <c r="A46" s="122"/>
      <c r="B46" s="122"/>
      <c r="C46" s="33"/>
      <c r="D46" s="26" t="s">
        <v>5</v>
      </c>
      <c r="E46" s="34"/>
      <c r="F46" s="74">
        <f t="shared" ref="F46:F47" si="9">F22</f>
        <v>177</v>
      </c>
      <c r="G46" s="74">
        <f t="shared" ref="G46:K47" si="10">+G22</f>
        <v>128</v>
      </c>
      <c r="H46" s="74">
        <f t="shared" si="10"/>
        <v>67</v>
      </c>
      <c r="I46" s="74">
        <f t="shared" si="10"/>
        <v>25</v>
      </c>
      <c r="J46" s="74">
        <f t="shared" si="10"/>
        <v>0</v>
      </c>
      <c r="K46" s="74">
        <f t="shared" si="10"/>
        <v>20</v>
      </c>
      <c r="L46" s="64">
        <f>IFERROR(F46/G46-1,"n/a")</f>
        <v>0.3828125</v>
      </c>
      <c r="M46" s="64">
        <f>IFERROR(F46/H46-1,"n/a")</f>
        <v>1.6417910447761193</v>
      </c>
      <c r="N46" s="64">
        <f>IFERROR(F46/I46-1,"n/a")</f>
        <v>6.08</v>
      </c>
      <c r="O46" s="64" t="str">
        <f>IFERROR(F46/J46-1,"n/a")</f>
        <v>n/a</v>
      </c>
      <c r="P46" s="60">
        <f>IFERROR(F46/K46-1,"n/a")</f>
        <v>7.85</v>
      </c>
      <c r="Q46" s="74">
        <f>'Nov-24'!Q46+F46</f>
        <v>1392</v>
      </c>
      <c r="R46" s="74">
        <f>'Nov-24'!R46+G46</f>
        <v>1212</v>
      </c>
      <c r="S46" s="74">
        <f>'Nov-24'!S46+H46</f>
        <v>841</v>
      </c>
      <c r="T46" s="74">
        <f>'Nov-24'!T46+I46</f>
        <v>283</v>
      </c>
      <c r="U46" s="74">
        <f>'Nov-24'!U46+J46</f>
        <v>0</v>
      </c>
      <c r="V46" s="74">
        <f>'Nov-24'!V46+K46</f>
        <v>738</v>
      </c>
      <c r="W46" s="147">
        <f>IFERROR(Q46/R46-1,"n/a")</f>
        <v>0.14851485148514842</v>
      </c>
      <c r="X46" s="147">
        <f>IFERROR(R46/S46-1,"n/a")</f>
        <v>0.44114149821640902</v>
      </c>
      <c r="Y46" s="147">
        <f>IFERROR(R46/T46-1,"n/a")</f>
        <v>3.2826855123674914</v>
      </c>
      <c r="Z46" s="147" t="str">
        <f>IFERROR(R46/U46-1,"n/a")</f>
        <v>n/a</v>
      </c>
      <c r="AA46" s="158">
        <f>IFERROR(R46/V46-1,"n/a")</f>
        <v>0.64227642276422769</v>
      </c>
      <c r="AB46" s="147"/>
      <c r="AC46" s="89">
        <v>1129</v>
      </c>
      <c r="AD46" s="89">
        <v>336</v>
      </c>
      <c r="AE46" s="84">
        <v>43</v>
      </c>
      <c r="AF46" s="78">
        <v>781</v>
      </c>
      <c r="AH46" s="122"/>
    </row>
    <row r="47" spans="1:34" s="123" customFormat="1" ht="11.25">
      <c r="A47" s="122"/>
      <c r="B47" s="122"/>
      <c r="C47" s="33"/>
      <c r="D47" s="26" t="s">
        <v>11</v>
      </c>
      <c r="E47" s="32"/>
      <c r="F47" s="74">
        <f t="shared" si="9"/>
        <v>483121</v>
      </c>
      <c r="G47" s="74">
        <f t="shared" si="10"/>
        <v>383396</v>
      </c>
      <c r="H47" s="74">
        <f t="shared" si="10"/>
        <v>215490</v>
      </c>
      <c r="I47" s="74">
        <f t="shared" si="10"/>
        <v>39214</v>
      </c>
      <c r="J47" s="74">
        <f t="shared" si="10"/>
        <v>0</v>
      </c>
      <c r="K47" s="74">
        <f t="shared" si="10"/>
        <v>58943</v>
      </c>
      <c r="L47" s="64">
        <f>IFERROR(F47/G47-1,"n/a")</f>
        <v>0.26010965163955801</v>
      </c>
      <c r="M47" s="64">
        <f>IFERROR(F47/H47-1,"n/a")</f>
        <v>1.2419648243537984</v>
      </c>
      <c r="N47" s="64">
        <f>IFERROR(F47/I47-1,"n/a")</f>
        <v>11.320115264956392</v>
      </c>
      <c r="O47" s="64" t="str">
        <f>IFERROR(F47/J47-1,"n/a")</f>
        <v>n/a</v>
      </c>
      <c r="P47" s="60">
        <f>IFERROR(F47/K47-1,"n/a")</f>
        <v>7.1964100911049655</v>
      </c>
      <c r="Q47" s="74">
        <f>'Nov-24'!Q47+F47</f>
        <v>4133419</v>
      </c>
      <c r="R47" s="74">
        <f>'Nov-24'!R47+G47</f>
        <v>3621862</v>
      </c>
      <c r="S47" s="74">
        <f>'Nov-24'!S47+H47</f>
        <v>2092770</v>
      </c>
      <c r="T47" s="74">
        <f>'Nov-24'!T47+I47</f>
        <v>465109</v>
      </c>
      <c r="U47" s="74">
        <f>'Nov-24'!U47+J47</f>
        <v>0</v>
      </c>
      <c r="V47" s="74">
        <f>'Nov-24'!V47+K47</f>
        <v>2301042</v>
      </c>
      <c r="W47" s="147">
        <f>IFERROR(Q47/R47-1,"n/a")</f>
        <v>0.14124143879584583</v>
      </c>
      <c r="X47" s="147">
        <f>IFERROR(R47/S47-1,"n/a")</f>
        <v>0.73065458698280272</v>
      </c>
      <c r="Y47" s="147">
        <f>IFERROR(R47/T47-1,"n/a")</f>
        <v>6.7871251685088874</v>
      </c>
      <c r="Z47" s="147" t="str">
        <f>IFERROR(R47/U47-1,"n/a")</f>
        <v>n/a</v>
      </c>
      <c r="AA47" s="158">
        <f>IFERROR(R47/V47-1,"n/a")</f>
        <v>0.57400951395063626</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147"/>
      <c r="X48" s="147"/>
      <c r="Y48" s="147"/>
      <c r="Z48" s="147"/>
      <c r="AA48" s="158"/>
      <c r="AB48" s="147"/>
      <c r="AC48" s="90"/>
      <c r="AD48" s="90"/>
      <c r="AE48" s="44"/>
      <c r="AF48" s="79"/>
      <c r="AH48" s="122"/>
    </row>
    <row r="49" spans="3:34" s="123" customFormat="1" ht="11.25">
      <c r="C49" s="33"/>
      <c r="D49" s="26" t="s">
        <v>5</v>
      </c>
      <c r="E49" s="32"/>
      <c r="F49" s="74">
        <f t="shared" ref="F49:F50" si="11">F25</f>
        <v>0</v>
      </c>
      <c r="G49" s="74">
        <f t="shared" ref="G49:K50" si="12">+G25</f>
        <v>0</v>
      </c>
      <c r="H49" s="74">
        <f t="shared" si="12"/>
        <v>0</v>
      </c>
      <c r="I49" s="74">
        <f t="shared" si="12"/>
        <v>0</v>
      </c>
      <c r="J49" s="74">
        <f t="shared" si="12"/>
        <v>0</v>
      </c>
      <c r="K49" s="74">
        <f t="shared" si="12"/>
        <v>0</v>
      </c>
      <c r="L49" s="64" t="str">
        <f>IFERROR(F49/G49-1,"n/a")</f>
        <v>n/a</v>
      </c>
      <c r="M49" s="64" t="str">
        <f>IFERROR(F49/H49-1,"n/a")</f>
        <v>n/a</v>
      </c>
      <c r="N49" s="64" t="str">
        <f>IFERROR(F49/I49-1,"n/a")</f>
        <v>n/a</v>
      </c>
      <c r="O49" s="64" t="str">
        <f>IFERROR(F49/J49-1,"n/a")</f>
        <v>n/a</v>
      </c>
      <c r="P49" s="60" t="str">
        <f>IFERROR(F49/K49-1,"n/a")</f>
        <v>n/a</v>
      </c>
      <c r="Q49" s="74">
        <f>'Nov-24'!Q49+F49</f>
        <v>14</v>
      </c>
      <c r="R49" s="74">
        <f>'Nov-24'!R49+G49</f>
        <v>21</v>
      </c>
      <c r="S49" s="74">
        <f>'Nov-24'!S49+H49</f>
        <v>9</v>
      </c>
      <c r="T49" s="74">
        <f>'Nov-24'!T49+I49</f>
        <v>0</v>
      </c>
      <c r="U49" s="74">
        <f>'Nov-24'!U49+J49</f>
        <v>0</v>
      </c>
      <c r="V49" s="74">
        <f>'Nov-24'!V49+K49</f>
        <v>16</v>
      </c>
      <c r="W49" s="147">
        <f t="shared" ref="W49:X52" si="13">IFERROR(Q49/R49-1,"n/a")</f>
        <v>-0.33333333333333337</v>
      </c>
      <c r="X49" s="147">
        <f t="shared" si="13"/>
        <v>1.3333333333333335</v>
      </c>
      <c r="Y49" s="147" t="str">
        <f>IFERROR(R49/T49-1,"n/a")</f>
        <v>n/a</v>
      </c>
      <c r="Z49" s="147" t="str">
        <f>IFERROR(R49/U49-1,"n/a")</f>
        <v>n/a</v>
      </c>
      <c r="AA49" s="158">
        <f>IFERROR(R49/V49-1,"n/a")</f>
        <v>0.3125</v>
      </c>
      <c r="AB49" s="147"/>
      <c r="AC49" s="89">
        <v>9</v>
      </c>
      <c r="AD49" s="68">
        <v>0</v>
      </c>
      <c r="AE49" s="68">
        <v>0</v>
      </c>
      <c r="AF49" s="78">
        <v>16</v>
      </c>
      <c r="AH49" s="122"/>
    </row>
    <row r="50" spans="3:34" s="123" customFormat="1" ht="11.25">
      <c r="C50" s="33"/>
      <c r="D50" s="26" t="s">
        <v>11</v>
      </c>
      <c r="E50" s="32"/>
      <c r="F50" s="74">
        <f t="shared" si="11"/>
        <v>0</v>
      </c>
      <c r="G50" s="74">
        <f t="shared" si="12"/>
        <v>0</v>
      </c>
      <c r="H50" s="74">
        <f t="shared" si="12"/>
        <v>0</v>
      </c>
      <c r="I50" s="74">
        <f t="shared" si="12"/>
        <v>0</v>
      </c>
      <c r="J50" s="74">
        <f t="shared" si="12"/>
        <v>0</v>
      </c>
      <c r="K50" s="74">
        <f t="shared" si="12"/>
        <v>0</v>
      </c>
      <c r="L50" s="64" t="str">
        <f>IFERROR(F50/G50-1,"n/a")</f>
        <v>n/a</v>
      </c>
      <c r="M50" s="64" t="str">
        <f>IFERROR(F50/H50-1,"n/a")</f>
        <v>n/a</v>
      </c>
      <c r="N50" s="64" t="str">
        <f>IFERROR(F50/I50-1,"n/a")</f>
        <v>n/a</v>
      </c>
      <c r="O50" s="64" t="str">
        <f>IFERROR(F50/J50-1,"n/a")</f>
        <v>n/a</v>
      </c>
      <c r="P50" s="60" t="str">
        <f>IFERROR(F50/K50-1,"n/a")</f>
        <v>n/a</v>
      </c>
      <c r="Q50" s="74">
        <f>'Nov-24'!Q50+F50</f>
        <v>47798</v>
      </c>
      <c r="R50" s="74">
        <f>'Nov-24'!R50+G50</f>
        <v>38626</v>
      </c>
      <c r="S50" s="74">
        <f>'Nov-24'!S50+H50</f>
        <v>15637</v>
      </c>
      <c r="T50" s="74">
        <f>'Nov-24'!T50+I50</f>
        <v>0</v>
      </c>
      <c r="U50" s="74">
        <f>'Nov-24'!U50+J50</f>
        <v>0</v>
      </c>
      <c r="V50" s="74">
        <f>'Nov-24'!V50+K50</f>
        <v>20248</v>
      </c>
      <c r="W50" s="147">
        <f t="shared" si="13"/>
        <v>0.23745663542691453</v>
      </c>
      <c r="X50" s="147">
        <f t="shared" si="13"/>
        <v>1.4701669118117286</v>
      </c>
      <c r="Y50" s="147" t="str">
        <f>IFERROR(R50/T50-1,"n/a")</f>
        <v>n/a</v>
      </c>
      <c r="Z50" s="147" t="str">
        <f>IFERROR(R50/U50-1,"n/a")</f>
        <v>n/a</v>
      </c>
      <c r="AA50" s="158">
        <f>IFERROR(R50/V50-1,"n/a")</f>
        <v>0.90764519952587919</v>
      </c>
      <c r="AB50" s="147"/>
      <c r="AC50" s="82">
        <v>15637</v>
      </c>
      <c r="AD50" s="68">
        <v>0</v>
      </c>
      <c r="AE50" s="68">
        <v>0</v>
      </c>
      <c r="AF50" s="78">
        <v>20248</v>
      </c>
      <c r="AH50" s="122"/>
    </row>
    <row r="51" spans="3:34" s="123" customFormat="1" ht="12" thickBot="1">
      <c r="C51" s="35" t="s">
        <v>12</v>
      </c>
      <c r="D51" s="36"/>
      <c r="E51" s="37"/>
      <c r="F51" s="75">
        <f>F37+F40+F43+F46+F49</f>
        <v>590</v>
      </c>
      <c r="G51" s="75">
        <f>G37+G40+G43+G46+G49</f>
        <v>377</v>
      </c>
      <c r="H51" s="75">
        <f t="shared" ref="H51:K52" si="14">H37+H40+H43+H46+H49</f>
        <v>273</v>
      </c>
      <c r="I51" s="75">
        <f t="shared" si="14"/>
        <v>207</v>
      </c>
      <c r="J51" s="75">
        <f t="shared" si="14"/>
        <v>6</v>
      </c>
      <c r="K51" s="75">
        <f t="shared" si="14"/>
        <v>277</v>
      </c>
      <c r="L51" s="66">
        <f>IFERROR(F51/G51-1,"n/a")</f>
        <v>0.5649867374005304</v>
      </c>
      <c r="M51" s="66">
        <f>IFERROR(F51/H51-1,"n/a")</f>
        <v>1.161172161172161</v>
      </c>
      <c r="N51" s="66">
        <f>IFERROR(F51/I51-1,"n/a")</f>
        <v>1.8502415458937196</v>
      </c>
      <c r="O51" s="66">
        <f>IFERROR(F51/J51-1,"n/a")</f>
        <v>97.333333333333329</v>
      </c>
      <c r="P51" s="62">
        <f>IFERROR(F51/K51-1,"n/a")</f>
        <v>1.1299638989169676</v>
      </c>
      <c r="Q51" s="75">
        <f t="shared" ref="Q51:V52" si="15">Q37+Q40+Q43+Q46+Q49</f>
        <v>4653</v>
      </c>
      <c r="R51" s="75">
        <f t="shared" si="15"/>
        <v>3565</v>
      </c>
      <c r="S51" s="75">
        <f>S37+S40+S43+S46+S49</f>
        <v>2989</v>
      </c>
      <c r="T51" s="75">
        <f t="shared" si="15"/>
        <v>1037</v>
      </c>
      <c r="U51" s="75">
        <f t="shared" si="15"/>
        <v>93</v>
      </c>
      <c r="V51" s="75">
        <f t="shared" si="15"/>
        <v>2676</v>
      </c>
      <c r="W51" s="66">
        <f t="shared" si="13"/>
        <v>0.30518934081346427</v>
      </c>
      <c r="X51" s="66">
        <f t="shared" si="13"/>
        <v>0.19270659083305453</v>
      </c>
      <c r="Y51" s="66">
        <f>IFERROR(R51/T51-1,"n/a")</f>
        <v>2.4378013500482161</v>
      </c>
      <c r="Z51" s="66">
        <f t="shared" ref="Z51:Z52" si="16">IFERROR(R51/U51-1,"n/a")</f>
        <v>37.333333333333336</v>
      </c>
      <c r="AA51" s="62">
        <f>IFERROR(R51/V51-1,"n/a")</f>
        <v>0.33221225710014957</v>
      </c>
      <c r="AB51" s="66"/>
      <c r="AC51" s="46">
        <f t="shared" ref="AC51:AE52" si="17">AC37+AC40+AC43+AC46+AC49</f>
        <v>3856</v>
      </c>
      <c r="AD51" s="46">
        <f t="shared" si="17"/>
        <v>1673</v>
      </c>
      <c r="AE51" s="46">
        <f t="shared" si="17"/>
        <v>669</v>
      </c>
      <c r="AF51" s="80">
        <f>AF37+AF40+AF43+AF46+AF49</f>
        <v>3241</v>
      </c>
      <c r="AH51" s="122"/>
    </row>
    <row r="52" spans="3:34" s="123" customFormat="1" ht="12.75" thickTop="1" thickBot="1">
      <c r="C52" s="38" t="s">
        <v>13</v>
      </c>
      <c r="D52" s="39"/>
      <c r="E52" s="40"/>
      <c r="F52" s="76">
        <f>F38+F41+F44+F47+F50</f>
        <v>1573812</v>
      </c>
      <c r="G52" s="76">
        <f>G38+G41+G44+G47+G50</f>
        <v>1087969</v>
      </c>
      <c r="H52" s="76">
        <f t="shared" si="14"/>
        <v>762932</v>
      </c>
      <c r="I52" s="76">
        <f t="shared" si="14"/>
        <v>307043</v>
      </c>
      <c r="J52" s="76">
        <f t="shared" si="14"/>
        <v>2141</v>
      </c>
      <c r="K52" s="76">
        <f t="shared" si="14"/>
        <v>632077</v>
      </c>
      <c r="L52" s="67">
        <f>IFERROR(F52/G52-1,"n/a")</f>
        <v>0.44655959866503547</v>
      </c>
      <c r="M52" s="67">
        <f>IFERROR(F52/H52-1,"n/a")</f>
        <v>1.0628470165099904</v>
      </c>
      <c r="N52" s="67">
        <f>IFERROR(F52/I52-1,"n/a")</f>
        <v>4.125705520073736</v>
      </c>
      <c r="O52" s="67">
        <f>IFERROR(F52/J52-1,"n/a")</f>
        <v>734.08267164876224</v>
      </c>
      <c r="P52" s="63">
        <f>IFERROR(F52/K52-1,"n/a")</f>
        <v>1.4899055020195324</v>
      </c>
      <c r="Q52" s="76">
        <f t="shared" si="15"/>
        <v>13433814.4</v>
      </c>
      <c r="R52" s="76">
        <f t="shared" si="15"/>
        <v>10191279</v>
      </c>
      <c r="S52" s="76">
        <f t="shared" si="15"/>
        <v>6758964</v>
      </c>
      <c r="T52" s="76">
        <f t="shared" si="15"/>
        <v>1538283</v>
      </c>
      <c r="U52" s="76">
        <f t="shared" si="15"/>
        <v>37856</v>
      </c>
      <c r="V52" s="76">
        <f t="shared" si="15"/>
        <v>7338867</v>
      </c>
      <c r="W52" s="67">
        <f t="shared" si="13"/>
        <v>0.31816766080096515</v>
      </c>
      <c r="X52" s="67">
        <f t="shared" si="13"/>
        <v>0.50781673049301634</v>
      </c>
      <c r="Y52" s="117">
        <f>IFERROR(R52/T52-1,"n/a")</f>
        <v>5.6251001928773832</v>
      </c>
      <c r="Z52" s="117">
        <f t="shared" si="16"/>
        <v>268.21172337278108</v>
      </c>
      <c r="AA52" s="118">
        <f>IFERROR(R52/V52-1,"n/a")</f>
        <v>0.38867198438124029</v>
      </c>
      <c r="AB52" s="117"/>
      <c r="AC52" s="47">
        <f t="shared" si="17"/>
        <v>9237323</v>
      </c>
      <c r="AD52" s="47">
        <f t="shared" si="17"/>
        <v>2410085</v>
      </c>
      <c r="AE52" s="47">
        <f t="shared" si="17"/>
        <v>1324261</v>
      </c>
      <c r="AF52" s="81">
        <f>AF38+AF41+AF44+AF47+AF50</f>
        <v>8638971</v>
      </c>
      <c r="AH52" s="122"/>
    </row>
    <row r="53" spans="3:34" s="123" customFormat="1" ht="12" thickTop="1">
      <c r="Q53" s="131">
        <f>Q51+Q52+'Jan-25'!F51+'Jan-25'!F52-'Jan-25'!T51-'Jan-25'!T52</f>
        <v>0</v>
      </c>
      <c r="R53" s="131">
        <f>R51+R52+'Jan-25'!G51+'Jan-25'!G52-'Jan-25'!U51-'Jan-25'!U52</f>
        <v>0</v>
      </c>
      <c r="S53" s="131">
        <f>S51+S52+'Jan-25'!H51+'Jan-25'!H52-'Jan-25'!V51-'Jan-25'!V52</f>
        <v>0</v>
      </c>
      <c r="T53" s="131">
        <f>T51+T52+'Jan-25'!I51+'Jan-25'!I52-'Jan-25'!W51-'Jan-25'!W52</f>
        <v>0</v>
      </c>
      <c r="U53" s="131">
        <f>U51+U52+'Jan-25'!J51+'Jan-25'!J52-'Jan-25'!X51-'Jan-25'!X52</f>
        <v>0</v>
      </c>
      <c r="V53" s="131">
        <f>V51+V52+'Jan-25'!K51+'Jan-25'!K52-'Jan-25'!Y51-'Jan-25'!Y52</f>
        <v>0</v>
      </c>
      <c r="AH53" s="122"/>
    </row>
    <row r="54" spans="3:34" s="123" customFormat="1" ht="11.25">
      <c r="Q54" s="149"/>
      <c r="S54" s="131"/>
      <c r="T54" s="131"/>
      <c r="U54" s="131"/>
      <c r="V54" s="131"/>
      <c r="AH54" s="122"/>
    </row>
    <row r="55" spans="3:34" ht="15" hidden="1">
      <c r="Q55" s="111">
        <v>11861796</v>
      </c>
      <c r="S55" s="111"/>
      <c r="T55" s="111"/>
      <c r="U55" s="111"/>
      <c r="V55" s="111"/>
      <c r="AH55" s="9"/>
    </row>
    <row r="56" spans="3:34" ht="15" hidden="1">
      <c r="Q56" s="150">
        <f>Q55-Q52</f>
        <v>-1572018.4000000004</v>
      </c>
      <c r="S56" s="111"/>
      <c r="T56" s="111"/>
      <c r="U56" s="111"/>
      <c r="V56" s="111"/>
      <c r="AH56" s="9"/>
    </row>
    <row r="57" spans="3:34" ht="15">
      <c r="Q57" s="111"/>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B7EC-8108-45D1-92EB-7D595E843770}">
  <dimension ref="A1:AH66"/>
  <sheetViews>
    <sheetView showGridLines="0" topLeftCell="A2" zoomScale="85" zoomScaleNormal="85" workbookViewId="0">
      <selection activeCell="F13" sqref="F13:K26"/>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4.57031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45626</v>
      </c>
      <c r="AG3" s="25"/>
      <c r="AH3" s="9"/>
    </row>
    <row r="4" spans="1:34" ht="15.75">
      <c r="A4" s="9"/>
      <c r="B4" s="11" t="s">
        <v>7</v>
      </c>
      <c r="C4" s="26"/>
      <c r="D4" s="151" t="s">
        <v>27</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7" t="str">
        <f>D4</f>
        <v>November</v>
      </c>
      <c r="G9" s="167"/>
      <c r="H9" s="167"/>
      <c r="I9" s="167"/>
      <c r="J9" s="167"/>
      <c r="K9" s="167"/>
      <c r="L9" s="167"/>
      <c r="M9" s="167"/>
      <c r="N9" s="167"/>
      <c r="O9" s="167"/>
      <c r="P9" s="168"/>
      <c r="Q9" s="169" t="str">
        <f>"January to "&amp; D4</f>
        <v>January to November</v>
      </c>
      <c r="R9" s="170"/>
      <c r="S9" s="170"/>
      <c r="T9" s="170"/>
      <c r="U9" s="170"/>
      <c r="V9" s="170"/>
      <c r="W9" s="170"/>
      <c r="X9" s="170"/>
      <c r="Y9" s="170"/>
      <c r="Z9" s="170"/>
      <c r="AA9" s="171"/>
      <c r="AB9" s="169" t="s">
        <v>57</v>
      </c>
      <c r="AC9" s="170"/>
      <c r="AD9" s="170"/>
      <c r="AE9" s="170"/>
      <c r="AF9" s="172"/>
      <c r="AG9" s="122"/>
      <c r="AH9" s="122"/>
    </row>
    <row r="10" spans="1:34"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284</v>
      </c>
      <c r="G13" s="73">
        <v>165</v>
      </c>
      <c r="H13" s="73">
        <v>144</v>
      </c>
      <c r="I13" s="73">
        <v>115</v>
      </c>
      <c r="J13" s="73">
        <v>0</v>
      </c>
      <c r="K13" s="73">
        <v>172</v>
      </c>
      <c r="L13" s="64">
        <f>IFERROR(F13/G13-1,"n/a")</f>
        <v>0.72121212121212119</v>
      </c>
      <c r="M13" s="64">
        <f>IFERROR(F13/H13-1,"n/a")</f>
        <v>0.97222222222222232</v>
      </c>
      <c r="N13" s="64">
        <f>IFERROR(F13/I13-1,"n/a")</f>
        <v>1.4695652173913043</v>
      </c>
      <c r="O13" s="64" t="str">
        <f>IFERROR(F13/J13-1,"n/a")</f>
        <v>n/a</v>
      </c>
      <c r="P13" s="60">
        <f>IFERROR(F13/K13-1,"n/a")</f>
        <v>0.65116279069767447</v>
      </c>
      <c r="Q13" s="68">
        <f>'Oct-24'!Q13+F13</f>
        <v>2093</v>
      </c>
      <c r="R13" s="68">
        <f>'Oct-24'!R13+G13</f>
        <v>1401</v>
      </c>
      <c r="S13" s="68">
        <f>'Oct-24'!S13+H13</f>
        <v>1295</v>
      </c>
      <c r="T13" s="68">
        <f>'Oct-24'!T13+I13</f>
        <v>343</v>
      </c>
      <c r="U13" s="68">
        <f>'Oct-24'!U13+J13</f>
        <v>551</v>
      </c>
      <c r="V13" s="68">
        <f>'Oct-24'!V13+K13</f>
        <v>1384</v>
      </c>
      <c r="W13" s="64">
        <f>IFERROR(Q13/R13-1,"n/a")</f>
        <v>0.49393290506780874</v>
      </c>
      <c r="X13" s="64">
        <f>IFERROR(Q13/S13-1,"n/a")</f>
        <v>0.61621621621621614</v>
      </c>
      <c r="Y13" s="64">
        <f>IFERROR(Q13/T13-1,"n/a")</f>
        <v>5.1020408163265305</v>
      </c>
      <c r="Z13" s="64">
        <f>IFERROR(Q13/U13-1,"n/a")</f>
        <v>2.7985480943738659</v>
      </c>
      <c r="AA13" s="60">
        <f>IFERROR(Q13/V13-1,"n/a")</f>
        <v>0.51228323699421963</v>
      </c>
      <c r="AB13" s="68">
        <v>1630</v>
      </c>
      <c r="AC13" s="68">
        <v>1486</v>
      </c>
      <c r="AD13" s="68">
        <v>522</v>
      </c>
      <c r="AE13" s="68">
        <v>551</v>
      </c>
      <c r="AF13" s="134">
        <v>1591</v>
      </c>
      <c r="AG13" s="122"/>
      <c r="AH13" s="122"/>
    </row>
    <row r="14" spans="1:34" s="123" customFormat="1" ht="12.75">
      <c r="A14" s="122"/>
      <c r="B14" s="127"/>
      <c r="C14" s="33"/>
      <c r="D14" s="26" t="s">
        <v>11</v>
      </c>
      <c r="E14" s="32"/>
      <c r="F14" s="71">
        <v>776442</v>
      </c>
      <c r="G14" s="73">
        <v>497550</v>
      </c>
      <c r="H14" s="73">
        <v>410205</v>
      </c>
      <c r="I14" s="73">
        <v>185964</v>
      </c>
      <c r="J14" s="73">
        <v>0</v>
      </c>
      <c r="K14" s="73">
        <v>421184</v>
      </c>
      <c r="L14" s="64">
        <f>IFERROR(F14/G14-1,"n/a")</f>
        <v>0.56053059993970455</v>
      </c>
      <c r="M14" s="64">
        <f>IFERROR(F14/H14-1,"n/a")</f>
        <v>0.89281456832559325</v>
      </c>
      <c r="N14" s="64">
        <f>IFERROR(F14/I14-1,"n/a")</f>
        <v>3.1752274633800086</v>
      </c>
      <c r="O14" s="64" t="str">
        <f>IFERROR(F14/J14-1,"n/a")</f>
        <v>n/a</v>
      </c>
      <c r="P14" s="60">
        <f>IFERROR(F14/K14-1,"n/a")</f>
        <v>0.84347458592919011</v>
      </c>
      <c r="Q14" s="68">
        <f>'Oct-24'!Q14+F14</f>
        <v>6974408</v>
      </c>
      <c r="R14" s="68">
        <f>'Oct-24'!R14+G14</f>
        <v>4566256</v>
      </c>
      <c r="S14" s="68">
        <f>'Oct-24'!S14+H14</f>
        <v>3074094</v>
      </c>
      <c r="T14" s="68">
        <f>'Oct-24'!T14+I14</f>
        <v>509984</v>
      </c>
      <c r="U14" s="68">
        <f>'Oct-24'!U14+J14</f>
        <v>1092884</v>
      </c>
      <c r="V14" s="68">
        <f>'Oct-24'!V14+K14</f>
        <v>4064465</v>
      </c>
      <c r="W14" s="64">
        <f>IFERROR(Q14/R14-1,"n/a")</f>
        <v>0.52737998044787671</v>
      </c>
      <c r="X14" s="64">
        <f>IFERROR(Q14/S14-1,"n/a")</f>
        <v>1.2687686193070218</v>
      </c>
      <c r="Y14" s="64">
        <f>IFERROR(Q14/T14-1,"n/a")</f>
        <v>12.675738846708917</v>
      </c>
      <c r="Z14" s="64">
        <f>IFERROR(Q14/U14-1,"n/a")</f>
        <v>5.3816544116301452</v>
      </c>
      <c r="AA14" s="60">
        <f>IFERROR(Q14/V14-1,"n/a")</f>
        <v>0.71594736330611775</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59</v>
      </c>
      <c r="G16" s="73">
        <v>49</v>
      </c>
      <c r="H16" s="73">
        <v>27</v>
      </c>
      <c r="I16" s="73">
        <v>28</v>
      </c>
      <c r="J16" s="73">
        <v>10</v>
      </c>
      <c r="K16" s="73">
        <v>29</v>
      </c>
      <c r="L16" s="64">
        <f>IFERROR(F16/G16-1,"n/a")</f>
        <v>0.20408163265306123</v>
      </c>
      <c r="M16" s="64">
        <f>IFERROR(F16/H16-1,"n/a")</f>
        <v>1.1851851851851851</v>
      </c>
      <c r="N16" s="64">
        <f>IFERROR(F16/I16-1,"n/a")</f>
        <v>1.1071428571428572</v>
      </c>
      <c r="O16" s="64">
        <f>IFERROR(F16/J16-1,"n/a")</f>
        <v>4.9000000000000004</v>
      </c>
      <c r="P16" s="60">
        <f>IFERROR(F16/K16-1,"n/a")</f>
        <v>1.0344827586206895</v>
      </c>
      <c r="Q16" s="68">
        <f>'Oct-24'!Q16+F16</f>
        <v>780</v>
      </c>
      <c r="R16" s="68">
        <f>'Oct-24'!R16+G16</f>
        <v>562</v>
      </c>
      <c r="S16" s="68">
        <f>'Oct-24'!S16+H16</f>
        <v>567</v>
      </c>
      <c r="T16" s="68">
        <f>'Oct-24'!T16+I16</f>
        <v>197</v>
      </c>
      <c r="U16" s="68">
        <f>'Oct-24'!U16+J16</f>
        <v>48</v>
      </c>
      <c r="V16" s="68">
        <f>'Oct-24'!V16+K16</f>
        <v>546</v>
      </c>
      <c r="W16" s="64">
        <f>IFERROR(Q16/R16-1,"n/a")</f>
        <v>0.38790035587188609</v>
      </c>
      <c r="X16" s="64">
        <f>IFERROR(Q16/S16-1,"n/a")</f>
        <v>0.37566137566137559</v>
      </c>
      <c r="Y16" s="64">
        <f>IFERROR(Q16/T16-1,"n/a")</f>
        <v>2.9593908629441623</v>
      </c>
      <c r="Z16" s="64">
        <f>IFERROR(Q16/U16-1,"n/a")</f>
        <v>15.25</v>
      </c>
      <c r="AA16" s="60">
        <f>IFERROR(Q16/V16-1,"n/a")</f>
        <v>0.4285714285714286</v>
      </c>
      <c r="AB16" s="68">
        <v>575</v>
      </c>
      <c r="AC16" s="68">
        <v>572</v>
      </c>
      <c r="AD16" s="68">
        <v>202</v>
      </c>
      <c r="AE16" s="68">
        <v>54</v>
      </c>
      <c r="AF16" s="134">
        <v>586</v>
      </c>
      <c r="AG16" s="122"/>
      <c r="AH16" s="122"/>
    </row>
    <row r="17" spans="1:34" s="123" customFormat="1" ht="12.75">
      <c r="A17" s="122"/>
      <c r="B17" s="127"/>
      <c r="C17" s="33"/>
      <c r="D17" s="26" t="s">
        <v>11</v>
      </c>
      <c r="E17" s="32"/>
      <c r="F17" s="71">
        <v>100476</v>
      </c>
      <c r="G17" s="73">
        <v>98994</v>
      </c>
      <c r="H17" s="73">
        <v>51003</v>
      </c>
      <c r="I17" s="73">
        <v>29456</v>
      </c>
      <c r="J17" s="73">
        <v>4854</v>
      </c>
      <c r="K17" s="73">
        <v>37844</v>
      </c>
      <c r="L17" s="64">
        <f>IFERROR(F17/G17-1,"n/a")</f>
        <v>1.4970604279047173E-2</v>
      </c>
      <c r="M17" s="64">
        <f>IFERROR(F17/H17-1,"n/a")</f>
        <v>0.97000176460208221</v>
      </c>
      <c r="N17" s="64">
        <f>IFERROR(F17/I17-1,"n/a")</f>
        <v>2.4110537751222161</v>
      </c>
      <c r="O17" s="64">
        <f>IFERROR(F17/J17-1,"n/a")</f>
        <v>19.699629171817058</v>
      </c>
      <c r="P17" s="60">
        <f>IFERROR(F17/K17-1,"n/a")</f>
        <v>1.6550047563682484</v>
      </c>
      <c r="Q17" s="68">
        <f>'Oct-24'!Q17+F17</f>
        <v>2023574</v>
      </c>
      <c r="R17" s="68">
        <f>'Oct-24'!R17+G17</f>
        <v>1631924</v>
      </c>
      <c r="S17" s="68">
        <f>'Oct-24'!S17+H17</f>
        <v>947540</v>
      </c>
      <c r="T17" s="68">
        <f>'Oct-24'!T17+I17</f>
        <v>288787</v>
      </c>
      <c r="U17" s="68">
        <f>'Oct-24'!U17+J17</f>
        <v>68534</v>
      </c>
      <c r="V17" s="68">
        <f>'Oct-24'!V17+K17</f>
        <v>1342797</v>
      </c>
      <c r="W17" s="64">
        <f>IFERROR(Q17/R17-1,"n/a")</f>
        <v>0.2399927937820634</v>
      </c>
      <c r="X17" s="64">
        <f>IFERROR(Q17/S17-1,"n/a")</f>
        <v>1.1356079954408256</v>
      </c>
      <c r="Y17" s="64">
        <f>IFERROR(Q17/T17-1,"n/a")</f>
        <v>6.0071505988842988</v>
      </c>
      <c r="Z17" s="64">
        <f>IFERROR(Q17/U17-1,"n/a")</f>
        <v>28.52657075320279</v>
      </c>
      <c r="AA17" s="60">
        <f>IFERROR(Q17/V17-1,"n/a")</f>
        <v>0.50698430216927792</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25</v>
      </c>
      <c r="G19" s="73">
        <v>39</v>
      </c>
      <c r="H19" s="73">
        <v>39</v>
      </c>
      <c r="I19" s="73">
        <v>13</v>
      </c>
      <c r="J19" s="73">
        <v>1</v>
      </c>
      <c r="K19" s="73">
        <v>15</v>
      </c>
      <c r="L19" s="64">
        <f>IFERROR(F19/G19-1,"n/a")</f>
        <v>-0.35897435897435892</v>
      </c>
      <c r="M19" s="64">
        <f>IFERROR(F19/H19-1,"n/a")</f>
        <v>-0.35897435897435892</v>
      </c>
      <c r="N19" s="64">
        <f>IFERROR(F19/I19-1,"n/a")</f>
        <v>0.92307692307692313</v>
      </c>
      <c r="O19" s="64">
        <f>IFERROR(F19/J19-1,"n/a")</f>
        <v>24</v>
      </c>
      <c r="P19" s="60">
        <f>IFERROR(F19/K19-1,"n/a")</f>
        <v>0.66666666666666674</v>
      </c>
      <c r="Q19" s="68">
        <f>'Oct-24'!Q19+F19</f>
        <v>727</v>
      </c>
      <c r="R19" s="68">
        <f>'Oct-24'!R19+G19</f>
        <v>700</v>
      </c>
      <c r="S19" s="68">
        <f>'Oct-24'!S19+H19</f>
        <v>649</v>
      </c>
      <c r="T19" s="68">
        <f>'Oct-24'!T19+I19</f>
        <v>44</v>
      </c>
      <c r="U19" s="68">
        <f>'Oct-24'!U19+J19</f>
        <v>10</v>
      </c>
      <c r="V19" s="68">
        <f>'Oct-24'!V19+K19</f>
        <v>280</v>
      </c>
      <c r="W19" s="64">
        <f>IFERROR(Q19/R19-1,"n/a")</f>
        <v>3.8571428571428479E-2</v>
      </c>
      <c r="X19" s="64">
        <f>IFERROR(Q19/S19-1,"n/a")</f>
        <v>0.12018489984591674</v>
      </c>
      <c r="Y19" s="64">
        <f>IFERROR(Q19/T19-1,"n/a")</f>
        <v>15.522727272727273</v>
      </c>
      <c r="Z19" s="64">
        <f>IFERROR(Q19/U19-1,"n/a")</f>
        <v>71.7</v>
      </c>
      <c r="AA19" s="60">
        <f>IFERROR(Q19/V19-1,"n/a")</f>
        <v>1.5964285714285715</v>
      </c>
      <c r="AB19" s="68">
        <v>708</v>
      </c>
      <c r="AC19" s="68">
        <v>658</v>
      </c>
      <c r="AD19" s="68">
        <v>47</v>
      </c>
      <c r="AE19" s="68">
        <v>9</v>
      </c>
      <c r="AF19" s="134">
        <v>290</v>
      </c>
      <c r="AG19" s="122"/>
      <c r="AH19" s="122"/>
    </row>
    <row r="20" spans="1:34" s="123" customFormat="1" ht="12.75">
      <c r="A20" s="122"/>
      <c r="B20" s="127"/>
      <c r="C20" s="33"/>
      <c r="D20" s="26" t="s">
        <v>11</v>
      </c>
      <c r="E20" s="32"/>
      <c r="F20" s="71">
        <v>33600</v>
      </c>
      <c r="G20" s="73">
        <v>44881</v>
      </c>
      <c r="H20" s="73">
        <v>43590</v>
      </c>
      <c r="I20" s="73">
        <v>5685</v>
      </c>
      <c r="J20" s="73">
        <v>0</v>
      </c>
      <c r="K20" s="73">
        <v>20135</v>
      </c>
      <c r="L20" s="64">
        <f>IFERROR(F20/G20-1,"n/a")</f>
        <v>-0.25135357946569814</v>
      </c>
      <c r="M20" s="64">
        <f>IFERROR(F20/H20-1,"n/a")</f>
        <v>-0.22918100481761872</v>
      </c>
      <c r="N20" s="64">
        <f>IFERROR(F20/I20-1,"n/a")</f>
        <v>4.9102902374670183</v>
      </c>
      <c r="O20" s="64" t="str">
        <f>IFERROR(F20/J20-1,"n/a")</f>
        <v>n/a</v>
      </c>
      <c r="P20" s="60">
        <f>IFERROR(F20/K20-1,"n/a")</f>
        <v>0.66873603178544827</v>
      </c>
      <c r="Q20" s="68">
        <f>'Oct-24'!Q20+F20</f>
        <v>1488063.4</v>
      </c>
      <c r="R20" s="68">
        <f>'Oct-24'!R20+G20</f>
        <v>1270123</v>
      </c>
      <c r="S20" s="68">
        <f>'Oct-24'!S20+H20</f>
        <v>880732</v>
      </c>
      <c r="T20" s="68">
        <f>'Oct-24'!T20+I20</f>
        <v>16677</v>
      </c>
      <c r="U20" s="68">
        <f>'Oct-24'!U20+J20</f>
        <v>10047</v>
      </c>
      <c r="V20" s="68">
        <f>'Oct-24'!V20+K20</f>
        <v>575143</v>
      </c>
      <c r="W20" s="64">
        <f>IFERROR(Q20/R20-1,"n/a")</f>
        <v>0.17158999561459787</v>
      </c>
      <c r="X20" s="64">
        <f>IFERROR(Q20/S20-1,"n/a")</f>
        <v>0.68957571656304073</v>
      </c>
      <c r="Y20" s="64">
        <f>IFERROR(Q20/T20-1,"n/a")</f>
        <v>88.228482340948602</v>
      </c>
      <c r="Z20" s="64">
        <f>IFERROR(Q20/U20-1,"n/a")</f>
        <v>147.11022195680303</v>
      </c>
      <c r="AA20" s="60">
        <f>IFERROR(Q20/V20-1,"n/a")</f>
        <v>1.5872928993311226</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287</v>
      </c>
      <c r="G22" s="73">
        <v>210</v>
      </c>
      <c r="H22" s="73">
        <v>130</v>
      </c>
      <c r="I22" s="73">
        <v>67</v>
      </c>
      <c r="J22" s="73">
        <v>0</v>
      </c>
      <c r="K22" s="73">
        <v>95</v>
      </c>
      <c r="L22" s="64">
        <f>IFERROR(F22/G22-1,"n/a")</f>
        <v>0.3666666666666667</v>
      </c>
      <c r="M22" s="64">
        <f>IFERROR(F22/H22-1,"n/a")</f>
        <v>1.2076923076923078</v>
      </c>
      <c r="N22" s="64">
        <f>IFERROR(F22/I22-1,"n/a")</f>
        <v>3.2835820895522385</v>
      </c>
      <c r="O22" s="64" t="str">
        <f>IFERROR(F22/J22-1,"n/a")</f>
        <v>n/a</v>
      </c>
      <c r="P22" s="60">
        <f>IFERROR(F22/K22-1,"n/a")</f>
        <v>2.0210526315789474</v>
      </c>
      <c r="Q22" s="68">
        <f>'Oct-24'!Q22+F22</f>
        <v>1474</v>
      </c>
      <c r="R22" s="68">
        <f>'Oct-24'!R22+G22</f>
        <v>1371</v>
      </c>
      <c r="S22" s="68">
        <f>'Oct-24'!S22+H22</f>
        <v>827</v>
      </c>
      <c r="T22" s="68">
        <f>'Oct-24'!T22+I22</f>
        <v>258</v>
      </c>
      <c r="U22" s="68">
        <f>'Oct-24'!U22+J22</f>
        <v>43</v>
      </c>
      <c r="V22" s="68">
        <f>'Oct-24'!V22+K22</f>
        <v>807</v>
      </c>
      <c r="W22" s="64">
        <f>IFERROR(Q22/R22-1,"n/a")</f>
        <v>7.512764405543404E-2</v>
      </c>
      <c r="X22" s="64">
        <f>IFERROR(Q22/S22-1,"n/a")</f>
        <v>0.7823458282950424</v>
      </c>
      <c r="Y22" s="64">
        <f>IFERROR(Q22/T22-1,"n/a")</f>
        <v>4.7131782945736438</v>
      </c>
      <c r="Z22" s="64">
        <f>IFERROR(Q22/U22-1,"n/a")</f>
        <v>33.279069767441861</v>
      </c>
      <c r="AA22" s="60">
        <f>IFERROR(Q22/V22-1,"n/a")</f>
        <v>0.82651796778190834</v>
      </c>
      <c r="AB22" s="68">
        <v>1500</v>
      </c>
      <c r="AC22" s="68">
        <v>895</v>
      </c>
      <c r="AD22" s="68">
        <v>283</v>
      </c>
      <c r="AE22" s="68">
        <v>43</v>
      </c>
      <c r="AF22" s="134">
        <v>827</v>
      </c>
      <c r="AG22" s="122"/>
      <c r="AH22" s="122"/>
    </row>
    <row r="23" spans="1:34" s="123" customFormat="1" ht="12.75">
      <c r="A23" s="122"/>
      <c r="B23" s="127"/>
      <c r="C23" s="33"/>
      <c r="D23" s="26" t="s">
        <v>11</v>
      </c>
      <c r="E23" s="32"/>
      <c r="F23" s="71">
        <v>699889</v>
      </c>
      <c r="G23" s="73">
        <v>507202</v>
      </c>
      <c r="H23" s="73">
        <v>274849</v>
      </c>
      <c r="I23" s="73">
        <v>83507</v>
      </c>
      <c r="J23" s="73">
        <v>0</v>
      </c>
      <c r="K23" s="73">
        <v>263747</v>
      </c>
      <c r="L23" s="64">
        <f>IFERROR(F23/G23-1,"n/a")</f>
        <v>0.37990189313133627</v>
      </c>
      <c r="M23" s="64">
        <f>IFERROR(F23/H23-1,"n/a")</f>
        <v>1.5464491411647852</v>
      </c>
      <c r="N23" s="64">
        <f>IFERROR(F23/I23-1,"n/a")</f>
        <v>7.3812015759157923</v>
      </c>
      <c r="O23" s="64" t="str">
        <f>IFERROR(F23/J23-1,"n/a")</f>
        <v>n/a</v>
      </c>
      <c r="P23" s="60">
        <f>IFERROR(F23/K23-1,"n/a")</f>
        <v>1.6536377664959221</v>
      </c>
      <c r="Q23" s="68">
        <f>'Oct-24'!Q23+F23</f>
        <v>4563353</v>
      </c>
      <c r="R23" s="68">
        <f>'Oct-24'!R23+G23</f>
        <v>4074740</v>
      </c>
      <c r="S23" s="68">
        <f>'Oct-24'!S23+H23</f>
        <v>1945734</v>
      </c>
      <c r="T23" s="68">
        <f>'Oct-24'!T23+I23</f>
        <v>425895</v>
      </c>
      <c r="U23" s="68">
        <f>'Oct-24'!U23+J23</f>
        <v>140552</v>
      </c>
      <c r="V23" s="68">
        <f>'Oct-24'!V23+K23</f>
        <v>2493999</v>
      </c>
      <c r="W23" s="64">
        <f>IFERROR(Q23/R23-1,"n/a")</f>
        <v>0.11991268154532553</v>
      </c>
      <c r="X23" s="64">
        <f>IFERROR(Q23/S23-1,"n/a")</f>
        <v>1.3453118463263736</v>
      </c>
      <c r="Y23" s="64">
        <f>IFERROR(Q23/T23-1,"n/a")</f>
        <v>9.7147372004836878</v>
      </c>
      <c r="Z23" s="64">
        <f>IFERROR(Q23/U23-1,"n/a")</f>
        <v>31.467364391826514</v>
      </c>
      <c r="AA23" s="60">
        <f>IFERROR(Q23/V23-1,"n/a")</f>
        <v>0.82973329179362132</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0</v>
      </c>
      <c r="G25" s="73">
        <v>0</v>
      </c>
      <c r="H25" s="73">
        <v>0</v>
      </c>
      <c r="I25" s="73">
        <v>0</v>
      </c>
      <c r="J25" s="73">
        <v>0</v>
      </c>
      <c r="K25" s="73">
        <v>0</v>
      </c>
      <c r="L25" s="64" t="str">
        <f>IFERROR(F25/G25-1,"n/a")</f>
        <v>n/a</v>
      </c>
      <c r="M25" s="64" t="str">
        <f>IFERROR(F25/H25-1,"n/a")</f>
        <v>n/a</v>
      </c>
      <c r="N25" s="64" t="str">
        <f>IFERROR(F25/I25-1,"n/a")</f>
        <v>n/a</v>
      </c>
      <c r="O25" s="64" t="str">
        <f>IFERROR(F25/J25-1,"n/a")</f>
        <v>n/a</v>
      </c>
      <c r="P25" s="60" t="str">
        <f>IFERROR(F25/K25-1,"n/a")</f>
        <v>n/a</v>
      </c>
      <c r="Q25" s="68">
        <f>'Oct-24'!Q25+F25</f>
        <v>14</v>
      </c>
      <c r="R25" s="68">
        <f>'Oct-24'!R25+G25</f>
        <v>21</v>
      </c>
      <c r="S25" s="68">
        <f>'Oct-24'!S25+H25</f>
        <v>9</v>
      </c>
      <c r="T25" s="68">
        <f>'Oct-24'!T25+I25</f>
        <v>0</v>
      </c>
      <c r="U25" s="68">
        <f>'Oct-24'!U25+J25</f>
        <v>0</v>
      </c>
      <c r="V25" s="68">
        <f>'Oct-24'!V25+K25</f>
        <v>16</v>
      </c>
      <c r="W25" s="64">
        <f>IFERROR(Q25/R25-1,"n/a")</f>
        <v>-0.33333333333333337</v>
      </c>
      <c r="X25" s="64">
        <f>IFERROR(Q25/S25-1,"n/a")</f>
        <v>0.55555555555555558</v>
      </c>
      <c r="Y25" s="64" t="str">
        <f>IFERROR(Q25/T25-1,"n/a")</f>
        <v>n/a</v>
      </c>
      <c r="Z25" s="64" t="str">
        <f>IFERROR(Q25/U25-1,"n/a")</f>
        <v>n/a</v>
      </c>
      <c r="AA25" s="60">
        <f>IFERROR(Q25/V25-1,"n/a")</f>
        <v>-0.125</v>
      </c>
      <c r="AB25" s="68">
        <v>21</v>
      </c>
      <c r="AC25" s="68">
        <v>9</v>
      </c>
      <c r="AD25" s="68">
        <v>0</v>
      </c>
      <c r="AE25" s="68">
        <v>0</v>
      </c>
      <c r="AF25" s="134">
        <v>16</v>
      </c>
      <c r="AG25" s="122"/>
      <c r="AH25" s="122"/>
    </row>
    <row r="26" spans="1:34" s="123" customFormat="1" ht="12.75">
      <c r="A26" s="122"/>
      <c r="B26" s="127"/>
      <c r="C26" s="33"/>
      <c r="D26" s="26" t="s">
        <v>11</v>
      </c>
      <c r="E26" s="32"/>
      <c r="F26" s="71">
        <v>0</v>
      </c>
      <c r="G26" s="73">
        <v>0</v>
      </c>
      <c r="H26" s="73">
        <v>0</v>
      </c>
      <c r="I26" s="73">
        <v>0</v>
      </c>
      <c r="J26" s="73">
        <v>0</v>
      </c>
      <c r="K26" s="73">
        <v>0</v>
      </c>
      <c r="L26" s="64" t="str">
        <f>IFERROR(F26/G26-1,"n/a")</f>
        <v>n/a</v>
      </c>
      <c r="M26" s="64" t="str">
        <f>IFERROR(F26/H26-1,"n/a")</f>
        <v>n/a</v>
      </c>
      <c r="N26" s="64" t="str">
        <f>IFERROR(F26/I26-1,"n/a")</f>
        <v>n/a</v>
      </c>
      <c r="O26" s="64" t="str">
        <f>IFERROR(F26/J26-1,"n/a")</f>
        <v>n/a</v>
      </c>
      <c r="P26" s="60" t="str">
        <f>IFERROR(F26/K26-1,"n/a")</f>
        <v>n/a</v>
      </c>
      <c r="Q26" s="68">
        <f>'Oct-24'!Q26+F26</f>
        <v>47798</v>
      </c>
      <c r="R26" s="68">
        <f>'Oct-24'!R26+G26</f>
        <v>38626</v>
      </c>
      <c r="S26" s="68">
        <f>'Oct-24'!S26+H26</f>
        <v>15637</v>
      </c>
      <c r="T26" s="68">
        <f>'Oct-24'!T26+I26</f>
        <v>0</v>
      </c>
      <c r="U26" s="68">
        <f>'Oct-24'!U26+J26</f>
        <v>0</v>
      </c>
      <c r="V26" s="68">
        <f>'Oct-24'!V26+K26</f>
        <v>20248</v>
      </c>
      <c r="W26" s="64">
        <f>IFERROR(Q26/R26-1,"n/a")</f>
        <v>0.23745663542691453</v>
      </c>
      <c r="X26" s="64">
        <f>IFERROR(Q26/S26-1,"n/a")</f>
        <v>2.0567244356334333</v>
      </c>
      <c r="Y26" s="64" t="str">
        <f>IFERROR(Q26/T26-1,"n/a")</f>
        <v>n/a</v>
      </c>
      <c r="Z26" s="64" t="str">
        <f>IFERROR(Q26/U26-1,"n/a")</f>
        <v>n/a</v>
      </c>
      <c r="AA26" s="60">
        <f>IFERROR(Q26/V26-1,"n/a")</f>
        <v>1.3606282101935996</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655</v>
      </c>
      <c r="G27" s="75">
        <f t="shared" si="0"/>
        <v>463</v>
      </c>
      <c r="H27" s="75">
        <f t="shared" si="0"/>
        <v>340</v>
      </c>
      <c r="I27" s="75">
        <f t="shared" si="0"/>
        <v>223</v>
      </c>
      <c r="J27" s="75">
        <f t="shared" si="0"/>
        <v>11</v>
      </c>
      <c r="K27" s="75">
        <f t="shared" si="0"/>
        <v>311</v>
      </c>
      <c r="L27" s="66">
        <f>IFERROR(F27/G27-1,"n/a")</f>
        <v>0.41468682505399568</v>
      </c>
      <c r="M27" s="66">
        <f>IFERROR(F27/H27-1,"n/a")</f>
        <v>0.92647058823529416</v>
      </c>
      <c r="N27" s="66">
        <f>IFERROR(F27/I27-1,"n/a")</f>
        <v>1.9372197309417039</v>
      </c>
      <c r="O27" s="66">
        <f>IFERROR(F27/J27-1,"n/a")</f>
        <v>58.545454545454547</v>
      </c>
      <c r="P27" s="62">
        <f>IFERROR(F27/K27-1,"n/a")</f>
        <v>1.1061093247588425</v>
      </c>
      <c r="Q27" s="75">
        <f t="shared" ref="Q27:V28" si="1">Q13+Q16+Q19+Q22+Q25</f>
        <v>5088</v>
      </c>
      <c r="R27" s="75">
        <f t="shared" si="1"/>
        <v>4055</v>
      </c>
      <c r="S27" s="75">
        <f t="shared" si="1"/>
        <v>3347</v>
      </c>
      <c r="T27" s="75">
        <f t="shared" si="1"/>
        <v>842</v>
      </c>
      <c r="U27" s="75">
        <f t="shared" si="1"/>
        <v>652</v>
      </c>
      <c r="V27" s="75">
        <f t="shared" si="1"/>
        <v>3033</v>
      </c>
      <c r="W27" s="66">
        <f>IFERROR(Q27/R27-1,"n/a")</f>
        <v>0.25474722564734886</v>
      </c>
      <c r="X27" s="66">
        <f>IFERROR(Q27/S27-1,"n/a")</f>
        <v>0.52016731401254845</v>
      </c>
      <c r="Y27" s="66">
        <f>IFERROR(Q27/T27-1,"n/a")</f>
        <v>5.042755344418052</v>
      </c>
      <c r="Z27" s="66">
        <f>IFERROR(Q27/U27-1,"n/a")</f>
        <v>6.8036809815950923</v>
      </c>
      <c r="AA27" s="62">
        <f>IFERROR(Q27/V27-1,"n/a")</f>
        <v>0.67754698318496542</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1610407</v>
      </c>
      <c r="G28" s="76">
        <f t="shared" si="0"/>
        <v>1148627</v>
      </c>
      <c r="H28" s="76">
        <f t="shared" si="0"/>
        <v>779647</v>
      </c>
      <c r="I28" s="76">
        <f t="shared" si="0"/>
        <v>304612</v>
      </c>
      <c r="J28" s="76">
        <f t="shared" si="0"/>
        <v>4854</v>
      </c>
      <c r="K28" s="76">
        <f t="shared" si="0"/>
        <v>742910</v>
      </c>
      <c r="L28" s="67">
        <f>IFERROR(F28/G28-1,"n/a")</f>
        <v>0.40202781233594553</v>
      </c>
      <c r="M28" s="67">
        <f>IFERROR(F28/H28-1,"n/a")</f>
        <v>1.0655591569004947</v>
      </c>
      <c r="N28" s="67">
        <f>IFERROR(F28/I28-1,"n/a")</f>
        <v>4.286748388113403</v>
      </c>
      <c r="O28" s="67">
        <f>IFERROR(F28/J28-1,"n/a")</f>
        <v>330.76905644829009</v>
      </c>
      <c r="P28" s="63">
        <f>IFERROR(F28/K28-1,"n/a")</f>
        <v>1.1677013366356626</v>
      </c>
      <c r="Q28" s="76">
        <f t="shared" si="1"/>
        <v>15097196.4</v>
      </c>
      <c r="R28" s="76">
        <f t="shared" si="1"/>
        <v>11581669</v>
      </c>
      <c r="S28" s="76">
        <f t="shared" si="1"/>
        <v>6863737</v>
      </c>
      <c r="T28" s="76">
        <f t="shared" si="1"/>
        <v>1241343</v>
      </c>
      <c r="U28" s="76">
        <f t="shared" si="1"/>
        <v>1312017</v>
      </c>
      <c r="V28" s="76">
        <f t="shared" si="1"/>
        <v>8496652</v>
      </c>
      <c r="W28" s="67">
        <f>IFERROR(Q28/R28-1,"n/a")</f>
        <v>0.30354238236302566</v>
      </c>
      <c r="X28" s="67">
        <f>IFERROR(Q28/S28-1,"n/a")</f>
        <v>1.199559277985156</v>
      </c>
      <c r="Y28" s="67">
        <f>IFERROR(Q28/T28-1,"n/a")</f>
        <v>11.161986171428849</v>
      </c>
      <c r="Z28" s="67">
        <f>IFERROR(Q28/U28-1,"n/a")</f>
        <v>10.5068603531814</v>
      </c>
      <c r="AA28" s="63">
        <f>IFERROR(Q28/V28-1,"n/a")</f>
        <v>0.77684061910503099</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8"/>
      <c r="S29" s="128"/>
      <c r="T29" s="128"/>
      <c r="U29" s="128"/>
      <c r="V29" s="128"/>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8"/>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November</v>
      </c>
      <c r="G33" s="170"/>
      <c r="H33" s="170"/>
      <c r="I33" s="170"/>
      <c r="J33" s="170"/>
      <c r="K33" s="170"/>
      <c r="L33" s="170"/>
      <c r="M33" s="170"/>
      <c r="N33" s="170"/>
      <c r="O33" s="170"/>
      <c r="P33" s="171"/>
      <c r="Q33" s="176" t="s">
        <v>137</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F38" si="3">F13</f>
        <v>284</v>
      </c>
      <c r="G37" s="74">
        <f t="shared" ref="G37:K38" si="4">+G13</f>
        <v>165</v>
      </c>
      <c r="H37" s="74">
        <f t="shared" si="4"/>
        <v>144</v>
      </c>
      <c r="I37" s="74">
        <f t="shared" si="4"/>
        <v>115</v>
      </c>
      <c r="J37" s="74">
        <f t="shared" si="4"/>
        <v>0</v>
      </c>
      <c r="K37" s="74">
        <f t="shared" si="4"/>
        <v>172</v>
      </c>
      <c r="L37" s="64">
        <f>IFERROR(F37/G37-1,"n/a")</f>
        <v>0.72121212121212119</v>
      </c>
      <c r="M37" s="64">
        <f>IFERROR(F37/H37-1,"n/a")</f>
        <v>0.97222222222222232</v>
      </c>
      <c r="N37" s="64">
        <f>IFERROR(F37/I37-1,"n/a")</f>
        <v>1.4695652173913043</v>
      </c>
      <c r="O37" s="64" t="str">
        <f>IFERROR(F37/J37-1,"n/a")</f>
        <v>n/a</v>
      </c>
      <c r="P37" s="60">
        <f>IFERROR(F37/K37-1,"n/a")</f>
        <v>0.65116279069767447</v>
      </c>
      <c r="Q37" s="74">
        <f>'Oct-24'!Q37+F37</f>
        <v>1391</v>
      </c>
      <c r="R37" s="74">
        <f>'Oct-24'!R37+G37</f>
        <v>871</v>
      </c>
      <c r="S37" s="74">
        <f>'Oct-24'!S37+H37</f>
        <v>765</v>
      </c>
      <c r="T37" s="74">
        <f>'Oct-24'!T37+I37</f>
        <v>343</v>
      </c>
      <c r="U37" s="74">
        <f>'Oct-24'!U37+J37</f>
        <v>42</v>
      </c>
      <c r="V37" s="74">
        <f>'Oct-24'!V37+K37</f>
        <v>868</v>
      </c>
      <c r="W37" s="147">
        <f>IFERROR(Q37/R37-1,"n/a")</f>
        <v>0.59701492537313428</v>
      </c>
      <c r="X37" s="147">
        <f>IFERROR(R37/S37-1,"n/a")</f>
        <v>0.13856209150326793</v>
      </c>
      <c r="Y37" s="147">
        <f>IFERROR(R37/T37-1,"n/a")</f>
        <v>1.5393586005830904</v>
      </c>
      <c r="Z37" s="147">
        <f>IFERROR(R37/U37-1,"n/a")</f>
        <v>19.738095238095237</v>
      </c>
      <c r="AA37" s="158">
        <f>IFERROR(R37/V37-1,"n/a")</f>
        <v>3.4562211981565838E-3</v>
      </c>
      <c r="AB37" s="147"/>
      <c r="AC37" s="89">
        <v>1486</v>
      </c>
      <c r="AD37" s="89">
        <v>1052</v>
      </c>
      <c r="AE37" s="70">
        <v>551</v>
      </c>
      <c r="AF37" s="78">
        <v>1584</v>
      </c>
      <c r="AH37" s="122"/>
    </row>
    <row r="38" spans="1:34" s="123" customFormat="1" ht="11.25">
      <c r="A38" s="122"/>
      <c r="B38" s="122"/>
      <c r="C38" s="33"/>
      <c r="D38" s="26" t="s">
        <v>11</v>
      </c>
      <c r="E38" s="32"/>
      <c r="F38" s="74">
        <f t="shared" si="3"/>
        <v>776442</v>
      </c>
      <c r="G38" s="74">
        <f t="shared" si="4"/>
        <v>497550</v>
      </c>
      <c r="H38" s="74">
        <f t="shared" si="4"/>
        <v>410205</v>
      </c>
      <c r="I38" s="74">
        <f t="shared" si="4"/>
        <v>185964</v>
      </c>
      <c r="J38" s="74">
        <f t="shared" si="4"/>
        <v>0</v>
      </c>
      <c r="K38" s="74">
        <f t="shared" si="4"/>
        <v>421184</v>
      </c>
      <c r="L38" s="64">
        <f>IFERROR(F38/G38-1,"n/a")</f>
        <v>0.56053059993970455</v>
      </c>
      <c r="M38" s="64">
        <f>IFERROR(F38/H38-1,"n/a")</f>
        <v>0.89281456832559325</v>
      </c>
      <c r="N38" s="64">
        <f>IFERROR(F38/I38-1,"n/a")</f>
        <v>3.1752274633800086</v>
      </c>
      <c r="O38" s="64" t="str">
        <f>IFERROR(F38/J38-1,"n/a")</f>
        <v>n/a</v>
      </c>
      <c r="P38" s="60">
        <f>IFERROR(F38/K38-1,"n/a")</f>
        <v>0.84347458592919011</v>
      </c>
      <c r="Q38" s="74">
        <f>'Oct-24'!Q38+F38</f>
        <v>4820584</v>
      </c>
      <c r="R38" s="74">
        <f>'Oct-24'!R38+G38</f>
        <v>3028072</v>
      </c>
      <c r="S38" s="74">
        <f>'Oct-24'!S38+H38</f>
        <v>2314436</v>
      </c>
      <c r="T38" s="74">
        <f>'Oct-24'!T38+I38</f>
        <v>509984</v>
      </c>
      <c r="U38" s="74">
        <f>'Oct-24'!U38+J38</f>
        <v>0</v>
      </c>
      <c r="V38" s="74">
        <f>'Oct-24'!V38+K38</f>
        <v>2613361</v>
      </c>
      <c r="W38" s="147">
        <f>IFERROR(Q38/R38-1,"n/a")</f>
        <v>0.5919647881556318</v>
      </c>
      <c r="X38" s="147">
        <f>IFERROR(R38/S38-1,"n/a")</f>
        <v>0.30834121142256699</v>
      </c>
      <c r="Y38" s="147">
        <f>IFERROR(R38/T38-1,"n/a")</f>
        <v>4.9375823555248788</v>
      </c>
      <c r="Z38" s="147" t="str">
        <f>IFERROR(R38/U38-1,"n/a")</f>
        <v>n/a</v>
      </c>
      <c r="AA38" s="158">
        <f>IFERROR(R38/V38-1,"n/a")</f>
        <v>0.15868875367773527</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148"/>
      <c r="X39" s="148"/>
      <c r="Y39" s="148"/>
      <c r="Z39" s="148"/>
      <c r="AA39" s="159"/>
      <c r="AB39" s="148"/>
      <c r="AC39" s="90"/>
      <c r="AD39" s="90"/>
      <c r="AE39" s="44"/>
      <c r="AF39" s="79"/>
      <c r="AH39" s="122"/>
    </row>
    <row r="40" spans="1:34" s="123" customFormat="1" ht="11.25">
      <c r="A40" s="122"/>
      <c r="B40" s="122"/>
      <c r="C40" s="33"/>
      <c r="D40" s="26" t="s">
        <v>5</v>
      </c>
      <c r="E40" s="32"/>
      <c r="F40" s="74">
        <f t="shared" ref="F40:F41" si="5">F16</f>
        <v>59</v>
      </c>
      <c r="G40" s="74">
        <f t="shared" ref="G40:K41" si="6">+G16</f>
        <v>49</v>
      </c>
      <c r="H40" s="74">
        <f t="shared" si="6"/>
        <v>27</v>
      </c>
      <c r="I40" s="74">
        <f t="shared" si="6"/>
        <v>28</v>
      </c>
      <c r="J40" s="74">
        <f t="shared" si="6"/>
        <v>10</v>
      </c>
      <c r="K40" s="74">
        <f t="shared" si="6"/>
        <v>29</v>
      </c>
      <c r="L40" s="64">
        <f>IFERROR(F40/G40-1,"n/a")</f>
        <v>0.20408163265306123</v>
      </c>
      <c r="M40" s="64">
        <f>IFERROR(F40/H40-1,"n/a")</f>
        <v>1.1851851851851851</v>
      </c>
      <c r="N40" s="64">
        <f>IFERROR(F40/I40-1,"n/a")</f>
        <v>1.1071428571428572</v>
      </c>
      <c r="O40" s="64">
        <f>IFERROR(F40/J40-1,"n/a")</f>
        <v>4.9000000000000004</v>
      </c>
      <c r="P40" s="60">
        <f>IFERROR(F40/K40-1,"n/a")</f>
        <v>1.0344827586206895</v>
      </c>
      <c r="Q40" s="74">
        <f>'Oct-24'!Q40+F40</f>
        <v>743</v>
      </c>
      <c r="R40" s="74">
        <f>'Oct-24'!R40+G40</f>
        <v>535</v>
      </c>
      <c r="S40" s="74">
        <f>'Oct-24'!S40+H40</f>
        <v>531</v>
      </c>
      <c r="T40" s="74">
        <f>'Oct-24'!T40+I40</f>
        <v>185</v>
      </c>
      <c r="U40" s="74">
        <f>'Oct-24'!U40+J40</f>
        <v>38</v>
      </c>
      <c r="V40" s="74">
        <f>'Oct-24'!V40+K40</f>
        <v>523</v>
      </c>
      <c r="W40" s="147">
        <f>IFERROR(Q40/R40-1,"n/a")</f>
        <v>0.38878504672897196</v>
      </c>
      <c r="X40" s="147">
        <f>IFERROR(R40/S40-1,"n/a")</f>
        <v>7.532956685499137E-3</v>
      </c>
      <c r="Y40" s="147">
        <f>IFERROR(R40/T40-1,"n/a")</f>
        <v>1.8918918918918921</v>
      </c>
      <c r="Z40" s="147">
        <f>IFERROR(R40/U40-1,"n/a")</f>
        <v>13.078947368421053</v>
      </c>
      <c r="AA40" s="158">
        <f>IFERROR(R40/V40-1,"n/a")</f>
        <v>2.2944550669216079E-2</v>
      </c>
      <c r="AB40" s="147"/>
      <c r="AC40" s="89">
        <v>563</v>
      </c>
      <c r="AD40" s="89">
        <v>226</v>
      </c>
      <c r="AE40" s="70">
        <v>66</v>
      </c>
      <c r="AF40" s="78">
        <v>573</v>
      </c>
      <c r="AH40" s="122"/>
    </row>
    <row r="41" spans="1:34" s="123" customFormat="1" ht="11.25">
      <c r="A41" s="122"/>
      <c r="B41" s="122"/>
      <c r="C41" s="33"/>
      <c r="D41" s="26" t="s">
        <v>11</v>
      </c>
      <c r="E41" s="32"/>
      <c r="F41" s="74">
        <f t="shared" si="5"/>
        <v>100476</v>
      </c>
      <c r="G41" s="74">
        <f t="shared" si="6"/>
        <v>98994</v>
      </c>
      <c r="H41" s="74">
        <f t="shared" si="6"/>
        <v>51003</v>
      </c>
      <c r="I41" s="74">
        <f t="shared" si="6"/>
        <v>29456</v>
      </c>
      <c r="J41" s="74">
        <f t="shared" si="6"/>
        <v>4854</v>
      </c>
      <c r="K41" s="74">
        <f t="shared" si="6"/>
        <v>37844</v>
      </c>
      <c r="L41" s="64">
        <f>IFERROR(F41/G41-1,"n/a")</f>
        <v>1.4970604279047173E-2</v>
      </c>
      <c r="M41" s="64">
        <f>IFERROR(F41/H41-1,"n/a")</f>
        <v>0.97000176460208221</v>
      </c>
      <c r="N41" s="64">
        <f>IFERROR(F41/I41-1,"n/a")</f>
        <v>2.4110537751222161</v>
      </c>
      <c r="O41" s="64">
        <f>IFERROR(F41/J41-1,"n/a")</f>
        <v>19.699629171817058</v>
      </c>
      <c r="P41" s="60">
        <f>IFERROR(F41/K41-1,"n/a")</f>
        <v>1.6550047563682484</v>
      </c>
      <c r="Q41" s="74">
        <f>'Oct-24'!Q41+F41</f>
        <v>1893000</v>
      </c>
      <c r="R41" s="74">
        <f>'Oct-24'!R41+G41</f>
        <v>1548869</v>
      </c>
      <c r="S41" s="74">
        <f>'Oct-24'!S41+H41</f>
        <v>911032</v>
      </c>
      <c r="T41" s="74">
        <f>'Oct-24'!T41+I41</f>
        <v>278684</v>
      </c>
      <c r="U41" s="74">
        <f>'Oct-24'!U41+J41</f>
        <v>27421</v>
      </c>
      <c r="V41" s="74">
        <f>'Oct-24'!V41+K41</f>
        <v>1262423</v>
      </c>
      <c r="W41" s="147">
        <f>IFERROR(Q41/R41-1,"n/a")</f>
        <v>0.2221821212768802</v>
      </c>
      <c r="X41" s="147">
        <f>IFERROR(R41/S41-1,"n/a")</f>
        <v>0.70012579141018105</v>
      </c>
      <c r="Y41" s="147">
        <f>IFERROR(R41/T41-1,"n/a")</f>
        <v>4.5577966442278708</v>
      </c>
      <c r="Z41" s="147">
        <f>IFERROR(R41/U41-1,"n/a")</f>
        <v>55.484774442945188</v>
      </c>
      <c r="AA41" s="158">
        <f>IFERROR(R41/V41-1,"n/a")</f>
        <v>0.22690175955285996</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87"/>
      <c r="L42" s="64"/>
      <c r="M42" s="64"/>
      <c r="N42" s="64"/>
      <c r="O42" s="64"/>
      <c r="P42" s="60"/>
      <c r="Q42" s="87"/>
      <c r="R42" s="87"/>
      <c r="S42" s="87"/>
      <c r="T42" s="87"/>
      <c r="U42" s="87"/>
      <c r="V42" s="72"/>
      <c r="W42" s="147"/>
      <c r="X42" s="147"/>
      <c r="Y42" s="147"/>
      <c r="Z42" s="147"/>
      <c r="AA42" s="158"/>
      <c r="AB42" s="147"/>
      <c r="AC42" s="90"/>
      <c r="AD42" s="90"/>
      <c r="AE42" s="44"/>
      <c r="AF42" s="79"/>
      <c r="AH42" s="122"/>
    </row>
    <row r="43" spans="1:34" s="123" customFormat="1" ht="11.25">
      <c r="A43" s="122"/>
      <c r="B43" s="122"/>
      <c r="C43" s="33"/>
      <c r="D43" s="26" t="s">
        <v>5</v>
      </c>
      <c r="E43" s="32"/>
      <c r="F43" s="74">
        <f t="shared" ref="F43:F44" si="7">F19</f>
        <v>25</v>
      </c>
      <c r="G43" s="74">
        <f t="shared" ref="G43:K44" si="8">+G19</f>
        <v>39</v>
      </c>
      <c r="H43" s="74">
        <f t="shared" si="8"/>
        <v>39</v>
      </c>
      <c r="I43" s="74">
        <f t="shared" si="8"/>
        <v>13</v>
      </c>
      <c r="J43" s="74">
        <f t="shared" si="8"/>
        <v>1</v>
      </c>
      <c r="K43" s="74">
        <f t="shared" si="8"/>
        <v>15</v>
      </c>
      <c r="L43" s="64">
        <f>IFERROR(F43/G43-1,"n/a")</f>
        <v>-0.35897435897435892</v>
      </c>
      <c r="M43" s="64">
        <f>IFERROR(F43/H43-1,"n/a")</f>
        <v>-0.35897435897435892</v>
      </c>
      <c r="N43" s="64">
        <f>IFERROR(F43/I43-1,"n/a")</f>
        <v>0.92307692307692313</v>
      </c>
      <c r="O43" s="64">
        <f>IFERROR(F43/J43-1,"n/a")</f>
        <v>24</v>
      </c>
      <c r="P43" s="60">
        <f>IFERROR(F43/K43-1,"n/a")</f>
        <v>0.66666666666666674</v>
      </c>
      <c r="Q43" s="74">
        <f>'Oct-24'!Q43+F43</f>
        <v>700</v>
      </c>
      <c r="R43" s="74">
        <f>'Oct-24'!R43+G43</f>
        <v>677</v>
      </c>
      <c r="S43" s="74">
        <f>'Oct-24'!S43+H43</f>
        <v>637</v>
      </c>
      <c r="T43" s="74">
        <f>'Oct-24'!T43+I43</f>
        <v>44</v>
      </c>
      <c r="U43" s="74">
        <f>'Oct-24'!U43+J43</f>
        <v>7</v>
      </c>
      <c r="V43" s="74">
        <f>'Oct-24'!V43+K43</f>
        <v>274</v>
      </c>
      <c r="W43" s="147">
        <f>IFERROR(Q43/R43-1,"n/a")</f>
        <v>3.3973412112259904E-2</v>
      </c>
      <c r="X43" s="147">
        <f>IFERROR(R43/S43-1,"n/a")</f>
        <v>6.279434850863419E-2</v>
      </c>
      <c r="Y43" s="147">
        <f>IFERROR(R43/T43-1,"n/a")</f>
        <v>14.386363636363637</v>
      </c>
      <c r="Z43" s="147">
        <f>IFERROR(R43/U43-1,"n/a")</f>
        <v>95.714285714285708</v>
      </c>
      <c r="AA43" s="158">
        <f>IFERROR(R43/V43-1,"n/a")</f>
        <v>1.4708029197080292</v>
      </c>
      <c r="AB43" s="147"/>
      <c r="AC43" s="89">
        <v>669</v>
      </c>
      <c r="AD43" s="89">
        <v>59</v>
      </c>
      <c r="AE43" s="70">
        <v>9</v>
      </c>
      <c r="AF43" s="78">
        <v>287</v>
      </c>
      <c r="AH43" s="122"/>
    </row>
    <row r="44" spans="1:34" s="123" customFormat="1" ht="11.25">
      <c r="A44" s="122"/>
      <c r="B44" s="122"/>
      <c r="C44" s="33"/>
      <c r="D44" s="26" t="s">
        <v>11</v>
      </c>
      <c r="E44" s="32"/>
      <c r="F44" s="74">
        <f t="shared" si="7"/>
        <v>33600</v>
      </c>
      <c r="G44" s="74">
        <f t="shared" si="8"/>
        <v>44881</v>
      </c>
      <c r="H44" s="74">
        <f t="shared" si="8"/>
        <v>43590</v>
      </c>
      <c r="I44" s="74">
        <f t="shared" si="8"/>
        <v>5685</v>
      </c>
      <c r="J44" s="74">
        <f t="shared" si="8"/>
        <v>0</v>
      </c>
      <c r="K44" s="74">
        <f t="shared" si="8"/>
        <v>20135</v>
      </c>
      <c r="L44" s="64">
        <f>IFERROR(F44/G44-1,"n/a")</f>
        <v>-0.25135357946569814</v>
      </c>
      <c r="M44" s="64">
        <f>IFERROR(F44/H44-1,"n/a")</f>
        <v>-0.22918100481761872</v>
      </c>
      <c r="N44" s="64">
        <f>IFERROR(F44/I44-1,"n/a")</f>
        <v>4.9102902374670183</v>
      </c>
      <c r="O44" s="64" t="str">
        <f>IFERROR(F44/J44-1,"n/a")</f>
        <v>n/a</v>
      </c>
      <c r="P44" s="60">
        <f>IFERROR(F44/K44-1,"n/a")</f>
        <v>0.66873603178544827</v>
      </c>
      <c r="Q44" s="74">
        <f>'Oct-24'!Q44+F44</f>
        <v>1448322.4</v>
      </c>
      <c r="R44" s="74">
        <f>'Oct-24'!R44+G44</f>
        <v>1249277</v>
      </c>
      <c r="S44" s="74">
        <f>'Oct-24'!S44+H44</f>
        <v>877647</v>
      </c>
      <c r="T44" s="74">
        <f>'Oct-24'!T44+I44</f>
        <v>16677</v>
      </c>
      <c r="U44" s="74">
        <f>'Oct-24'!U44+J44</f>
        <v>8294</v>
      </c>
      <c r="V44" s="74">
        <f>'Oct-24'!V44+K44</f>
        <v>568659</v>
      </c>
      <c r="W44" s="147">
        <f>IFERROR(Q44/R44-1,"n/a")</f>
        <v>0.15932847559028129</v>
      </c>
      <c r="X44" s="147">
        <f>IFERROR(R44/S44-1,"n/a")</f>
        <v>0.42343903642352787</v>
      </c>
      <c r="Y44" s="147">
        <f>IFERROR(R44/T44-1,"n/a")</f>
        <v>73.91017569107153</v>
      </c>
      <c r="Z44" s="147">
        <f>IFERROR(R44/U44-1,"n/a")</f>
        <v>149.62418615866892</v>
      </c>
      <c r="AA44" s="158">
        <f>IFERROR(R44/V44-1,"n/a")</f>
        <v>1.1968824902094224</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147"/>
      <c r="X45" s="147"/>
      <c r="Y45" s="147"/>
      <c r="Z45" s="147"/>
      <c r="AA45" s="158"/>
      <c r="AB45" s="147"/>
      <c r="AC45" s="90"/>
      <c r="AD45" s="90"/>
      <c r="AE45" s="44"/>
      <c r="AF45" s="79"/>
      <c r="AH45" s="122"/>
    </row>
    <row r="46" spans="1:34" s="123" customFormat="1" ht="11.25">
      <c r="A46" s="122"/>
      <c r="B46" s="122"/>
      <c r="C46" s="33"/>
      <c r="D46" s="26" t="s">
        <v>5</v>
      </c>
      <c r="E46" s="34"/>
      <c r="F46" s="74">
        <f t="shared" ref="F46:F47" si="9">F22</f>
        <v>287</v>
      </c>
      <c r="G46" s="74">
        <f t="shared" ref="G46:K47" si="10">+G22</f>
        <v>210</v>
      </c>
      <c r="H46" s="74">
        <f t="shared" si="10"/>
        <v>130</v>
      </c>
      <c r="I46" s="74">
        <f t="shared" si="10"/>
        <v>67</v>
      </c>
      <c r="J46" s="74">
        <f t="shared" si="10"/>
        <v>0</v>
      </c>
      <c r="K46" s="74">
        <f t="shared" si="10"/>
        <v>95</v>
      </c>
      <c r="L46" s="64">
        <f>IFERROR(F46/G46-1,"n/a")</f>
        <v>0.3666666666666667</v>
      </c>
      <c r="M46" s="64">
        <f>IFERROR(F46/H46-1,"n/a")</f>
        <v>1.2076923076923078</v>
      </c>
      <c r="N46" s="64">
        <f>IFERROR(F46/I46-1,"n/a")</f>
        <v>3.2835820895522385</v>
      </c>
      <c r="O46" s="64" t="str">
        <f>IFERROR(F46/J46-1,"n/a")</f>
        <v>n/a</v>
      </c>
      <c r="P46" s="60">
        <f>IFERROR(F46/K46-1,"n/a")</f>
        <v>2.0210526315789474</v>
      </c>
      <c r="Q46" s="74">
        <f>'Oct-24'!Q46+F46</f>
        <v>1215</v>
      </c>
      <c r="R46" s="74">
        <f>'Oct-24'!R46+G46</f>
        <v>1084</v>
      </c>
      <c r="S46" s="74">
        <f>'Oct-24'!S46+H46</f>
        <v>774</v>
      </c>
      <c r="T46" s="74">
        <f>'Oct-24'!T46+I46</f>
        <v>258</v>
      </c>
      <c r="U46" s="74">
        <f>'Oct-24'!U46+J46</f>
        <v>0</v>
      </c>
      <c r="V46" s="74">
        <f>'Oct-24'!V46+K46</f>
        <v>718</v>
      </c>
      <c r="W46" s="147">
        <f>IFERROR(Q46/R46-1,"n/a")</f>
        <v>0.12084870848708484</v>
      </c>
      <c r="X46" s="147">
        <f>IFERROR(R46/S46-1,"n/a")</f>
        <v>0.40051679586563305</v>
      </c>
      <c r="Y46" s="147">
        <f>IFERROR(R46/T46-1,"n/a")</f>
        <v>3.2015503875968996</v>
      </c>
      <c r="Z46" s="147" t="str">
        <f>IFERROR(R46/U46-1,"n/a")</f>
        <v>n/a</v>
      </c>
      <c r="AA46" s="158">
        <f>IFERROR(R46/V46-1,"n/a")</f>
        <v>0.50974930362116999</v>
      </c>
      <c r="AB46" s="147"/>
      <c r="AC46" s="89">
        <v>1129</v>
      </c>
      <c r="AD46" s="89">
        <v>336</v>
      </c>
      <c r="AE46" s="84">
        <v>43</v>
      </c>
      <c r="AF46" s="78">
        <v>781</v>
      </c>
      <c r="AH46" s="122"/>
    </row>
    <row r="47" spans="1:34" s="123" customFormat="1" ht="11.25">
      <c r="A47" s="122"/>
      <c r="B47" s="122"/>
      <c r="C47" s="33"/>
      <c r="D47" s="26" t="s">
        <v>11</v>
      </c>
      <c r="E47" s="32"/>
      <c r="F47" s="74">
        <f t="shared" si="9"/>
        <v>699889</v>
      </c>
      <c r="G47" s="74">
        <f t="shared" si="10"/>
        <v>507202</v>
      </c>
      <c r="H47" s="74">
        <f t="shared" si="10"/>
        <v>274849</v>
      </c>
      <c r="I47" s="74">
        <f t="shared" si="10"/>
        <v>83507</v>
      </c>
      <c r="J47" s="74">
        <f t="shared" si="10"/>
        <v>0</v>
      </c>
      <c r="K47" s="74">
        <f t="shared" si="10"/>
        <v>263747</v>
      </c>
      <c r="L47" s="64">
        <f>IFERROR(F47/G47-1,"n/a")</f>
        <v>0.37990189313133627</v>
      </c>
      <c r="M47" s="64">
        <f>IFERROR(F47/H47-1,"n/a")</f>
        <v>1.5464491411647852</v>
      </c>
      <c r="N47" s="64">
        <f>IFERROR(F47/I47-1,"n/a")</f>
        <v>7.3812015759157923</v>
      </c>
      <c r="O47" s="64" t="str">
        <f>IFERROR(F47/J47-1,"n/a")</f>
        <v>n/a</v>
      </c>
      <c r="P47" s="60">
        <f>IFERROR(F47/K47-1,"n/a")</f>
        <v>1.6536377664959221</v>
      </c>
      <c r="Q47" s="74">
        <f>'Oct-24'!Q47+F47</f>
        <v>3650298</v>
      </c>
      <c r="R47" s="74">
        <f>'Oct-24'!R47+G47</f>
        <v>3238466</v>
      </c>
      <c r="S47" s="74">
        <f>'Oct-24'!S47+H47</f>
        <v>1877280</v>
      </c>
      <c r="T47" s="74">
        <f>'Oct-24'!T47+I47</f>
        <v>425895</v>
      </c>
      <c r="U47" s="74">
        <f>'Oct-24'!U47+J47</f>
        <v>0</v>
      </c>
      <c r="V47" s="74">
        <f>'Oct-24'!V47+K47</f>
        <v>2242099</v>
      </c>
      <c r="W47" s="147">
        <f>IFERROR(Q47/R47-1,"n/a")</f>
        <v>0.12716885093127428</v>
      </c>
      <c r="X47" s="147">
        <f>IFERROR(R47/S47-1,"n/a")</f>
        <v>0.72508416432285006</v>
      </c>
      <c r="Y47" s="147">
        <f>IFERROR(R47/T47-1,"n/a")</f>
        <v>6.6039070662956831</v>
      </c>
      <c r="Z47" s="147" t="str">
        <f>IFERROR(R47/U47-1,"n/a")</f>
        <v>n/a</v>
      </c>
      <c r="AA47" s="158">
        <f>IFERROR(R47/V47-1,"n/a")</f>
        <v>0.44439027893059135</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147"/>
      <c r="X48" s="147"/>
      <c r="Y48" s="147"/>
      <c r="Z48" s="147"/>
      <c r="AA48" s="158"/>
      <c r="AB48" s="147"/>
      <c r="AC48" s="90"/>
      <c r="AD48" s="90"/>
      <c r="AE48" s="44"/>
      <c r="AF48" s="79"/>
      <c r="AH48" s="122"/>
    </row>
    <row r="49" spans="3:34" s="123" customFormat="1" ht="11.25">
      <c r="C49" s="33"/>
      <c r="D49" s="26" t="s">
        <v>5</v>
      </c>
      <c r="E49" s="32"/>
      <c r="F49" s="74">
        <f t="shared" ref="F49:F50" si="11">F25</f>
        <v>0</v>
      </c>
      <c r="G49" s="74">
        <f t="shared" ref="G49:K50" si="12">+G25</f>
        <v>0</v>
      </c>
      <c r="H49" s="74">
        <f t="shared" si="12"/>
        <v>0</v>
      </c>
      <c r="I49" s="74">
        <f t="shared" si="12"/>
        <v>0</v>
      </c>
      <c r="J49" s="74">
        <f t="shared" si="12"/>
        <v>0</v>
      </c>
      <c r="K49" s="74">
        <f t="shared" si="12"/>
        <v>0</v>
      </c>
      <c r="L49" s="64" t="str">
        <f>IFERROR(F49/G49-1,"n/a")</f>
        <v>n/a</v>
      </c>
      <c r="M49" s="64" t="str">
        <f>IFERROR(F49/H49-1,"n/a")</f>
        <v>n/a</v>
      </c>
      <c r="N49" s="64" t="str">
        <f>IFERROR(F49/I49-1,"n/a")</f>
        <v>n/a</v>
      </c>
      <c r="O49" s="64" t="str">
        <f>IFERROR(F49/J49-1,"n/a")</f>
        <v>n/a</v>
      </c>
      <c r="P49" s="60" t="str">
        <f>IFERROR(F49/K49-1,"n/a")</f>
        <v>n/a</v>
      </c>
      <c r="Q49" s="74">
        <f>'Oct-24'!Q49+F49</f>
        <v>14</v>
      </c>
      <c r="R49" s="74">
        <f>'Oct-24'!R49+G49</f>
        <v>21</v>
      </c>
      <c r="S49" s="74">
        <f>'Oct-24'!S49+H49</f>
        <v>9</v>
      </c>
      <c r="T49" s="74">
        <f>'Oct-24'!T49+I49</f>
        <v>0</v>
      </c>
      <c r="U49" s="74">
        <f>'Oct-24'!U49+J49</f>
        <v>0</v>
      </c>
      <c r="V49" s="74">
        <f>'Oct-24'!V49+K49</f>
        <v>16</v>
      </c>
      <c r="W49" s="147">
        <f t="shared" ref="W49:X52" si="13">IFERROR(Q49/R49-1,"n/a")</f>
        <v>-0.33333333333333337</v>
      </c>
      <c r="X49" s="147">
        <f t="shared" si="13"/>
        <v>1.3333333333333335</v>
      </c>
      <c r="Y49" s="147" t="str">
        <f>IFERROR(R49/T49-1,"n/a")</f>
        <v>n/a</v>
      </c>
      <c r="Z49" s="147" t="str">
        <f>IFERROR(R49/U49-1,"n/a")</f>
        <v>n/a</v>
      </c>
      <c r="AA49" s="158">
        <f>IFERROR(R49/V49-1,"n/a")</f>
        <v>0.3125</v>
      </c>
      <c r="AB49" s="147"/>
      <c r="AC49" s="89">
        <v>9</v>
      </c>
      <c r="AD49" s="68">
        <v>0</v>
      </c>
      <c r="AE49" s="68">
        <v>0</v>
      </c>
      <c r="AF49" s="78">
        <v>16</v>
      </c>
      <c r="AH49" s="122"/>
    </row>
    <row r="50" spans="3:34" s="123" customFormat="1" ht="11.25">
      <c r="C50" s="33"/>
      <c r="D50" s="26" t="s">
        <v>11</v>
      </c>
      <c r="E50" s="32"/>
      <c r="F50" s="74">
        <f t="shared" si="11"/>
        <v>0</v>
      </c>
      <c r="G50" s="74">
        <f t="shared" si="12"/>
        <v>0</v>
      </c>
      <c r="H50" s="74">
        <f t="shared" si="12"/>
        <v>0</v>
      </c>
      <c r="I50" s="74">
        <f t="shared" si="12"/>
        <v>0</v>
      </c>
      <c r="J50" s="74">
        <f t="shared" si="12"/>
        <v>0</v>
      </c>
      <c r="K50" s="74">
        <f t="shared" si="12"/>
        <v>0</v>
      </c>
      <c r="L50" s="64" t="str">
        <f>IFERROR(F50/G50-1,"n/a")</f>
        <v>n/a</v>
      </c>
      <c r="M50" s="64" t="str">
        <f>IFERROR(F50/H50-1,"n/a")</f>
        <v>n/a</v>
      </c>
      <c r="N50" s="64" t="str">
        <f>IFERROR(F50/I50-1,"n/a")</f>
        <v>n/a</v>
      </c>
      <c r="O50" s="64" t="str">
        <f>IFERROR(F50/J50-1,"n/a")</f>
        <v>n/a</v>
      </c>
      <c r="P50" s="60" t="str">
        <f>IFERROR(F50/K50-1,"n/a")</f>
        <v>n/a</v>
      </c>
      <c r="Q50" s="74">
        <f>'Oct-24'!Q50+F50</f>
        <v>47798</v>
      </c>
      <c r="R50" s="74">
        <f>'Oct-24'!R50+G50</f>
        <v>38626</v>
      </c>
      <c r="S50" s="74">
        <f>'Oct-24'!S50+H50</f>
        <v>15637</v>
      </c>
      <c r="T50" s="74">
        <f>'Oct-24'!T50+I50</f>
        <v>0</v>
      </c>
      <c r="U50" s="74">
        <f>'Oct-24'!U50+J50</f>
        <v>0</v>
      </c>
      <c r="V50" s="74">
        <f>'Oct-24'!V50+K50</f>
        <v>20248</v>
      </c>
      <c r="W50" s="147">
        <f t="shared" si="13"/>
        <v>0.23745663542691453</v>
      </c>
      <c r="X50" s="147">
        <f t="shared" si="13"/>
        <v>1.4701669118117286</v>
      </c>
      <c r="Y50" s="147" t="str">
        <f>IFERROR(R50/T50-1,"n/a")</f>
        <v>n/a</v>
      </c>
      <c r="Z50" s="147" t="str">
        <f>IFERROR(R50/U50-1,"n/a")</f>
        <v>n/a</v>
      </c>
      <c r="AA50" s="158">
        <f>IFERROR(R50/V50-1,"n/a")</f>
        <v>0.90764519952587919</v>
      </c>
      <c r="AB50" s="147"/>
      <c r="AC50" s="82">
        <v>15637</v>
      </c>
      <c r="AD50" s="68">
        <v>0</v>
      </c>
      <c r="AE50" s="68">
        <v>0</v>
      </c>
      <c r="AF50" s="78">
        <v>20248</v>
      </c>
      <c r="AH50" s="122"/>
    </row>
    <row r="51" spans="3:34" s="123" customFormat="1" ht="12" thickBot="1">
      <c r="C51" s="35" t="s">
        <v>12</v>
      </c>
      <c r="D51" s="36"/>
      <c r="E51" s="37"/>
      <c r="F51" s="75">
        <f>F37+F40+F43+F46+F49</f>
        <v>655</v>
      </c>
      <c r="G51" s="75">
        <f>G37+G40+G43+G46+G49</f>
        <v>463</v>
      </c>
      <c r="H51" s="75">
        <f t="shared" ref="H51:K52" si="14">H37+H40+H43+H46+H49</f>
        <v>340</v>
      </c>
      <c r="I51" s="75">
        <f t="shared" si="14"/>
        <v>223</v>
      </c>
      <c r="J51" s="75">
        <f t="shared" si="14"/>
        <v>11</v>
      </c>
      <c r="K51" s="75">
        <f t="shared" si="14"/>
        <v>311</v>
      </c>
      <c r="L51" s="66">
        <f>IFERROR(F51/G51-1,"n/a")</f>
        <v>0.41468682505399568</v>
      </c>
      <c r="M51" s="66">
        <f>IFERROR(F51/H51-1,"n/a")</f>
        <v>0.92647058823529416</v>
      </c>
      <c r="N51" s="66">
        <f>IFERROR(F51/I51-1,"n/a")</f>
        <v>1.9372197309417039</v>
      </c>
      <c r="O51" s="66">
        <f>IFERROR(F51/J51-1,"n/a")</f>
        <v>58.545454545454547</v>
      </c>
      <c r="P51" s="62">
        <f>IFERROR(F51/K51-1,"n/a")</f>
        <v>1.1061093247588425</v>
      </c>
      <c r="Q51" s="75">
        <f t="shared" ref="Q51:V52" si="15">Q37+Q40+Q43+Q46+Q49</f>
        <v>4063</v>
      </c>
      <c r="R51" s="75">
        <f t="shared" si="15"/>
        <v>3188</v>
      </c>
      <c r="S51" s="75">
        <f>S37+S40+S43+S46+S49</f>
        <v>2716</v>
      </c>
      <c r="T51" s="75">
        <f t="shared" si="15"/>
        <v>830</v>
      </c>
      <c r="U51" s="75">
        <f t="shared" si="15"/>
        <v>87</v>
      </c>
      <c r="V51" s="75">
        <f t="shared" si="15"/>
        <v>2399</v>
      </c>
      <c r="W51" s="66">
        <f t="shared" si="13"/>
        <v>0.27446675031367618</v>
      </c>
      <c r="X51" s="66">
        <f t="shared" si="13"/>
        <v>0.1737849779086893</v>
      </c>
      <c r="Y51" s="66">
        <f>IFERROR(R51/T51-1,"n/a")</f>
        <v>2.8409638554216867</v>
      </c>
      <c r="Z51" s="66">
        <f t="shared" ref="Z51:Z52" si="16">IFERROR(R51/U51-1,"n/a")</f>
        <v>35.643678160919542</v>
      </c>
      <c r="AA51" s="62">
        <f>IFERROR(R51/V51-1,"n/a")</f>
        <v>0.3288870362651104</v>
      </c>
      <c r="AB51" s="66"/>
      <c r="AC51" s="46">
        <f t="shared" ref="AC51:AE52" si="17">AC37+AC40+AC43+AC46+AC49</f>
        <v>3856</v>
      </c>
      <c r="AD51" s="46">
        <f t="shared" si="17"/>
        <v>1673</v>
      </c>
      <c r="AE51" s="46">
        <f t="shared" si="17"/>
        <v>669</v>
      </c>
      <c r="AF51" s="80">
        <f>AF37+AF40+AF43+AF46+AF49</f>
        <v>3241</v>
      </c>
      <c r="AH51" s="122"/>
    </row>
    <row r="52" spans="3:34" s="123" customFormat="1" ht="12.75" thickTop="1" thickBot="1">
      <c r="C52" s="38" t="s">
        <v>13</v>
      </c>
      <c r="D52" s="39"/>
      <c r="E52" s="40"/>
      <c r="F52" s="76">
        <f>F38+F41+F44+F47+F50</f>
        <v>1610407</v>
      </c>
      <c r="G52" s="76">
        <f>G38+G41+G44+G47+G50</f>
        <v>1148627</v>
      </c>
      <c r="H52" s="76">
        <f t="shared" si="14"/>
        <v>779647</v>
      </c>
      <c r="I52" s="76">
        <f t="shared" si="14"/>
        <v>304612</v>
      </c>
      <c r="J52" s="76">
        <f t="shared" si="14"/>
        <v>4854</v>
      </c>
      <c r="K52" s="76">
        <f t="shared" si="14"/>
        <v>742910</v>
      </c>
      <c r="L52" s="67">
        <f>IFERROR(F52/G52-1,"n/a")</f>
        <v>0.40202781233594553</v>
      </c>
      <c r="M52" s="67">
        <f>IFERROR(F52/H52-1,"n/a")</f>
        <v>1.0655591569004947</v>
      </c>
      <c r="N52" s="67">
        <f>IFERROR(F52/I52-1,"n/a")</f>
        <v>4.286748388113403</v>
      </c>
      <c r="O52" s="67">
        <f>IFERROR(F52/J52-1,"n/a")</f>
        <v>330.76905644829009</v>
      </c>
      <c r="P52" s="63">
        <f>IFERROR(F52/K52-1,"n/a")</f>
        <v>1.1677013366356626</v>
      </c>
      <c r="Q52" s="76">
        <f t="shared" si="15"/>
        <v>11860002.4</v>
      </c>
      <c r="R52" s="76">
        <f t="shared" si="15"/>
        <v>9103310</v>
      </c>
      <c r="S52" s="76">
        <f t="shared" si="15"/>
        <v>5996032</v>
      </c>
      <c r="T52" s="76">
        <f t="shared" si="15"/>
        <v>1231240</v>
      </c>
      <c r="U52" s="76">
        <f t="shared" si="15"/>
        <v>35715</v>
      </c>
      <c r="V52" s="76">
        <f t="shared" si="15"/>
        <v>6706790</v>
      </c>
      <c r="W52" s="67">
        <f t="shared" si="13"/>
        <v>0.30282308303243544</v>
      </c>
      <c r="X52" s="67">
        <f t="shared" si="13"/>
        <v>0.51822238440355228</v>
      </c>
      <c r="Y52" s="117">
        <f>IFERROR(R52/T52-1,"n/a")</f>
        <v>6.3936113186706081</v>
      </c>
      <c r="Z52" s="117">
        <f t="shared" si="16"/>
        <v>253.88758224835505</v>
      </c>
      <c r="AA52" s="118">
        <f>IFERROR(R52/V52-1,"n/a")</f>
        <v>0.35732742489327984</v>
      </c>
      <c r="AB52" s="117"/>
      <c r="AC52" s="47">
        <f t="shared" si="17"/>
        <v>9237323</v>
      </c>
      <c r="AD52" s="47">
        <f t="shared" si="17"/>
        <v>2410085</v>
      </c>
      <c r="AE52" s="47">
        <f t="shared" si="17"/>
        <v>1324261</v>
      </c>
      <c r="AF52" s="81">
        <f>AF38+AF41+AF44+AF47+AF50</f>
        <v>8638971</v>
      </c>
      <c r="AH52" s="122"/>
    </row>
    <row r="53" spans="3:34" s="123" customFormat="1" ht="12" thickTop="1">
      <c r="AH53" s="122"/>
    </row>
    <row r="54" spans="3:34" s="123" customFormat="1" ht="11.25">
      <c r="Q54" s="149"/>
      <c r="S54" s="131"/>
      <c r="T54" s="131"/>
      <c r="U54" s="131"/>
      <c r="V54" s="131"/>
      <c r="AH54" s="122"/>
    </row>
    <row r="55" spans="3:34" ht="15" hidden="1">
      <c r="Q55" s="111">
        <v>11861796</v>
      </c>
      <c r="S55" s="111"/>
      <c r="T55" s="111"/>
      <c r="U55" s="111"/>
      <c r="V55" s="111"/>
      <c r="AH55" s="9"/>
    </row>
    <row r="56" spans="3:34" ht="15" hidden="1">
      <c r="Q56" s="150">
        <f>Q55-Q52</f>
        <v>1793.5999999996275</v>
      </c>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526A4-2BD9-453C-B482-64585E50847E}">
  <dimension ref="A1:AH66"/>
  <sheetViews>
    <sheetView showGridLines="0" topLeftCell="P23" zoomScale="85" zoomScaleNormal="85" workbookViewId="0">
      <selection activeCell="W37" sqref="W37:AA50"/>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45596</v>
      </c>
      <c r="AG3" s="25"/>
      <c r="AH3" s="9"/>
    </row>
    <row r="4" spans="1:34" ht="15.75">
      <c r="A4" s="9"/>
      <c r="B4" s="11" t="s">
        <v>7</v>
      </c>
      <c r="C4" s="26"/>
      <c r="D4" s="93" t="s">
        <v>24</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7" t="str">
        <f>D4</f>
        <v>October</v>
      </c>
      <c r="G9" s="167"/>
      <c r="H9" s="167"/>
      <c r="I9" s="167"/>
      <c r="J9" s="167"/>
      <c r="K9" s="167"/>
      <c r="L9" s="167"/>
      <c r="M9" s="167"/>
      <c r="N9" s="167"/>
      <c r="O9" s="167"/>
      <c r="P9" s="168"/>
      <c r="Q9" s="169" t="str">
        <f>"January to "&amp; D4</f>
        <v>January to October</v>
      </c>
      <c r="R9" s="170"/>
      <c r="S9" s="170"/>
      <c r="T9" s="170"/>
      <c r="U9" s="170"/>
      <c r="V9" s="170"/>
      <c r="W9" s="170"/>
      <c r="X9" s="170"/>
      <c r="Y9" s="170"/>
      <c r="Z9" s="170"/>
      <c r="AA9" s="171"/>
      <c r="AB9" s="169" t="s">
        <v>57</v>
      </c>
      <c r="AC9" s="170"/>
      <c r="AD9" s="170"/>
      <c r="AE9" s="170"/>
      <c r="AF9" s="172"/>
      <c r="AG9" s="122"/>
      <c r="AH9" s="122"/>
    </row>
    <row r="10" spans="1:34"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155</v>
      </c>
      <c r="G13" s="73">
        <v>81</v>
      </c>
      <c r="H13" s="73">
        <v>78</v>
      </c>
      <c r="I13" s="73">
        <v>89</v>
      </c>
      <c r="J13" s="73">
        <v>0</v>
      </c>
      <c r="K13" s="73">
        <v>110</v>
      </c>
      <c r="L13" s="64">
        <f>IFERROR(F13/G13-1,"n/a")</f>
        <v>0.91358024691358031</v>
      </c>
      <c r="M13" s="64">
        <f>IFERROR(F13/H13-1,"n/a")</f>
        <v>0.98717948717948723</v>
      </c>
      <c r="N13" s="64">
        <f>IFERROR(F13/I13-1,"n/a")</f>
        <v>0.7415730337078652</v>
      </c>
      <c r="O13" s="64" t="str">
        <f>IFERROR(F13/J13-1,"n/a")</f>
        <v>n/a</v>
      </c>
      <c r="P13" s="60">
        <f>IFERROR(F13/K13-1,"n/a")</f>
        <v>0.40909090909090917</v>
      </c>
      <c r="Q13" s="68">
        <f>'Sep-24'!Q13+F13</f>
        <v>1809</v>
      </c>
      <c r="R13" s="68">
        <f>'Sep-24'!R13+G13</f>
        <v>1236</v>
      </c>
      <c r="S13" s="68">
        <f>'Sep-24'!S13+H13</f>
        <v>1151</v>
      </c>
      <c r="T13" s="68">
        <f>'Sep-24'!T13+I13</f>
        <v>228</v>
      </c>
      <c r="U13" s="68">
        <f>'Sep-24'!U13+J13</f>
        <v>551</v>
      </c>
      <c r="V13" s="68">
        <f>'Sep-24'!V13+K13</f>
        <v>1212</v>
      </c>
      <c r="W13" s="64">
        <f>IFERROR(Q13/R13-1,"n/a")</f>
        <v>0.46359223300970864</v>
      </c>
      <c r="X13" s="64">
        <f>IFERROR(Q13/S13-1,"n/a")</f>
        <v>0.57167680278019106</v>
      </c>
      <c r="Y13" s="64">
        <f>IFERROR(Q13/T13-1,"n/a")</f>
        <v>6.9342105263157894</v>
      </c>
      <c r="Z13" s="64">
        <f>IFERROR(Q13/U13-1,"n/a")</f>
        <v>2.2831215970961889</v>
      </c>
      <c r="AA13" s="60">
        <f>IFERROR(Q13/V13-1,"n/a")</f>
        <v>0.49257425742574257</v>
      </c>
      <c r="AB13" s="68">
        <v>1630</v>
      </c>
      <c r="AC13" s="68">
        <v>1486</v>
      </c>
      <c r="AD13" s="68">
        <v>522</v>
      </c>
      <c r="AE13" s="68">
        <v>551</v>
      </c>
      <c r="AF13" s="134">
        <v>1591</v>
      </c>
      <c r="AG13" s="122"/>
      <c r="AH13" s="122"/>
    </row>
    <row r="14" spans="1:34" s="123" customFormat="1" ht="12.75">
      <c r="A14" s="122"/>
      <c r="B14" s="127"/>
      <c r="C14" s="33"/>
      <c r="D14" s="26" t="s">
        <v>11</v>
      </c>
      <c r="E14" s="32"/>
      <c r="F14" s="71">
        <v>545702</v>
      </c>
      <c r="G14" s="73">
        <v>282162</v>
      </c>
      <c r="H14" s="73">
        <v>268578</v>
      </c>
      <c r="I14" s="73">
        <v>143120</v>
      </c>
      <c r="J14" s="73">
        <v>0</v>
      </c>
      <c r="K14" s="73">
        <v>299863</v>
      </c>
      <c r="L14" s="64">
        <f>IFERROR(F14/G14-1,"n/a")</f>
        <v>0.93400245249183089</v>
      </c>
      <c r="M14" s="64">
        <f>IFERROR(F14/H14-1,"n/a")</f>
        <v>1.0318194342053331</v>
      </c>
      <c r="N14" s="64">
        <f>IFERROR(F14/I14-1,"n/a")</f>
        <v>2.8128982671883733</v>
      </c>
      <c r="O14" s="64" t="str">
        <f>IFERROR(F14/J14-1,"n/a")</f>
        <v>n/a</v>
      </c>
      <c r="P14" s="60">
        <f>IFERROR(F14/K14-1,"n/a")</f>
        <v>0.81983772589482529</v>
      </c>
      <c r="Q14" s="68">
        <f>'Sep-24'!Q14+F14</f>
        <v>6197966</v>
      </c>
      <c r="R14" s="68">
        <f>'Sep-24'!R14+G14</f>
        <v>4068706</v>
      </c>
      <c r="S14" s="68">
        <f>'Sep-24'!S14+H14</f>
        <v>2663889</v>
      </c>
      <c r="T14" s="68">
        <f>'Sep-24'!T14+I14</f>
        <v>324020</v>
      </c>
      <c r="U14" s="68">
        <f>'Sep-24'!U14+J14</f>
        <v>1092884</v>
      </c>
      <c r="V14" s="68">
        <f>'Sep-24'!V14+K14</f>
        <v>3643281</v>
      </c>
      <c r="W14" s="64">
        <f>IFERROR(Q14/R14-1,"n/a")</f>
        <v>0.52332608942499159</v>
      </c>
      <c r="X14" s="64">
        <f>IFERROR(Q14/S14-1,"n/a")</f>
        <v>1.3266607580120642</v>
      </c>
      <c r="Y14" s="64">
        <f>IFERROR(Q14/T14-1,"n/a")</f>
        <v>18.128343929387075</v>
      </c>
      <c r="Z14" s="64">
        <f>IFERROR(Q14/U14-1,"n/a")</f>
        <v>4.6712020671910288</v>
      </c>
      <c r="AA14" s="60">
        <f>IFERROR(Q14/V14-1,"n/a")</f>
        <v>0.70120449122645212</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122</v>
      </c>
      <c r="G16" s="73">
        <v>87</v>
      </c>
      <c r="H16" s="73">
        <v>89</v>
      </c>
      <c r="I16" s="73">
        <v>33</v>
      </c>
      <c r="J16" s="73">
        <v>17</v>
      </c>
      <c r="K16" s="73">
        <v>114</v>
      </c>
      <c r="L16" s="64">
        <f>IFERROR(F16/G16-1,"n/a")</f>
        <v>0.40229885057471271</v>
      </c>
      <c r="M16" s="64">
        <f>IFERROR(F16/H16-1,"n/a")</f>
        <v>0.3707865168539326</v>
      </c>
      <c r="N16" s="64">
        <f>IFERROR(F16/I16-1,"n/a")</f>
        <v>2.6969696969696968</v>
      </c>
      <c r="O16" s="64">
        <f>IFERROR(F16/J16-1,"n/a")</f>
        <v>6.1764705882352944</v>
      </c>
      <c r="P16" s="60">
        <f>IFERROR(F16/K16-1,"n/a")</f>
        <v>7.0175438596491224E-2</v>
      </c>
      <c r="Q16" s="68">
        <f>'Sep-24'!Q16+F16</f>
        <v>721</v>
      </c>
      <c r="R16" s="68">
        <f>'Sep-24'!R16+G16</f>
        <v>513</v>
      </c>
      <c r="S16" s="68">
        <f>'Sep-24'!S16+H16</f>
        <v>540</v>
      </c>
      <c r="T16" s="68">
        <f>'Sep-24'!T16+I16</f>
        <v>169</v>
      </c>
      <c r="U16" s="68">
        <f>'Sep-24'!U16+J16</f>
        <v>38</v>
      </c>
      <c r="V16" s="68">
        <f>'Sep-24'!V16+K16</f>
        <v>517</v>
      </c>
      <c r="W16" s="64">
        <f>IFERROR(Q16/R16-1,"n/a")</f>
        <v>0.40545808966861596</v>
      </c>
      <c r="X16" s="64">
        <f>IFERROR(Q16/S16-1,"n/a")</f>
        <v>0.33518518518518525</v>
      </c>
      <c r="Y16" s="64">
        <f>IFERROR(Q16/T16-1,"n/a")</f>
        <v>3.2662721893491122</v>
      </c>
      <c r="Z16" s="64">
        <f>IFERROR(Q16/U16-1,"n/a")</f>
        <v>17.973684210526315</v>
      </c>
      <c r="AA16" s="60">
        <f>IFERROR(Q16/V16-1,"n/a")</f>
        <v>0.39458413926499025</v>
      </c>
      <c r="AB16" s="68">
        <v>575</v>
      </c>
      <c r="AC16" s="68">
        <v>572</v>
      </c>
      <c r="AD16" s="68">
        <v>202</v>
      </c>
      <c r="AE16" s="68">
        <v>54</v>
      </c>
      <c r="AF16" s="134">
        <v>586</v>
      </c>
      <c r="AG16" s="122"/>
      <c r="AH16" s="122"/>
    </row>
    <row r="17" spans="1:34" s="123" customFormat="1" ht="12.75">
      <c r="A17" s="122"/>
      <c r="B17" s="127"/>
      <c r="C17" s="33"/>
      <c r="D17" s="26" t="s">
        <v>11</v>
      </c>
      <c r="E17" s="32"/>
      <c r="F17" s="71">
        <v>261443</v>
      </c>
      <c r="G17" s="73">
        <v>199183</v>
      </c>
      <c r="H17" s="73">
        <v>124605</v>
      </c>
      <c r="I17" s="73">
        <v>44045</v>
      </c>
      <c r="J17" s="73">
        <v>13954</v>
      </c>
      <c r="K17" s="73">
        <v>223063</v>
      </c>
      <c r="L17" s="64">
        <f>IFERROR(F17/G17-1,"n/a")</f>
        <v>0.31257687654066868</v>
      </c>
      <c r="M17" s="64">
        <f>IFERROR(F17/H17-1,"n/a")</f>
        <v>1.0981742305685969</v>
      </c>
      <c r="N17" s="64">
        <f>IFERROR(F17/I17-1,"n/a")</f>
        <v>4.9358156430922921</v>
      </c>
      <c r="O17" s="64">
        <f>IFERROR(F17/J17-1,"n/a")</f>
        <v>17.736061344417372</v>
      </c>
      <c r="P17" s="60">
        <f>IFERROR(F17/K17-1,"n/a")</f>
        <v>0.17205901471781515</v>
      </c>
      <c r="Q17" s="68">
        <f>'Sep-24'!Q17+F17</f>
        <v>1923098</v>
      </c>
      <c r="R17" s="68">
        <f>'Sep-24'!R17+G17</f>
        <v>1532930</v>
      </c>
      <c r="S17" s="68">
        <f>'Sep-24'!S17+H17</f>
        <v>896537</v>
      </c>
      <c r="T17" s="68">
        <f>'Sep-24'!T17+I17</f>
        <v>259331</v>
      </c>
      <c r="U17" s="68">
        <f>'Sep-24'!U17+J17</f>
        <v>63680</v>
      </c>
      <c r="V17" s="68">
        <f>'Sep-24'!V17+K17</f>
        <v>1304953</v>
      </c>
      <c r="W17" s="64">
        <f>IFERROR(Q17/R17-1,"n/a")</f>
        <v>0.25452434227264131</v>
      </c>
      <c r="X17" s="64">
        <f>IFERROR(Q17/S17-1,"n/a")</f>
        <v>1.1450291510556729</v>
      </c>
      <c r="Y17" s="64">
        <f>IFERROR(Q17/T17-1,"n/a")</f>
        <v>6.4156117085886377</v>
      </c>
      <c r="Z17" s="64">
        <f>IFERROR(Q17/U17-1,"n/a")</f>
        <v>29.199403266331657</v>
      </c>
      <c r="AA17" s="60">
        <f>IFERROR(Q17/V17-1,"n/a")</f>
        <v>0.47369138965158131</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123</v>
      </c>
      <c r="G19" s="73">
        <v>117</v>
      </c>
      <c r="H19" s="73">
        <v>97</v>
      </c>
      <c r="I19" s="73">
        <v>15</v>
      </c>
      <c r="J19" s="73">
        <v>1</v>
      </c>
      <c r="K19" s="73">
        <v>34</v>
      </c>
      <c r="L19" s="64">
        <f>IFERROR(F19/G19-1,"n/a")</f>
        <v>5.1282051282051322E-2</v>
      </c>
      <c r="M19" s="64">
        <f>IFERROR(F19/H19-1,"n/a")</f>
        <v>0.268041237113402</v>
      </c>
      <c r="N19" s="64">
        <f>IFERROR(F19/I19-1,"n/a")</f>
        <v>7.1999999999999993</v>
      </c>
      <c r="O19" s="64">
        <f>IFERROR(F19/J19-1,"n/a")</f>
        <v>122</v>
      </c>
      <c r="P19" s="60">
        <f>IFERROR(F19/K19-1,"n/a")</f>
        <v>2.6176470588235294</v>
      </c>
      <c r="Q19" s="68">
        <f>'Sep-24'!Q19+F19</f>
        <v>702</v>
      </c>
      <c r="R19" s="68">
        <f>'Sep-24'!R19+G19</f>
        <v>661</v>
      </c>
      <c r="S19" s="68">
        <f>'Sep-24'!S19+H19</f>
        <v>610</v>
      </c>
      <c r="T19" s="68">
        <f>'Sep-24'!T19+I19</f>
        <v>31</v>
      </c>
      <c r="U19" s="68">
        <f>'Sep-24'!U19+J19</f>
        <v>9</v>
      </c>
      <c r="V19" s="68">
        <f>'Sep-24'!V19+K19</f>
        <v>265</v>
      </c>
      <c r="W19" s="64">
        <f>IFERROR(Q19/R19-1,"n/a")</f>
        <v>6.2027231467473465E-2</v>
      </c>
      <c r="X19" s="64">
        <f>IFERROR(Q19/S19-1,"n/a")</f>
        <v>0.15081967213114744</v>
      </c>
      <c r="Y19" s="64">
        <f>IFERROR(Q19/T19-1,"n/a")</f>
        <v>21.64516129032258</v>
      </c>
      <c r="Z19" s="64">
        <f>IFERROR(Q19/U19-1,"n/a")</f>
        <v>77</v>
      </c>
      <c r="AA19" s="60">
        <f>IFERROR(Q19/V19-1,"n/a")</f>
        <v>1.6490566037735848</v>
      </c>
      <c r="AB19" s="68">
        <v>708</v>
      </c>
      <c r="AC19" s="68">
        <v>658</v>
      </c>
      <c r="AD19" s="68">
        <v>47</v>
      </c>
      <c r="AE19" s="68">
        <v>9</v>
      </c>
      <c r="AF19" s="134">
        <v>290</v>
      </c>
      <c r="AG19" s="122"/>
      <c r="AH19" s="122"/>
    </row>
    <row r="20" spans="1:34" s="123" customFormat="1" ht="12.75">
      <c r="A20" s="122"/>
      <c r="B20" s="127"/>
      <c r="C20" s="33"/>
      <c r="D20" s="26" t="s">
        <v>11</v>
      </c>
      <c r="E20" s="32"/>
      <c r="F20" s="71">
        <v>217519</v>
      </c>
      <c r="G20" s="73">
        <v>211817</v>
      </c>
      <c r="H20" s="73">
        <v>133084</v>
      </c>
      <c r="I20" s="73">
        <v>6450</v>
      </c>
      <c r="J20" s="73">
        <v>0</v>
      </c>
      <c r="K20" s="73">
        <v>67246</v>
      </c>
      <c r="L20" s="64">
        <f>IFERROR(F20/G20-1,"n/a")</f>
        <v>2.6919463499152529E-2</v>
      </c>
      <c r="M20" s="64">
        <f>IFERROR(F20/H20-1,"n/a")</f>
        <v>0.6344489194794265</v>
      </c>
      <c r="N20" s="64">
        <f>IFERROR(F20/I20-1,"n/a")</f>
        <v>32.723875968992246</v>
      </c>
      <c r="O20" s="64" t="str">
        <f>IFERROR(F20/J20-1,"n/a")</f>
        <v>n/a</v>
      </c>
      <c r="P20" s="60">
        <f>IFERROR(F20/K20-1,"n/a")</f>
        <v>2.2346756684412457</v>
      </c>
      <c r="Q20" s="68">
        <f>'Sep-24'!Q20+F20</f>
        <v>1454463.4</v>
      </c>
      <c r="R20" s="68">
        <f>'Sep-24'!R20+G20</f>
        <v>1225242</v>
      </c>
      <c r="S20" s="68">
        <f>'Sep-24'!S20+H20</f>
        <v>837142</v>
      </c>
      <c r="T20" s="68">
        <f>'Sep-24'!T20+I20</f>
        <v>10992</v>
      </c>
      <c r="U20" s="68">
        <f>'Sep-24'!U20+J20</f>
        <v>10047</v>
      </c>
      <c r="V20" s="68">
        <f>'Sep-24'!V20+K20</f>
        <v>555008</v>
      </c>
      <c r="W20" s="64">
        <f>IFERROR(Q20/R20-1,"n/a")</f>
        <v>0.18708255185506206</v>
      </c>
      <c r="X20" s="64">
        <f>IFERROR(Q20/S20-1,"n/a")</f>
        <v>0.7374153966710546</v>
      </c>
      <c r="Y20" s="64">
        <f>IFERROR(Q20/T20-1,"n/a")</f>
        <v>131.32017831149926</v>
      </c>
      <c r="Z20" s="64">
        <f>IFERROR(Q20/U20-1,"n/a")</f>
        <v>143.76594008161641</v>
      </c>
      <c r="AA20" s="60">
        <f>IFERROR(Q20/V20-1,"n/a")</f>
        <v>1.6206170001153133</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189</v>
      </c>
      <c r="G22" s="73">
        <v>185</v>
      </c>
      <c r="H22" s="73">
        <v>149</v>
      </c>
      <c r="I22" s="73">
        <v>107</v>
      </c>
      <c r="J22" s="73">
        <v>0</v>
      </c>
      <c r="K22" s="73">
        <v>127</v>
      </c>
      <c r="L22" s="64">
        <f>IFERROR(F22/G22-1,"n/a")</f>
        <v>2.1621621621621623E-2</v>
      </c>
      <c r="M22" s="64">
        <f>IFERROR(F22/H22-1,"n/a")</f>
        <v>0.26845637583892623</v>
      </c>
      <c r="N22" s="64">
        <f>IFERROR(F22/I22-1,"n/a")</f>
        <v>0.76635514018691597</v>
      </c>
      <c r="O22" s="64" t="str">
        <f>IFERROR(F22/J22-1,"n/a")</f>
        <v>n/a</v>
      </c>
      <c r="P22" s="60">
        <f>IFERROR(F22/K22-1,"n/a")</f>
        <v>0.48818897637795278</v>
      </c>
      <c r="Q22" s="68">
        <f>'Sep-24'!Q22+F22</f>
        <v>1187</v>
      </c>
      <c r="R22" s="68">
        <f>'Sep-24'!R22+G22</f>
        <v>1161</v>
      </c>
      <c r="S22" s="68">
        <f>'Sep-24'!S22+H22</f>
        <v>697</v>
      </c>
      <c r="T22" s="68">
        <f>'Sep-24'!T22+I22</f>
        <v>191</v>
      </c>
      <c r="U22" s="68">
        <f>'Sep-24'!U22+J22</f>
        <v>43</v>
      </c>
      <c r="V22" s="68">
        <f>'Sep-24'!V22+K22</f>
        <v>712</v>
      </c>
      <c r="W22" s="64">
        <f>IFERROR(Q22/R22-1,"n/a")</f>
        <v>2.239448751076667E-2</v>
      </c>
      <c r="X22" s="64">
        <f>IFERROR(Q22/S22-1,"n/a")</f>
        <v>0.7030129124820661</v>
      </c>
      <c r="Y22" s="64">
        <f>IFERROR(Q22/T22-1,"n/a")</f>
        <v>5.2146596858638743</v>
      </c>
      <c r="Z22" s="64">
        <f>IFERROR(Q22/U22-1,"n/a")</f>
        <v>26.604651162790699</v>
      </c>
      <c r="AA22" s="60">
        <f>IFERROR(Q22/V22-1,"n/a")</f>
        <v>0.6671348314606742</v>
      </c>
      <c r="AB22" s="68">
        <v>1500</v>
      </c>
      <c r="AC22" s="68">
        <v>895</v>
      </c>
      <c r="AD22" s="68">
        <v>283</v>
      </c>
      <c r="AE22" s="68">
        <v>43</v>
      </c>
      <c r="AF22" s="134">
        <v>827</v>
      </c>
      <c r="AG22" s="122"/>
      <c r="AH22" s="122"/>
    </row>
    <row r="23" spans="1:34" s="123" customFormat="1" ht="12.75">
      <c r="A23" s="122"/>
      <c r="B23" s="127"/>
      <c r="C23" s="33"/>
      <c r="D23" s="26" t="s">
        <v>11</v>
      </c>
      <c r="E23" s="32"/>
      <c r="F23" s="71">
        <v>459752</v>
      </c>
      <c r="G23" s="73">
        <v>513716</v>
      </c>
      <c r="H23" s="73">
        <v>338461</v>
      </c>
      <c r="I23" s="73">
        <v>174505</v>
      </c>
      <c r="J23" s="73">
        <v>0</v>
      </c>
      <c r="K23" s="73">
        <v>332808</v>
      </c>
      <c r="L23" s="64">
        <f>IFERROR(F23/G23-1,"n/a")</f>
        <v>-0.10504636803214229</v>
      </c>
      <c r="M23" s="64">
        <f>IFERROR(F23/H23-1,"n/a")</f>
        <v>0.35836034284600005</v>
      </c>
      <c r="N23" s="64">
        <f>IFERROR(F23/I23-1,"n/a")</f>
        <v>1.6346064582676716</v>
      </c>
      <c r="O23" s="64" t="str">
        <f>IFERROR(F23/J23-1,"n/a")</f>
        <v>n/a</v>
      </c>
      <c r="P23" s="60">
        <f>IFERROR(F23/K23-1,"n/a")</f>
        <v>0.38143313862647532</v>
      </c>
      <c r="Q23" s="68">
        <f>'Sep-24'!Q23+F23</f>
        <v>3863464</v>
      </c>
      <c r="R23" s="68">
        <f>'Sep-24'!R23+G23</f>
        <v>3567538</v>
      </c>
      <c r="S23" s="68">
        <f>'Sep-24'!S23+H23</f>
        <v>1670885</v>
      </c>
      <c r="T23" s="68">
        <f>'Sep-24'!T23+I23</f>
        <v>342388</v>
      </c>
      <c r="U23" s="68">
        <f>'Sep-24'!U23+J23</f>
        <v>140552</v>
      </c>
      <c r="V23" s="68">
        <f>'Sep-24'!V23+K23</f>
        <v>2230252</v>
      </c>
      <c r="W23" s="64">
        <f>IFERROR(Q23/R23-1,"n/a")</f>
        <v>8.2949642022033032E-2</v>
      </c>
      <c r="X23" s="64">
        <f>IFERROR(Q23/S23-1,"n/a")</f>
        <v>1.3122261556001757</v>
      </c>
      <c r="Y23" s="64">
        <f>IFERROR(Q23/T23-1,"n/a")</f>
        <v>10.283876771382175</v>
      </c>
      <c r="Z23" s="64">
        <f>IFERROR(Q23/U23-1,"n/a")</f>
        <v>26.487790995503442</v>
      </c>
      <c r="AA23" s="60">
        <f>IFERROR(Q23/V23-1,"n/a")</f>
        <v>0.73229930967442236</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2</v>
      </c>
      <c r="G25" s="73">
        <v>2</v>
      </c>
      <c r="H25" s="73">
        <v>1</v>
      </c>
      <c r="I25" s="73">
        <v>0</v>
      </c>
      <c r="J25" s="73">
        <v>0</v>
      </c>
      <c r="K25" s="73">
        <v>3</v>
      </c>
      <c r="L25" s="64">
        <f>IFERROR(F25/G25-1,"n/a")</f>
        <v>0</v>
      </c>
      <c r="M25" s="64">
        <f>IFERROR(F25/H25-1,"n/a")</f>
        <v>1</v>
      </c>
      <c r="N25" s="64" t="str">
        <f>IFERROR(F25/I25-1,"n/a")</f>
        <v>n/a</v>
      </c>
      <c r="O25" s="64" t="str">
        <f>IFERROR(F25/J25-1,"n/a")</f>
        <v>n/a</v>
      </c>
      <c r="P25" s="60">
        <f>IFERROR(F25/K25-1,"n/a")</f>
        <v>-0.33333333333333337</v>
      </c>
      <c r="Q25" s="68">
        <f>'Sep-24'!Q25+F25</f>
        <v>14</v>
      </c>
      <c r="R25" s="68">
        <f>'Sep-24'!R25+G25</f>
        <v>21</v>
      </c>
      <c r="S25" s="68">
        <f>'Sep-24'!S25+H25</f>
        <v>9</v>
      </c>
      <c r="T25" s="68">
        <f>'Sep-24'!T25+I25</f>
        <v>0</v>
      </c>
      <c r="U25" s="68">
        <f>'Sep-24'!U25+J25</f>
        <v>0</v>
      </c>
      <c r="V25" s="68">
        <f>'Sep-24'!V25+K25</f>
        <v>16</v>
      </c>
      <c r="W25" s="64">
        <f>IFERROR(Q25/R25-1,"n/a")</f>
        <v>-0.33333333333333337</v>
      </c>
      <c r="X25" s="64">
        <f>IFERROR(Q25/S25-1,"n/a")</f>
        <v>0.55555555555555558</v>
      </c>
      <c r="Y25" s="64" t="str">
        <f>IFERROR(Q25/T25-1,"n/a")</f>
        <v>n/a</v>
      </c>
      <c r="Z25" s="64" t="str">
        <f>IFERROR(Q25/U25-1,"n/a")</f>
        <v>n/a</v>
      </c>
      <c r="AA25" s="60">
        <f>IFERROR(Q25/V25-1,"n/a")</f>
        <v>-0.125</v>
      </c>
      <c r="AB25" s="68">
        <v>21</v>
      </c>
      <c r="AC25" s="68">
        <v>9</v>
      </c>
      <c r="AD25" s="68">
        <v>0</v>
      </c>
      <c r="AE25" s="68">
        <v>0</v>
      </c>
      <c r="AF25" s="134">
        <v>16</v>
      </c>
      <c r="AG25" s="122"/>
      <c r="AH25" s="122"/>
    </row>
    <row r="26" spans="1:34" s="123" customFormat="1" ht="12.75">
      <c r="A26" s="122"/>
      <c r="B26" s="127"/>
      <c r="C26" s="33"/>
      <c r="D26" s="26" t="s">
        <v>11</v>
      </c>
      <c r="E26" s="32"/>
      <c r="F26" s="71">
        <v>3500</v>
      </c>
      <c r="G26" s="73">
        <v>4312</v>
      </c>
      <c r="H26" s="73">
        <v>2358</v>
      </c>
      <c r="I26" s="73">
        <v>0</v>
      </c>
      <c r="J26" s="73">
        <v>0</v>
      </c>
      <c r="K26" s="73">
        <v>3957</v>
      </c>
      <c r="L26" s="64">
        <f>IFERROR(F26/G26-1,"n/a")</f>
        <v>-0.18831168831168832</v>
      </c>
      <c r="M26" s="64">
        <f>IFERROR(F26/H26-1,"n/a")</f>
        <v>0.48430873621713322</v>
      </c>
      <c r="N26" s="64" t="str">
        <f>IFERROR(F26/I26-1,"n/a")</f>
        <v>n/a</v>
      </c>
      <c r="O26" s="64" t="str">
        <f>IFERROR(F26/J26-1,"n/a")</f>
        <v>n/a</v>
      </c>
      <c r="P26" s="60">
        <f>IFERROR(F26/K26-1,"n/a")</f>
        <v>-0.1154915339903968</v>
      </c>
      <c r="Q26" s="68">
        <f>'Sep-24'!Q26+F26</f>
        <v>47798</v>
      </c>
      <c r="R26" s="68">
        <f>'Sep-24'!R26+G26</f>
        <v>38626</v>
      </c>
      <c r="S26" s="68">
        <f>'Sep-24'!S26+H26</f>
        <v>15637</v>
      </c>
      <c r="T26" s="68">
        <f>'Sep-24'!T26+I26</f>
        <v>0</v>
      </c>
      <c r="U26" s="68">
        <f>'Sep-24'!U26+J26</f>
        <v>0</v>
      </c>
      <c r="V26" s="68">
        <f>'Sep-24'!V26+K26</f>
        <v>20248</v>
      </c>
      <c r="W26" s="64">
        <f>IFERROR(Q26/R26-1,"n/a")</f>
        <v>0.23745663542691453</v>
      </c>
      <c r="X26" s="64">
        <f>IFERROR(Q26/S26-1,"n/a")</f>
        <v>2.0567244356334333</v>
      </c>
      <c r="Y26" s="64" t="str">
        <f>IFERROR(Q26/T26-1,"n/a")</f>
        <v>n/a</v>
      </c>
      <c r="Z26" s="64" t="str">
        <f>IFERROR(Q26/U26-1,"n/a")</f>
        <v>n/a</v>
      </c>
      <c r="AA26" s="60">
        <f>IFERROR(Q26/V26-1,"n/a")</f>
        <v>1.3606282101935996</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591</v>
      </c>
      <c r="G27" s="75">
        <f t="shared" si="0"/>
        <v>472</v>
      </c>
      <c r="H27" s="75">
        <f t="shared" si="0"/>
        <v>414</v>
      </c>
      <c r="I27" s="75">
        <f t="shared" si="0"/>
        <v>244</v>
      </c>
      <c r="J27" s="75">
        <f t="shared" si="0"/>
        <v>18</v>
      </c>
      <c r="K27" s="75">
        <f t="shared" si="0"/>
        <v>388</v>
      </c>
      <c r="L27" s="66">
        <f>IFERROR(F27/G27-1,"n/a")</f>
        <v>0.25211864406779672</v>
      </c>
      <c r="M27" s="66">
        <f>IFERROR(F27/H27-1,"n/a")</f>
        <v>0.42753623188405787</v>
      </c>
      <c r="N27" s="66">
        <f>IFERROR(F27/I27-1,"n/a")</f>
        <v>1.4221311475409837</v>
      </c>
      <c r="O27" s="66">
        <f>IFERROR(F27/J27-1,"n/a")</f>
        <v>31.833333333333336</v>
      </c>
      <c r="P27" s="62">
        <f>IFERROR(F27/K27-1,"n/a")</f>
        <v>0.52319587628865971</v>
      </c>
      <c r="Q27" s="75">
        <f t="shared" ref="Q27:V28" si="1">Q13+Q16+Q19+Q22+Q25</f>
        <v>4433</v>
      </c>
      <c r="R27" s="75">
        <f t="shared" si="1"/>
        <v>3592</v>
      </c>
      <c r="S27" s="75">
        <f t="shared" si="1"/>
        <v>3007</v>
      </c>
      <c r="T27" s="75">
        <f t="shared" si="1"/>
        <v>619</v>
      </c>
      <c r="U27" s="75">
        <f t="shared" si="1"/>
        <v>641</v>
      </c>
      <c r="V27" s="75">
        <f t="shared" si="1"/>
        <v>2722</v>
      </c>
      <c r="W27" s="66">
        <f>IFERROR(Q27/R27-1,"n/a")</f>
        <v>0.23413140311804015</v>
      </c>
      <c r="X27" s="66">
        <f>IFERROR(Q27/S27-1,"n/a")</f>
        <v>0.47422680412371143</v>
      </c>
      <c r="Y27" s="66">
        <f>IFERROR(Q27/T27-1,"n/a")</f>
        <v>6.1615508885298871</v>
      </c>
      <c r="Z27" s="66">
        <f>IFERROR(Q27/U27-1,"n/a")</f>
        <v>5.9157566302652107</v>
      </c>
      <c r="AA27" s="62">
        <f>IFERROR(Q27/V27-1,"n/a")</f>
        <v>0.62858192505510657</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1487916</v>
      </c>
      <c r="G28" s="76">
        <f t="shared" si="0"/>
        <v>1211190</v>
      </c>
      <c r="H28" s="76">
        <f t="shared" si="0"/>
        <v>867086</v>
      </c>
      <c r="I28" s="76">
        <f t="shared" si="0"/>
        <v>368120</v>
      </c>
      <c r="J28" s="76">
        <f t="shared" si="0"/>
        <v>13954</v>
      </c>
      <c r="K28" s="76">
        <f t="shared" si="0"/>
        <v>926937</v>
      </c>
      <c r="L28" s="67">
        <f>IFERROR(F28/G28-1,"n/a")</f>
        <v>0.22847447551581501</v>
      </c>
      <c r="M28" s="67">
        <f>IFERROR(F28/H28-1,"n/a")</f>
        <v>0.71599587584161206</v>
      </c>
      <c r="N28" s="67">
        <f>IFERROR(F28/I28-1,"n/a")</f>
        <v>3.0419319787025971</v>
      </c>
      <c r="O28" s="67">
        <f>IFERROR(F28/J28-1,"n/a")</f>
        <v>105.63007023075821</v>
      </c>
      <c r="P28" s="63">
        <f>IFERROR(F28/K28-1,"n/a")</f>
        <v>0.60519646966298679</v>
      </c>
      <c r="Q28" s="76">
        <f t="shared" si="1"/>
        <v>13486789.4</v>
      </c>
      <c r="R28" s="76">
        <f t="shared" si="1"/>
        <v>10433042</v>
      </c>
      <c r="S28" s="76">
        <f t="shared" si="1"/>
        <v>6084090</v>
      </c>
      <c r="T28" s="76">
        <f t="shared" si="1"/>
        <v>936731</v>
      </c>
      <c r="U28" s="76">
        <f t="shared" si="1"/>
        <v>1307163</v>
      </c>
      <c r="V28" s="76">
        <f t="shared" si="1"/>
        <v>7753742</v>
      </c>
      <c r="W28" s="67">
        <f>IFERROR(Q28/R28-1,"n/a")</f>
        <v>0.29269961723531845</v>
      </c>
      <c r="X28" s="67">
        <f>IFERROR(Q28/S28-1,"n/a")</f>
        <v>1.2167307518462089</v>
      </c>
      <c r="Y28" s="67">
        <f>IFERROR(Q28/T28-1,"n/a")</f>
        <v>13.39771866202784</v>
      </c>
      <c r="Z28" s="67">
        <f>IFERROR(Q28/U28-1,"n/a")</f>
        <v>9.3176033899368331</v>
      </c>
      <c r="AA28" s="63">
        <f>IFERROR(Q28/V28-1,"n/a")</f>
        <v>0.73939104499479091</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October</v>
      </c>
      <c r="G33" s="170"/>
      <c r="H33" s="170"/>
      <c r="I33" s="170"/>
      <c r="J33" s="170"/>
      <c r="K33" s="170"/>
      <c r="L33" s="170"/>
      <c r="M33" s="170"/>
      <c r="N33" s="170"/>
      <c r="O33" s="170"/>
      <c r="P33" s="171"/>
      <c r="Q33" s="176" t="s">
        <v>136</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F38" si="3">F13</f>
        <v>155</v>
      </c>
      <c r="G37" s="74">
        <f t="shared" ref="G37:K38" si="4">+G13</f>
        <v>81</v>
      </c>
      <c r="H37" s="74">
        <f t="shared" si="4"/>
        <v>78</v>
      </c>
      <c r="I37" s="74">
        <f t="shared" si="4"/>
        <v>89</v>
      </c>
      <c r="J37" s="74">
        <f t="shared" si="4"/>
        <v>0</v>
      </c>
      <c r="K37" s="74">
        <f t="shared" si="4"/>
        <v>110</v>
      </c>
      <c r="L37" s="64">
        <f>IFERROR(F37/G37-1,"n/a")</f>
        <v>0.91358024691358031</v>
      </c>
      <c r="M37" s="64">
        <f>IFERROR(F37/H37-1,"n/a")</f>
        <v>0.98717948717948723</v>
      </c>
      <c r="N37" s="64">
        <f>IFERROR(F37/I37-1,"n/a")</f>
        <v>0.7415730337078652</v>
      </c>
      <c r="O37" s="64" t="str">
        <f>IFERROR(F37/J37-1,"n/a")</f>
        <v>n/a</v>
      </c>
      <c r="P37" s="60">
        <f>IFERROR(F37/K37-1,"n/a")</f>
        <v>0.40909090909090917</v>
      </c>
      <c r="Q37" s="74">
        <f>'Sep-24'!Q37+F37</f>
        <v>1107</v>
      </c>
      <c r="R37" s="74">
        <f>'Sep-24'!R37+G37</f>
        <v>706</v>
      </c>
      <c r="S37" s="74">
        <f>'Sep-24'!S37+H37</f>
        <v>621</v>
      </c>
      <c r="T37" s="74">
        <f>'Sep-24'!T37+I37</f>
        <v>228</v>
      </c>
      <c r="U37" s="74">
        <f>'Sep-24'!U37+J37</f>
        <v>42</v>
      </c>
      <c r="V37" s="74">
        <f>'Sep-24'!V37+K37</f>
        <v>696</v>
      </c>
      <c r="W37" s="147">
        <f>IFERROR(Q37/R37-1,"n/a")</f>
        <v>0.56798866855524088</v>
      </c>
      <c r="X37" s="147">
        <f>IFERROR(R37/S37-1,"n/a")</f>
        <v>0.13687600644122377</v>
      </c>
      <c r="Y37" s="147">
        <f>IFERROR(R37/T37-1,"n/a")</f>
        <v>2.0964912280701755</v>
      </c>
      <c r="Z37" s="147">
        <f>IFERROR(R37/U37-1,"n/a")</f>
        <v>15.80952380952381</v>
      </c>
      <c r="AA37" s="158">
        <f>IFERROR(R37/V37-1,"n/a")</f>
        <v>1.4367816091954033E-2</v>
      </c>
      <c r="AB37" s="147"/>
      <c r="AC37" s="89">
        <v>1486</v>
      </c>
      <c r="AD37" s="89">
        <v>1052</v>
      </c>
      <c r="AE37" s="70">
        <v>551</v>
      </c>
      <c r="AF37" s="78">
        <v>1584</v>
      </c>
      <c r="AH37" s="122"/>
    </row>
    <row r="38" spans="1:34" s="123" customFormat="1" ht="11.25">
      <c r="A38" s="122"/>
      <c r="B38" s="122"/>
      <c r="C38" s="33"/>
      <c r="D38" s="26" t="s">
        <v>11</v>
      </c>
      <c r="E38" s="32"/>
      <c r="F38" s="74">
        <f t="shared" si="3"/>
        <v>545702</v>
      </c>
      <c r="G38" s="74">
        <f t="shared" si="4"/>
        <v>282162</v>
      </c>
      <c r="H38" s="74">
        <f t="shared" si="4"/>
        <v>268578</v>
      </c>
      <c r="I38" s="74">
        <f t="shared" si="4"/>
        <v>143120</v>
      </c>
      <c r="J38" s="74">
        <f t="shared" si="4"/>
        <v>0</v>
      </c>
      <c r="K38" s="74">
        <f t="shared" si="4"/>
        <v>299863</v>
      </c>
      <c r="L38" s="64">
        <f>IFERROR(F38/G38-1,"n/a")</f>
        <v>0.93400245249183089</v>
      </c>
      <c r="M38" s="64">
        <f>IFERROR(F38/H38-1,"n/a")</f>
        <v>1.0318194342053331</v>
      </c>
      <c r="N38" s="64">
        <f>IFERROR(F38/I38-1,"n/a")</f>
        <v>2.8128982671883733</v>
      </c>
      <c r="O38" s="64" t="str">
        <f>IFERROR(F38/J38-1,"n/a")</f>
        <v>n/a</v>
      </c>
      <c r="P38" s="60">
        <f>IFERROR(F38/K38-1,"n/a")</f>
        <v>0.81983772589482529</v>
      </c>
      <c r="Q38" s="74">
        <f>'Sep-24'!Q38+F38</f>
        <v>4044142</v>
      </c>
      <c r="R38" s="74">
        <f>'Sep-24'!R38+G38</f>
        <v>2530522</v>
      </c>
      <c r="S38" s="74">
        <f>'Sep-24'!S38+H38</f>
        <v>1904231</v>
      </c>
      <c r="T38" s="74">
        <f>'Sep-24'!T38+I38</f>
        <v>324020</v>
      </c>
      <c r="U38" s="74">
        <f>'Sep-24'!U38+J38</f>
        <v>0</v>
      </c>
      <c r="V38" s="74">
        <f>'Sep-24'!V38+K38</f>
        <v>2192177</v>
      </c>
      <c r="W38" s="147">
        <f>IFERROR(Q38/R38-1,"n/a")</f>
        <v>0.59814536289350584</v>
      </c>
      <c r="X38" s="147">
        <f>IFERROR(R38/S38-1,"n/a")</f>
        <v>0.32889444610449048</v>
      </c>
      <c r="Y38" s="147">
        <f>IFERROR(R38/T38-1,"n/a")</f>
        <v>6.809771001790013</v>
      </c>
      <c r="Z38" s="147" t="str">
        <f>IFERROR(R38/U38-1,"n/a")</f>
        <v>n/a</v>
      </c>
      <c r="AA38" s="158">
        <f>IFERROR(R38/V38-1,"n/a")</f>
        <v>0.15434200796742226</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148"/>
      <c r="X39" s="148"/>
      <c r="Y39" s="148"/>
      <c r="Z39" s="148"/>
      <c r="AA39" s="159"/>
      <c r="AB39" s="148"/>
      <c r="AC39" s="90"/>
      <c r="AD39" s="90"/>
      <c r="AE39" s="44"/>
      <c r="AF39" s="79"/>
      <c r="AH39" s="122"/>
    </row>
    <row r="40" spans="1:34" s="123" customFormat="1" ht="11.25">
      <c r="A40" s="122"/>
      <c r="B40" s="122"/>
      <c r="C40" s="33"/>
      <c r="D40" s="26" t="s">
        <v>5</v>
      </c>
      <c r="E40" s="32"/>
      <c r="F40" s="74">
        <f t="shared" ref="F40:F41" si="5">F16</f>
        <v>122</v>
      </c>
      <c r="G40" s="74">
        <f t="shared" ref="G40:K41" si="6">+G16</f>
        <v>87</v>
      </c>
      <c r="H40" s="74">
        <f t="shared" si="6"/>
        <v>89</v>
      </c>
      <c r="I40" s="74">
        <f t="shared" si="6"/>
        <v>33</v>
      </c>
      <c r="J40" s="74">
        <f t="shared" si="6"/>
        <v>17</v>
      </c>
      <c r="K40" s="74">
        <f t="shared" si="6"/>
        <v>114</v>
      </c>
      <c r="L40" s="64">
        <f>IFERROR(F40/G40-1,"n/a")</f>
        <v>0.40229885057471271</v>
      </c>
      <c r="M40" s="64">
        <f>IFERROR(F40/H40-1,"n/a")</f>
        <v>0.3707865168539326</v>
      </c>
      <c r="N40" s="64">
        <f>IFERROR(F40/I40-1,"n/a")</f>
        <v>2.6969696969696968</v>
      </c>
      <c r="O40" s="64">
        <f>IFERROR(F40/J40-1,"n/a")</f>
        <v>6.1764705882352944</v>
      </c>
      <c r="P40" s="60">
        <f>IFERROR(F40/K40-1,"n/a")</f>
        <v>7.0175438596491224E-2</v>
      </c>
      <c r="Q40" s="74">
        <f>'Sep-24'!Q40+F40</f>
        <v>684</v>
      </c>
      <c r="R40" s="74">
        <f>'Sep-24'!R40+G40</f>
        <v>486</v>
      </c>
      <c r="S40" s="74">
        <f>'Sep-24'!S40+H40</f>
        <v>504</v>
      </c>
      <c r="T40" s="74">
        <f>'Sep-24'!T40+I40</f>
        <v>157</v>
      </c>
      <c r="U40" s="74">
        <f>'Sep-24'!U40+J40</f>
        <v>28</v>
      </c>
      <c r="V40" s="74">
        <f>'Sep-24'!V40+K40</f>
        <v>494</v>
      </c>
      <c r="W40" s="147">
        <f>IFERROR(Q40/R40-1,"n/a")</f>
        <v>0.40740740740740744</v>
      </c>
      <c r="X40" s="147">
        <f>IFERROR(R40/S40-1,"n/a")</f>
        <v>-3.5714285714285698E-2</v>
      </c>
      <c r="Y40" s="147">
        <f>IFERROR(R40/T40-1,"n/a")</f>
        <v>2.0955414012738856</v>
      </c>
      <c r="Z40" s="147">
        <f>IFERROR(R40/U40-1,"n/a")</f>
        <v>16.357142857142858</v>
      </c>
      <c r="AA40" s="158">
        <f>IFERROR(R40/V40-1,"n/a")</f>
        <v>-1.619433198380571E-2</v>
      </c>
      <c r="AB40" s="147"/>
      <c r="AC40" s="89">
        <v>563</v>
      </c>
      <c r="AD40" s="89">
        <v>226</v>
      </c>
      <c r="AE40" s="70">
        <v>66</v>
      </c>
      <c r="AF40" s="78">
        <v>573</v>
      </c>
      <c r="AH40" s="122"/>
    </row>
    <row r="41" spans="1:34" s="123" customFormat="1" ht="11.25">
      <c r="A41" s="122"/>
      <c r="B41" s="122"/>
      <c r="C41" s="33"/>
      <c r="D41" s="26" t="s">
        <v>11</v>
      </c>
      <c r="E41" s="32"/>
      <c r="F41" s="74">
        <f t="shared" si="5"/>
        <v>261443</v>
      </c>
      <c r="G41" s="74">
        <f t="shared" si="6"/>
        <v>199183</v>
      </c>
      <c r="H41" s="74">
        <f t="shared" si="6"/>
        <v>124605</v>
      </c>
      <c r="I41" s="74">
        <f t="shared" si="6"/>
        <v>44045</v>
      </c>
      <c r="J41" s="74">
        <f t="shared" si="6"/>
        <v>13954</v>
      </c>
      <c r="K41" s="74">
        <f t="shared" si="6"/>
        <v>223063</v>
      </c>
      <c r="L41" s="64">
        <f>IFERROR(F41/G41-1,"n/a")</f>
        <v>0.31257687654066868</v>
      </c>
      <c r="M41" s="64">
        <f>IFERROR(F41/H41-1,"n/a")</f>
        <v>1.0981742305685969</v>
      </c>
      <c r="N41" s="64">
        <f>IFERROR(F41/I41-1,"n/a")</f>
        <v>4.9358156430922921</v>
      </c>
      <c r="O41" s="64">
        <f>IFERROR(F41/J41-1,"n/a")</f>
        <v>17.736061344417372</v>
      </c>
      <c r="P41" s="60">
        <f>IFERROR(F41/K41-1,"n/a")</f>
        <v>0.17205901471781515</v>
      </c>
      <c r="Q41" s="74">
        <f>'Sep-24'!Q41+F41</f>
        <v>1792524</v>
      </c>
      <c r="R41" s="74">
        <f>'Sep-24'!R41+G41</f>
        <v>1449875</v>
      </c>
      <c r="S41" s="74">
        <f>'Sep-24'!S41+H41</f>
        <v>860029</v>
      </c>
      <c r="T41" s="74">
        <f>'Sep-24'!T41+I41</f>
        <v>249228</v>
      </c>
      <c r="U41" s="74">
        <f>'Sep-24'!U41+J41</f>
        <v>22567</v>
      </c>
      <c r="V41" s="74">
        <f>'Sep-24'!V41+K41</f>
        <v>1224579</v>
      </c>
      <c r="W41" s="147">
        <f>IFERROR(Q41/R41-1,"n/a")</f>
        <v>0.23633002845072859</v>
      </c>
      <c r="X41" s="147">
        <f>IFERROR(R41/S41-1,"n/a")</f>
        <v>0.68584431455218375</v>
      </c>
      <c r="Y41" s="147">
        <f>IFERROR(R41/T41-1,"n/a")</f>
        <v>4.8174643298505782</v>
      </c>
      <c r="Z41" s="147">
        <f>IFERROR(R41/U41-1,"n/a")</f>
        <v>63.247573891079895</v>
      </c>
      <c r="AA41" s="158">
        <f>IFERROR(R41/V41-1,"n/a")</f>
        <v>0.18397833051195556</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87"/>
      <c r="L42" s="64"/>
      <c r="M42" s="64"/>
      <c r="N42" s="64"/>
      <c r="O42" s="64"/>
      <c r="P42" s="60"/>
      <c r="Q42" s="87"/>
      <c r="R42" s="87"/>
      <c r="S42" s="87"/>
      <c r="T42" s="87"/>
      <c r="U42" s="87"/>
      <c r="V42" s="72"/>
      <c r="W42" s="147"/>
      <c r="X42" s="147"/>
      <c r="Y42" s="147"/>
      <c r="Z42" s="147"/>
      <c r="AA42" s="158"/>
      <c r="AB42" s="147"/>
      <c r="AC42" s="90"/>
      <c r="AD42" s="90"/>
      <c r="AE42" s="44"/>
      <c r="AF42" s="79"/>
      <c r="AH42" s="122"/>
    </row>
    <row r="43" spans="1:34" s="123" customFormat="1" ht="11.25">
      <c r="A43" s="122"/>
      <c r="B43" s="122"/>
      <c r="C43" s="33"/>
      <c r="D43" s="26" t="s">
        <v>5</v>
      </c>
      <c r="E43" s="32"/>
      <c r="F43" s="74">
        <f t="shared" ref="F43:F44" si="7">F19</f>
        <v>123</v>
      </c>
      <c r="G43" s="74">
        <f t="shared" ref="G43:K44" si="8">+G19</f>
        <v>117</v>
      </c>
      <c r="H43" s="74">
        <f t="shared" si="8"/>
        <v>97</v>
      </c>
      <c r="I43" s="74">
        <f t="shared" si="8"/>
        <v>15</v>
      </c>
      <c r="J43" s="74">
        <f t="shared" si="8"/>
        <v>1</v>
      </c>
      <c r="K43" s="74">
        <f t="shared" si="8"/>
        <v>34</v>
      </c>
      <c r="L43" s="64">
        <f>IFERROR(F43/G43-1,"n/a")</f>
        <v>5.1282051282051322E-2</v>
      </c>
      <c r="M43" s="64">
        <f>IFERROR(F43/H43-1,"n/a")</f>
        <v>0.268041237113402</v>
      </c>
      <c r="N43" s="64">
        <f>IFERROR(F43/I43-1,"n/a")</f>
        <v>7.1999999999999993</v>
      </c>
      <c r="O43" s="64">
        <f>IFERROR(F43/J43-1,"n/a")</f>
        <v>122</v>
      </c>
      <c r="P43" s="60">
        <f>IFERROR(F43/K43-1,"n/a")</f>
        <v>2.6176470588235294</v>
      </c>
      <c r="Q43" s="74">
        <f>'Sep-24'!Q43+F43</f>
        <v>675</v>
      </c>
      <c r="R43" s="74">
        <f>'Sep-24'!R43+G43</f>
        <v>638</v>
      </c>
      <c r="S43" s="74">
        <f>'Sep-24'!S43+H43</f>
        <v>598</v>
      </c>
      <c r="T43" s="74">
        <f>'Sep-24'!T43+I43</f>
        <v>31</v>
      </c>
      <c r="U43" s="74">
        <f>'Sep-24'!U43+J43</f>
        <v>6</v>
      </c>
      <c r="V43" s="74">
        <f>'Sep-24'!V43+K43</f>
        <v>259</v>
      </c>
      <c r="W43" s="147">
        <f>IFERROR(Q43/R43-1,"n/a")</f>
        <v>5.7993730407523536E-2</v>
      </c>
      <c r="X43" s="147">
        <f>IFERROR(R43/S43-1,"n/a")</f>
        <v>6.6889632107023367E-2</v>
      </c>
      <c r="Y43" s="147">
        <f>IFERROR(R43/T43-1,"n/a")</f>
        <v>19.580645161290324</v>
      </c>
      <c r="Z43" s="147">
        <f>IFERROR(R43/U43-1,"n/a")</f>
        <v>105.33333333333333</v>
      </c>
      <c r="AA43" s="158">
        <f>IFERROR(R43/V43-1,"n/a")</f>
        <v>1.4633204633204633</v>
      </c>
      <c r="AB43" s="147"/>
      <c r="AC43" s="89">
        <v>669</v>
      </c>
      <c r="AD43" s="89">
        <v>59</v>
      </c>
      <c r="AE43" s="70">
        <v>9</v>
      </c>
      <c r="AF43" s="78">
        <v>287</v>
      </c>
      <c r="AH43" s="122"/>
    </row>
    <row r="44" spans="1:34" s="123" customFormat="1" ht="11.25">
      <c r="A44" s="122"/>
      <c r="B44" s="122"/>
      <c r="C44" s="33"/>
      <c r="D44" s="26" t="s">
        <v>11</v>
      </c>
      <c r="E44" s="32"/>
      <c r="F44" s="74">
        <f t="shared" si="7"/>
        <v>217519</v>
      </c>
      <c r="G44" s="74">
        <f t="shared" si="8"/>
        <v>211817</v>
      </c>
      <c r="H44" s="74">
        <f t="shared" si="8"/>
        <v>133084</v>
      </c>
      <c r="I44" s="74">
        <f t="shared" si="8"/>
        <v>6450</v>
      </c>
      <c r="J44" s="74">
        <f t="shared" si="8"/>
        <v>0</v>
      </c>
      <c r="K44" s="74">
        <f t="shared" si="8"/>
        <v>67246</v>
      </c>
      <c r="L44" s="64">
        <f>IFERROR(F44/G44-1,"n/a")</f>
        <v>2.6919463499152529E-2</v>
      </c>
      <c r="M44" s="64">
        <f>IFERROR(F44/H44-1,"n/a")</f>
        <v>0.6344489194794265</v>
      </c>
      <c r="N44" s="64">
        <f>IFERROR(F44/I44-1,"n/a")</f>
        <v>32.723875968992246</v>
      </c>
      <c r="O44" s="64" t="str">
        <f>IFERROR(F44/J44-1,"n/a")</f>
        <v>n/a</v>
      </c>
      <c r="P44" s="60">
        <f>IFERROR(F44/K44-1,"n/a")</f>
        <v>2.2346756684412457</v>
      </c>
      <c r="Q44" s="74">
        <f>'Sep-24'!Q44+F44</f>
        <v>1414722.4</v>
      </c>
      <c r="R44" s="74">
        <f>'Sep-24'!R44+G44</f>
        <v>1204396</v>
      </c>
      <c r="S44" s="74">
        <f>'Sep-24'!S44+H44</f>
        <v>834057</v>
      </c>
      <c r="T44" s="74">
        <f>'Sep-24'!T44+I44</f>
        <v>10992</v>
      </c>
      <c r="U44" s="74">
        <f>'Sep-24'!U44+J44</f>
        <v>8294</v>
      </c>
      <c r="V44" s="74">
        <f>'Sep-24'!V44+K44</f>
        <v>548524</v>
      </c>
      <c r="W44" s="147">
        <f>IFERROR(Q44/R44-1,"n/a")</f>
        <v>0.17463226380692065</v>
      </c>
      <c r="X44" s="147">
        <f>IFERROR(R44/S44-1,"n/a")</f>
        <v>0.44402121197951705</v>
      </c>
      <c r="Y44" s="147">
        <f>IFERROR(R44/T44-1,"n/a")</f>
        <v>108.57023289665212</v>
      </c>
      <c r="Z44" s="147">
        <f>IFERROR(R44/U44-1,"n/a")</f>
        <v>144.21292500602846</v>
      </c>
      <c r="AA44" s="158">
        <f>IFERROR(R44/V44-1,"n/a")</f>
        <v>1.1957033785212681</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147"/>
      <c r="X45" s="147"/>
      <c r="Y45" s="147"/>
      <c r="Z45" s="147"/>
      <c r="AA45" s="158"/>
      <c r="AB45" s="147"/>
      <c r="AC45" s="90"/>
      <c r="AD45" s="90"/>
      <c r="AE45" s="44"/>
      <c r="AF45" s="79"/>
      <c r="AH45" s="122"/>
    </row>
    <row r="46" spans="1:34" s="123" customFormat="1" ht="11.25">
      <c r="A46" s="122"/>
      <c r="B46" s="122"/>
      <c r="C46" s="33"/>
      <c r="D46" s="26" t="s">
        <v>5</v>
      </c>
      <c r="E46" s="34"/>
      <c r="F46" s="74">
        <f t="shared" ref="F46:F47" si="9">F22</f>
        <v>189</v>
      </c>
      <c r="G46" s="74">
        <f t="shared" ref="G46:K47" si="10">+G22</f>
        <v>185</v>
      </c>
      <c r="H46" s="74">
        <f t="shared" si="10"/>
        <v>149</v>
      </c>
      <c r="I46" s="74">
        <f t="shared" si="10"/>
        <v>107</v>
      </c>
      <c r="J46" s="74">
        <f t="shared" si="10"/>
        <v>0</v>
      </c>
      <c r="K46" s="74">
        <f t="shared" si="10"/>
        <v>127</v>
      </c>
      <c r="L46" s="64">
        <f>IFERROR(F46/G46-1,"n/a")</f>
        <v>2.1621621621621623E-2</v>
      </c>
      <c r="M46" s="64">
        <f>IFERROR(F46/H46-1,"n/a")</f>
        <v>0.26845637583892623</v>
      </c>
      <c r="N46" s="64">
        <f>IFERROR(F46/I46-1,"n/a")</f>
        <v>0.76635514018691597</v>
      </c>
      <c r="O46" s="64" t="str">
        <f>IFERROR(F46/J46-1,"n/a")</f>
        <v>n/a</v>
      </c>
      <c r="P46" s="60">
        <f>IFERROR(F46/K46-1,"n/a")</f>
        <v>0.48818897637795278</v>
      </c>
      <c r="Q46" s="74">
        <f>'Sep-24'!Q46+F46</f>
        <v>928</v>
      </c>
      <c r="R46" s="74">
        <f>'Sep-24'!R46+G46</f>
        <v>874</v>
      </c>
      <c r="S46" s="74">
        <f>'Sep-24'!S46+H46</f>
        <v>644</v>
      </c>
      <c r="T46" s="74">
        <f>'Sep-24'!T46+I46</f>
        <v>191</v>
      </c>
      <c r="U46" s="74">
        <f>'Sep-24'!U46+J46</f>
        <v>0</v>
      </c>
      <c r="V46" s="74">
        <f>'Sep-24'!V46+K46</f>
        <v>623</v>
      </c>
      <c r="W46" s="147">
        <f>IFERROR(Q46/R46-1,"n/a")</f>
        <v>6.1784897025171537E-2</v>
      </c>
      <c r="X46" s="147">
        <f>IFERROR(R46/S46-1,"n/a")</f>
        <v>0.35714285714285721</v>
      </c>
      <c r="Y46" s="147">
        <f>IFERROR(R46/T46-1,"n/a")</f>
        <v>3.5759162303664924</v>
      </c>
      <c r="Z46" s="147" t="str">
        <f>IFERROR(R46/U46-1,"n/a")</f>
        <v>n/a</v>
      </c>
      <c r="AA46" s="158">
        <f>IFERROR(R46/V46-1,"n/a")</f>
        <v>0.4028892455858748</v>
      </c>
      <c r="AB46" s="147"/>
      <c r="AC46" s="89">
        <v>1129</v>
      </c>
      <c r="AD46" s="89">
        <v>336</v>
      </c>
      <c r="AE46" s="84">
        <v>43</v>
      </c>
      <c r="AF46" s="78">
        <v>781</v>
      </c>
      <c r="AH46" s="122"/>
    </row>
    <row r="47" spans="1:34" s="123" customFormat="1" ht="11.25">
      <c r="A47" s="122"/>
      <c r="B47" s="122"/>
      <c r="C47" s="33"/>
      <c r="D47" s="26" t="s">
        <v>11</v>
      </c>
      <c r="E47" s="32"/>
      <c r="F47" s="74">
        <f t="shared" si="9"/>
        <v>459752</v>
      </c>
      <c r="G47" s="74">
        <f t="shared" si="10"/>
        <v>513716</v>
      </c>
      <c r="H47" s="74">
        <f t="shared" si="10"/>
        <v>338461</v>
      </c>
      <c r="I47" s="74">
        <f t="shared" si="10"/>
        <v>174505</v>
      </c>
      <c r="J47" s="74">
        <f t="shared" si="10"/>
        <v>0</v>
      </c>
      <c r="K47" s="74">
        <f t="shared" si="10"/>
        <v>332808</v>
      </c>
      <c r="L47" s="64">
        <f>IFERROR(F47/G47-1,"n/a")</f>
        <v>-0.10504636803214229</v>
      </c>
      <c r="M47" s="64">
        <f>IFERROR(F47/H47-1,"n/a")</f>
        <v>0.35836034284600005</v>
      </c>
      <c r="N47" s="64">
        <f>IFERROR(F47/I47-1,"n/a")</f>
        <v>1.6346064582676716</v>
      </c>
      <c r="O47" s="64" t="str">
        <f>IFERROR(F47/J47-1,"n/a")</f>
        <v>n/a</v>
      </c>
      <c r="P47" s="60">
        <f>IFERROR(F47/K47-1,"n/a")</f>
        <v>0.38143313862647532</v>
      </c>
      <c r="Q47" s="74">
        <f>'Sep-24'!Q47+F47</f>
        <v>2950409</v>
      </c>
      <c r="R47" s="74">
        <f>'Sep-24'!R47+G47</f>
        <v>2731264</v>
      </c>
      <c r="S47" s="74">
        <f>'Sep-24'!S47+H47</f>
        <v>1602431</v>
      </c>
      <c r="T47" s="74">
        <f>'Sep-24'!T47+I47</f>
        <v>342388</v>
      </c>
      <c r="U47" s="74">
        <f>'Sep-24'!U47+J47</f>
        <v>0</v>
      </c>
      <c r="V47" s="74">
        <f>'Sep-24'!V47+K47</f>
        <v>1978352</v>
      </c>
      <c r="W47" s="147">
        <f>IFERROR(Q47/R47-1,"n/a")</f>
        <v>8.0235744329365533E-2</v>
      </c>
      <c r="X47" s="147">
        <f>IFERROR(R47/S47-1,"n/a")</f>
        <v>0.70445030082418536</v>
      </c>
      <c r="Y47" s="147">
        <f>IFERROR(R47/T47-1,"n/a")</f>
        <v>6.9771020012383609</v>
      </c>
      <c r="Z47" s="147" t="str">
        <f>IFERROR(R47/U47-1,"n/a")</f>
        <v>n/a</v>
      </c>
      <c r="AA47" s="158">
        <f>IFERROR(R47/V47-1,"n/a")</f>
        <v>0.38057534756201128</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147"/>
      <c r="X48" s="147"/>
      <c r="Y48" s="147"/>
      <c r="Z48" s="147"/>
      <c r="AA48" s="158"/>
      <c r="AB48" s="147"/>
      <c r="AC48" s="90"/>
      <c r="AD48" s="90"/>
      <c r="AE48" s="44"/>
      <c r="AF48" s="79"/>
      <c r="AH48" s="122"/>
    </row>
    <row r="49" spans="3:34" s="123" customFormat="1" ht="11.25">
      <c r="C49" s="33"/>
      <c r="D49" s="26" t="s">
        <v>5</v>
      </c>
      <c r="E49" s="32"/>
      <c r="F49" s="74">
        <f t="shared" ref="F49:F50" si="11">F25</f>
        <v>2</v>
      </c>
      <c r="G49" s="74">
        <f t="shared" ref="G49:K50" si="12">+G25</f>
        <v>2</v>
      </c>
      <c r="H49" s="74">
        <f t="shared" si="12"/>
        <v>1</v>
      </c>
      <c r="I49" s="74">
        <f t="shared" si="12"/>
        <v>0</v>
      </c>
      <c r="J49" s="74">
        <f t="shared" si="12"/>
        <v>0</v>
      </c>
      <c r="K49" s="74">
        <f t="shared" si="12"/>
        <v>3</v>
      </c>
      <c r="L49" s="64">
        <f>IFERROR(F49/G49-1,"n/a")</f>
        <v>0</v>
      </c>
      <c r="M49" s="64">
        <f>IFERROR(F49/H49-1,"n/a")</f>
        <v>1</v>
      </c>
      <c r="N49" s="64" t="str">
        <f>IFERROR(F49/I49-1,"n/a")</f>
        <v>n/a</v>
      </c>
      <c r="O49" s="64" t="str">
        <f>IFERROR(F49/J49-1,"n/a")</f>
        <v>n/a</v>
      </c>
      <c r="P49" s="60">
        <f>IFERROR(F49/K49-1,"n/a")</f>
        <v>-0.33333333333333337</v>
      </c>
      <c r="Q49" s="74">
        <f>'Sep-24'!Q49+F49</f>
        <v>14</v>
      </c>
      <c r="R49" s="74">
        <f>'Sep-24'!R49+G49</f>
        <v>21</v>
      </c>
      <c r="S49" s="74">
        <f>'Sep-24'!S49+H49</f>
        <v>9</v>
      </c>
      <c r="T49" s="74">
        <f>'Sep-24'!T49+I49</f>
        <v>0</v>
      </c>
      <c r="U49" s="74">
        <f>'Sep-24'!U49+J49</f>
        <v>0</v>
      </c>
      <c r="V49" s="74">
        <f>'Sep-24'!V49+K49</f>
        <v>16</v>
      </c>
      <c r="W49" s="147">
        <f t="shared" ref="W49:X52" si="13">IFERROR(Q49/R49-1,"n/a")</f>
        <v>-0.33333333333333337</v>
      </c>
      <c r="X49" s="147">
        <f t="shared" si="13"/>
        <v>1.3333333333333335</v>
      </c>
      <c r="Y49" s="147" t="str">
        <f>IFERROR(R49/T49-1,"n/a")</f>
        <v>n/a</v>
      </c>
      <c r="Z49" s="147" t="str">
        <f>IFERROR(R49/U49-1,"n/a")</f>
        <v>n/a</v>
      </c>
      <c r="AA49" s="158">
        <f>IFERROR(R49/V49-1,"n/a")</f>
        <v>0.3125</v>
      </c>
      <c r="AB49" s="147"/>
      <c r="AC49" s="89">
        <v>9</v>
      </c>
      <c r="AD49" s="68">
        <v>0</v>
      </c>
      <c r="AE49" s="68">
        <v>0</v>
      </c>
      <c r="AF49" s="78">
        <v>16</v>
      </c>
      <c r="AH49" s="122"/>
    </row>
    <row r="50" spans="3:34" s="123" customFormat="1" ht="11.25">
      <c r="C50" s="33"/>
      <c r="D50" s="26" t="s">
        <v>11</v>
      </c>
      <c r="E50" s="32"/>
      <c r="F50" s="74">
        <f t="shared" si="11"/>
        <v>3500</v>
      </c>
      <c r="G50" s="74">
        <f t="shared" si="12"/>
        <v>4312</v>
      </c>
      <c r="H50" s="74">
        <f t="shared" si="12"/>
        <v>2358</v>
      </c>
      <c r="I50" s="74">
        <f t="shared" si="12"/>
        <v>0</v>
      </c>
      <c r="J50" s="74">
        <f t="shared" si="12"/>
        <v>0</v>
      </c>
      <c r="K50" s="74">
        <f t="shared" si="12"/>
        <v>3957</v>
      </c>
      <c r="L50" s="64">
        <f>IFERROR(F50/G50-1,"n/a")</f>
        <v>-0.18831168831168832</v>
      </c>
      <c r="M50" s="64">
        <f>IFERROR(F50/H50-1,"n/a")</f>
        <v>0.48430873621713322</v>
      </c>
      <c r="N50" s="64" t="str">
        <f>IFERROR(F50/I50-1,"n/a")</f>
        <v>n/a</v>
      </c>
      <c r="O50" s="64" t="str">
        <f>IFERROR(F50/J50-1,"n/a")</f>
        <v>n/a</v>
      </c>
      <c r="P50" s="60">
        <f>IFERROR(F50/K50-1,"n/a")</f>
        <v>-0.1154915339903968</v>
      </c>
      <c r="Q50" s="74">
        <f>'Sep-24'!Q50+F50</f>
        <v>47798</v>
      </c>
      <c r="R50" s="74">
        <f>'Sep-24'!R50+G50</f>
        <v>38626</v>
      </c>
      <c r="S50" s="74">
        <f>'Sep-24'!S50+H50</f>
        <v>15637</v>
      </c>
      <c r="T50" s="74">
        <f>'Sep-24'!T50+I50</f>
        <v>0</v>
      </c>
      <c r="U50" s="74">
        <f>'Sep-24'!U50+J50</f>
        <v>0</v>
      </c>
      <c r="V50" s="74">
        <f>'Sep-24'!V50+K50</f>
        <v>20248</v>
      </c>
      <c r="W50" s="147">
        <f t="shared" si="13"/>
        <v>0.23745663542691453</v>
      </c>
      <c r="X50" s="147">
        <f t="shared" si="13"/>
        <v>1.4701669118117286</v>
      </c>
      <c r="Y50" s="147" t="str">
        <f>IFERROR(R50/T50-1,"n/a")</f>
        <v>n/a</v>
      </c>
      <c r="Z50" s="147" t="str">
        <f>IFERROR(R50/U50-1,"n/a")</f>
        <v>n/a</v>
      </c>
      <c r="AA50" s="158">
        <f>IFERROR(R50/V50-1,"n/a")</f>
        <v>0.90764519952587919</v>
      </c>
      <c r="AB50" s="147"/>
      <c r="AC50" s="82">
        <v>15637</v>
      </c>
      <c r="AD50" s="68">
        <v>0</v>
      </c>
      <c r="AE50" s="68">
        <v>0</v>
      </c>
      <c r="AF50" s="78">
        <v>20248</v>
      </c>
      <c r="AH50" s="122"/>
    </row>
    <row r="51" spans="3:34" s="123" customFormat="1" ht="12" thickBot="1">
      <c r="C51" s="35" t="s">
        <v>12</v>
      </c>
      <c r="D51" s="36"/>
      <c r="E51" s="37"/>
      <c r="F51" s="75">
        <f>F37+F40+F43+F46+F49</f>
        <v>591</v>
      </c>
      <c r="G51" s="75">
        <f>G37+G40+G43+G46+G49</f>
        <v>472</v>
      </c>
      <c r="H51" s="75">
        <f t="shared" ref="H51:K52" si="14">H37+H40+H43+H46+H49</f>
        <v>414</v>
      </c>
      <c r="I51" s="75">
        <f t="shared" si="14"/>
        <v>244</v>
      </c>
      <c r="J51" s="75">
        <f t="shared" si="14"/>
        <v>18</v>
      </c>
      <c r="K51" s="75">
        <f t="shared" si="14"/>
        <v>388</v>
      </c>
      <c r="L51" s="66">
        <f>IFERROR(F51/G51-1,"n/a")</f>
        <v>0.25211864406779672</v>
      </c>
      <c r="M51" s="66">
        <f>IFERROR(F51/H51-1,"n/a")</f>
        <v>0.42753623188405787</v>
      </c>
      <c r="N51" s="66">
        <f>IFERROR(F51/I51-1,"n/a")</f>
        <v>1.4221311475409837</v>
      </c>
      <c r="O51" s="66">
        <f>IFERROR(F51/J51-1,"n/a")</f>
        <v>31.833333333333336</v>
      </c>
      <c r="P51" s="62">
        <f>IFERROR(F51/K51-1,"n/a")</f>
        <v>0.52319587628865971</v>
      </c>
      <c r="Q51" s="75">
        <f t="shared" ref="Q51:V52" si="15">Q37+Q40+Q43+Q46+Q49</f>
        <v>3408</v>
      </c>
      <c r="R51" s="75">
        <f t="shared" si="15"/>
        <v>2725</v>
      </c>
      <c r="S51" s="75">
        <f>S37+S40+S43+S46+S49</f>
        <v>2376</v>
      </c>
      <c r="T51" s="75">
        <f t="shared" si="15"/>
        <v>607</v>
      </c>
      <c r="U51" s="75">
        <f t="shared" si="15"/>
        <v>76</v>
      </c>
      <c r="V51" s="75">
        <f t="shared" si="15"/>
        <v>2088</v>
      </c>
      <c r="W51" s="66">
        <f t="shared" si="13"/>
        <v>0.25064220183486241</v>
      </c>
      <c r="X51" s="66">
        <f t="shared" si="13"/>
        <v>0.14688552188552184</v>
      </c>
      <c r="Y51" s="66">
        <f>IFERROR(R51/T51-1,"n/a")</f>
        <v>3.4892915980230645</v>
      </c>
      <c r="Z51" s="66">
        <f t="shared" ref="Z51:Z52" si="16">IFERROR(R51/U51-1,"n/a")</f>
        <v>34.85526315789474</v>
      </c>
      <c r="AA51" s="62">
        <f>IFERROR(R51/V51-1,"n/a")</f>
        <v>0.30507662835249039</v>
      </c>
      <c r="AB51" s="66"/>
      <c r="AC51" s="46">
        <f t="shared" ref="AC51:AE52" si="17">AC37+AC40+AC43+AC46+AC49</f>
        <v>3856</v>
      </c>
      <c r="AD51" s="46">
        <f t="shared" si="17"/>
        <v>1673</v>
      </c>
      <c r="AE51" s="46">
        <f t="shared" si="17"/>
        <v>669</v>
      </c>
      <c r="AF51" s="80">
        <f>AF37+AF40+AF43+AF46+AF49</f>
        <v>3241</v>
      </c>
      <c r="AH51" s="122"/>
    </row>
    <row r="52" spans="3:34" s="123" customFormat="1" ht="12.75" thickTop="1" thickBot="1">
      <c r="C52" s="38" t="s">
        <v>13</v>
      </c>
      <c r="D52" s="39"/>
      <c r="E52" s="40"/>
      <c r="F52" s="76">
        <f>F38+F41+F44+F47+F50</f>
        <v>1487916</v>
      </c>
      <c r="G52" s="76">
        <f>G38+G41+G44+G47+G50</f>
        <v>1211190</v>
      </c>
      <c r="H52" s="76">
        <f t="shared" si="14"/>
        <v>867086</v>
      </c>
      <c r="I52" s="76">
        <f t="shared" si="14"/>
        <v>368120</v>
      </c>
      <c r="J52" s="76">
        <f t="shared" si="14"/>
        <v>13954</v>
      </c>
      <c r="K52" s="76">
        <f t="shared" si="14"/>
        <v>926937</v>
      </c>
      <c r="L52" s="67">
        <f>IFERROR(F52/G52-1,"n/a")</f>
        <v>0.22847447551581501</v>
      </c>
      <c r="M52" s="67">
        <f>IFERROR(F52/H52-1,"n/a")</f>
        <v>0.71599587584161206</v>
      </c>
      <c r="N52" s="67">
        <f>IFERROR(F52/I52-1,"n/a")</f>
        <v>3.0419319787025971</v>
      </c>
      <c r="O52" s="67">
        <f>IFERROR(F52/J52-1,"n/a")</f>
        <v>105.63007023075821</v>
      </c>
      <c r="P52" s="63">
        <f>IFERROR(F52/K52-1,"n/a")</f>
        <v>0.60519646966298679</v>
      </c>
      <c r="Q52" s="76">
        <f t="shared" si="15"/>
        <v>10249595.4</v>
      </c>
      <c r="R52" s="76">
        <f t="shared" si="15"/>
        <v>7954683</v>
      </c>
      <c r="S52" s="76">
        <f t="shared" si="15"/>
        <v>5216385</v>
      </c>
      <c r="T52" s="76">
        <f t="shared" si="15"/>
        <v>926628</v>
      </c>
      <c r="U52" s="76">
        <f t="shared" si="15"/>
        <v>30861</v>
      </c>
      <c r="V52" s="76">
        <f t="shared" si="15"/>
        <v>5963880</v>
      </c>
      <c r="W52" s="67">
        <f t="shared" si="13"/>
        <v>0.28849828459537608</v>
      </c>
      <c r="X52" s="67">
        <f t="shared" si="13"/>
        <v>0.52494169813002678</v>
      </c>
      <c r="Y52" s="117">
        <f>IFERROR(R52/T52-1,"n/a")</f>
        <v>7.5845484919514625</v>
      </c>
      <c r="Z52" s="117">
        <f t="shared" si="16"/>
        <v>256.75843297365606</v>
      </c>
      <c r="AA52" s="118">
        <f>IFERROR(R52/V52-1,"n/a")</f>
        <v>0.33381003641924378</v>
      </c>
      <c r="AB52" s="117"/>
      <c r="AC52" s="47">
        <f t="shared" si="17"/>
        <v>9237323</v>
      </c>
      <c r="AD52" s="47">
        <f t="shared" si="17"/>
        <v>2410085</v>
      </c>
      <c r="AE52" s="47">
        <f t="shared" si="17"/>
        <v>1324261</v>
      </c>
      <c r="AF52" s="81">
        <f>AF38+AF41+AF44+AF47+AF50</f>
        <v>8638971</v>
      </c>
      <c r="AH52" s="122"/>
    </row>
    <row r="53" spans="3:34" s="123" customFormat="1" ht="12" thickTop="1">
      <c r="AH53" s="122"/>
    </row>
    <row r="54" spans="3:34" s="123" customFormat="1" ht="11.25">
      <c r="Q54" s="149"/>
      <c r="S54" s="131"/>
      <c r="T54" s="131"/>
      <c r="U54" s="131"/>
      <c r="V54" s="131"/>
      <c r="AH54" s="122"/>
    </row>
    <row r="55" spans="3:34" ht="15">
      <c r="S55" s="111"/>
      <c r="T55" s="111"/>
      <c r="U55" s="111"/>
      <c r="V55" s="111"/>
      <c r="AH55" s="9"/>
    </row>
    <row r="56" spans="3:34" ht="15">
      <c r="Q56" s="150"/>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ignoredErrors>
    <ignoredError sqref="E4"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E89F6-8889-4A3E-B65F-5492F7DEE235}">
  <dimension ref="A1:AH66"/>
  <sheetViews>
    <sheetView showGridLines="0" topLeftCell="P27" zoomScale="85" zoomScaleNormal="85" workbookViewId="0">
      <selection activeCell="AB44" sqref="AB44"/>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45550</v>
      </c>
      <c r="AG3" s="25"/>
      <c r="AH3" s="9"/>
    </row>
    <row r="4" spans="1:34" ht="15.75">
      <c r="A4" s="9"/>
      <c r="B4" s="11" t="s">
        <v>7</v>
      </c>
      <c r="C4" s="26"/>
      <c r="D4" s="93" t="s">
        <v>22</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7" t="str">
        <f>D4</f>
        <v>September</v>
      </c>
      <c r="G9" s="167"/>
      <c r="H9" s="167"/>
      <c r="I9" s="167"/>
      <c r="J9" s="167"/>
      <c r="K9" s="167"/>
      <c r="L9" s="167"/>
      <c r="M9" s="167"/>
      <c r="N9" s="167"/>
      <c r="O9" s="167"/>
      <c r="P9" s="168"/>
      <c r="Q9" s="169" t="str">
        <f>"January to "&amp; D4</f>
        <v>January to September</v>
      </c>
      <c r="R9" s="170"/>
      <c r="S9" s="170"/>
      <c r="T9" s="170"/>
      <c r="U9" s="170"/>
      <c r="V9" s="170"/>
      <c r="W9" s="170"/>
      <c r="X9" s="170"/>
      <c r="Y9" s="170"/>
      <c r="Z9" s="170"/>
      <c r="AA9" s="171"/>
      <c r="AB9" s="169" t="s">
        <v>57</v>
      </c>
      <c r="AC9" s="170"/>
      <c r="AD9" s="170"/>
      <c r="AE9" s="170"/>
      <c r="AF9" s="172"/>
      <c r="AG9" s="122"/>
      <c r="AH9" s="122"/>
    </row>
    <row r="10" spans="1:34"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138</v>
      </c>
      <c r="G13" s="73">
        <v>98</v>
      </c>
      <c r="H13" s="73">
        <v>82</v>
      </c>
      <c r="I13" s="73">
        <v>60</v>
      </c>
      <c r="J13" s="73">
        <v>0</v>
      </c>
      <c r="K13" s="73">
        <v>79</v>
      </c>
      <c r="L13" s="64">
        <f>IFERROR(F13/G13-1,"n/a")</f>
        <v>0.40816326530612246</v>
      </c>
      <c r="M13" s="64">
        <f>IFERROR(F13/H13-1,"n/a")</f>
        <v>0.68292682926829262</v>
      </c>
      <c r="N13" s="64">
        <f>IFERROR(F13/I13-1,"n/a")</f>
        <v>1.2999999999999998</v>
      </c>
      <c r="O13" s="64" t="str">
        <f>IFERROR(F13/J13-1,"n/a")</f>
        <v>n/a</v>
      </c>
      <c r="P13" s="60">
        <f>IFERROR(F13/K13-1,"n/a")</f>
        <v>0.74683544303797467</v>
      </c>
      <c r="Q13" s="68">
        <f>'Aug-24'!Q13+F13</f>
        <v>1654</v>
      </c>
      <c r="R13" s="68">
        <f>'Aug-24'!R13+G13</f>
        <v>1155</v>
      </c>
      <c r="S13" s="68">
        <f>'Aug-24'!S13+H13</f>
        <v>1073</v>
      </c>
      <c r="T13" s="68">
        <f>'Aug-24'!T13+I13</f>
        <v>139</v>
      </c>
      <c r="U13" s="68">
        <f>'Aug-24'!U13+J13</f>
        <v>551</v>
      </c>
      <c r="V13" s="68">
        <f>'Aug-24'!V13+K13</f>
        <v>1102</v>
      </c>
      <c r="W13" s="64">
        <f>IFERROR(Q13/R13-1,"n/a")</f>
        <v>0.43203463203463199</v>
      </c>
      <c r="X13" s="64">
        <f>IFERROR(Q13/S13-1,"n/a")</f>
        <v>0.54147250698974836</v>
      </c>
      <c r="Y13" s="64">
        <f>IFERROR(Q13/T13-1,"n/a")</f>
        <v>10.899280575539569</v>
      </c>
      <c r="Z13" s="64">
        <f>IFERROR(Q13/U13-1,"n/a")</f>
        <v>2.0018148820326678</v>
      </c>
      <c r="AA13" s="60">
        <f>IFERROR(Q13/V13-1,"n/a")</f>
        <v>0.50090744101633389</v>
      </c>
      <c r="AB13" s="68">
        <v>1630</v>
      </c>
      <c r="AC13" s="68">
        <v>1486</v>
      </c>
      <c r="AD13" s="68">
        <v>522</v>
      </c>
      <c r="AE13" s="68">
        <v>551</v>
      </c>
      <c r="AF13" s="134">
        <v>1591</v>
      </c>
      <c r="AG13" s="122"/>
      <c r="AH13" s="122"/>
    </row>
    <row r="14" spans="1:34" s="123" customFormat="1" ht="12.75">
      <c r="A14" s="122"/>
      <c r="B14" s="127"/>
      <c r="C14" s="33"/>
      <c r="D14" s="26" t="s">
        <v>11</v>
      </c>
      <c r="E14" s="32"/>
      <c r="F14" s="71">
        <v>494236</v>
      </c>
      <c r="G14" s="73">
        <v>313650</v>
      </c>
      <c r="H14" s="73">
        <v>280580</v>
      </c>
      <c r="I14" s="73">
        <v>83395</v>
      </c>
      <c r="J14" s="73">
        <v>0</v>
      </c>
      <c r="K14" s="73">
        <v>234453</v>
      </c>
      <c r="L14" s="64">
        <f>IFERROR(F14/G14-1,"n/a")</f>
        <v>0.57575641638769337</v>
      </c>
      <c r="M14" s="64">
        <f>IFERROR(F14/H14-1,"n/a")</f>
        <v>0.76147979185971915</v>
      </c>
      <c r="N14" s="64">
        <f>IFERROR(F14/I14-1,"n/a")</f>
        <v>4.9264464296420645</v>
      </c>
      <c r="O14" s="64" t="str">
        <f>IFERROR(F14/J14-1,"n/a")</f>
        <v>n/a</v>
      </c>
      <c r="P14" s="60">
        <f>IFERROR(F14/K14-1,"n/a")</f>
        <v>1.1080387113835184</v>
      </c>
      <c r="Q14" s="68">
        <f>'Aug-24'!Q14+F14</f>
        <v>5652264</v>
      </c>
      <c r="R14" s="68">
        <f>'Aug-24'!R14+G14</f>
        <v>3786544</v>
      </c>
      <c r="S14" s="68">
        <f>'Aug-24'!S14+H14</f>
        <v>2395311</v>
      </c>
      <c r="T14" s="68">
        <f>'Aug-24'!T14+I14</f>
        <v>180900</v>
      </c>
      <c r="U14" s="68">
        <f>'Aug-24'!U14+J14</f>
        <v>1092884</v>
      </c>
      <c r="V14" s="68">
        <f>'Aug-24'!V14+K14</f>
        <v>3343418</v>
      </c>
      <c r="W14" s="64">
        <f>IFERROR(Q14/R14-1,"n/a")</f>
        <v>0.49272370795110265</v>
      </c>
      <c r="X14" s="64">
        <f>IFERROR(Q14/S14-1,"n/a")</f>
        <v>1.3597203035430474</v>
      </c>
      <c r="Y14" s="64">
        <f>IFERROR(Q14/T14-1,"n/a")</f>
        <v>30.245240464344942</v>
      </c>
      <c r="Z14" s="64">
        <f>IFERROR(Q14/U14-1,"n/a")</f>
        <v>4.1718791747340065</v>
      </c>
      <c r="AA14" s="60">
        <f>IFERROR(Q14/V14-1,"n/a")</f>
        <v>0.69056456596213822</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105</v>
      </c>
      <c r="G16" s="73">
        <v>68</v>
      </c>
      <c r="H16" s="73">
        <v>74</v>
      </c>
      <c r="I16" s="73">
        <v>34</v>
      </c>
      <c r="J16" s="73">
        <v>9</v>
      </c>
      <c r="K16" s="73">
        <v>70</v>
      </c>
      <c r="L16" s="64">
        <f>IFERROR(F16/G16-1,"n/a")</f>
        <v>0.54411764705882359</v>
      </c>
      <c r="M16" s="64">
        <f>IFERROR(F16/H16-1,"n/a")</f>
        <v>0.41891891891891886</v>
      </c>
      <c r="N16" s="64">
        <f>IFERROR(F16/I16-1,"n/a")</f>
        <v>2.0882352941176472</v>
      </c>
      <c r="O16" s="64">
        <f>IFERROR(F16/J16-1,"n/a")</f>
        <v>10.666666666666666</v>
      </c>
      <c r="P16" s="60">
        <f>IFERROR(F16/K16-1,"n/a")</f>
        <v>0.5</v>
      </c>
      <c r="Q16" s="68">
        <f>'Aug-24'!Q16+F16</f>
        <v>599</v>
      </c>
      <c r="R16" s="68">
        <f>'Aug-24'!R16+G16</f>
        <v>426</v>
      </c>
      <c r="S16" s="68">
        <f>'Aug-24'!S16+H16</f>
        <v>451</v>
      </c>
      <c r="T16" s="68">
        <f>'Aug-24'!T16+I16</f>
        <v>136</v>
      </c>
      <c r="U16" s="68">
        <f>'Aug-24'!U16+J16</f>
        <v>21</v>
      </c>
      <c r="V16" s="68">
        <f>'Aug-24'!V16+K16</f>
        <v>403</v>
      </c>
      <c r="W16" s="64">
        <f>IFERROR(Q16/R16-1,"n/a")</f>
        <v>0.4061032863849765</v>
      </c>
      <c r="X16" s="64">
        <f>IFERROR(Q16/S16-1,"n/a")</f>
        <v>0.32815964523281593</v>
      </c>
      <c r="Y16" s="64">
        <f>IFERROR(Q16/T16-1,"n/a")</f>
        <v>3.4044117647058822</v>
      </c>
      <c r="Z16" s="64">
        <f>IFERROR(Q16/U16-1,"n/a")</f>
        <v>27.523809523809526</v>
      </c>
      <c r="AA16" s="60">
        <f>IFERROR(Q16/V16-1,"n/a")</f>
        <v>0.48635235732009918</v>
      </c>
      <c r="AB16" s="68">
        <v>575</v>
      </c>
      <c r="AC16" s="68">
        <v>572</v>
      </c>
      <c r="AD16" s="68">
        <v>202</v>
      </c>
      <c r="AE16" s="68">
        <v>54</v>
      </c>
      <c r="AF16" s="134">
        <v>586</v>
      </c>
      <c r="AG16" s="122"/>
      <c r="AH16" s="122"/>
    </row>
    <row r="17" spans="1:34" s="123" customFormat="1" ht="12.75">
      <c r="A17" s="122"/>
      <c r="B17" s="127"/>
      <c r="C17" s="33"/>
      <c r="D17" s="26" t="s">
        <v>11</v>
      </c>
      <c r="E17" s="32"/>
      <c r="F17" s="71">
        <v>284734</v>
      </c>
      <c r="G17" s="73">
        <v>223095</v>
      </c>
      <c r="H17" s="73">
        <v>150081</v>
      </c>
      <c r="I17" s="73">
        <v>64266</v>
      </c>
      <c r="J17" s="73">
        <v>6072</v>
      </c>
      <c r="K17" s="73">
        <v>169136</v>
      </c>
      <c r="L17" s="64">
        <f>IFERROR(F17/G17-1,"n/a")</f>
        <v>0.27629036957350017</v>
      </c>
      <c r="M17" s="64">
        <f>IFERROR(F17/H17-1,"n/a")</f>
        <v>0.89720217749082165</v>
      </c>
      <c r="N17" s="64">
        <f>IFERROR(F17/I17-1,"n/a")</f>
        <v>3.4305542588616067</v>
      </c>
      <c r="O17" s="64">
        <f>IFERROR(F17/J17-1,"n/a")</f>
        <v>45.892951251646906</v>
      </c>
      <c r="P17" s="60">
        <f>IFERROR(F17/K17-1,"n/a")</f>
        <v>0.68346182953362966</v>
      </c>
      <c r="Q17" s="68">
        <f>'Aug-24'!Q17+F17</f>
        <v>1661655</v>
      </c>
      <c r="R17" s="68">
        <f>'Aug-24'!R17+G17</f>
        <v>1333747</v>
      </c>
      <c r="S17" s="68">
        <f>'Aug-24'!S17+H17</f>
        <v>771932</v>
      </c>
      <c r="T17" s="68">
        <f>'Aug-24'!T17+I17</f>
        <v>215286</v>
      </c>
      <c r="U17" s="68">
        <f>'Aug-24'!U17+J17</f>
        <v>49726</v>
      </c>
      <c r="V17" s="68">
        <f>'Aug-24'!V17+K17</f>
        <v>1081890</v>
      </c>
      <c r="W17" s="64">
        <f>IFERROR(Q17/R17-1,"n/a")</f>
        <v>0.24585472357201188</v>
      </c>
      <c r="X17" s="64">
        <f>IFERROR(Q17/S17-1,"n/a")</f>
        <v>1.1525924563303502</v>
      </c>
      <c r="Y17" s="64">
        <f>IFERROR(Q17/T17-1,"n/a")</f>
        <v>6.7183606922883978</v>
      </c>
      <c r="Z17" s="64">
        <f>IFERROR(Q17/U17-1,"n/a")</f>
        <v>32.416220890479828</v>
      </c>
      <c r="AA17" s="60">
        <f>IFERROR(Q17/V17-1,"n/a")</f>
        <v>0.53588165155422463</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112</v>
      </c>
      <c r="G19" s="73">
        <v>100</v>
      </c>
      <c r="H19" s="73">
        <v>92</v>
      </c>
      <c r="I19" s="73">
        <v>7</v>
      </c>
      <c r="J19" s="73">
        <v>1</v>
      </c>
      <c r="K19" s="73">
        <v>32</v>
      </c>
      <c r="L19" s="64">
        <f>IFERROR(F19/G19-1,"n/a")</f>
        <v>0.12000000000000011</v>
      </c>
      <c r="M19" s="64">
        <f>IFERROR(F19/H19-1,"n/a")</f>
        <v>0.21739130434782616</v>
      </c>
      <c r="N19" s="64">
        <f>IFERROR(F19/I19-1,"n/a")</f>
        <v>15</v>
      </c>
      <c r="O19" s="64">
        <f>IFERROR(F19/J19-1,"n/a")</f>
        <v>111</v>
      </c>
      <c r="P19" s="60">
        <f>IFERROR(F19/K19-1,"n/a")</f>
        <v>2.5</v>
      </c>
      <c r="Q19" s="68">
        <f>'Aug-24'!Q19+F19</f>
        <v>579</v>
      </c>
      <c r="R19" s="68">
        <f>'Aug-24'!R19+G19</f>
        <v>544</v>
      </c>
      <c r="S19" s="68">
        <f>'Aug-24'!S19+H19</f>
        <v>513</v>
      </c>
      <c r="T19" s="68">
        <f>'Aug-24'!T19+I19</f>
        <v>16</v>
      </c>
      <c r="U19" s="68">
        <f>'Aug-24'!U19+J19</f>
        <v>8</v>
      </c>
      <c r="V19" s="68">
        <f>'Aug-24'!V19+K19</f>
        <v>231</v>
      </c>
      <c r="W19" s="64">
        <f>IFERROR(Q19/R19-1,"n/a")</f>
        <v>6.4338235294117752E-2</v>
      </c>
      <c r="X19" s="64">
        <f>IFERROR(Q19/S19-1,"n/a")</f>
        <v>0.12865497076023402</v>
      </c>
      <c r="Y19" s="64">
        <f>IFERROR(Q19/T19-1,"n/a")</f>
        <v>35.1875</v>
      </c>
      <c r="Z19" s="64">
        <f>IFERROR(Q19/U19-1,"n/a")</f>
        <v>71.375</v>
      </c>
      <c r="AA19" s="60">
        <f>IFERROR(Q19/V19-1,"n/a")</f>
        <v>1.5064935064935066</v>
      </c>
      <c r="AB19" s="68">
        <v>708</v>
      </c>
      <c r="AC19" s="68">
        <v>658</v>
      </c>
      <c r="AD19" s="68">
        <v>47</v>
      </c>
      <c r="AE19" s="68">
        <v>9</v>
      </c>
      <c r="AF19" s="134">
        <v>290</v>
      </c>
      <c r="AG19" s="122"/>
      <c r="AH19" s="122"/>
    </row>
    <row r="20" spans="1:34" s="123" customFormat="1" ht="12.75">
      <c r="A20" s="122"/>
      <c r="B20" s="127"/>
      <c r="C20" s="33"/>
      <c r="D20" s="26" t="s">
        <v>11</v>
      </c>
      <c r="E20" s="32"/>
      <c r="F20" s="71">
        <v>228255</v>
      </c>
      <c r="G20" s="73">
        <v>181434</v>
      </c>
      <c r="H20" s="73">
        <v>137415</v>
      </c>
      <c r="I20" s="73">
        <v>3224</v>
      </c>
      <c r="J20" s="73">
        <v>0</v>
      </c>
      <c r="K20" s="73">
        <v>76553</v>
      </c>
      <c r="L20" s="64">
        <f>IFERROR(F20/G20-1,"n/a")</f>
        <v>0.25806078243328145</v>
      </c>
      <c r="M20" s="64">
        <f>IFERROR(F20/H20-1,"n/a")</f>
        <v>0.66106320270712815</v>
      </c>
      <c r="N20" s="64">
        <f>IFERROR(F20/I20-1,"n/a")</f>
        <v>69.798697270471465</v>
      </c>
      <c r="O20" s="64" t="str">
        <f>IFERROR(F20/J20-1,"n/a")</f>
        <v>n/a</v>
      </c>
      <c r="P20" s="60">
        <f>IFERROR(F20/K20-1,"n/a")</f>
        <v>1.9816597651300407</v>
      </c>
      <c r="Q20" s="68">
        <f>'Aug-24'!Q20+F20</f>
        <v>1236944.3999999999</v>
      </c>
      <c r="R20" s="68">
        <f>'Aug-24'!R20+G20</f>
        <v>1013425</v>
      </c>
      <c r="S20" s="68">
        <f>'Aug-24'!S20+H20</f>
        <v>704058</v>
      </c>
      <c r="T20" s="68">
        <f>'Aug-24'!T20+I20</f>
        <v>4542</v>
      </c>
      <c r="U20" s="68">
        <f>'Aug-24'!U20+J20</f>
        <v>10047</v>
      </c>
      <c r="V20" s="68">
        <f>'Aug-24'!V20+K20</f>
        <v>487762</v>
      </c>
      <c r="W20" s="64">
        <f>IFERROR(Q20/R20-1,"n/a")</f>
        <v>0.22055840343389987</v>
      </c>
      <c r="X20" s="64">
        <f>IFERROR(Q20/S20-1,"n/a")</f>
        <v>0.7568785526192443</v>
      </c>
      <c r="Y20" s="64">
        <f>IFERROR(Q20/T20-1,"n/a")</f>
        <v>271.3347424042272</v>
      </c>
      <c r="Z20" s="64">
        <f>IFERROR(Q20/U20-1,"n/a")</f>
        <v>122.11579575992833</v>
      </c>
      <c r="AA20" s="60">
        <f>IFERROR(Q20/V20-1,"n/a")</f>
        <v>1.5359589307900161</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132</v>
      </c>
      <c r="G22" s="73">
        <v>119</v>
      </c>
      <c r="H22" s="73">
        <v>85</v>
      </c>
      <c r="I22" s="73">
        <v>46</v>
      </c>
      <c r="J22" s="73">
        <v>0</v>
      </c>
      <c r="K22" s="73">
        <v>86</v>
      </c>
      <c r="L22" s="64">
        <f>IFERROR(F22/G22-1,"n/a")</f>
        <v>0.10924369747899165</v>
      </c>
      <c r="M22" s="64">
        <f>IFERROR(F22/H22-1,"n/a")</f>
        <v>0.55294117647058827</v>
      </c>
      <c r="N22" s="64">
        <f>IFERROR(F22/I22-1,"n/a")</f>
        <v>1.8695652173913042</v>
      </c>
      <c r="O22" s="64" t="str">
        <f>IFERROR(F22/J22-1,"n/a")</f>
        <v>n/a</v>
      </c>
      <c r="P22" s="60">
        <f>IFERROR(F22/K22-1,"n/a")</f>
        <v>0.53488372093023262</v>
      </c>
      <c r="Q22" s="68">
        <f>'Aug-24'!Q22+F22</f>
        <v>998</v>
      </c>
      <c r="R22" s="68">
        <f>'Aug-24'!R22+G22</f>
        <v>976</v>
      </c>
      <c r="S22" s="68">
        <f>'Aug-24'!S22+H22</f>
        <v>548</v>
      </c>
      <c r="T22" s="68">
        <f>'Aug-24'!T22+I22</f>
        <v>84</v>
      </c>
      <c r="U22" s="68">
        <f>'Aug-24'!U22+J22</f>
        <v>43</v>
      </c>
      <c r="V22" s="68">
        <f>'Aug-24'!V22+K22</f>
        <v>585</v>
      </c>
      <c r="W22" s="64">
        <f>IFERROR(Q22/R22-1,"n/a")</f>
        <v>2.2540983606557319E-2</v>
      </c>
      <c r="X22" s="64">
        <f>IFERROR(Q22/S22-1,"n/a")</f>
        <v>0.82116788321167888</v>
      </c>
      <c r="Y22" s="64">
        <f>IFERROR(Q22/T22-1,"n/a")</f>
        <v>10.880952380952381</v>
      </c>
      <c r="Z22" s="64">
        <f>IFERROR(Q22/U22-1,"n/a")</f>
        <v>22.209302325581394</v>
      </c>
      <c r="AA22" s="60">
        <f>IFERROR(Q22/V22-1,"n/a")</f>
        <v>0.70598290598290592</v>
      </c>
      <c r="AB22" s="68">
        <v>1500</v>
      </c>
      <c r="AC22" s="68">
        <v>895</v>
      </c>
      <c r="AD22" s="68">
        <v>283</v>
      </c>
      <c r="AE22" s="68">
        <v>43</v>
      </c>
      <c r="AF22" s="134">
        <v>827</v>
      </c>
      <c r="AG22" s="122"/>
      <c r="AH22" s="122"/>
    </row>
    <row r="23" spans="1:34" s="123" customFormat="1" ht="12.75">
      <c r="A23" s="122"/>
      <c r="B23" s="127"/>
      <c r="C23" s="33"/>
      <c r="D23" s="26" t="s">
        <v>11</v>
      </c>
      <c r="E23" s="32"/>
      <c r="F23" s="71">
        <v>442038</v>
      </c>
      <c r="G23" s="73">
        <v>374705</v>
      </c>
      <c r="H23" s="73">
        <v>267710</v>
      </c>
      <c r="I23" s="73">
        <v>89719</v>
      </c>
      <c r="J23" s="73">
        <v>0</v>
      </c>
      <c r="K23" s="73">
        <v>304036</v>
      </c>
      <c r="L23" s="64">
        <f>IFERROR(F23/G23-1,"n/a")</f>
        <v>0.17969602754166614</v>
      </c>
      <c r="M23" s="64">
        <f>IFERROR(F23/H23-1,"n/a")</f>
        <v>0.65118224944903069</v>
      </c>
      <c r="N23" s="64">
        <f>IFERROR(F23/I23-1,"n/a")</f>
        <v>3.9269162607697368</v>
      </c>
      <c r="O23" s="64" t="str">
        <f>IFERROR(F23/J23-1,"n/a")</f>
        <v>n/a</v>
      </c>
      <c r="P23" s="60">
        <f>IFERROR(F23/K23-1,"n/a")</f>
        <v>0.45390019602941756</v>
      </c>
      <c r="Q23" s="68">
        <f>'Aug-24'!Q23+F23</f>
        <v>3403712</v>
      </c>
      <c r="R23" s="68">
        <f>'Aug-24'!R23+G23</f>
        <v>3053822</v>
      </c>
      <c r="S23" s="68">
        <f>'Aug-24'!S23+H23</f>
        <v>1332424</v>
      </c>
      <c r="T23" s="68">
        <f>'Aug-24'!T23+I23</f>
        <v>167883</v>
      </c>
      <c r="U23" s="68">
        <f>'Aug-24'!U23+J23</f>
        <v>140552</v>
      </c>
      <c r="V23" s="68">
        <f>'Aug-24'!V23+K23</f>
        <v>1897444</v>
      </c>
      <c r="W23" s="64">
        <f>IFERROR(Q23/R23-1,"n/a")</f>
        <v>0.11457445784331899</v>
      </c>
      <c r="X23" s="64">
        <f>IFERROR(Q23/S23-1,"n/a")</f>
        <v>1.5545261868594382</v>
      </c>
      <c r="Y23" s="64">
        <f>IFERROR(Q23/T23-1,"n/a")</f>
        <v>19.274310084999673</v>
      </c>
      <c r="Z23" s="64">
        <f>IFERROR(Q23/U23-1,"n/a")</f>
        <v>23.216745403836303</v>
      </c>
      <c r="AA23" s="60">
        <f>IFERROR(Q23/V23-1,"n/a")</f>
        <v>0.79384055603222015</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2</v>
      </c>
      <c r="G25" s="73">
        <v>4</v>
      </c>
      <c r="H25" s="73">
        <v>1</v>
      </c>
      <c r="I25" s="73">
        <v>0</v>
      </c>
      <c r="J25" s="73">
        <v>0</v>
      </c>
      <c r="K25" s="73">
        <v>1</v>
      </c>
      <c r="L25" s="64">
        <f>IFERROR(F25/G25-1,"n/a")</f>
        <v>-0.5</v>
      </c>
      <c r="M25" s="64">
        <f>IFERROR(F25/H25-1,"n/a")</f>
        <v>1</v>
      </c>
      <c r="N25" s="64" t="str">
        <f>IFERROR(F25/I25-1,"n/a")</f>
        <v>n/a</v>
      </c>
      <c r="O25" s="64" t="str">
        <f>IFERROR(F25/J25-1,"n/a")</f>
        <v>n/a</v>
      </c>
      <c r="P25" s="60">
        <f>IFERROR(F25/K25-1,"n/a")</f>
        <v>1</v>
      </c>
      <c r="Q25" s="68">
        <f>'Aug-24'!Q25+F25</f>
        <v>12</v>
      </c>
      <c r="R25" s="68">
        <f>'Aug-24'!R25+G25</f>
        <v>19</v>
      </c>
      <c r="S25" s="68">
        <f>'Aug-24'!S25+H25</f>
        <v>8</v>
      </c>
      <c r="T25" s="68">
        <f>'Aug-24'!T25+I25</f>
        <v>0</v>
      </c>
      <c r="U25" s="68">
        <f>'Aug-24'!U25+J25</f>
        <v>0</v>
      </c>
      <c r="V25" s="68">
        <f>'Aug-24'!V25+K25</f>
        <v>13</v>
      </c>
      <c r="W25" s="64">
        <f>IFERROR(Q25/R25-1,"n/a")</f>
        <v>-0.36842105263157898</v>
      </c>
      <c r="X25" s="64">
        <f>IFERROR(Q25/S25-1,"n/a")</f>
        <v>0.5</v>
      </c>
      <c r="Y25" s="64" t="str">
        <f>IFERROR(Q25/T25-1,"n/a")</f>
        <v>n/a</v>
      </c>
      <c r="Z25" s="64" t="str">
        <f>IFERROR(Q25/U25-1,"n/a")</f>
        <v>n/a</v>
      </c>
      <c r="AA25" s="60">
        <f>IFERROR(Q25/V25-1,"n/a")</f>
        <v>-7.6923076923076872E-2</v>
      </c>
      <c r="AB25" s="68">
        <v>21</v>
      </c>
      <c r="AC25" s="68">
        <v>9</v>
      </c>
      <c r="AD25" s="68">
        <v>0</v>
      </c>
      <c r="AE25" s="68">
        <v>0</v>
      </c>
      <c r="AF25" s="134">
        <v>16</v>
      </c>
      <c r="AG25" s="122"/>
      <c r="AH25" s="122"/>
    </row>
    <row r="26" spans="1:34" s="123" customFormat="1" ht="12.75">
      <c r="A26" s="122"/>
      <c r="B26" s="127"/>
      <c r="C26" s="33"/>
      <c r="D26" s="26" t="s">
        <v>11</v>
      </c>
      <c r="E26" s="32"/>
      <c r="F26" s="71">
        <v>5957</v>
      </c>
      <c r="G26" s="73">
        <v>7920</v>
      </c>
      <c r="H26" s="73">
        <v>2266</v>
      </c>
      <c r="I26" s="73">
        <v>0</v>
      </c>
      <c r="J26" s="73">
        <v>0</v>
      </c>
      <c r="K26" s="73">
        <v>1243</v>
      </c>
      <c r="L26" s="64">
        <f>IFERROR(F26/G26-1,"n/a")</f>
        <v>-0.24785353535353538</v>
      </c>
      <c r="M26" s="64">
        <f>IFERROR(F26/H26-1,"n/a")</f>
        <v>1.6288614298323036</v>
      </c>
      <c r="N26" s="64" t="str">
        <f>IFERROR(F26/I26-1,"n/a")</f>
        <v>n/a</v>
      </c>
      <c r="O26" s="64" t="str">
        <f>IFERROR(F26/J26-1,"n/a")</f>
        <v>n/a</v>
      </c>
      <c r="P26" s="60">
        <f>IFERROR(F26/K26-1,"n/a")</f>
        <v>3.7924376508447306</v>
      </c>
      <c r="Q26" s="68">
        <f>'Aug-24'!Q26+F26</f>
        <v>44298</v>
      </c>
      <c r="R26" s="68">
        <f>'Aug-24'!R26+G26</f>
        <v>34314</v>
      </c>
      <c r="S26" s="68">
        <f>'Aug-24'!S26+H26</f>
        <v>13279</v>
      </c>
      <c r="T26" s="68">
        <f>'Aug-24'!T26+I26</f>
        <v>0</v>
      </c>
      <c r="U26" s="68">
        <f>'Aug-24'!U26+J26</f>
        <v>0</v>
      </c>
      <c r="V26" s="68">
        <f>'Aug-24'!V26+K26</f>
        <v>16291</v>
      </c>
      <c r="W26" s="64">
        <f>IFERROR(Q26/R26-1,"n/a")</f>
        <v>0.29095995803462138</v>
      </c>
      <c r="X26" s="64">
        <f>IFERROR(Q26/S26-1,"n/a")</f>
        <v>2.3359439716846149</v>
      </c>
      <c r="Y26" s="64" t="str">
        <f>IFERROR(Q26/T26-1,"n/a")</f>
        <v>n/a</v>
      </c>
      <c r="Z26" s="64" t="str">
        <f>IFERROR(Q26/U26-1,"n/a")</f>
        <v>n/a</v>
      </c>
      <c r="AA26" s="60">
        <f>IFERROR(Q26/V26-1,"n/a")</f>
        <v>1.7191700939168868</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489</v>
      </c>
      <c r="G27" s="75">
        <f t="shared" si="0"/>
        <v>389</v>
      </c>
      <c r="H27" s="75">
        <f t="shared" si="0"/>
        <v>334</v>
      </c>
      <c r="I27" s="75">
        <f t="shared" si="0"/>
        <v>147</v>
      </c>
      <c r="J27" s="75">
        <f t="shared" si="0"/>
        <v>10</v>
      </c>
      <c r="K27" s="75">
        <f t="shared" si="0"/>
        <v>268</v>
      </c>
      <c r="L27" s="66">
        <f>IFERROR(F27/G27-1,"n/a")</f>
        <v>0.25706940874035999</v>
      </c>
      <c r="M27" s="66">
        <f>IFERROR(F27/H27-1,"n/a")</f>
        <v>0.46407185628742509</v>
      </c>
      <c r="N27" s="66">
        <f>IFERROR(F27/I27-1,"n/a")</f>
        <v>2.3265306122448979</v>
      </c>
      <c r="O27" s="66">
        <f>IFERROR(F27/J27-1,"n/a")</f>
        <v>47.9</v>
      </c>
      <c r="P27" s="62">
        <f>IFERROR(F27/K27-1,"n/a")</f>
        <v>0.82462686567164178</v>
      </c>
      <c r="Q27" s="75">
        <f t="shared" ref="Q27:V28" si="1">Q13+Q16+Q19+Q22+Q25</f>
        <v>3842</v>
      </c>
      <c r="R27" s="75">
        <f t="shared" si="1"/>
        <v>3120</v>
      </c>
      <c r="S27" s="75">
        <f t="shared" si="1"/>
        <v>2593</v>
      </c>
      <c r="T27" s="75">
        <f t="shared" si="1"/>
        <v>375</v>
      </c>
      <c r="U27" s="75">
        <f t="shared" si="1"/>
        <v>623</v>
      </c>
      <c r="V27" s="75">
        <f t="shared" si="1"/>
        <v>2334</v>
      </c>
      <c r="W27" s="66">
        <f>IFERROR(Q27/R27-1,"n/a")</f>
        <v>0.23141025641025648</v>
      </c>
      <c r="X27" s="66">
        <f>IFERROR(Q27/S27-1,"n/a")</f>
        <v>0.48168145005784813</v>
      </c>
      <c r="Y27" s="66">
        <f>IFERROR(Q27/T27-1,"n/a")</f>
        <v>9.245333333333333</v>
      </c>
      <c r="Z27" s="66">
        <f>IFERROR(Q27/U27-1,"n/a")</f>
        <v>5.1669341894060992</v>
      </c>
      <c r="AA27" s="62">
        <f>IFERROR(Q27/V27-1,"n/a")</f>
        <v>0.64610111396743797</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1455220</v>
      </c>
      <c r="G28" s="76">
        <f t="shared" si="0"/>
        <v>1100804</v>
      </c>
      <c r="H28" s="76">
        <f t="shared" si="0"/>
        <v>838052</v>
      </c>
      <c r="I28" s="76">
        <f t="shared" si="0"/>
        <v>240604</v>
      </c>
      <c r="J28" s="76">
        <f t="shared" si="0"/>
        <v>6072</v>
      </c>
      <c r="K28" s="76">
        <f t="shared" si="0"/>
        <v>785421</v>
      </c>
      <c r="L28" s="67">
        <f>IFERROR(F28/G28-1,"n/a")</f>
        <v>0.32196103938575815</v>
      </c>
      <c r="M28" s="67">
        <f>IFERROR(F28/H28-1,"n/a")</f>
        <v>0.7364316295408877</v>
      </c>
      <c r="N28" s="67">
        <f>IFERROR(F28/I28-1,"n/a")</f>
        <v>5.0481953749729849</v>
      </c>
      <c r="O28" s="67">
        <f>IFERROR(F28/J28-1,"n/a")</f>
        <v>238.66073781291172</v>
      </c>
      <c r="P28" s="63">
        <f>IFERROR(F28/K28-1,"n/a")</f>
        <v>0.85278977771157116</v>
      </c>
      <c r="Q28" s="76">
        <f t="shared" si="1"/>
        <v>11998873.4</v>
      </c>
      <c r="R28" s="76">
        <f t="shared" si="1"/>
        <v>9221852</v>
      </c>
      <c r="S28" s="76">
        <f t="shared" si="1"/>
        <v>5217004</v>
      </c>
      <c r="T28" s="76">
        <f t="shared" si="1"/>
        <v>568611</v>
      </c>
      <c r="U28" s="76">
        <f t="shared" si="1"/>
        <v>1293209</v>
      </c>
      <c r="V28" s="76">
        <f t="shared" si="1"/>
        <v>6826805</v>
      </c>
      <c r="W28" s="67">
        <f>IFERROR(Q28/R28-1,"n/a")</f>
        <v>0.30113489134286686</v>
      </c>
      <c r="X28" s="67">
        <f>IFERROR(Q28/S28-1,"n/a")</f>
        <v>1.2999548016447755</v>
      </c>
      <c r="Y28" s="67">
        <f>IFERROR(Q28/T28-1,"n/a")</f>
        <v>20.102077518725455</v>
      </c>
      <c r="Z28" s="67">
        <f>IFERROR(Q28/U28-1,"n/a")</f>
        <v>8.2783714001371784</v>
      </c>
      <c r="AA28" s="63">
        <f>IFERROR(Q28/V28-1,"n/a")</f>
        <v>0.75761185503321116</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September</v>
      </c>
      <c r="G33" s="170"/>
      <c r="H33" s="170"/>
      <c r="I33" s="170"/>
      <c r="J33" s="170"/>
      <c r="K33" s="170"/>
      <c r="L33" s="170"/>
      <c r="M33" s="170"/>
      <c r="N33" s="170"/>
      <c r="O33" s="170"/>
      <c r="P33" s="171"/>
      <c r="Q33" s="176" t="s">
        <v>135</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F38" si="3">F13</f>
        <v>138</v>
      </c>
      <c r="G37" s="74">
        <f t="shared" ref="G37:K38" si="4">+G13</f>
        <v>98</v>
      </c>
      <c r="H37" s="74">
        <f t="shared" si="4"/>
        <v>82</v>
      </c>
      <c r="I37" s="74">
        <f t="shared" si="4"/>
        <v>60</v>
      </c>
      <c r="J37" s="74">
        <f t="shared" si="4"/>
        <v>0</v>
      </c>
      <c r="K37" s="74">
        <f t="shared" si="4"/>
        <v>79</v>
      </c>
      <c r="L37" s="64">
        <f>IFERROR(F37/G37-1,"n/a")</f>
        <v>0.40816326530612246</v>
      </c>
      <c r="M37" s="64">
        <f>IFERROR(F37/H37-1,"n/a")</f>
        <v>0.68292682926829262</v>
      </c>
      <c r="N37" s="64">
        <f>IFERROR(F37/I37-1,"n/a")</f>
        <v>1.2999999999999998</v>
      </c>
      <c r="O37" s="64" t="str">
        <f>IFERROR(F37/J37-1,"n/a")</f>
        <v>n/a</v>
      </c>
      <c r="P37" s="60">
        <f>IFERROR(F37/K37-1,"n/a")</f>
        <v>0.74683544303797467</v>
      </c>
      <c r="Q37" s="74">
        <f>'Aug-24'!Q37+F37</f>
        <v>952</v>
      </c>
      <c r="R37" s="74">
        <f>'Aug-24'!R37+G37</f>
        <v>625</v>
      </c>
      <c r="S37" s="74">
        <f>'Aug-24'!S37+H37</f>
        <v>543</v>
      </c>
      <c r="T37" s="74">
        <f>'Aug-24'!T37+I37</f>
        <v>139</v>
      </c>
      <c r="U37" s="74">
        <f>'Aug-24'!U37+J37</f>
        <v>42</v>
      </c>
      <c r="V37" s="74">
        <f>'Aug-24'!V37+K37</f>
        <v>586</v>
      </c>
      <c r="W37" s="147">
        <f>IFERROR(Q37/R37-1,"n/a")</f>
        <v>0.52320000000000011</v>
      </c>
      <c r="X37" s="147">
        <f>IFERROR(R37/S37-1,"n/a")</f>
        <v>0.15101289134438312</v>
      </c>
      <c r="Y37" s="147">
        <f>IFERROR(R37/T37-1,"n/a")</f>
        <v>3.4964028776978413</v>
      </c>
      <c r="Z37" s="147">
        <f>IFERROR(R37/U37-1,"n/a")</f>
        <v>13.880952380952381</v>
      </c>
      <c r="AA37" s="158">
        <f>IFERROR(R37/V37-1,"n/a")</f>
        <v>6.6552901023890776E-2</v>
      </c>
      <c r="AB37" s="147"/>
      <c r="AC37" s="89">
        <v>1486</v>
      </c>
      <c r="AD37" s="89">
        <v>1052</v>
      </c>
      <c r="AE37" s="70">
        <v>551</v>
      </c>
      <c r="AF37" s="78">
        <v>1584</v>
      </c>
      <c r="AH37" s="122"/>
    </row>
    <row r="38" spans="1:34" s="123" customFormat="1" ht="11.25">
      <c r="A38" s="122"/>
      <c r="B38" s="122"/>
      <c r="C38" s="33"/>
      <c r="D38" s="26" t="s">
        <v>11</v>
      </c>
      <c r="E38" s="32"/>
      <c r="F38" s="74">
        <f t="shared" si="3"/>
        <v>494236</v>
      </c>
      <c r="G38" s="74">
        <f t="shared" si="4"/>
        <v>313650</v>
      </c>
      <c r="H38" s="74">
        <f t="shared" si="4"/>
        <v>280580</v>
      </c>
      <c r="I38" s="74">
        <f t="shared" si="4"/>
        <v>83395</v>
      </c>
      <c r="J38" s="74">
        <f t="shared" si="4"/>
        <v>0</v>
      </c>
      <c r="K38" s="74">
        <f t="shared" si="4"/>
        <v>234453</v>
      </c>
      <c r="L38" s="64">
        <f>IFERROR(F38/G38-1,"n/a")</f>
        <v>0.57575641638769337</v>
      </c>
      <c r="M38" s="64">
        <f>IFERROR(F38/H38-1,"n/a")</f>
        <v>0.76147979185971915</v>
      </c>
      <c r="N38" s="64">
        <f>IFERROR(F38/I38-1,"n/a")</f>
        <v>4.9264464296420645</v>
      </c>
      <c r="O38" s="64" t="str">
        <f>IFERROR(F38/J38-1,"n/a")</f>
        <v>n/a</v>
      </c>
      <c r="P38" s="60">
        <f>IFERROR(F38/K38-1,"n/a")</f>
        <v>1.1080387113835184</v>
      </c>
      <c r="Q38" s="74">
        <f>'Aug-24'!Q38+F38</f>
        <v>3498440</v>
      </c>
      <c r="R38" s="74">
        <f>'Aug-24'!R38+G38</f>
        <v>2248360</v>
      </c>
      <c r="S38" s="74">
        <f>'Aug-24'!S38+H38</f>
        <v>1635653</v>
      </c>
      <c r="T38" s="74">
        <f>'Aug-24'!T38+I38</f>
        <v>180900</v>
      </c>
      <c r="U38" s="74">
        <f>'Aug-24'!U38+J38</f>
        <v>0</v>
      </c>
      <c r="V38" s="74">
        <f>'Aug-24'!V38+K38</f>
        <v>1892314</v>
      </c>
      <c r="W38" s="147">
        <f>IFERROR(Q38/R38-1,"n/a")</f>
        <v>0.55599637068796803</v>
      </c>
      <c r="X38" s="147">
        <f>IFERROR(R38/S38-1,"n/a")</f>
        <v>0.37459473372408447</v>
      </c>
      <c r="Y38" s="147">
        <f>IFERROR(R38/T38-1,"n/a")</f>
        <v>11.428745163073522</v>
      </c>
      <c r="Z38" s="147" t="str">
        <f>IFERROR(R38/U38-1,"n/a")</f>
        <v>n/a</v>
      </c>
      <c r="AA38" s="158">
        <f>IFERROR(R38/V38-1,"n/a")</f>
        <v>0.18815376306469211</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148"/>
      <c r="X39" s="148"/>
      <c r="Y39" s="148"/>
      <c r="Z39" s="148"/>
      <c r="AA39" s="159"/>
      <c r="AB39" s="148"/>
      <c r="AC39" s="90"/>
      <c r="AD39" s="90"/>
      <c r="AE39" s="44"/>
      <c r="AF39" s="79"/>
      <c r="AH39" s="122"/>
    </row>
    <row r="40" spans="1:34" s="123" customFormat="1" ht="11.25">
      <c r="A40" s="122"/>
      <c r="B40" s="122"/>
      <c r="C40" s="33"/>
      <c r="D40" s="26" t="s">
        <v>5</v>
      </c>
      <c r="E40" s="32"/>
      <c r="F40" s="74">
        <f t="shared" ref="F40:F41" si="5">F16</f>
        <v>105</v>
      </c>
      <c r="G40" s="74">
        <f t="shared" ref="G40:K41" si="6">+G16</f>
        <v>68</v>
      </c>
      <c r="H40" s="74">
        <f t="shared" si="6"/>
        <v>74</v>
      </c>
      <c r="I40" s="74">
        <f t="shared" si="6"/>
        <v>34</v>
      </c>
      <c r="J40" s="74">
        <f t="shared" si="6"/>
        <v>9</v>
      </c>
      <c r="K40" s="74">
        <f t="shared" si="6"/>
        <v>70</v>
      </c>
      <c r="L40" s="64">
        <f>IFERROR(F40/G40-1,"n/a")</f>
        <v>0.54411764705882359</v>
      </c>
      <c r="M40" s="64">
        <f>IFERROR(F40/H40-1,"n/a")</f>
        <v>0.41891891891891886</v>
      </c>
      <c r="N40" s="64">
        <f>IFERROR(F40/I40-1,"n/a")</f>
        <v>2.0882352941176472</v>
      </c>
      <c r="O40" s="64">
        <f>IFERROR(F40/J40-1,"n/a")</f>
        <v>10.666666666666666</v>
      </c>
      <c r="P40" s="60">
        <f>IFERROR(F40/K40-1,"n/a")</f>
        <v>0.5</v>
      </c>
      <c r="Q40" s="74">
        <f>'Aug-24'!Q40+F40</f>
        <v>562</v>
      </c>
      <c r="R40" s="74">
        <f>'Aug-24'!R40+G40</f>
        <v>399</v>
      </c>
      <c r="S40" s="74">
        <f>'Aug-24'!S40+H40</f>
        <v>415</v>
      </c>
      <c r="T40" s="74">
        <f>'Aug-24'!T40+I40</f>
        <v>124</v>
      </c>
      <c r="U40" s="74">
        <f>'Aug-24'!U40+J40</f>
        <v>11</v>
      </c>
      <c r="V40" s="74">
        <f>'Aug-24'!V40+K40</f>
        <v>380</v>
      </c>
      <c r="W40" s="147">
        <f>IFERROR(Q40/R40-1,"n/a")</f>
        <v>0.4085213032581454</v>
      </c>
      <c r="X40" s="147">
        <f>IFERROR(R40/S40-1,"n/a")</f>
        <v>-3.8554216867469848E-2</v>
      </c>
      <c r="Y40" s="147">
        <f>IFERROR(R40/T40-1,"n/a")</f>
        <v>2.217741935483871</v>
      </c>
      <c r="Z40" s="147">
        <f>IFERROR(R40/U40-1,"n/a")</f>
        <v>35.272727272727273</v>
      </c>
      <c r="AA40" s="158">
        <f>IFERROR(R40/V40-1,"n/a")</f>
        <v>5.0000000000000044E-2</v>
      </c>
      <c r="AB40" s="147"/>
      <c r="AC40" s="89">
        <v>563</v>
      </c>
      <c r="AD40" s="89">
        <v>226</v>
      </c>
      <c r="AE40" s="70">
        <v>66</v>
      </c>
      <c r="AF40" s="78">
        <v>573</v>
      </c>
      <c r="AH40" s="122"/>
    </row>
    <row r="41" spans="1:34" s="123" customFormat="1" ht="11.25">
      <c r="A41" s="122"/>
      <c r="B41" s="122"/>
      <c r="C41" s="33"/>
      <c r="D41" s="26" t="s">
        <v>11</v>
      </c>
      <c r="E41" s="32"/>
      <c r="F41" s="74">
        <f t="shared" si="5"/>
        <v>284734</v>
      </c>
      <c r="G41" s="74">
        <f t="shared" si="6"/>
        <v>223095</v>
      </c>
      <c r="H41" s="74">
        <f t="shared" si="6"/>
        <v>150081</v>
      </c>
      <c r="I41" s="74">
        <f t="shared" si="6"/>
        <v>64266</v>
      </c>
      <c r="J41" s="74">
        <f t="shared" si="6"/>
        <v>6072</v>
      </c>
      <c r="K41" s="74">
        <f t="shared" si="6"/>
        <v>169136</v>
      </c>
      <c r="L41" s="64">
        <f>IFERROR(F41/G41-1,"n/a")</f>
        <v>0.27629036957350017</v>
      </c>
      <c r="M41" s="64">
        <f>IFERROR(F41/H41-1,"n/a")</f>
        <v>0.89720217749082165</v>
      </c>
      <c r="N41" s="64">
        <f>IFERROR(F41/I41-1,"n/a")</f>
        <v>3.4305542588616067</v>
      </c>
      <c r="O41" s="64">
        <f>IFERROR(F41/J41-1,"n/a")</f>
        <v>45.892951251646906</v>
      </c>
      <c r="P41" s="60">
        <f>IFERROR(F41/K41-1,"n/a")</f>
        <v>0.68346182953362966</v>
      </c>
      <c r="Q41" s="74">
        <f>'Aug-24'!Q41+F41</f>
        <v>1531081</v>
      </c>
      <c r="R41" s="74">
        <f>'Aug-24'!R41+G41</f>
        <v>1250692</v>
      </c>
      <c r="S41" s="74">
        <f>'Aug-24'!S41+H41</f>
        <v>735424</v>
      </c>
      <c r="T41" s="74">
        <f>'Aug-24'!T41+I41</f>
        <v>205183</v>
      </c>
      <c r="U41" s="74">
        <f>'Aug-24'!U41+J41</f>
        <v>8613</v>
      </c>
      <c r="V41" s="74">
        <f>'Aug-24'!V41+K41</f>
        <v>1001516</v>
      </c>
      <c r="W41" s="147">
        <f>IFERROR(Q41/R41-1,"n/a")</f>
        <v>0.22418709002696113</v>
      </c>
      <c r="X41" s="147">
        <f>IFERROR(R41/S41-1,"n/a")</f>
        <v>0.70064071882342693</v>
      </c>
      <c r="Y41" s="147">
        <f>IFERROR(R41/T41-1,"n/a")</f>
        <v>5.0954952408337926</v>
      </c>
      <c r="Z41" s="147">
        <f>IFERROR(R41/U41-1,"n/a")</f>
        <v>144.20979914083361</v>
      </c>
      <c r="AA41" s="158">
        <f>IFERROR(R41/V41-1,"n/a")</f>
        <v>0.24879882098738304</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87"/>
      <c r="L42" s="64"/>
      <c r="M42" s="64"/>
      <c r="N42" s="64"/>
      <c r="O42" s="64"/>
      <c r="P42" s="60"/>
      <c r="Q42" s="87"/>
      <c r="R42" s="87"/>
      <c r="S42" s="87"/>
      <c r="T42" s="87"/>
      <c r="U42" s="87"/>
      <c r="V42" s="72"/>
      <c r="W42" s="147"/>
      <c r="X42" s="147"/>
      <c r="Y42" s="147"/>
      <c r="Z42" s="147"/>
      <c r="AA42" s="158"/>
      <c r="AB42" s="147"/>
      <c r="AC42" s="90"/>
      <c r="AD42" s="90"/>
      <c r="AE42" s="44"/>
      <c r="AF42" s="79"/>
      <c r="AH42" s="122"/>
    </row>
    <row r="43" spans="1:34" s="123" customFormat="1" ht="11.25">
      <c r="A43" s="122"/>
      <c r="B43" s="122"/>
      <c r="C43" s="33"/>
      <c r="D43" s="26" t="s">
        <v>5</v>
      </c>
      <c r="E43" s="32"/>
      <c r="F43" s="74">
        <f t="shared" ref="F43:F44" si="7">F19</f>
        <v>112</v>
      </c>
      <c r="G43" s="74">
        <f t="shared" ref="G43:K44" si="8">+G19</f>
        <v>100</v>
      </c>
      <c r="H43" s="74">
        <f t="shared" si="8"/>
        <v>92</v>
      </c>
      <c r="I43" s="74">
        <f t="shared" si="8"/>
        <v>7</v>
      </c>
      <c r="J43" s="74">
        <f t="shared" si="8"/>
        <v>1</v>
      </c>
      <c r="K43" s="74">
        <f t="shared" si="8"/>
        <v>32</v>
      </c>
      <c r="L43" s="64">
        <f>IFERROR(F43/G43-1,"n/a")</f>
        <v>0.12000000000000011</v>
      </c>
      <c r="M43" s="64">
        <f>IFERROR(F43/H43-1,"n/a")</f>
        <v>0.21739130434782616</v>
      </c>
      <c r="N43" s="64">
        <f>IFERROR(F43/I43-1,"n/a")</f>
        <v>15</v>
      </c>
      <c r="O43" s="64">
        <f>IFERROR(F43/J43-1,"n/a")</f>
        <v>111</v>
      </c>
      <c r="P43" s="60">
        <f>IFERROR(F43/K43-1,"n/a")</f>
        <v>2.5</v>
      </c>
      <c r="Q43" s="74">
        <f>'Aug-24'!Q43+F43</f>
        <v>552</v>
      </c>
      <c r="R43" s="74">
        <f>'Aug-24'!R43+G43</f>
        <v>521</v>
      </c>
      <c r="S43" s="74">
        <f>'Aug-24'!S43+H43</f>
        <v>501</v>
      </c>
      <c r="T43" s="74">
        <f>'Aug-24'!T43+I43</f>
        <v>16</v>
      </c>
      <c r="U43" s="74">
        <f>'Aug-24'!U43+J43</f>
        <v>5</v>
      </c>
      <c r="V43" s="74">
        <f>'Aug-24'!V43+K43</f>
        <v>225</v>
      </c>
      <c r="W43" s="147">
        <f>IFERROR(Q43/R43-1,"n/a")</f>
        <v>5.950095969289837E-2</v>
      </c>
      <c r="X43" s="147">
        <f>IFERROR(R43/S43-1,"n/a")</f>
        <v>3.9920159680638667E-2</v>
      </c>
      <c r="Y43" s="147">
        <f>IFERROR(R43/T43-1,"n/a")</f>
        <v>31.5625</v>
      </c>
      <c r="Z43" s="147">
        <f>IFERROR(R43/U43-1,"n/a")</f>
        <v>103.2</v>
      </c>
      <c r="AA43" s="158">
        <f>IFERROR(R43/V43-1,"n/a")</f>
        <v>1.3155555555555556</v>
      </c>
      <c r="AB43" s="147"/>
      <c r="AC43" s="89">
        <v>669</v>
      </c>
      <c r="AD43" s="89">
        <v>59</v>
      </c>
      <c r="AE43" s="70">
        <v>9</v>
      </c>
      <c r="AF43" s="78">
        <v>287</v>
      </c>
      <c r="AH43" s="122"/>
    </row>
    <row r="44" spans="1:34" s="123" customFormat="1" ht="11.25">
      <c r="A44" s="122"/>
      <c r="B44" s="122"/>
      <c r="C44" s="33"/>
      <c r="D44" s="26" t="s">
        <v>11</v>
      </c>
      <c r="E44" s="32"/>
      <c r="F44" s="74">
        <f t="shared" si="7"/>
        <v>228255</v>
      </c>
      <c r="G44" s="74">
        <f t="shared" si="8"/>
        <v>181434</v>
      </c>
      <c r="H44" s="74">
        <f t="shared" si="8"/>
        <v>137415</v>
      </c>
      <c r="I44" s="74">
        <f t="shared" si="8"/>
        <v>3224</v>
      </c>
      <c r="J44" s="74">
        <f t="shared" si="8"/>
        <v>0</v>
      </c>
      <c r="K44" s="74">
        <f t="shared" si="8"/>
        <v>76553</v>
      </c>
      <c r="L44" s="64">
        <f>IFERROR(F44/G44-1,"n/a")</f>
        <v>0.25806078243328145</v>
      </c>
      <c r="M44" s="64">
        <f>IFERROR(F44/H44-1,"n/a")</f>
        <v>0.66106320270712815</v>
      </c>
      <c r="N44" s="64">
        <f>IFERROR(F44/I44-1,"n/a")</f>
        <v>69.798697270471465</v>
      </c>
      <c r="O44" s="64" t="str">
        <f>IFERROR(F44/J44-1,"n/a")</f>
        <v>n/a</v>
      </c>
      <c r="P44" s="60">
        <f>IFERROR(F44/K44-1,"n/a")</f>
        <v>1.9816597651300407</v>
      </c>
      <c r="Q44" s="74">
        <f>'Aug-24'!Q44+F44</f>
        <v>1197203.3999999999</v>
      </c>
      <c r="R44" s="74">
        <f>'Aug-24'!R44+G44</f>
        <v>992579</v>
      </c>
      <c r="S44" s="74">
        <f>'Aug-24'!S44+H44</f>
        <v>700973</v>
      </c>
      <c r="T44" s="74">
        <f>'Aug-24'!T44+I44</f>
        <v>4542</v>
      </c>
      <c r="U44" s="74">
        <f>'Aug-24'!U44+J44</f>
        <v>8294</v>
      </c>
      <c r="V44" s="74">
        <f>'Aug-24'!V44+K44</f>
        <v>481278</v>
      </c>
      <c r="W44" s="147">
        <f>IFERROR(Q44/R44-1,"n/a")</f>
        <v>0.20615427084393279</v>
      </c>
      <c r="X44" s="147">
        <f>IFERROR(R44/S44-1,"n/a")</f>
        <v>0.41600175755699587</v>
      </c>
      <c r="Y44" s="147">
        <f>IFERROR(R44/T44-1,"n/a")</f>
        <v>217.53346543372965</v>
      </c>
      <c r="Z44" s="147">
        <f>IFERROR(R44/U44-1,"n/a")</f>
        <v>118.67434289848083</v>
      </c>
      <c r="AA44" s="158">
        <f>IFERROR(R44/V44-1,"n/a")</f>
        <v>1.062381825057451</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147"/>
      <c r="X45" s="147"/>
      <c r="Y45" s="147"/>
      <c r="Z45" s="147"/>
      <c r="AA45" s="158"/>
      <c r="AB45" s="147"/>
      <c r="AC45" s="90"/>
      <c r="AD45" s="90"/>
      <c r="AE45" s="44"/>
      <c r="AF45" s="79"/>
      <c r="AH45" s="122"/>
    </row>
    <row r="46" spans="1:34" s="123" customFormat="1" ht="11.25">
      <c r="A46" s="122"/>
      <c r="B46" s="122"/>
      <c r="C46" s="33"/>
      <c r="D46" s="26" t="s">
        <v>5</v>
      </c>
      <c r="E46" s="34"/>
      <c r="F46" s="74">
        <f t="shared" ref="F46:F47" si="9">F22</f>
        <v>132</v>
      </c>
      <c r="G46" s="74">
        <f t="shared" ref="G46:K47" si="10">+G22</f>
        <v>119</v>
      </c>
      <c r="H46" s="74">
        <f t="shared" si="10"/>
        <v>85</v>
      </c>
      <c r="I46" s="74">
        <f t="shared" si="10"/>
        <v>46</v>
      </c>
      <c r="J46" s="74">
        <f t="shared" si="10"/>
        <v>0</v>
      </c>
      <c r="K46" s="74">
        <f t="shared" si="10"/>
        <v>86</v>
      </c>
      <c r="L46" s="64">
        <f>IFERROR(F46/G46-1,"n/a")</f>
        <v>0.10924369747899165</v>
      </c>
      <c r="M46" s="64">
        <f>IFERROR(F46/H46-1,"n/a")</f>
        <v>0.55294117647058827</v>
      </c>
      <c r="N46" s="64">
        <f>IFERROR(F46/I46-1,"n/a")</f>
        <v>1.8695652173913042</v>
      </c>
      <c r="O46" s="64" t="str">
        <f>IFERROR(F46/J46-1,"n/a")</f>
        <v>n/a</v>
      </c>
      <c r="P46" s="60">
        <f>IFERROR(F46/K46-1,"n/a")</f>
        <v>0.53488372093023262</v>
      </c>
      <c r="Q46" s="74">
        <f>'Aug-24'!Q46+F46</f>
        <v>739</v>
      </c>
      <c r="R46" s="74">
        <f>'Aug-24'!R46+G46</f>
        <v>689</v>
      </c>
      <c r="S46" s="74">
        <f>'Aug-24'!S46+H46</f>
        <v>495</v>
      </c>
      <c r="T46" s="74">
        <f>'Aug-24'!T46+I46</f>
        <v>84</v>
      </c>
      <c r="U46" s="74">
        <f>'Aug-24'!U46+J46</f>
        <v>0</v>
      </c>
      <c r="V46" s="74">
        <f>'Aug-24'!V46+K46</f>
        <v>496</v>
      </c>
      <c r="W46" s="147">
        <f>IFERROR(Q46/R46-1,"n/a")</f>
        <v>7.2568940493468848E-2</v>
      </c>
      <c r="X46" s="147">
        <f>IFERROR(R46/S46-1,"n/a")</f>
        <v>0.391919191919192</v>
      </c>
      <c r="Y46" s="147">
        <f>IFERROR(R46/T46-1,"n/a")</f>
        <v>7.2023809523809526</v>
      </c>
      <c r="Z46" s="147" t="str">
        <f>IFERROR(R46/U46-1,"n/a")</f>
        <v>n/a</v>
      </c>
      <c r="AA46" s="158">
        <f>IFERROR(R46/V46-1,"n/a")</f>
        <v>0.38911290322580649</v>
      </c>
      <c r="AB46" s="147"/>
      <c r="AC46" s="89">
        <v>1129</v>
      </c>
      <c r="AD46" s="89">
        <v>336</v>
      </c>
      <c r="AE46" s="84">
        <v>43</v>
      </c>
      <c r="AF46" s="78">
        <v>781</v>
      </c>
      <c r="AH46" s="122"/>
    </row>
    <row r="47" spans="1:34" s="123" customFormat="1" ht="11.25">
      <c r="A47" s="122"/>
      <c r="B47" s="122"/>
      <c r="C47" s="33"/>
      <c r="D47" s="26" t="s">
        <v>11</v>
      </c>
      <c r="E47" s="32"/>
      <c r="F47" s="74">
        <f t="shared" si="9"/>
        <v>442038</v>
      </c>
      <c r="G47" s="74">
        <f t="shared" si="10"/>
        <v>374705</v>
      </c>
      <c r="H47" s="74">
        <f t="shared" si="10"/>
        <v>267710</v>
      </c>
      <c r="I47" s="74">
        <f t="shared" si="10"/>
        <v>89719</v>
      </c>
      <c r="J47" s="74">
        <f t="shared" si="10"/>
        <v>0</v>
      </c>
      <c r="K47" s="74">
        <f t="shared" si="10"/>
        <v>304036</v>
      </c>
      <c r="L47" s="64">
        <f>IFERROR(F47/G47-1,"n/a")</f>
        <v>0.17969602754166614</v>
      </c>
      <c r="M47" s="64">
        <f>IFERROR(F47/H47-1,"n/a")</f>
        <v>0.65118224944903069</v>
      </c>
      <c r="N47" s="64">
        <f>IFERROR(F47/I47-1,"n/a")</f>
        <v>3.9269162607697368</v>
      </c>
      <c r="O47" s="64" t="str">
        <f>IFERROR(F47/J47-1,"n/a")</f>
        <v>n/a</v>
      </c>
      <c r="P47" s="60">
        <f>IFERROR(F47/K47-1,"n/a")</f>
        <v>0.45390019602941756</v>
      </c>
      <c r="Q47" s="74">
        <f>'Aug-24'!Q47+F47</f>
        <v>2490657</v>
      </c>
      <c r="R47" s="74">
        <f>'Aug-24'!R47+G47</f>
        <v>2217548</v>
      </c>
      <c r="S47" s="74">
        <f>'Aug-24'!S47+H47</f>
        <v>1263970</v>
      </c>
      <c r="T47" s="74">
        <f>'Aug-24'!T47+I47</f>
        <v>167883</v>
      </c>
      <c r="U47" s="74">
        <f>'Aug-24'!U47+J47</f>
        <v>0</v>
      </c>
      <c r="V47" s="74">
        <f>'Aug-24'!V47+K47</f>
        <v>1645544</v>
      </c>
      <c r="W47" s="147">
        <f>IFERROR(Q47/R47-1,"n/a")</f>
        <v>0.1231581007491156</v>
      </c>
      <c r="X47" s="147">
        <f>IFERROR(R47/S47-1,"n/a")</f>
        <v>0.75443088047975815</v>
      </c>
      <c r="Y47" s="147">
        <f>IFERROR(R47/T47-1,"n/a")</f>
        <v>12.208889524252008</v>
      </c>
      <c r="Z47" s="147" t="str">
        <f>IFERROR(R47/U47-1,"n/a")</f>
        <v>n/a</v>
      </c>
      <c r="AA47" s="158">
        <f>IFERROR(R47/V47-1,"n/a")</f>
        <v>0.34760784275595191</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147"/>
      <c r="X48" s="147"/>
      <c r="Y48" s="147"/>
      <c r="Z48" s="147"/>
      <c r="AA48" s="158"/>
      <c r="AB48" s="147"/>
      <c r="AC48" s="90"/>
      <c r="AD48" s="90"/>
      <c r="AE48" s="44"/>
      <c r="AF48" s="79"/>
      <c r="AH48" s="122"/>
    </row>
    <row r="49" spans="3:34" s="123" customFormat="1" ht="11.25">
      <c r="C49" s="33"/>
      <c r="D49" s="26" t="s">
        <v>5</v>
      </c>
      <c r="E49" s="32"/>
      <c r="F49" s="74">
        <f t="shared" ref="F49:F50" si="11">F25</f>
        <v>2</v>
      </c>
      <c r="G49" s="74">
        <f t="shared" ref="G49:K50" si="12">+G25</f>
        <v>4</v>
      </c>
      <c r="H49" s="74">
        <f t="shared" si="12"/>
        <v>1</v>
      </c>
      <c r="I49" s="74">
        <f t="shared" si="12"/>
        <v>0</v>
      </c>
      <c r="J49" s="74">
        <f t="shared" si="12"/>
        <v>0</v>
      </c>
      <c r="K49" s="74">
        <f t="shared" si="12"/>
        <v>1</v>
      </c>
      <c r="L49" s="64">
        <f>IFERROR(F49/G49-1,"n/a")</f>
        <v>-0.5</v>
      </c>
      <c r="M49" s="64">
        <f>IFERROR(F49/H49-1,"n/a")</f>
        <v>1</v>
      </c>
      <c r="N49" s="64" t="str">
        <f>IFERROR(F49/I49-1,"n/a")</f>
        <v>n/a</v>
      </c>
      <c r="O49" s="64" t="str">
        <f>IFERROR(F49/J49-1,"n/a")</f>
        <v>n/a</v>
      </c>
      <c r="P49" s="60">
        <f>IFERROR(F49/K49-1,"n/a")</f>
        <v>1</v>
      </c>
      <c r="Q49" s="74">
        <f>'Aug-24'!Q49+F49</f>
        <v>12</v>
      </c>
      <c r="R49" s="74">
        <f>'Aug-24'!R49+G49</f>
        <v>19</v>
      </c>
      <c r="S49" s="74">
        <f>'Aug-24'!S49+H49</f>
        <v>8</v>
      </c>
      <c r="T49" s="74">
        <f>'Aug-24'!T49+I49</f>
        <v>0</v>
      </c>
      <c r="U49" s="74">
        <f>'Aug-24'!U49+J49</f>
        <v>0</v>
      </c>
      <c r="V49" s="74">
        <f>'Aug-24'!V49+K49</f>
        <v>13</v>
      </c>
      <c r="W49" s="147">
        <f t="shared" ref="W49:X52" si="13">IFERROR(Q49/R49-1,"n/a")</f>
        <v>-0.36842105263157898</v>
      </c>
      <c r="X49" s="147">
        <f t="shared" si="13"/>
        <v>1.375</v>
      </c>
      <c r="Y49" s="147" t="str">
        <f>IFERROR(R49/T49-1,"n/a")</f>
        <v>n/a</v>
      </c>
      <c r="Z49" s="147" t="str">
        <f>IFERROR(R49/U49-1,"n/a")</f>
        <v>n/a</v>
      </c>
      <c r="AA49" s="158">
        <f>IFERROR(R49/V49-1,"n/a")</f>
        <v>0.46153846153846145</v>
      </c>
      <c r="AB49" s="147"/>
      <c r="AC49" s="89">
        <v>9</v>
      </c>
      <c r="AD49" s="68">
        <v>0</v>
      </c>
      <c r="AE49" s="68">
        <v>0</v>
      </c>
      <c r="AF49" s="78">
        <v>16</v>
      </c>
      <c r="AH49" s="122"/>
    </row>
    <row r="50" spans="3:34" s="123" customFormat="1" ht="11.25">
      <c r="C50" s="33"/>
      <c r="D50" s="26" t="s">
        <v>11</v>
      </c>
      <c r="E50" s="32"/>
      <c r="F50" s="74">
        <f t="shared" si="11"/>
        <v>5957</v>
      </c>
      <c r="G50" s="74">
        <f t="shared" si="12"/>
        <v>7920</v>
      </c>
      <c r="H50" s="74">
        <f t="shared" si="12"/>
        <v>2266</v>
      </c>
      <c r="I50" s="74">
        <f t="shared" si="12"/>
        <v>0</v>
      </c>
      <c r="J50" s="74">
        <f t="shared" si="12"/>
        <v>0</v>
      </c>
      <c r="K50" s="74">
        <f t="shared" si="12"/>
        <v>1243</v>
      </c>
      <c r="L50" s="64">
        <f>IFERROR(F50/G50-1,"n/a")</f>
        <v>-0.24785353535353538</v>
      </c>
      <c r="M50" s="64">
        <f>IFERROR(F50/H50-1,"n/a")</f>
        <v>1.6288614298323036</v>
      </c>
      <c r="N50" s="64" t="str">
        <f>IFERROR(F50/I50-1,"n/a")</f>
        <v>n/a</v>
      </c>
      <c r="O50" s="64" t="str">
        <f>IFERROR(F50/J50-1,"n/a")</f>
        <v>n/a</v>
      </c>
      <c r="P50" s="60">
        <f>IFERROR(F50/K50-1,"n/a")</f>
        <v>3.7924376508447306</v>
      </c>
      <c r="Q50" s="74">
        <f>'Aug-24'!Q50+F50</f>
        <v>44298</v>
      </c>
      <c r="R50" s="74">
        <f>'Aug-24'!R50+G50</f>
        <v>34314</v>
      </c>
      <c r="S50" s="74">
        <f>'Aug-24'!S50+H50</f>
        <v>13279</v>
      </c>
      <c r="T50" s="74">
        <f>'Aug-24'!T50+I50</f>
        <v>0</v>
      </c>
      <c r="U50" s="74">
        <f>'Aug-24'!U50+J50</f>
        <v>0</v>
      </c>
      <c r="V50" s="74">
        <f>'Aug-24'!V50+K50</f>
        <v>16291</v>
      </c>
      <c r="W50" s="147">
        <f t="shared" si="13"/>
        <v>0.29095995803462138</v>
      </c>
      <c r="X50" s="147">
        <f t="shared" si="13"/>
        <v>1.5840801265155511</v>
      </c>
      <c r="Y50" s="147" t="str">
        <f>IFERROR(R50/T50-1,"n/a")</f>
        <v>n/a</v>
      </c>
      <c r="Z50" s="147" t="str">
        <f>IFERROR(R50/U50-1,"n/a")</f>
        <v>n/a</v>
      </c>
      <c r="AA50" s="158">
        <f>IFERROR(R50/V50-1,"n/a")</f>
        <v>1.1063163710023938</v>
      </c>
      <c r="AB50" s="147"/>
      <c r="AC50" s="82">
        <v>15637</v>
      </c>
      <c r="AD50" s="68">
        <v>0</v>
      </c>
      <c r="AE50" s="68">
        <v>0</v>
      </c>
      <c r="AF50" s="78">
        <v>20248</v>
      </c>
      <c r="AH50" s="122"/>
    </row>
    <row r="51" spans="3:34" s="123" customFormat="1" ht="12" thickBot="1">
      <c r="C51" s="35" t="s">
        <v>12</v>
      </c>
      <c r="D51" s="36"/>
      <c r="E51" s="37"/>
      <c r="F51" s="75">
        <f>F37+F40+F43+F46+F49</f>
        <v>489</v>
      </c>
      <c r="G51" s="75">
        <f>G37+G40+G43+G46+G49</f>
        <v>389</v>
      </c>
      <c r="H51" s="75">
        <f t="shared" ref="H51:K52" si="14">H37+H40+H43+H46+H49</f>
        <v>334</v>
      </c>
      <c r="I51" s="75">
        <f t="shared" si="14"/>
        <v>147</v>
      </c>
      <c r="J51" s="75">
        <f t="shared" si="14"/>
        <v>10</v>
      </c>
      <c r="K51" s="75">
        <f t="shared" si="14"/>
        <v>268</v>
      </c>
      <c r="L51" s="66">
        <f>IFERROR(F51/G51-1,"n/a")</f>
        <v>0.25706940874035999</v>
      </c>
      <c r="M51" s="66">
        <f>IFERROR(F51/H51-1,"n/a")</f>
        <v>0.46407185628742509</v>
      </c>
      <c r="N51" s="66">
        <f>IFERROR(F51/I51-1,"n/a")</f>
        <v>2.3265306122448979</v>
      </c>
      <c r="O51" s="66">
        <f>IFERROR(F51/J51-1,"n/a")</f>
        <v>47.9</v>
      </c>
      <c r="P51" s="62">
        <f>IFERROR(F51/K51-1,"n/a")</f>
        <v>0.82462686567164178</v>
      </c>
      <c r="Q51" s="75">
        <f t="shared" ref="Q51:V52" si="15">Q37+Q40+Q43+Q46+Q49</f>
        <v>2817</v>
      </c>
      <c r="R51" s="75">
        <f t="shared" si="15"/>
        <v>2253</v>
      </c>
      <c r="S51" s="75">
        <f>S37+S40+S43+S46+S49</f>
        <v>1962</v>
      </c>
      <c r="T51" s="75">
        <f t="shared" si="15"/>
        <v>363</v>
      </c>
      <c r="U51" s="75">
        <f t="shared" si="15"/>
        <v>58</v>
      </c>
      <c r="V51" s="75">
        <f t="shared" si="15"/>
        <v>1700</v>
      </c>
      <c r="W51" s="66">
        <f t="shared" si="13"/>
        <v>0.25033288948069243</v>
      </c>
      <c r="X51" s="66">
        <f t="shared" si="13"/>
        <v>0.14831804281345562</v>
      </c>
      <c r="Y51" s="66">
        <f>IFERROR(R51/T51-1,"n/a")</f>
        <v>5.2066115702479339</v>
      </c>
      <c r="Z51" s="66">
        <f t="shared" ref="Z51:Z52" si="16">IFERROR(R51/U51-1,"n/a")</f>
        <v>37.844827586206897</v>
      </c>
      <c r="AA51" s="62">
        <f>IFERROR(R51/V51-1,"n/a")</f>
        <v>0.32529411764705873</v>
      </c>
      <c r="AB51" s="66"/>
      <c r="AC51" s="46">
        <f t="shared" ref="AC51:AE52" si="17">AC37+AC40+AC43+AC46+AC49</f>
        <v>3856</v>
      </c>
      <c r="AD51" s="46">
        <f t="shared" si="17"/>
        <v>1673</v>
      </c>
      <c r="AE51" s="46">
        <f t="shared" si="17"/>
        <v>669</v>
      </c>
      <c r="AF51" s="80">
        <f>AF37+AF40+AF43+AF46+AF49</f>
        <v>3241</v>
      </c>
      <c r="AH51" s="122"/>
    </row>
    <row r="52" spans="3:34" s="123" customFormat="1" ht="12.75" thickTop="1" thickBot="1">
      <c r="C52" s="38" t="s">
        <v>13</v>
      </c>
      <c r="D52" s="39"/>
      <c r="E52" s="40"/>
      <c r="F52" s="76">
        <f>F38+F41+F44+F47+F50</f>
        <v>1455220</v>
      </c>
      <c r="G52" s="76">
        <f>G38+G41+G44+G47+G50</f>
        <v>1100804</v>
      </c>
      <c r="H52" s="76">
        <f t="shared" si="14"/>
        <v>838052</v>
      </c>
      <c r="I52" s="76">
        <f t="shared" si="14"/>
        <v>240604</v>
      </c>
      <c r="J52" s="76">
        <f t="shared" si="14"/>
        <v>6072</v>
      </c>
      <c r="K52" s="76">
        <f t="shared" si="14"/>
        <v>785421</v>
      </c>
      <c r="L52" s="67">
        <f>IFERROR(F52/G52-1,"n/a")</f>
        <v>0.32196103938575815</v>
      </c>
      <c r="M52" s="67">
        <f>IFERROR(F52/H52-1,"n/a")</f>
        <v>0.7364316295408877</v>
      </c>
      <c r="N52" s="67">
        <f>IFERROR(F52/I52-1,"n/a")</f>
        <v>5.0481953749729849</v>
      </c>
      <c r="O52" s="67">
        <f>IFERROR(F52/J52-1,"n/a")</f>
        <v>238.66073781291172</v>
      </c>
      <c r="P52" s="63">
        <f>IFERROR(F52/K52-1,"n/a")</f>
        <v>0.85278977771157116</v>
      </c>
      <c r="Q52" s="76">
        <f t="shared" si="15"/>
        <v>8761679.4000000004</v>
      </c>
      <c r="R52" s="76">
        <f t="shared" si="15"/>
        <v>6743493</v>
      </c>
      <c r="S52" s="76">
        <f t="shared" si="15"/>
        <v>4349299</v>
      </c>
      <c r="T52" s="76">
        <f t="shared" si="15"/>
        <v>558508</v>
      </c>
      <c r="U52" s="76">
        <f t="shared" si="15"/>
        <v>16907</v>
      </c>
      <c r="V52" s="76">
        <f t="shared" si="15"/>
        <v>5036943</v>
      </c>
      <c r="W52" s="67">
        <f t="shared" si="13"/>
        <v>0.29927908281361004</v>
      </c>
      <c r="X52" s="67">
        <f t="shared" si="13"/>
        <v>0.55047813452236793</v>
      </c>
      <c r="Y52" s="117">
        <f>IFERROR(R52/T52-1,"n/a")</f>
        <v>11.074120692989178</v>
      </c>
      <c r="Z52" s="117">
        <f t="shared" si="16"/>
        <v>397.85804696279649</v>
      </c>
      <c r="AA52" s="118">
        <f>IFERROR(R52/V52-1,"n/a")</f>
        <v>0.33880669286906762</v>
      </c>
      <c r="AB52" s="117"/>
      <c r="AC52" s="47">
        <f t="shared" si="17"/>
        <v>9237323</v>
      </c>
      <c r="AD52" s="47">
        <f t="shared" si="17"/>
        <v>2410085</v>
      </c>
      <c r="AE52" s="47">
        <f t="shared" si="17"/>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DFB0-BDE7-42FC-B85C-A4C568DF0ACF}">
  <dimension ref="A1:AH66"/>
  <sheetViews>
    <sheetView showGridLines="0" topLeftCell="A38" zoomScale="85" zoomScaleNormal="85" workbookViewId="0">
      <selection activeCell="F51" sqref="F51:K5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45550</v>
      </c>
      <c r="AG3" s="25"/>
      <c r="AH3" s="9"/>
    </row>
    <row r="4" spans="1:34" ht="15.75">
      <c r="A4" s="9"/>
      <c r="B4" s="11" t="s">
        <v>7</v>
      </c>
      <c r="C4" s="26"/>
      <c r="D4" s="93" t="s">
        <v>69</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7" t="str">
        <f>D4</f>
        <v>August</v>
      </c>
      <c r="G9" s="167"/>
      <c r="H9" s="167"/>
      <c r="I9" s="167"/>
      <c r="J9" s="167"/>
      <c r="K9" s="167"/>
      <c r="L9" s="167"/>
      <c r="M9" s="167"/>
      <c r="N9" s="167"/>
      <c r="O9" s="167"/>
      <c r="P9" s="168"/>
      <c r="Q9" s="169" t="str">
        <f>"January to "&amp; D4</f>
        <v>January to August</v>
      </c>
      <c r="R9" s="170"/>
      <c r="S9" s="170"/>
      <c r="T9" s="170"/>
      <c r="U9" s="170"/>
      <c r="V9" s="170"/>
      <c r="W9" s="170"/>
      <c r="X9" s="170"/>
      <c r="Y9" s="170"/>
      <c r="Z9" s="170"/>
      <c r="AA9" s="171"/>
      <c r="AB9" s="169" t="s">
        <v>57</v>
      </c>
      <c r="AC9" s="170"/>
      <c r="AD9" s="170"/>
      <c r="AE9" s="170"/>
      <c r="AF9" s="172"/>
      <c r="AG9" s="122"/>
      <c r="AH9" s="122"/>
    </row>
    <row r="10" spans="1:34"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142</v>
      </c>
      <c r="G13" s="73">
        <v>99</v>
      </c>
      <c r="H13" s="71">
        <v>81</v>
      </c>
      <c r="I13" s="71">
        <v>51</v>
      </c>
      <c r="J13" s="71">
        <v>0</v>
      </c>
      <c r="K13" s="71">
        <v>97</v>
      </c>
      <c r="L13" s="64">
        <f>IFERROR(F13/G13-1,"n/a")</f>
        <v>0.43434343434343425</v>
      </c>
      <c r="M13" s="64">
        <f>IFERROR(F13/H13-1,"n/a")</f>
        <v>0.75308641975308643</v>
      </c>
      <c r="N13" s="64">
        <f>IFERROR(F13/I13-1,"n/a")</f>
        <v>1.784313725490196</v>
      </c>
      <c r="O13" s="64" t="str">
        <f>IFERROR(F13/J13-1,"n/a")</f>
        <v>n/a</v>
      </c>
      <c r="P13" s="60">
        <f>IFERROR(F13/K13-1,"n/a")</f>
        <v>0.46391752577319578</v>
      </c>
      <c r="Q13" s="68">
        <f>'July-24'!Q13+F13</f>
        <v>1516</v>
      </c>
      <c r="R13" s="68">
        <f>'July-24'!R13+G13</f>
        <v>1057</v>
      </c>
      <c r="S13" s="68">
        <f>'July-24'!S13+H13</f>
        <v>991</v>
      </c>
      <c r="T13" s="68">
        <f>'July-24'!T13+I13</f>
        <v>79</v>
      </c>
      <c r="U13" s="68">
        <f>'July-24'!U13+J13</f>
        <v>551</v>
      </c>
      <c r="V13" s="68">
        <f>'July-24'!V13+K13</f>
        <v>1023</v>
      </c>
      <c r="W13" s="64">
        <f>IFERROR(Q13/R13-1,"n/a")</f>
        <v>0.43424787133396414</v>
      </c>
      <c r="X13" s="64">
        <f>IFERROR(Q13/S13-1,"n/a")</f>
        <v>0.52976791120080735</v>
      </c>
      <c r="Y13" s="64">
        <f>IFERROR(Q13/T13-1,"n/a")</f>
        <v>18.189873417721518</v>
      </c>
      <c r="Z13" s="64">
        <f>IFERROR(Q13/U13-1,"n/a")</f>
        <v>1.7513611615245011</v>
      </c>
      <c r="AA13" s="60">
        <f>IFERROR(Q13/V13-1,"n/a")</f>
        <v>0.48191593352883677</v>
      </c>
      <c r="AB13" s="68">
        <v>1630</v>
      </c>
      <c r="AC13" s="68">
        <v>1486</v>
      </c>
      <c r="AD13" s="68">
        <v>522</v>
      </c>
      <c r="AE13" s="68">
        <v>551</v>
      </c>
      <c r="AF13" s="134">
        <v>1591</v>
      </c>
      <c r="AG13" s="122"/>
      <c r="AH13" s="122"/>
    </row>
    <row r="14" spans="1:34" s="123" customFormat="1" ht="12.75">
      <c r="A14" s="122"/>
      <c r="B14" s="127"/>
      <c r="C14" s="33"/>
      <c r="D14" s="26" t="s">
        <v>11</v>
      </c>
      <c r="E14" s="32"/>
      <c r="F14" s="71">
        <v>563849</v>
      </c>
      <c r="G14" s="73">
        <v>375428</v>
      </c>
      <c r="H14" s="71">
        <v>278520</v>
      </c>
      <c r="I14" s="71">
        <v>66591</v>
      </c>
      <c r="J14" s="71">
        <v>0</v>
      </c>
      <c r="K14" s="71">
        <v>325246</v>
      </c>
      <c r="L14" s="64">
        <f>IFERROR(F14/G14-1,"n/a")</f>
        <v>0.50188318399266962</v>
      </c>
      <c r="M14" s="64">
        <f>IFERROR(F14/H14-1,"n/a")</f>
        <v>1.0244470774091625</v>
      </c>
      <c r="N14" s="64">
        <f>IFERROR(F14/I14-1,"n/a")</f>
        <v>7.4673454370710761</v>
      </c>
      <c r="O14" s="64" t="str">
        <f>IFERROR(F14/J14-1,"n/a")</f>
        <v>n/a</v>
      </c>
      <c r="P14" s="60">
        <f>IFERROR(F14/K14-1,"n/a")</f>
        <v>0.73360779225570805</v>
      </c>
      <c r="Q14" s="68">
        <f>'July-24'!Q14+F14</f>
        <v>5158028</v>
      </c>
      <c r="R14" s="68">
        <f>'July-24'!R14+G14</f>
        <v>3472894</v>
      </c>
      <c r="S14" s="68">
        <f>'July-24'!S14+H14</f>
        <v>2114731</v>
      </c>
      <c r="T14" s="68">
        <f>'July-24'!T14+I14</f>
        <v>97505</v>
      </c>
      <c r="U14" s="68">
        <f>'July-24'!U14+J14</f>
        <v>1092884</v>
      </c>
      <c r="V14" s="68">
        <f>'July-24'!V14+K14</f>
        <v>3108965</v>
      </c>
      <c r="W14" s="64">
        <f>IFERROR(Q14/R14-1,"n/a")</f>
        <v>0.48522471460401606</v>
      </c>
      <c r="X14" s="64">
        <f>IFERROR(Q14/S14-1,"n/a")</f>
        <v>1.4390941448344967</v>
      </c>
      <c r="Y14" s="64">
        <f>IFERROR(Q14/T14-1,"n/a")</f>
        <v>51.900138454438235</v>
      </c>
      <c r="Z14" s="64">
        <f>IFERROR(Q14/U14-1,"n/a")</f>
        <v>3.7196481968809136</v>
      </c>
      <c r="AA14" s="60">
        <f>IFERROR(Q14/V14-1,"n/a")</f>
        <v>0.65908204177274432</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103</v>
      </c>
      <c r="G16" s="74">
        <v>71</v>
      </c>
      <c r="H16" s="71">
        <v>63</v>
      </c>
      <c r="I16" s="71">
        <v>29</v>
      </c>
      <c r="J16" s="71">
        <v>2</v>
      </c>
      <c r="K16" s="71">
        <v>58</v>
      </c>
      <c r="L16" s="64">
        <f>IFERROR(F16/G16-1,"n/a")</f>
        <v>0.45070422535211274</v>
      </c>
      <c r="M16" s="64">
        <f>IFERROR(F16/H16-1,"n/a")</f>
        <v>0.63492063492063489</v>
      </c>
      <c r="N16" s="64">
        <f>IFERROR(F16/I16-1,"n/a")</f>
        <v>2.5517241379310347</v>
      </c>
      <c r="O16" s="64">
        <f>IFERROR(F16/J16-1,"n/a")</f>
        <v>50.5</v>
      </c>
      <c r="P16" s="60">
        <f>IFERROR(F16/K16-1,"n/a")</f>
        <v>0.77586206896551735</v>
      </c>
      <c r="Q16" s="68">
        <f>'July-24'!Q16+F16</f>
        <v>494</v>
      </c>
      <c r="R16" s="68">
        <f>'July-24'!R16+G16</f>
        <v>358</v>
      </c>
      <c r="S16" s="68">
        <f>'July-24'!S16+H16</f>
        <v>377</v>
      </c>
      <c r="T16" s="68">
        <f>'July-24'!T16+I16</f>
        <v>102</v>
      </c>
      <c r="U16" s="68">
        <f>'July-24'!U16+J16</f>
        <v>12</v>
      </c>
      <c r="V16" s="68">
        <f>'July-24'!V16+K16</f>
        <v>333</v>
      </c>
      <c r="W16" s="64">
        <f>IFERROR(Q16/R16-1,"n/a")</f>
        <v>0.37988826815642462</v>
      </c>
      <c r="X16" s="64">
        <f>IFERROR(Q16/S16-1,"n/a")</f>
        <v>0.31034482758620685</v>
      </c>
      <c r="Y16" s="64">
        <f>IFERROR(Q16/T16-1,"n/a")</f>
        <v>3.8431372549019605</v>
      </c>
      <c r="Z16" s="64">
        <f>IFERROR(Q16/U16-1,"n/a")</f>
        <v>40.166666666666664</v>
      </c>
      <c r="AA16" s="60">
        <f>IFERROR(Q16/V16-1,"n/a")</f>
        <v>0.48348348348348358</v>
      </c>
      <c r="AB16" s="68">
        <v>575</v>
      </c>
      <c r="AC16" s="68">
        <v>572</v>
      </c>
      <c r="AD16" s="68">
        <v>202</v>
      </c>
      <c r="AE16" s="68">
        <v>54</v>
      </c>
      <c r="AF16" s="134">
        <v>586</v>
      </c>
      <c r="AG16" s="122"/>
      <c r="AH16" s="122"/>
    </row>
    <row r="17" spans="1:34" s="123" customFormat="1" ht="12.75">
      <c r="A17" s="122"/>
      <c r="B17" s="127"/>
      <c r="C17" s="33"/>
      <c r="D17" s="26" t="s">
        <v>11</v>
      </c>
      <c r="E17" s="32"/>
      <c r="F17" s="71">
        <v>316065</v>
      </c>
      <c r="G17" s="74">
        <v>262517</v>
      </c>
      <c r="H17" s="71">
        <v>183659</v>
      </c>
      <c r="I17" s="71">
        <v>48391</v>
      </c>
      <c r="J17" s="71">
        <v>2541</v>
      </c>
      <c r="K17" s="71">
        <v>180130</v>
      </c>
      <c r="L17" s="64">
        <f>IFERROR(F17/G17-1,"n/a")</f>
        <v>0.20397917087274342</v>
      </c>
      <c r="M17" s="64">
        <f>IFERROR(F17/H17-1,"n/a")</f>
        <v>0.72093390468204666</v>
      </c>
      <c r="N17" s="64">
        <f>IFERROR(F17/I17-1,"n/a")</f>
        <v>5.5314831270277534</v>
      </c>
      <c r="O17" s="64">
        <f>IFERROR(F17/J17-1,"n/a")</f>
        <v>123.38606847697757</v>
      </c>
      <c r="P17" s="60">
        <f>IFERROR(F17/K17-1,"n/a")</f>
        <v>0.75464941986343193</v>
      </c>
      <c r="Q17" s="68">
        <f>'July-24'!Q17+F17</f>
        <v>1376921</v>
      </c>
      <c r="R17" s="68">
        <f>'July-24'!R17+G17</f>
        <v>1110652</v>
      </c>
      <c r="S17" s="68">
        <f>'July-24'!S17+H17</f>
        <v>621851</v>
      </c>
      <c r="T17" s="68">
        <f>'July-24'!T17+I17</f>
        <v>151020</v>
      </c>
      <c r="U17" s="68">
        <f>'July-24'!U17+J17</f>
        <v>43654</v>
      </c>
      <c r="V17" s="68">
        <f>'July-24'!V17+K17</f>
        <v>912754</v>
      </c>
      <c r="W17" s="64">
        <f>IFERROR(Q17/R17-1,"n/a")</f>
        <v>0.2397411610477449</v>
      </c>
      <c r="X17" s="64">
        <f>IFERROR(Q17/S17-1,"n/a")</f>
        <v>1.214229775299871</v>
      </c>
      <c r="Y17" s="64">
        <f>IFERROR(Q17/T17-1,"n/a")</f>
        <v>8.1174745066878558</v>
      </c>
      <c r="Z17" s="64">
        <f>IFERROR(Q17/U17-1,"n/a")</f>
        <v>30.541691483025609</v>
      </c>
      <c r="AA17" s="60">
        <f>IFERROR(Q17/V17-1,"n/a")</f>
        <v>0.50853461063988759</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102</v>
      </c>
      <c r="G19" s="73">
        <v>95</v>
      </c>
      <c r="H19" s="71">
        <v>104</v>
      </c>
      <c r="I19" s="71">
        <v>3</v>
      </c>
      <c r="J19" s="71">
        <v>2</v>
      </c>
      <c r="K19" s="71">
        <v>43</v>
      </c>
      <c r="L19" s="64">
        <f>IFERROR(F19/G19-1,"n/a")</f>
        <v>7.3684210526315796E-2</v>
      </c>
      <c r="M19" s="64">
        <f>IFERROR(F19/H19-1,"n/a")</f>
        <v>-1.9230769230769273E-2</v>
      </c>
      <c r="N19" s="64">
        <f>IFERROR(F19/I19-1,"n/a")</f>
        <v>33</v>
      </c>
      <c r="O19" s="64">
        <f>IFERROR(F19/J19-1,"n/a")</f>
        <v>50</v>
      </c>
      <c r="P19" s="60">
        <f>IFERROR(F19/K19-1,"n/a")</f>
        <v>1.3720930232558142</v>
      </c>
      <c r="Q19" s="68">
        <f>'July-24'!Q19+F19</f>
        <v>467</v>
      </c>
      <c r="R19" s="68">
        <f>'July-24'!R19+G19</f>
        <v>444</v>
      </c>
      <c r="S19" s="68">
        <f>'July-24'!S19+H19</f>
        <v>421</v>
      </c>
      <c r="T19" s="68">
        <f>'July-24'!T19+I19</f>
        <v>9</v>
      </c>
      <c r="U19" s="68">
        <f>'July-24'!U19+J19</f>
        <v>7</v>
      </c>
      <c r="V19" s="68">
        <f>'July-24'!V19+K19</f>
        <v>199</v>
      </c>
      <c r="W19" s="64">
        <f>IFERROR(Q19/R19-1,"n/a")</f>
        <v>5.1801801801801828E-2</v>
      </c>
      <c r="X19" s="64">
        <f>IFERROR(Q19/S19-1,"n/a")</f>
        <v>0.10926365795724458</v>
      </c>
      <c r="Y19" s="64">
        <f>IFERROR(Q19/T19-1,"n/a")</f>
        <v>50.888888888888886</v>
      </c>
      <c r="Z19" s="64">
        <f>IFERROR(Q19/U19-1,"n/a")</f>
        <v>65.714285714285708</v>
      </c>
      <c r="AA19" s="60">
        <f>IFERROR(Q19/V19-1,"n/a")</f>
        <v>1.3467336683417086</v>
      </c>
      <c r="AB19" s="68">
        <v>708</v>
      </c>
      <c r="AC19" s="68">
        <v>658</v>
      </c>
      <c r="AD19" s="68">
        <v>47</v>
      </c>
      <c r="AE19" s="68">
        <v>9</v>
      </c>
      <c r="AF19" s="134">
        <v>290</v>
      </c>
      <c r="AG19" s="122"/>
      <c r="AH19" s="122"/>
    </row>
    <row r="20" spans="1:34" s="123" customFormat="1" ht="12.75">
      <c r="A20" s="122"/>
      <c r="B20" s="127"/>
      <c r="C20" s="33"/>
      <c r="D20" s="26" t="s">
        <v>11</v>
      </c>
      <c r="E20" s="32"/>
      <c r="F20" s="71">
        <v>270706</v>
      </c>
      <c r="G20" s="73">
        <v>234330</v>
      </c>
      <c r="H20" s="71">
        <v>185619</v>
      </c>
      <c r="I20" s="71">
        <v>850</v>
      </c>
      <c r="J20" s="71">
        <v>0</v>
      </c>
      <c r="K20" s="71">
        <v>126823</v>
      </c>
      <c r="L20" s="64">
        <f>IFERROR(F20/G20-1,"n/a")</f>
        <v>0.15523407160841551</v>
      </c>
      <c r="M20" s="64">
        <f>IFERROR(F20/H20-1,"n/a")</f>
        <v>0.45839596162030816</v>
      </c>
      <c r="N20" s="64">
        <f>IFERROR(F20/I20-1,"n/a")</f>
        <v>317.47764705882355</v>
      </c>
      <c r="O20" s="64" t="str">
        <f>IFERROR(F20/J20-1,"n/a")</f>
        <v>n/a</v>
      </c>
      <c r="P20" s="60">
        <f>IFERROR(F20/K20-1,"n/a")</f>
        <v>1.1345181867642307</v>
      </c>
      <c r="Q20" s="68">
        <f>'July-24'!Q20+F20</f>
        <v>1008689.4</v>
      </c>
      <c r="R20" s="68">
        <f>'July-24'!R20+G20</f>
        <v>831991</v>
      </c>
      <c r="S20" s="68">
        <f>'July-24'!S20+H20</f>
        <v>566643</v>
      </c>
      <c r="T20" s="68">
        <f>'July-24'!T20+I20</f>
        <v>1318</v>
      </c>
      <c r="U20" s="68">
        <f>'July-24'!U20+J20</f>
        <v>10047</v>
      </c>
      <c r="V20" s="68">
        <f>'July-24'!V20+K20</f>
        <v>411209</v>
      </c>
      <c r="W20" s="64">
        <f>IFERROR(Q20/R20-1,"n/a")</f>
        <v>0.21238018199716113</v>
      </c>
      <c r="X20" s="64">
        <f>IFERROR(Q20/S20-1,"n/a")</f>
        <v>0.78011446360406822</v>
      </c>
      <c r="Y20" s="64">
        <f>IFERROR(Q20/T20-1,"n/a")</f>
        <v>764.31820940819421</v>
      </c>
      <c r="Z20" s="64">
        <f>IFERROR(Q20/U20-1,"n/a")</f>
        <v>99.397073753359209</v>
      </c>
      <c r="AA20" s="60">
        <f>IFERROR(Q20/V20-1,"n/a")</f>
        <v>1.452984735256281</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92</v>
      </c>
      <c r="G22" s="74">
        <v>80</v>
      </c>
      <c r="H22" s="71">
        <v>60</v>
      </c>
      <c r="I22" s="71">
        <v>24</v>
      </c>
      <c r="J22" s="71">
        <v>0</v>
      </c>
      <c r="K22" s="71">
        <v>69</v>
      </c>
      <c r="L22" s="64">
        <f>IFERROR(F22/G22-1,"n/a")</f>
        <v>0.14999999999999991</v>
      </c>
      <c r="M22" s="64">
        <f>IFERROR(F22/H22-1,"n/a")</f>
        <v>0.53333333333333344</v>
      </c>
      <c r="N22" s="64">
        <f>IFERROR(F22/I22-1,"n/a")</f>
        <v>2.8333333333333335</v>
      </c>
      <c r="O22" s="64" t="str">
        <f>IFERROR(F22/J22-1,"n/a")</f>
        <v>n/a</v>
      </c>
      <c r="P22" s="60">
        <f>IFERROR(F22/K22-1,"n/a")</f>
        <v>0.33333333333333326</v>
      </c>
      <c r="Q22" s="68">
        <f>'July-24'!Q22+F22</f>
        <v>866</v>
      </c>
      <c r="R22" s="68">
        <f>'July-24'!R22+G22</f>
        <v>857</v>
      </c>
      <c r="S22" s="68">
        <f>'July-24'!S22+H22</f>
        <v>463</v>
      </c>
      <c r="T22" s="68">
        <f>'July-24'!T22+I22</f>
        <v>38</v>
      </c>
      <c r="U22" s="68">
        <f>'July-24'!U22+J22</f>
        <v>43</v>
      </c>
      <c r="V22" s="68">
        <f>'July-24'!V22+K22</f>
        <v>499</v>
      </c>
      <c r="W22" s="64">
        <f>IFERROR(Q22/R22-1,"n/a")</f>
        <v>1.0501750291715295E-2</v>
      </c>
      <c r="X22" s="64">
        <f>IFERROR(Q22/S22-1,"n/a")</f>
        <v>0.87041036717062625</v>
      </c>
      <c r="Y22" s="64">
        <f>IFERROR(Q22/T22-1,"n/a")</f>
        <v>21.789473684210527</v>
      </c>
      <c r="Z22" s="64">
        <f>IFERROR(Q22/U22-1,"n/a")</f>
        <v>19.13953488372093</v>
      </c>
      <c r="AA22" s="60">
        <f>IFERROR(Q22/V22-1,"n/a")</f>
        <v>0.73547094188376749</v>
      </c>
      <c r="AB22" s="68">
        <v>1500</v>
      </c>
      <c r="AC22" s="68">
        <v>895</v>
      </c>
      <c r="AD22" s="68">
        <v>283</v>
      </c>
      <c r="AE22" s="68">
        <v>43</v>
      </c>
      <c r="AF22" s="134">
        <v>827</v>
      </c>
      <c r="AG22" s="122"/>
      <c r="AH22" s="122"/>
    </row>
    <row r="23" spans="1:34" s="123" customFormat="1" ht="12.75">
      <c r="A23" s="122"/>
      <c r="B23" s="127"/>
      <c r="C23" s="33"/>
      <c r="D23" s="26" t="s">
        <v>11</v>
      </c>
      <c r="E23" s="32"/>
      <c r="F23" s="71">
        <v>415300</v>
      </c>
      <c r="G23" s="73">
        <v>371804</v>
      </c>
      <c r="H23" s="71">
        <v>239102</v>
      </c>
      <c r="I23" s="71">
        <v>49688</v>
      </c>
      <c r="J23" s="71">
        <v>0</v>
      </c>
      <c r="K23" s="71">
        <v>291759</v>
      </c>
      <c r="L23" s="64">
        <f>IFERROR(F23/G23-1,"n/a")</f>
        <v>0.11698636916224681</v>
      </c>
      <c r="M23" s="64">
        <f>IFERROR(F23/H23-1,"n/a")</f>
        <v>0.73691562596716054</v>
      </c>
      <c r="N23" s="64">
        <f>IFERROR(F23/I23-1,"n/a")</f>
        <v>7.3581548864917075</v>
      </c>
      <c r="O23" s="64" t="str">
        <f>IFERROR(F23/J23-1,"n/a")</f>
        <v>n/a</v>
      </c>
      <c r="P23" s="60">
        <f>IFERROR(F23/K23-1,"n/a")</f>
        <v>0.42343509540408353</v>
      </c>
      <c r="Q23" s="68">
        <f>'July-24'!Q23+F23</f>
        <v>2961674</v>
      </c>
      <c r="R23" s="68">
        <f>'July-24'!R23+G23</f>
        <v>2679117</v>
      </c>
      <c r="S23" s="68">
        <f>'July-24'!S23+H23</f>
        <v>1064714</v>
      </c>
      <c r="T23" s="68">
        <f>'July-24'!T23+I23</f>
        <v>78164</v>
      </c>
      <c r="U23" s="68">
        <f>'July-24'!U23+J23</f>
        <v>140552</v>
      </c>
      <c r="V23" s="68">
        <f>'July-24'!V23+K23</f>
        <v>1593408</v>
      </c>
      <c r="W23" s="64">
        <f>IFERROR(Q23/R23-1,"n/a")</f>
        <v>0.10546646525702319</v>
      </c>
      <c r="X23" s="64">
        <f>IFERROR(Q23/S23-1,"n/a")</f>
        <v>1.7816615541826257</v>
      </c>
      <c r="Y23" s="64">
        <f>IFERROR(Q23/T23-1,"n/a")</f>
        <v>36.890512256281667</v>
      </c>
      <c r="Z23" s="64">
        <f>IFERROR(Q23/U23-1,"n/a")</f>
        <v>20.07173145881951</v>
      </c>
      <c r="AA23" s="60">
        <f>IFERROR(Q23/V23-1,"n/a")</f>
        <v>0.85870411093706078</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1</v>
      </c>
      <c r="G25" s="71">
        <v>4</v>
      </c>
      <c r="H25" s="71">
        <v>2</v>
      </c>
      <c r="I25" s="71">
        <v>0</v>
      </c>
      <c r="J25" s="71">
        <v>0</v>
      </c>
      <c r="K25" s="71">
        <v>1</v>
      </c>
      <c r="L25" s="64">
        <f>IFERROR(F25/G25-1,"n/a")</f>
        <v>-0.75</v>
      </c>
      <c r="M25" s="64">
        <f>IFERROR(F25/H25-1,"n/a")</f>
        <v>-0.5</v>
      </c>
      <c r="N25" s="64" t="str">
        <f>IFERROR(F25/I25-1,"n/a")</f>
        <v>n/a</v>
      </c>
      <c r="O25" s="64" t="str">
        <f>IFERROR(F25/J25-1,"n/a")</f>
        <v>n/a</v>
      </c>
      <c r="P25" s="60">
        <f>IFERROR(F25/K25-1,"n/a")</f>
        <v>0</v>
      </c>
      <c r="Q25" s="68">
        <f>'July-24'!Q25+F25</f>
        <v>10</v>
      </c>
      <c r="R25" s="68">
        <f>'July-24'!R25+G25</f>
        <v>15</v>
      </c>
      <c r="S25" s="68">
        <f>'July-24'!S25+H25</f>
        <v>7</v>
      </c>
      <c r="T25" s="68">
        <f>'July-24'!T25+I25</f>
        <v>0</v>
      </c>
      <c r="U25" s="68">
        <f>'July-24'!U25+J25</f>
        <v>0</v>
      </c>
      <c r="V25" s="68">
        <f>'July-24'!V25+K25</f>
        <v>12</v>
      </c>
      <c r="W25" s="64">
        <f>IFERROR(Q25/R25-1,"n/a")</f>
        <v>-0.33333333333333337</v>
      </c>
      <c r="X25" s="64">
        <f>IFERROR(Q25/S25-1,"n/a")</f>
        <v>0.4285714285714286</v>
      </c>
      <c r="Y25" s="64" t="str">
        <f>IFERROR(Q25/T25-1,"n/a")</f>
        <v>n/a</v>
      </c>
      <c r="Z25" s="64" t="str">
        <f>IFERROR(Q25/U25-1,"n/a")</f>
        <v>n/a</v>
      </c>
      <c r="AA25" s="60">
        <f>IFERROR(Q25/V25-1,"n/a")</f>
        <v>-0.16666666666666663</v>
      </c>
      <c r="AB25" s="68">
        <v>21</v>
      </c>
      <c r="AC25" s="68">
        <v>9</v>
      </c>
      <c r="AD25" s="68">
        <v>0</v>
      </c>
      <c r="AE25" s="68">
        <v>0</v>
      </c>
      <c r="AF25" s="134">
        <v>16</v>
      </c>
      <c r="AG25" s="122"/>
      <c r="AH25" s="122"/>
    </row>
    <row r="26" spans="1:34" s="123" customFormat="1" ht="12.75">
      <c r="A26" s="122"/>
      <c r="B26" s="127"/>
      <c r="C26" s="33"/>
      <c r="D26" s="26" t="s">
        <v>11</v>
      </c>
      <c r="E26" s="32"/>
      <c r="F26" s="71">
        <v>4623</v>
      </c>
      <c r="G26" s="71">
        <v>6619</v>
      </c>
      <c r="H26" s="71">
        <v>2336</v>
      </c>
      <c r="I26" s="71">
        <v>0</v>
      </c>
      <c r="J26" s="71">
        <v>0</v>
      </c>
      <c r="K26" s="71">
        <v>1298</v>
      </c>
      <c r="L26" s="64">
        <f>IFERROR(F26/G26-1,"n/a")</f>
        <v>-0.30155612630306694</v>
      </c>
      <c r="M26" s="64">
        <f>IFERROR(F26/H26-1,"n/a")</f>
        <v>0.97902397260273966</v>
      </c>
      <c r="N26" s="64" t="str">
        <f>IFERROR(F26/I26-1,"n/a")</f>
        <v>n/a</v>
      </c>
      <c r="O26" s="64" t="str">
        <f>IFERROR(F26/J26-1,"n/a")</f>
        <v>n/a</v>
      </c>
      <c r="P26" s="60">
        <f>IFERROR(F26/K26-1,"n/a")</f>
        <v>2.5616332819722651</v>
      </c>
      <c r="Q26" s="68">
        <f>'July-24'!Q26+F26</f>
        <v>38341</v>
      </c>
      <c r="R26" s="68">
        <f>'July-24'!R26+G26</f>
        <v>26394</v>
      </c>
      <c r="S26" s="68">
        <f>'July-24'!S26+H26</f>
        <v>11013</v>
      </c>
      <c r="T26" s="68">
        <f>'July-24'!T26+I26</f>
        <v>0</v>
      </c>
      <c r="U26" s="68">
        <f>'July-24'!U26+J26</f>
        <v>0</v>
      </c>
      <c r="V26" s="68">
        <f>'July-24'!V26+K26</f>
        <v>15048</v>
      </c>
      <c r="W26" s="64">
        <f>IFERROR(Q26/R26-1,"n/a")</f>
        <v>0.45264075168598916</v>
      </c>
      <c r="X26" s="64">
        <f>IFERROR(Q26/S26-1,"n/a")</f>
        <v>2.4814310360483067</v>
      </c>
      <c r="Y26" s="64" t="str">
        <f>IFERROR(Q26/T26-1,"n/a")</f>
        <v>n/a</v>
      </c>
      <c r="Z26" s="64" t="str">
        <f>IFERROR(Q26/U26-1,"n/a")</f>
        <v>n/a</v>
      </c>
      <c r="AA26" s="60">
        <f>IFERROR(Q26/V26-1,"n/a")</f>
        <v>1.5479133439659756</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440</v>
      </c>
      <c r="G27" s="75">
        <f t="shared" si="0"/>
        <v>349</v>
      </c>
      <c r="H27" s="75">
        <f t="shared" si="0"/>
        <v>310</v>
      </c>
      <c r="I27" s="75">
        <f t="shared" si="0"/>
        <v>107</v>
      </c>
      <c r="J27" s="75">
        <f t="shared" si="0"/>
        <v>4</v>
      </c>
      <c r="K27" s="75">
        <f t="shared" si="0"/>
        <v>268</v>
      </c>
      <c r="L27" s="66">
        <f>IFERROR(F27/G27-1,"n/a")</f>
        <v>0.26074498567335236</v>
      </c>
      <c r="M27" s="66">
        <f>IFERROR(F27/H27-1,"n/a")</f>
        <v>0.41935483870967749</v>
      </c>
      <c r="N27" s="66">
        <f>IFERROR(F27/I27-1,"n/a")</f>
        <v>3.1121495327102799</v>
      </c>
      <c r="O27" s="66">
        <f>IFERROR(F27/J27-1,"n/a")</f>
        <v>109</v>
      </c>
      <c r="P27" s="62">
        <f>IFERROR(F27/K27-1,"n/a")</f>
        <v>0.64179104477611948</v>
      </c>
      <c r="Q27" s="75">
        <f t="shared" ref="Q27:V28" si="1">Q13+Q16+Q19+Q22+Q25</f>
        <v>3353</v>
      </c>
      <c r="R27" s="75">
        <f t="shared" si="1"/>
        <v>2731</v>
      </c>
      <c r="S27" s="75">
        <f t="shared" si="1"/>
        <v>2259</v>
      </c>
      <c r="T27" s="75">
        <f t="shared" si="1"/>
        <v>228</v>
      </c>
      <c r="U27" s="75">
        <f t="shared" si="1"/>
        <v>613</v>
      </c>
      <c r="V27" s="75">
        <f t="shared" si="1"/>
        <v>2066</v>
      </c>
      <c r="W27" s="66">
        <f>IFERROR(Q27/R27-1,"n/a")</f>
        <v>0.22775540095203217</v>
      </c>
      <c r="X27" s="66">
        <f>IFERROR(Q27/S27-1,"n/a")</f>
        <v>0.48428508189464359</v>
      </c>
      <c r="Y27" s="66">
        <f>IFERROR(Q27/T27-1,"n/a")</f>
        <v>13.706140350877194</v>
      </c>
      <c r="Z27" s="66">
        <f>IFERROR(Q27/U27-1,"n/a")</f>
        <v>4.4698205546492655</v>
      </c>
      <c r="AA27" s="62">
        <f>IFERROR(Q27/V27-1,"n/a")</f>
        <v>0.6229428848015488</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1570543</v>
      </c>
      <c r="G28" s="76">
        <f t="shared" si="0"/>
        <v>1250698</v>
      </c>
      <c r="H28" s="76">
        <f t="shared" si="0"/>
        <v>889236</v>
      </c>
      <c r="I28" s="76">
        <f t="shared" si="0"/>
        <v>165520</v>
      </c>
      <c r="J28" s="76">
        <f t="shared" si="0"/>
        <v>2541</v>
      </c>
      <c r="K28" s="76">
        <f t="shared" si="0"/>
        <v>925256</v>
      </c>
      <c r="L28" s="67">
        <f>IFERROR(F28/G28-1,"n/a")</f>
        <v>0.25573319858191179</v>
      </c>
      <c r="M28" s="67">
        <f>IFERROR(F28/H28-1,"n/a")</f>
        <v>0.76617118515219818</v>
      </c>
      <c r="N28" s="67">
        <f>IFERROR(F28/I28-1,"n/a")</f>
        <v>8.4885391493475115</v>
      </c>
      <c r="O28" s="67">
        <f>IFERROR(F28/J28-1,"n/a")</f>
        <v>617.08067689885877</v>
      </c>
      <c r="P28" s="63">
        <f>IFERROR(F28/K28-1,"n/a")</f>
        <v>0.6974145533776599</v>
      </c>
      <c r="Q28" s="76">
        <f t="shared" si="1"/>
        <v>10543653.4</v>
      </c>
      <c r="R28" s="76">
        <f t="shared" si="1"/>
        <v>8121048</v>
      </c>
      <c r="S28" s="76">
        <f t="shared" si="1"/>
        <v>4378952</v>
      </c>
      <c r="T28" s="76">
        <f t="shared" si="1"/>
        <v>328007</v>
      </c>
      <c r="U28" s="76">
        <f t="shared" si="1"/>
        <v>1287137</v>
      </c>
      <c r="V28" s="76">
        <f t="shared" si="1"/>
        <v>6041384</v>
      </c>
      <c r="W28" s="67">
        <f>IFERROR(Q28/R28-1,"n/a")</f>
        <v>0.29831191737815121</v>
      </c>
      <c r="X28" s="67">
        <f>IFERROR(Q28/S28-1,"n/a")</f>
        <v>1.4078029172276838</v>
      </c>
      <c r="Y28" s="67">
        <f>IFERROR(Q28/T28-1,"n/a")</f>
        <v>31.144598743319506</v>
      </c>
      <c r="Z28" s="67">
        <f>IFERROR(Q28/U28-1,"n/a")</f>
        <v>7.1915549005272954</v>
      </c>
      <c r="AA28" s="63">
        <f>IFERROR(Q28/V28-1,"n/a")</f>
        <v>0.74523807789738261</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August</v>
      </c>
      <c r="G33" s="170"/>
      <c r="H33" s="170"/>
      <c r="I33" s="170"/>
      <c r="J33" s="170"/>
      <c r="K33" s="170"/>
      <c r="L33" s="170"/>
      <c r="M33" s="170"/>
      <c r="N33" s="170"/>
      <c r="O33" s="170"/>
      <c r="P33" s="171"/>
      <c r="Q33" s="176" t="s">
        <v>135</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F38" si="3">F13</f>
        <v>142</v>
      </c>
      <c r="G37" s="74">
        <v>99</v>
      </c>
      <c r="H37" s="74">
        <v>81</v>
      </c>
      <c r="I37" s="74">
        <v>51</v>
      </c>
      <c r="J37" s="74">
        <v>0</v>
      </c>
      <c r="K37" s="74">
        <v>97</v>
      </c>
      <c r="L37" s="64">
        <f>IFERROR(F37/G37-1,"n/a")</f>
        <v>0.43434343434343425</v>
      </c>
      <c r="M37" s="64">
        <f>IFERROR(F37/H37-1,"n/a")</f>
        <v>0.75308641975308643</v>
      </c>
      <c r="N37" s="64">
        <f>IFERROR(F37/I37-1,"n/a")</f>
        <v>1.784313725490196</v>
      </c>
      <c r="O37" s="64" t="str">
        <f>IFERROR(F37/J37-1,"n/a")</f>
        <v>n/a</v>
      </c>
      <c r="P37" s="60">
        <f>IFERROR(F37/K37-1,"n/a")</f>
        <v>0.46391752577319578</v>
      </c>
      <c r="Q37" s="74">
        <f>'July-24'!Q37+F37</f>
        <v>814</v>
      </c>
      <c r="R37" s="74">
        <f>'July-24'!R37+G37</f>
        <v>527</v>
      </c>
      <c r="S37" s="74">
        <f>'July-24'!S37+H37</f>
        <v>461</v>
      </c>
      <c r="T37" s="74">
        <f>'July-24'!T37+I37</f>
        <v>79</v>
      </c>
      <c r="U37" s="74">
        <f>'July-24'!U37+J37</f>
        <v>42</v>
      </c>
      <c r="V37" s="74">
        <f>'July-24'!V37+K37</f>
        <v>507</v>
      </c>
      <c r="W37" s="119">
        <f>IFERROR(Q37/R37-1,"n/a")</f>
        <v>0.54459203036053139</v>
      </c>
      <c r="X37" s="119">
        <f>IFERROR(R37/S37-1,"n/a")</f>
        <v>0.14316702819956606</v>
      </c>
      <c r="Y37" s="119">
        <f>IFERROR(R37/T37-1,"n/a")</f>
        <v>5.6708860759493671</v>
      </c>
      <c r="Z37" s="119">
        <f>IFERROR(R37/U37-1,"n/a")</f>
        <v>11.547619047619047</v>
      </c>
      <c r="AA37" s="120">
        <f>IFERROR(R37/V37-1,"n/a")</f>
        <v>3.9447731755424043E-2</v>
      </c>
      <c r="AB37" s="147"/>
      <c r="AC37" s="89">
        <v>1486</v>
      </c>
      <c r="AD37" s="89">
        <v>1052</v>
      </c>
      <c r="AE37" s="70">
        <v>551</v>
      </c>
      <c r="AF37" s="78">
        <v>1584</v>
      </c>
      <c r="AH37" s="122"/>
    </row>
    <row r="38" spans="1:34" s="123" customFormat="1" ht="11.25">
      <c r="A38" s="122"/>
      <c r="B38" s="122"/>
      <c r="C38" s="33"/>
      <c r="D38" s="26" t="s">
        <v>11</v>
      </c>
      <c r="E38" s="32"/>
      <c r="F38" s="74">
        <f t="shared" si="3"/>
        <v>563849</v>
      </c>
      <c r="G38" s="74">
        <v>375428</v>
      </c>
      <c r="H38" s="74">
        <v>278520</v>
      </c>
      <c r="I38" s="74">
        <v>66591</v>
      </c>
      <c r="J38" s="74">
        <v>0</v>
      </c>
      <c r="K38" s="74">
        <v>325246</v>
      </c>
      <c r="L38" s="64">
        <f>IFERROR(F38/G38-1,"n/a")</f>
        <v>0.50188318399266962</v>
      </c>
      <c r="M38" s="64">
        <f>IFERROR(F38/H38-1,"n/a")</f>
        <v>1.0244470774091625</v>
      </c>
      <c r="N38" s="64">
        <f>IFERROR(F38/I38-1,"n/a")</f>
        <v>7.4673454370710761</v>
      </c>
      <c r="O38" s="64" t="str">
        <f>IFERROR(F38/J38-1,"n/a")</f>
        <v>n/a</v>
      </c>
      <c r="P38" s="60">
        <f>IFERROR(F38/K38-1,"n/a")</f>
        <v>0.73360779225570805</v>
      </c>
      <c r="Q38" s="74">
        <f>'July-24'!Q38+F38</f>
        <v>3004204</v>
      </c>
      <c r="R38" s="74">
        <f>'July-24'!R38+G38</f>
        <v>1934710</v>
      </c>
      <c r="S38" s="74">
        <f>'July-24'!S38+H38</f>
        <v>1355073</v>
      </c>
      <c r="T38" s="74">
        <f>'July-24'!T38+I38</f>
        <v>97505</v>
      </c>
      <c r="U38" s="74">
        <f>'July-24'!U38+J38</f>
        <v>0</v>
      </c>
      <c r="V38" s="74">
        <f>'July-24'!V38+K38</f>
        <v>1657861</v>
      </c>
      <c r="W38" s="119">
        <f>IFERROR(Q38/R38-1,"n/a")</f>
        <v>0.55279292503786093</v>
      </c>
      <c r="X38" s="119">
        <f>IFERROR(R38/S38-1,"n/a")</f>
        <v>0.42775333875001564</v>
      </c>
      <c r="Y38" s="119">
        <f>IFERROR(R38/T38-1,"n/a")</f>
        <v>18.842161940413312</v>
      </c>
      <c r="Z38" s="119" t="str">
        <f>IFERROR(R38/U38-1,"n/a")</f>
        <v>n/a</v>
      </c>
      <c r="AA38" s="120">
        <f>IFERROR(R38/V38-1,"n/a")</f>
        <v>0.16699168386251917</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F41" si="4">F16</f>
        <v>103</v>
      </c>
      <c r="G40" s="74">
        <v>71</v>
      </c>
      <c r="H40" s="74">
        <v>63</v>
      </c>
      <c r="I40" s="74">
        <v>29</v>
      </c>
      <c r="J40" s="74">
        <v>2</v>
      </c>
      <c r="K40" s="74">
        <v>58</v>
      </c>
      <c r="L40" s="64">
        <f>IFERROR(F40/G40-1,"n/a")</f>
        <v>0.45070422535211274</v>
      </c>
      <c r="M40" s="64">
        <f>IFERROR(F40/H40-1,"n/a")</f>
        <v>0.63492063492063489</v>
      </c>
      <c r="N40" s="64">
        <f>IFERROR(F40/I40-1,"n/a")</f>
        <v>2.5517241379310347</v>
      </c>
      <c r="O40" s="64">
        <f>IFERROR(F40/J40-1,"n/a")</f>
        <v>50.5</v>
      </c>
      <c r="P40" s="60">
        <f>IFERROR(F40/K40-1,"n/a")</f>
        <v>0.77586206896551735</v>
      </c>
      <c r="Q40" s="74">
        <f>'July-24'!Q40+F40</f>
        <v>457</v>
      </c>
      <c r="R40" s="74">
        <f>'July-24'!R40+G40</f>
        <v>331</v>
      </c>
      <c r="S40" s="74">
        <f>'July-24'!S40+H40</f>
        <v>341</v>
      </c>
      <c r="T40" s="74">
        <f>'July-24'!T40+I40</f>
        <v>90</v>
      </c>
      <c r="U40" s="74">
        <f>'July-24'!U40+J40</f>
        <v>2</v>
      </c>
      <c r="V40" s="74">
        <f>'July-24'!V40+K40</f>
        <v>310</v>
      </c>
      <c r="W40" s="119">
        <f>IFERROR(Q40/R40-1,"n/a")</f>
        <v>0.38066465256797577</v>
      </c>
      <c r="X40" s="119">
        <f>IFERROR(R40/S40-1,"n/a")</f>
        <v>-2.9325513196480912E-2</v>
      </c>
      <c r="Y40" s="119">
        <f>IFERROR(R40/T40-1,"n/a")</f>
        <v>2.6777777777777776</v>
      </c>
      <c r="Z40" s="119">
        <f>IFERROR(R40/U40-1,"n/a")</f>
        <v>164.5</v>
      </c>
      <c r="AA40" s="120">
        <f>IFERROR(R40/V40-1,"n/a")</f>
        <v>6.7741935483870863E-2</v>
      </c>
      <c r="AB40" s="147"/>
      <c r="AC40" s="89">
        <v>563</v>
      </c>
      <c r="AD40" s="89">
        <v>226</v>
      </c>
      <c r="AE40" s="70">
        <v>66</v>
      </c>
      <c r="AF40" s="78">
        <v>573</v>
      </c>
      <c r="AH40" s="122"/>
    </row>
    <row r="41" spans="1:34" s="123" customFormat="1" ht="11.25">
      <c r="A41" s="122"/>
      <c r="B41" s="122"/>
      <c r="C41" s="33"/>
      <c r="D41" s="26" t="s">
        <v>11</v>
      </c>
      <c r="E41" s="32"/>
      <c r="F41" s="74">
        <f t="shared" si="4"/>
        <v>316065</v>
      </c>
      <c r="G41" s="74">
        <v>262517</v>
      </c>
      <c r="H41" s="74">
        <v>183659</v>
      </c>
      <c r="I41" s="74">
        <v>48391</v>
      </c>
      <c r="J41" s="74">
        <v>2541</v>
      </c>
      <c r="K41" s="74">
        <v>180130</v>
      </c>
      <c r="L41" s="64">
        <f>IFERROR(F41/G41-1,"n/a")</f>
        <v>0.20397917087274342</v>
      </c>
      <c r="M41" s="64">
        <f>IFERROR(F41/H41-1,"n/a")</f>
        <v>0.72093390468204666</v>
      </c>
      <c r="N41" s="64">
        <f>IFERROR(F41/I41-1,"n/a")</f>
        <v>5.5314831270277534</v>
      </c>
      <c r="O41" s="64">
        <f>IFERROR(F41/J41-1,"n/a")</f>
        <v>123.38606847697757</v>
      </c>
      <c r="P41" s="60">
        <f>IFERROR(F41/K41-1,"n/a")</f>
        <v>0.75464941986343193</v>
      </c>
      <c r="Q41" s="74">
        <f>'July-24'!Q41+F41</f>
        <v>1246347</v>
      </c>
      <c r="R41" s="74">
        <f>'July-24'!R41+G41</f>
        <v>1027597</v>
      </c>
      <c r="S41" s="74">
        <f>'July-24'!S41+H41</f>
        <v>585343</v>
      </c>
      <c r="T41" s="74">
        <f>'July-24'!T41+I41</f>
        <v>140917</v>
      </c>
      <c r="U41" s="74">
        <f>'July-24'!U41+J41</f>
        <v>2541</v>
      </c>
      <c r="V41" s="74">
        <f>'July-24'!V41+K41</f>
        <v>832380</v>
      </c>
      <c r="W41" s="119">
        <f>IFERROR(Q41/R41-1,"n/a")</f>
        <v>0.21287528087372776</v>
      </c>
      <c r="X41" s="119">
        <f>IFERROR(R41/S41-1,"n/a")</f>
        <v>0.75554674780427877</v>
      </c>
      <c r="Y41" s="119">
        <f>IFERROR(R41/T41-1,"n/a")</f>
        <v>6.2922145660211326</v>
      </c>
      <c r="Z41" s="119">
        <f>IFERROR(R41/U41-1,"n/a")</f>
        <v>403.40653286107829</v>
      </c>
      <c r="AA41" s="120">
        <f>IFERROR(R41/V41-1,"n/a")</f>
        <v>0.23452870083375377</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F44" si="5">F19</f>
        <v>102</v>
      </c>
      <c r="G43" s="74">
        <v>95</v>
      </c>
      <c r="H43" s="74">
        <v>104</v>
      </c>
      <c r="I43" s="74">
        <v>3</v>
      </c>
      <c r="J43" s="74">
        <v>2</v>
      </c>
      <c r="K43" s="74">
        <v>43</v>
      </c>
      <c r="L43" s="64">
        <f>IFERROR(F43/G43-1,"n/a")</f>
        <v>7.3684210526315796E-2</v>
      </c>
      <c r="M43" s="64">
        <f>IFERROR(F43/H43-1,"n/a")</f>
        <v>-1.9230769230769273E-2</v>
      </c>
      <c r="N43" s="64">
        <f>IFERROR(F43/I43-1,"n/a")</f>
        <v>33</v>
      </c>
      <c r="O43" s="64">
        <f>IFERROR(F43/J43-1,"n/a")</f>
        <v>50</v>
      </c>
      <c r="P43" s="60">
        <f>IFERROR(F43/K43-1,"n/a")</f>
        <v>1.3720930232558142</v>
      </c>
      <c r="Q43" s="74">
        <f>'July-24'!Q43+F43</f>
        <v>440</v>
      </c>
      <c r="R43" s="74">
        <f>'July-24'!R43+G43</f>
        <v>421</v>
      </c>
      <c r="S43" s="74">
        <f>'July-24'!S43+H43</f>
        <v>409</v>
      </c>
      <c r="T43" s="74">
        <f>'July-24'!T43+I43</f>
        <v>9</v>
      </c>
      <c r="U43" s="74">
        <f>'July-24'!U43+J43</f>
        <v>4</v>
      </c>
      <c r="V43" s="74">
        <f>'July-24'!V43+K43</f>
        <v>193</v>
      </c>
      <c r="W43" s="119">
        <f>IFERROR(Q43/R43-1,"n/a")</f>
        <v>4.5130641330166199E-2</v>
      </c>
      <c r="X43" s="119">
        <f>IFERROR(R43/S43-1,"n/a")</f>
        <v>2.9339853300733409E-2</v>
      </c>
      <c r="Y43" s="119">
        <f>IFERROR(R43/T43-1,"n/a")</f>
        <v>45.777777777777779</v>
      </c>
      <c r="Z43" s="119">
        <f>IFERROR(R43/U43-1,"n/a")</f>
        <v>104.25</v>
      </c>
      <c r="AA43" s="120">
        <f>IFERROR(R43/V43-1,"n/a")</f>
        <v>1.1813471502590676</v>
      </c>
      <c r="AB43" s="147"/>
      <c r="AC43" s="89">
        <v>669</v>
      </c>
      <c r="AD43" s="89">
        <v>59</v>
      </c>
      <c r="AE43" s="70">
        <v>9</v>
      </c>
      <c r="AF43" s="78">
        <v>287</v>
      </c>
      <c r="AH43" s="122"/>
    </row>
    <row r="44" spans="1:34" s="123" customFormat="1" ht="11.25">
      <c r="A44" s="122"/>
      <c r="B44" s="122"/>
      <c r="C44" s="33"/>
      <c r="D44" s="26" t="s">
        <v>11</v>
      </c>
      <c r="E44" s="32"/>
      <c r="F44" s="74">
        <f t="shared" si="5"/>
        <v>270706</v>
      </c>
      <c r="G44" s="74">
        <v>234330</v>
      </c>
      <c r="H44" s="74">
        <v>185619</v>
      </c>
      <c r="I44" s="74">
        <v>850</v>
      </c>
      <c r="J44" s="74">
        <v>0</v>
      </c>
      <c r="K44" s="74">
        <v>126823</v>
      </c>
      <c r="L44" s="64">
        <f>IFERROR(F44/G44-1,"n/a")</f>
        <v>0.15523407160841551</v>
      </c>
      <c r="M44" s="64">
        <f>IFERROR(F44/H44-1,"n/a")</f>
        <v>0.45839596162030816</v>
      </c>
      <c r="N44" s="64">
        <f>IFERROR(F44/I44-1,"n/a")</f>
        <v>317.47764705882355</v>
      </c>
      <c r="O44" s="64" t="str">
        <f>IFERROR(F44/J44-1,"n/a")</f>
        <v>n/a</v>
      </c>
      <c r="P44" s="60">
        <f>IFERROR(F44/K44-1,"n/a")</f>
        <v>1.1345181867642307</v>
      </c>
      <c r="Q44" s="74">
        <f>'July-24'!Q44+F44</f>
        <v>968948.4</v>
      </c>
      <c r="R44" s="74">
        <f>'July-24'!R44+G44</f>
        <v>811145</v>
      </c>
      <c r="S44" s="74">
        <f>'July-24'!S44+H44</f>
        <v>563558</v>
      </c>
      <c r="T44" s="74">
        <f>'July-24'!T44+I44</f>
        <v>1318</v>
      </c>
      <c r="U44" s="74">
        <f>'July-24'!U44+J44</f>
        <v>8294</v>
      </c>
      <c r="V44" s="74">
        <f>'July-24'!V44+K44</f>
        <v>404725</v>
      </c>
      <c r="W44" s="119">
        <f>IFERROR(Q44/R44-1,"n/a")</f>
        <v>0.19454400877771549</v>
      </c>
      <c r="X44" s="119">
        <f>IFERROR(R44/S44-1,"n/a")</f>
        <v>0.43932833887550182</v>
      </c>
      <c r="Y44" s="119">
        <f>IFERROR(R44/T44-1,"n/a")</f>
        <v>614.43626707132023</v>
      </c>
      <c r="Z44" s="119">
        <f>IFERROR(R44/U44-1,"n/a")</f>
        <v>96.799011333494093</v>
      </c>
      <c r="AA44" s="120">
        <f>IFERROR(R44/V44-1,"n/a")</f>
        <v>1.0041880289085183</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F47" si="6">F22</f>
        <v>92</v>
      </c>
      <c r="G46" s="74">
        <v>80</v>
      </c>
      <c r="H46" s="74">
        <v>60</v>
      </c>
      <c r="I46" s="74">
        <v>24</v>
      </c>
      <c r="J46" s="74">
        <v>0</v>
      </c>
      <c r="K46" s="74">
        <v>69</v>
      </c>
      <c r="L46" s="64">
        <f>IFERROR(F46/G46-1,"n/a")</f>
        <v>0.14999999999999991</v>
      </c>
      <c r="M46" s="64">
        <f>IFERROR(F46/H46-1,"n/a")</f>
        <v>0.53333333333333344</v>
      </c>
      <c r="N46" s="64">
        <f>IFERROR(F46/I46-1,"n/a")</f>
        <v>2.8333333333333335</v>
      </c>
      <c r="O46" s="64" t="str">
        <f>IFERROR(F46/J46-1,"n/a")</f>
        <v>n/a</v>
      </c>
      <c r="P46" s="60">
        <f>IFERROR(F46/K46-1,"n/a")</f>
        <v>0.33333333333333326</v>
      </c>
      <c r="Q46" s="74">
        <f>'July-24'!Q46+F46</f>
        <v>607</v>
      </c>
      <c r="R46" s="74">
        <f>'July-24'!R46+G46</f>
        <v>570</v>
      </c>
      <c r="S46" s="74">
        <f>'July-24'!S46+H46</f>
        <v>410</v>
      </c>
      <c r="T46" s="74">
        <f>'July-24'!T46+I46</f>
        <v>38</v>
      </c>
      <c r="U46" s="74">
        <f>'July-24'!U46+J46</f>
        <v>0</v>
      </c>
      <c r="V46" s="74">
        <f>'July-24'!V46+K46</f>
        <v>410</v>
      </c>
      <c r="W46" s="119">
        <f>IFERROR(Q46/R46-1,"n/a")</f>
        <v>6.4912280701754366E-2</v>
      </c>
      <c r="X46" s="119">
        <f>IFERROR(R46/S46-1,"n/a")</f>
        <v>0.39024390243902429</v>
      </c>
      <c r="Y46" s="119">
        <f>IFERROR(R46/T46-1,"n/a")</f>
        <v>14</v>
      </c>
      <c r="Z46" s="119" t="str">
        <f>IFERROR(R46/U46-1,"n/a")</f>
        <v>n/a</v>
      </c>
      <c r="AA46" s="120">
        <f>IFERROR(R46/V46-1,"n/a")</f>
        <v>0.39024390243902429</v>
      </c>
      <c r="AB46" s="147"/>
      <c r="AC46" s="89">
        <v>1129</v>
      </c>
      <c r="AD46" s="89">
        <v>336</v>
      </c>
      <c r="AE46" s="84">
        <v>43</v>
      </c>
      <c r="AF46" s="78">
        <v>781</v>
      </c>
      <c r="AH46" s="122"/>
    </row>
    <row r="47" spans="1:34" s="123" customFormat="1" ht="11.25">
      <c r="A47" s="122"/>
      <c r="B47" s="122"/>
      <c r="C47" s="33"/>
      <c r="D47" s="26" t="s">
        <v>11</v>
      </c>
      <c r="E47" s="32"/>
      <c r="F47" s="74">
        <f t="shared" si="6"/>
        <v>415300</v>
      </c>
      <c r="G47" s="74">
        <v>371804</v>
      </c>
      <c r="H47" s="74">
        <v>239102</v>
      </c>
      <c r="I47" s="74">
        <v>49688</v>
      </c>
      <c r="J47" s="74">
        <v>0</v>
      </c>
      <c r="K47" s="74">
        <v>291759</v>
      </c>
      <c r="L47" s="64">
        <f>IFERROR(F47/G47-1,"n/a")</f>
        <v>0.11698636916224681</v>
      </c>
      <c r="M47" s="64">
        <f>IFERROR(F47/H47-1,"n/a")</f>
        <v>0.73691562596716054</v>
      </c>
      <c r="N47" s="64">
        <f>IFERROR(F47/I47-1,"n/a")</f>
        <v>7.3581548864917075</v>
      </c>
      <c r="O47" s="64" t="str">
        <f>IFERROR(F47/J47-1,"n/a")</f>
        <v>n/a</v>
      </c>
      <c r="P47" s="60">
        <f>IFERROR(F47/K47-1,"n/a")</f>
        <v>0.42343509540408353</v>
      </c>
      <c r="Q47" s="74">
        <f>'July-24'!Q47+F47</f>
        <v>2048619</v>
      </c>
      <c r="R47" s="74">
        <f>'July-24'!R47+G47</f>
        <v>1842843</v>
      </c>
      <c r="S47" s="74">
        <f>'July-24'!S47+H47</f>
        <v>996260</v>
      </c>
      <c r="T47" s="74">
        <f>'July-24'!T47+I47</f>
        <v>78164</v>
      </c>
      <c r="U47" s="74">
        <f>'July-24'!U47+J47</f>
        <v>0</v>
      </c>
      <c r="V47" s="74">
        <f>'July-24'!V47+K47</f>
        <v>1341508</v>
      </c>
      <c r="W47" s="119">
        <f>IFERROR(Q47/R47-1,"n/a")</f>
        <v>0.11166225229170368</v>
      </c>
      <c r="X47" s="119">
        <f>IFERROR(R47/S47-1,"n/a")</f>
        <v>0.84976110653845383</v>
      </c>
      <c r="Y47" s="119">
        <f>IFERROR(R47/T47-1,"n/a")</f>
        <v>22.576620950821351</v>
      </c>
      <c r="Z47" s="119" t="str">
        <f>IFERROR(R47/U47-1,"n/a")</f>
        <v>n/a</v>
      </c>
      <c r="AA47" s="120">
        <f>IFERROR(R47/V47-1,"n/a")</f>
        <v>0.37371003378287715</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F50" si="7">F25</f>
        <v>1</v>
      </c>
      <c r="G49" s="74">
        <v>4</v>
      </c>
      <c r="H49" s="74">
        <v>2</v>
      </c>
      <c r="I49" s="74">
        <v>0</v>
      </c>
      <c r="J49" s="74">
        <v>0</v>
      </c>
      <c r="K49" s="74">
        <v>1</v>
      </c>
      <c r="L49" s="64">
        <f>IFERROR(F49/G49-1,"n/a")</f>
        <v>-0.75</v>
      </c>
      <c r="M49" s="64">
        <f>IFERROR(F49/H49-1,"n/a")</f>
        <v>-0.5</v>
      </c>
      <c r="N49" s="64" t="str">
        <f>IFERROR(F49/I49-1,"n/a")</f>
        <v>n/a</v>
      </c>
      <c r="O49" s="64" t="str">
        <f>IFERROR(F49/J49-1,"n/a")</f>
        <v>n/a</v>
      </c>
      <c r="P49" s="60">
        <f>IFERROR(F49/K49-1,"n/a")</f>
        <v>0</v>
      </c>
      <c r="Q49" s="74">
        <f>'July-24'!Q49+F49</f>
        <v>10</v>
      </c>
      <c r="R49" s="74">
        <f>'July-24'!R49+G49</f>
        <v>15</v>
      </c>
      <c r="S49" s="74">
        <f>'July-24'!S49+H49</f>
        <v>7</v>
      </c>
      <c r="T49" s="74">
        <f>'July-24'!T49+I49</f>
        <v>0</v>
      </c>
      <c r="U49" s="74">
        <f>'July-24'!U49+J49</f>
        <v>0</v>
      </c>
      <c r="V49" s="74">
        <f>'July-24'!V49+K49</f>
        <v>12</v>
      </c>
      <c r="W49" s="119">
        <f t="shared" ref="W49:X52" si="8">IFERROR(Q49/R49-1,"n/a")</f>
        <v>-0.33333333333333337</v>
      </c>
      <c r="X49" s="119">
        <f t="shared" si="8"/>
        <v>1.1428571428571428</v>
      </c>
      <c r="Y49" s="119" t="str">
        <f>IFERROR(R49/T49-1,"n/a")</f>
        <v>n/a</v>
      </c>
      <c r="Z49" s="119" t="str">
        <f>IFERROR(R49/U49-1,"n/a")</f>
        <v>n/a</v>
      </c>
      <c r="AA49" s="120">
        <f>IFERROR(R49/V49-1,"n/a")</f>
        <v>0.25</v>
      </c>
      <c r="AB49" s="147"/>
      <c r="AC49" s="89">
        <v>9</v>
      </c>
      <c r="AD49" s="68">
        <v>0</v>
      </c>
      <c r="AE49" s="68">
        <v>0</v>
      </c>
      <c r="AF49" s="78">
        <v>16</v>
      </c>
      <c r="AH49" s="122"/>
    </row>
    <row r="50" spans="3:34" s="123" customFormat="1" ht="11.25">
      <c r="C50" s="33"/>
      <c r="D50" s="26" t="s">
        <v>11</v>
      </c>
      <c r="E50" s="32"/>
      <c r="F50" s="74">
        <f t="shared" si="7"/>
        <v>4623</v>
      </c>
      <c r="G50" s="74">
        <v>6619</v>
      </c>
      <c r="H50" s="74">
        <v>2336</v>
      </c>
      <c r="I50" s="74">
        <v>0</v>
      </c>
      <c r="J50" s="74">
        <v>0</v>
      </c>
      <c r="K50" s="74">
        <v>1298</v>
      </c>
      <c r="L50" s="64">
        <f>IFERROR(F50/G50-1,"n/a")</f>
        <v>-0.30155612630306694</v>
      </c>
      <c r="M50" s="64">
        <f>IFERROR(F50/H50-1,"n/a")</f>
        <v>0.97902397260273966</v>
      </c>
      <c r="N50" s="64" t="str">
        <f>IFERROR(F50/I50-1,"n/a")</f>
        <v>n/a</v>
      </c>
      <c r="O50" s="64" t="str">
        <f>IFERROR(F50/J50-1,"n/a")</f>
        <v>n/a</v>
      </c>
      <c r="P50" s="60">
        <f>IFERROR(F50/K50-1,"n/a")</f>
        <v>2.5616332819722651</v>
      </c>
      <c r="Q50" s="74">
        <f>'July-24'!Q50+F50</f>
        <v>38341</v>
      </c>
      <c r="R50" s="74">
        <f>'July-24'!R50+G50</f>
        <v>26394</v>
      </c>
      <c r="S50" s="74">
        <f>'July-24'!S50+H50</f>
        <v>11013</v>
      </c>
      <c r="T50" s="74">
        <f>'July-24'!T50+I50</f>
        <v>0</v>
      </c>
      <c r="U50" s="74">
        <f>'July-24'!U50+J50</f>
        <v>0</v>
      </c>
      <c r="V50" s="74">
        <f>'July-24'!V50+K50</f>
        <v>15048</v>
      </c>
      <c r="W50" s="119">
        <f t="shared" si="8"/>
        <v>0.45264075168598916</v>
      </c>
      <c r="X50" s="119">
        <f t="shared" si="8"/>
        <v>1.3966221737946065</v>
      </c>
      <c r="Y50" s="119" t="str">
        <f>IFERROR(R50/T50-1,"n/a")</f>
        <v>n/a</v>
      </c>
      <c r="Z50" s="119" t="str">
        <f>IFERROR(R50/U50-1,"n/a")</f>
        <v>n/a</v>
      </c>
      <c r="AA50" s="120">
        <f>IFERROR(R50/V50-1,"n/a")</f>
        <v>0.75398724082934598</v>
      </c>
      <c r="AB50" s="147"/>
      <c r="AC50" s="82">
        <v>15637</v>
      </c>
      <c r="AD50" s="68">
        <v>0</v>
      </c>
      <c r="AE50" s="68">
        <v>0</v>
      </c>
      <c r="AF50" s="78">
        <v>20248</v>
      </c>
      <c r="AH50" s="122"/>
    </row>
    <row r="51" spans="3:34" s="123" customFormat="1" ht="12" thickBot="1">
      <c r="C51" s="35" t="s">
        <v>12</v>
      </c>
      <c r="D51" s="36"/>
      <c r="E51" s="37"/>
      <c r="F51" s="75">
        <f>F37+F40+F43+F46+F49</f>
        <v>440</v>
      </c>
      <c r="G51" s="75">
        <f>G37+G40+G43+G46+G49</f>
        <v>349</v>
      </c>
      <c r="H51" s="75">
        <f t="shared" ref="H51:K52" si="9">H37+H40+H43+H46+H49</f>
        <v>310</v>
      </c>
      <c r="I51" s="75">
        <f t="shared" si="9"/>
        <v>107</v>
      </c>
      <c r="J51" s="75">
        <f t="shared" si="9"/>
        <v>4</v>
      </c>
      <c r="K51" s="75">
        <f t="shared" si="9"/>
        <v>268</v>
      </c>
      <c r="L51" s="66">
        <f>IFERROR(F51/G51-1,"n/a")</f>
        <v>0.26074498567335236</v>
      </c>
      <c r="M51" s="66">
        <f>IFERROR(F51/H51-1,"n/a")</f>
        <v>0.41935483870967749</v>
      </c>
      <c r="N51" s="66">
        <f>IFERROR(F51/I51-1,"n/a")</f>
        <v>3.1121495327102799</v>
      </c>
      <c r="O51" s="66">
        <f>IFERROR(F51/J51-1,"n/a")</f>
        <v>109</v>
      </c>
      <c r="P51" s="62">
        <f>IFERROR(F51/K51-1,"n/a")</f>
        <v>0.64179104477611948</v>
      </c>
      <c r="Q51" s="75">
        <f t="shared" ref="Q51:V52" si="10">Q37+Q40+Q43+Q46+Q49</f>
        <v>2328</v>
      </c>
      <c r="R51" s="75">
        <f t="shared" si="10"/>
        <v>1864</v>
      </c>
      <c r="S51" s="75">
        <f>S37+S40+S43+S46+S49</f>
        <v>1628</v>
      </c>
      <c r="T51" s="75">
        <f t="shared" si="10"/>
        <v>216</v>
      </c>
      <c r="U51" s="75">
        <f t="shared" si="10"/>
        <v>48</v>
      </c>
      <c r="V51" s="75">
        <f t="shared" si="10"/>
        <v>1432</v>
      </c>
      <c r="W51" s="66">
        <f t="shared" si="8"/>
        <v>0.24892703862660936</v>
      </c>
      <c r="X51" s="66">
        <f t="shared" si="8"/>
        <v>0.144963144963145</v>
      </c>
      <c r="Y51" s="66">
        <f>IFERROR(R51/T51-1,"n/a")</f>
        <v>7.6296296296296298</v>
      </c>
      <c r="Z51" s="66">
        <f t="shared" ref="Z51:Z52" si="11">IFERROR(R51/U51-1,"n/a")</f>
        <v>37.833333333333336</v>
      </c>
      <c r="AA51" s="62">
        <f>IFERROR(R51/V51-1,"n/a")</f>
        <v>0.3016759776536313</v>
      </c>
      <c r="AB51" s="66"/>
      <c r="AC51" s="46">
        <f t="shared" ref="AC51:AE52" si="12">AC37+AC40+AC43+AC46+AC49</f>
        <v>3856</v>
      </c>
      <c r="AD51" s="46">
        <f t="shared" si="12"/>
        <v>1673</v>
      </c>
      <c r="AE51" s="46">
        <f t="shared" si="12"/>
        <v>669</v>
      </c>
      <c r="AF51" s="80">
        <f>AF37+AF40+AF43+AF46+AF49</f>
        <v>3241</v>
      </c>
      <c r="AH51" s="122"/>
    </row>
    <row r="52" spans="3:34" s="123" customFormat="1" ht="12.75" thickTop="1" thickBot="1">
      <c r="C52" s="38" t="s">
        <v>13</v>
      </c>
      <c r="D52" s="39"/>
      <c r="E52" s="40"/>
      <c r="F52" s="76">
        <f>F38+F41+F44+F47+F50</f>
        <v>1570543</v>
      </c>
      <c r="G52" s="76">
        <f>G38+G41+G44+G47+G50</f>
        <v>1250698</v>
      </c>
      <c r="H52" s="76">
        <f t="shared" si="9"/>
        <v>889236</v>
      </c>
      <c r="I52" s="76">
        <f t="shared" si="9"/>
        <v>165520</v>
      </c>
      <c r="J52" s="76">
        <f t="shared" si="9"/>
        <v>2541</v>
      </c>
      <c r="K52" s="76">
        <f t="shared" si="9"/>
        <v>925256</v>
      </c>
      <c r="L52" s="67">
        <f>IFERROR(F52/G52-1,"n/a")</f>
        <v>0.25573319858191179</v>
      </c>
      <c r="M52" s="67">
        <f>IFERROR(F52/H52-1,"n/a")</f>
        <v>0.76617118515219818</v>
      </c>
      <c r="N52" s="67">
        <f>IFERROR(F52/I52-1,"n/a")</f>
        <v>8.4885391493475115</v>
      </c>
      <c r="O52" s="67">
        <f>IFERROR(F52/J52-1,"n/a")</f>
        <v>617.08067689885877</v>
      </c>
      <c r="P52" s="63">
        <f>IFERROR(F52/K52-1,"n/a")</f>
        <v>0.6974145533776599</v>
      </c>
      <c r="Q52" s="76">
        <f t="shared" si="10"/>
        <v>7306459.4000000004</v>
      </c>
      <c r="R52" s="76">
        <f t="shared" si="10"/>
        <v>5642689</v>
      </c>
      <c r="S52" s="76">
        <f t="shared" si="10"/>
        <v>3511247</v>
      </c>
      <c r="T52" s="76">
        <f t="shared" si="10"/>
        <v>317904</v>
      </c>
      <c r="U52" s="76">
        <f t="shared" si="10"/>
        <v>10835</v>
      </c>
      <c r="V52" s="76">
        <f t="shared" si="10"/>
        <v>4251522</v>
      </c>
      <c r="W52" s="67">
        <f t="shared" si="8"/>
        <v>0.29485417324966878</v>
      </c>
      <c r="X52" s="67">
        <f t="shared" si="8"/>
        <v>0.60703277211771201</v>
      </c>
      <c r="Y52" s="117">
        <f>IFERROR(R52/T52-1,"n/a")</f>
        <v>16.749663420403643</v>
      </c>
      <c r="Z52" s="117">
        <f t="shared" si="11"/>
        <v>519.78347946469773</v>
      </c>
      <c r="AA52" s="118">
        <f>IFERROR(R52/V52-1,"n/a")</f>
        <v>0.32721622985838961</v>
      </c>
      <c r="AB52" s="117"/>
      <c r="AC52" s="47">
        <f t="shared" si="12"/>
        <v>9237323</v>
      </c>
      <c r="AD52" s="47">
        <f t="shared" si="12"/>
        <v>2410085</v>
      </c>
      <c r="AE52" s="47">
        <f t="shared" si="12"/>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EB50F-6B9F-45E5-8D59-F9BC70F55224}">
  <dimension ref="A1:AH66"/>
  <sheetViews>
    <sheetView showGridLines="0" topLeftCell="A10" zoomScale="95" zoomScaleNormal="75" workbookViewId="0">
      <selection activeCell="F27" sqref="F27:K28"/>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45519</v>
      </c>
      <c r="AG3" s="25"/>
      <c r="AH3" s="9"/>
    </row>
    <row r="4" spans="1:34" ht="15.75">
      <c r="A4" s="9"/>
      <c r="B4" s="11" t="s">
        <v>7</v>
      </c>
      <c r="C4" s="26"/>
      <c r="D4" s="93" t="s">
        <v>55</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7" t="str">
        <f>D4</f>
        <v>July</v>
      </c>
      <c r="G9" s="167"/>
      <c r="H9" s="167"/>
      <c r="I9" s="167"/>
      <c r="J9" s="167"/>
      <c r="K9" s="167"/>
      <c r="L9" s="167"/>
      <c r="M9" s="167"/>
      <c r="N9" s="167"/>
      <c r="O9" s="167"/>
      <c r="P9" s="168"/>
      <c r="Q9" s="169" t="str">
        <f>"January to "&amp; D4</f>
        <v>January to July</v>
      </c>
      <c r="R9" s="170"/>
      <c r="S9" s="170"/>
      <c r="T9" s="170"/>
      <c r="U9" s="170"/>
      <c r="V9" s="170"/>
      <c r="W9" s="170"/>
      <c r="X9" s="170"/>
      <c r="Y9" s="170"/>
      <c r="Z9" s="170"/>
      <c r="AA9" s="171"/>
      <c r="AB9" s="169" t="s">
        <v>57</v>
      </c>
      <c r="AC9" s="170"/>
      <c r="AD9" s="170"/>
      <c r="AE9" s="170"/>
      <c r="AF9" s="172"/>
      <c r="AG9" s="122"/>
      <c r="AH9" s="122"/>
    </row>
    <row r="10" spans="1:34"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166</v>
      </c>
      <c r="G13" s="73">
        <v>105</v>
      </c>
      <c r="H13" s="71">
        <v>84</v>
      </c>
      <c r="I13" s="71">
        <v>28</v>
      </c>
      <c r="J13" s="71">
        <v>0</v>
      </c>
      <c r="K13" s="71">
        <v>101</v>
      </c>
      <c r="L13" s="64">
        <f>IFERROR(F13/G13-1,"n/a")</f>
        <v>0.58095238095238089</v>
      </c>
      <c r="M13" s="64">
        <f>IFERROR(F13/H13-1,"n/a")</f>
        <v>0.97619047619047628</v>
      </c>
      <c r="N13" s="64">
        <f>IFERROR(F13/I13-1,"n/a")</f>
        <v>4.9285714285714288</v>
      </c>
      <c r="O13" s="64" t="str">
        <f>IFERROR(F13/J13-1,"n/a")</f>
        <v>n/a</v>
      </c>
      <c r="P13" s="60">
        <f>IFERROR(F13/K13-1,"n/a")</f>
        <v>0.64356435643564347</v>
      </c>
      <c r="Q13" s="68">
        <f>'June-24'!Q13+F13</f>
        <v>1374</v>
      </c>
      <c r="R13" s="68">
        <f>'June-24'!R13+G13</f>
        <v>958</v>
      </c>
      <c r="S13" s="68">
        <f>'June-24'!S13+H13</f>
        <v>910</v>
      </c>
      <c r="T13" s="68">
        <f>'June-24'!T13+I13</f>
        <v>28</v>
      </c>
      <c r="U13" s="68">
        <f>'June-24'!U13+J13</f>
        <v>551</v>
      </c>
      <c r="V13" s="68">
        <f>'June-24'!V13+K13</f>
        <v>926</v>
      </c>
      <c r="W13" s="64">
        <f>IFERROR(Q13/R13-1,"n/a")</f>
        <v>0.43423799582463474</v>
      </c>
      <c r="X13" s="64">
        <f>IFERROR(Q13/S13-1,"n/a")</f>
        <v>0.50989010989010985</v>
      </c>
      <c r="Y13" s="64">
        <f>IFERROR(Q13/T13-1,"n/a")</f>
        <v>48.071428571428569</v>
      </c>
      <c r="Z13" s="64">
        <f>IFERROR(Q13/U13-1,"n/a")</f>
        <v>1.4936479128856623</v>
      </c>
      <c r="AA13" s="60">
        <f>IFERROR(Q13/V13-1,"n/a")</f>
        <v>0.48380129589632825</v>
      </c>
      <c r="AB13" s="68">
        <v>1630</v>
      </c>
      <c r="AC13" s="68">
        <v>1486</v>
      </c>
      <c r="AD13" s="68">
        <v>522</v>
      </c>
      <c r="AE13" s="68">
        <v>551</v>
      </c>
      <c r="AF13" s="134">
        <v>1591</v>
      </c>
      <c r="AG13" s="122"/>
      <c r="AH13" s="122"/>
    </row>
    <row r="14" spans="1:34" s="123" customFormat="1" ht="12.75">
      <c r="A14" s="122"/>
      <c r="B14" s="127"/>
      <c r="C14" s="33"/>
      <c r="D14" s="26" t="s">
        <v>11</v>
      </c>
      <c r="E14" s="32"/>
      <c r="F14" s="71">
        <v>639139</v>
      </c>
      <c r="G14" s="73">
        <v>396404</v>
      </c>
      <c r="H14" s="71">
        <v>292122</v>
      </c>
      <c r="I14" s="71">
        <v>30914</v>
      </c>
      <c r="J14" s="71">
        <v>0</v>
      </c>
      <c r="K14" s="71">
        <v>332464</v>
      </c>
      <c r="L14" s="64">
        <f>IFERROR(F14/G14-1,"n/a")</f>
        <v>0.61234245870374671</v>
      </c>
      <c r="M14" s="64">
        <f>IFERROR(F14/H14-1,"n/a")</f>
        <v>1.1879180616317839</v>
      </c>
      <c r="N14" s="64">
        <f>IFERROR(F14/I14-1,"n/a")</f>
        <v>19.674742834961506</v>
      </c>
      <c r="O14" s="64" t="str">
        <f>IFERROR(F14/J14-1,"n/a")</f>
        <v>n/a</v>
      </c>
      <c r="P14" s="60">
        <f>IFERROR(F14/K14-1,"n/a")</f>
        <v>0.92243069926367971</v>
      </c>
      <c r="Q14" s="68">
        <f>'June-24'!Q14+F14</f>
        <v>4594179</v>
      </c>
      <c r="R14" s="68">
        <f>'June-24'!R14+G14</f>
        <v>3097466</v>
      </c>
      <c r="S14" s="68">
        <f>'June-24'!S14+H14</f>
        <v>1836211</v>
      </c>
      <c r="T14" s="68">
        <f>'June-24'!T14+I14</f>
        <v>30914</v>
      </c>
      <c r="U14" s="68">
        <f>'June-24'!U14+J14</f>
        <v>1092884</v>
      </c>
      <c r="V14" s="68">
        <f>'June-24'!V14+K14</f>
        <v>2783719</v>
      </c>
      <c r="W14" s="64">
        <f>IFERROR(Q14/R14-1,"n/a")</f>
        <v>0.48320562679299783</v>
      </c>
      <c r="X14" s="64">
        <f>IFERROR(Q14/S14-1,"n/a")</f>
        <v>1.5019886058846179</v>
      </c>
      <c r="Y14" s="64">
        <f>IFERROR(Q14/T14-1,"n/a")</f>
        <v>147.61159992236526</v>
      </c>
      <c r="Z14" s="64">
        <f>IFERROR(Q14/U14-1,"n/a")</f>
        <v>3.2037206144476453</v>
      </c>
      <c r="AA14" s="60">
        <f>IFERROR(Q14/V14-1,"n/a")</f>
        <v>0.65037455289129409</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93</v>
      </c>
      <c r="G16" s="74">
        <v>71</v>
      </c>
      <c r="H16" s="71">
        <v>62</v>
      </c>
      <c r="I16" s="71">
        <v>22</v>
      </c>
      <c r="J16" s="71">
        <v>0</v>
      </c>
      <c r="K16" s="71">
        <v>59</v>
      </c>
      <c r="L16" s="64">
        <f>IFERROR(F16/G16-1,"n/a")</f>
        <v>0.3098591549295775</v>
      </c>
      <c r="M16" s="64">
        <f>IFERROR(F16/H16-1,"n/a")</f>
        <v>0.5</v>
      </c>
      <c r="N16" s="64">
        <f>IFERROR(F16/I16-1,"n/a")</f>
        <v>3.2272727272727275</v>
      </c>
      <c r="O16" s="64" t="str">
        <f>IFERROR(F16/J16-1,"n/a")</f>
        <v>n/a</v>
      </c>
      <c r="P16" s="60">
        <f>IFERROR(F16/K16-1,"n/a")</f>
        <v>0.57627118644067798</v>
      </c>
      <c r="Q16" s="68">
        <f>'June-24'!Q16+F16</f>
        <v>391</v>
      </c>
      <c r="R16" s="68">
        <f>'June-24'!R16+G16</f>
        <v>287</v>
      </c>
      <c r="S16" s="68">
        <f>'June-24'!S16+H16</f>
        <v>314</v>
      </c>
      <c r="T16" s="68">
        <f>'June-24'!T16+I16</f>
        <v>73</v>
      </c>
      <c r="U16" s="68">
        <f>'June-24'!U16+J16</f>
        <v>10</v>
      </c>
      <c r="V16" s="68">
        <f>'June-24'!V16+K16</f>
        <v>275</v>
      </c>
      <c r="W16" s="64">
        <f>IFERROR(Q16/R16-1,"n/a")</f>
        <v>0.36236933797909399</v>
      </c>
      <c r="X16" s="64">
        <f>IFERROR(Q16/S16-1,"n/a")</f>
        <v>0.24522292993630579</v>
      </c>
      <c r="Y16" s="64">
        <f>IFERROR(Q16/T16-1,"n/a")</f>
        <v>4.3561643835616435</v>
      </c>
      <c r="Z16" s="64">
        <f>IFERROR(Q16/U16-1,"n/a")</f>
        <v>38.1</v>
      </c>
      <c r="AA16" s="60">
        <f>IFERROR(Q16/V16-1,"n/a")</f>
        <v>0.42181818181818187</v>
      </c>
      <c r="AB16" s="68">
        <v>575</v>
      </c>
      <c r="AC16" s="68">
        <v>572</v>
      </c>
      <c r="AD16" s="68">
        <v>202</v>
      </c>
      <c r="AE16" s="68">
        <v>54</v>
      </c>
      <c r="AF16" s="134">
        <v>586</v>
      </c>
      <c r="AG16" s="122"/>
      <c r="AH16" s="122"/>
    </row>
    <row r="17" spans="1:34" s="123" customFormat="1" ht="12.75">
      <c r="A17" s="122"/>
      <c r="B17" s="127"/>
      <c r="C17" s="33"/>
      <c r="D17" s="26" t="s">
        <v>11</v>
      </c>
      <c r="E17" s="32"/>
      <c r="F17" s="71">
        <v>287103</v>
      </c>
      <c r="G17" s="74">
        <v>271757</v>
      </c>
      <c r="H17" s="71">
        <v>137630</v>
      </c>
      <c r="I17" s="71">
        <v>37562</v>
      </c>
      <c r="J17" s="71">
        <v>0</v>
      </c>
      <c r="K17" s="71">
        <v>174121</v>
      </c>
      <c r="L17" s="64">
        <f>IFERROR(F17/G17-1,"n/a")</f>
        <v>5.6469566561302864E-2</v>
      </c>
      <c r="M17" s="64">
        <f>IFERROR(F17/H17-1,"n/a")</f>
        <v>1.0860495531497492</v>
      </c>
      <c r="N17" s="64">
        <f>IFERROR(F17/I17-1,"n/a")</f>
        <v>6.643442841169267</v>
      </c>
      <c r="O17" s="64" t="str">
        <f>IFERROR(F17/J17-1,"n/a")</f>
        <v>n/a</v>
      </c>
      <c r="P17" s="60">
        <f>IFERROR(F17/K17-1,"n/a")</f>
        <v>0.64887061296454762</v>
      </c>
      <c r="Q17" s="68">
        <f>'June-24'!Q17+F17</f>
        <v>1060856</v>
      </c>
      <c r="R17" s="68">
        <f>'June-24'!R17+G17</f>
        <v>848135</v>
      </c>
      <c r="S17" s="68">
        <f>'June-24'!S17+H17</f>
        <v>438192</v>
      </c>
      <c r="T17" s="68">
        <f>'June-24'!T17+I17</f>
        <v>102629</v>
      </c>
      <c r="U17" s="68">
        <f>'June-24'!U17+J17</f>
        <v>41113</v>
      </c>
      <c r="V17" s="68">
        <f>'June-24'!V17+K17</f>
        <v>732624</v>
      </c>
      <c r="W17" s="64">
        <f>IFERROR(Q17/R17-1,"n/a")</f>
        <v>0.25081030732135812</v>
      </c>
      <c r="X17" s="64">
        <f>IFERROR(Q17/S17-1,"n/a")</f>
        <v>1.4209844086610435</v>
      </c>
      <c r="Y17" s="64">
        <f>IFERROR(Q17/T17-1,"n/a")</f>
        <v>9.3368053863917613</v>
      </c>
      <c r="Z17" s="64">
        <f>IFERROR(Q17/U17-1,"n/a")</f>
        <v>24.803419842872085</v>
      </c>
      <c r="AA17" s="60">
        <f>IFERROR(Q17/V17-1,"n/a")</f>
        <v>0.44802245080696235</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100</v>
      </c>
      <c r="G19" s="73">
        <v>93</v>
      </c>
      <c r="H19" s="71">
        <v>88</v>
      </c>
      <c r="I19" s="71">
        <v>3</v>
      </c>
      <c r="J19" s="71">
        <v>2</v>
      </c>
      <c r="K19" s="71">
        <v>50</v>
      </c>
      <c r="L19" s="64">
        <f>IFERROR(F19/G19-1,"n/a")</f>
        <v>7.5268817204301008E-2</v>
      </c>
      <c r="M19" s="64">
        <f>IFERROR(F19/H19-1,"n/a")</f>
        <v>0.13636363636363646</v>
      </c>
      <c r="N19" s="64">
        <f>IFERROR(F19/I19-1,"n/a")</f>
        <v>32.333333333333336</v>
      </c>
      <c r="O19" s="64">
        <f>IFERROR(F19/J19-1,"n/a")</f>
        <v>49</v>
      </c>
      <c r="P19" s="60">
        <f>IFERROR(F19/K19-1,"n/a")</f>
        <v>1</v>
      </c>
      <c r="Q19" s="68">
        <f>'June-24'!Q19+F19</f>
        <v>365</v>
      </c>
      <c r="R19" s="68">
        <f>'June-24'!R19+G19</f>
        <v>349</v>
      </c>
      <c r="S19" s="68">
        <f>'June-24'!S19+H19</f>
        <v>317</v>
      </c>
      <c r="T19" s="68">
        <f>'June-24'!T19+I19</f>
        <v>6</v>
      </c>
      <c r="U19" s="68">
        <f>'June-24'!U19+J19</f>
        <v>5</v>
      </c>
      <c r="V19" s="68">
        <f>'June-24'!V19+K19</f>
        <v>156</v>
      </c>
      <c r="W19" s="64">
        <f>IFERROR(Q19/R19-1,"n/a")</f>
        <v>4.5845272206303633E-2</v>
      </c>
      <c r="X19" s="64">
        <f>IFERROR(Q19/S19-1,"n/a")</f>
        <v>0.1514195583596214</v>
      </c>
      <c r="Y19" s="64">
        <f>IFERROR(Q19/T19-1,"n/a")</f>
        <v>59.833333333333336</v>
      </c>
      <c r="Z19" s="64">
        <f>IFERROR(Q19/U19-1,"n/a")</f>
        <v>72</v>
      </c>
      <c r="AA19" s="60">
        <f>IFERROR(Q19/V19-1,"n/a")</f>
        <v>1.3397435897435899</v>
      </c>
      <c r="AB19" s="68">
        <v>708</v>
      </c>
      <c r="AC19" s="68">
        <v>658</v>
      </c>
      <c r="AD19" s="68">
        <v>47</v>
      </c>
      <c r="AE19" s="68">
        <v>9</v>
      </c>
      <c r="AF19" s="134">
        <v>290</v>
      </c>
      <c r="AG19" s="122"/>
      <c r="AH19" s="122"/>
    </row>
    <row r="20" spans="1:34" s="123" customFormat="1" ht="12.75">
      <c r="A20" s="122"/>
      <c r="B20" s="127"/>
      <c r="C20" s="33"/>
      <c r="D20" s="26" t="s">
        <v>11</v>
      </c>
      <c r="E20" s="32"/>
      <c r="F20" s="71">
        <v>262595</v>
      </c>
      <c r="G20" s="73">
        <v>203881</v>
      </c>
      <c r="H20" s="71">
        <v>138433</v>
      </c>
      <c r="I20" s="71">
        <v>468</v>
      </c>
      <c r="J20" s="71">
        <v>6081</v>
      </c>
      <c r="K20" s="71">
        <v>97604</v>
      </c>
      <c r="L20" s="64">
        <f>IFERROR(F20/G20-1,"n/a")</f>
        <v>0.28798171482384327</v>
      </c>
      <c r="M20" s="64">
        <f>IFERROR(F20/H20-1,"n/a")</f>
        <v>0.89691041875853306</v>
      </c>
      <c r="N20" s="64">
        <f>IFERROR(F20/I20-1,"n/a")</f>
        <v>560.10042735042737</v>
      </c>
      <c r="O20" s="64">
        <f>IFERROR(F20/J20-1,"n/a")</f>
        <v>42.182864660417692</v>
      </c>
      <c r="P20" s="60">
        <f>IFERROR(F20/K20-1,"n/a")</f>
        <v>1.6904122781853204</v>
      </c>
      <c r="Q20" s="68">
        <f>'June-24'!Q20+F20</f>
        <v>737983.4</v>
      </c>
      <c r="R20" s="68">
        <f>'June-24'!R20+G20</f>
        <v>597661</v>
      </c>
      <c r="S20" s="68">
        <f>'June-24'!S20+H20</f>
        <v>381024</v>
      </c>
      <c r="T20" s="68">
        <f>'June-24'!T20+I20</f>
        <v>468</v>
      </c>
      <c r="U20" s="68">
        <f>'June-24'!U20+J20</f>
        <v>10047</v>
      </c>
      <c r="V20" s="68">
        <f>'June-24'!V20+K20</f>
        <v>284386</v>
      </c>
      <c r="W20" s="64">
        <f>IFERROR(Q20/R20-1,"n/a")</f>
        <v>0.2347859405248125</v>
      </c>
      <c r="X20" s="64">
        <f>IFERROR(Q20/S20-1,"n/a")</f>
        <v>0.93684229864785418</v>
      </c>
      <c r="Y20" s="64">
        <f>IFERROR(Q20/T20-1,"n/a")</f>
        <v>1575.8876068376069</v>
      </c>
      <c r="Z20" s="64">
        <f>IFERROR(Q20/U20-1,"n/a")</f>
        <v>72.453110381208319</v>
      </c>
      <c r="AA20" s="60">
        <f>IFERROR(Q20/V20-1,"n/a")</f>
        <v>1.5950060832811741</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78</v>
      </c>
      <c r="G22" s="74">
        <v>81</v>
      </c>
      <c r="H22" s="71">
        <v>74</v>
      </c>
      <c r="I22" s="71">
        <v>10</v>
      </c>
      <c r="J22" s="71">
        <v>0</v>
      </c>
      <c r="K22" s="71">
        <v>68</v>
      </c>
      <c r="L22" s="64">
        <f>IFERROR(F22/G22-1,"n/a")</f>
        <v>-3.703703703703709E-2</v>
      </c>
      <c r="M22" s="64">
        <f>IFERROR(F22/H22-1,"n/a")</f>
        <v>5.4054054054053946E-2</v>
      </c>
      <c r="N22" s="64">
        <f>IFERROR(F22/I22-1,"n/a")</f>
        <v>6.8</v>
      </c>
      <c r="O22" s="64" t="str">
        <f>IFERROR(F22/J22-1,"n/a")</f>
        <v>n/a</v>
      </c>
      <c r="P22" s="60">
        <f>IFERROR(F22/K22-1,"n/a")</f>
        <v>0.14705882352941169</v>
      </c>
      <c r="Q22" s="68">
        <f>'June-24'!Q22+F22</f>
        <v>774</v>
      </c>
      <c r="R22" s="68">
        <f>'June-24'!R22+G22</f>
        <v>777</v>
      </c>
      <c r="S22" s="68">
        <f>'June-24'!S22+H22</f>
        <v>403</v>
      </c>
      <c r="T22" s="68">
        <f>'June-24'!T22+I22</f>
        <v>14</v>
      </c>
      <c r="U22" s="68">
        <f>'June-24'!U22+J22</f>
        <v>43</v>
      </c>
      <c r="V22" s="68">
        <f>'June-24'!V22+K22</f>
        <v>430</v>
      </c>
      <c r="W22" s="64">
        <f>IFERROR(Q22/R22-1,"n/a")</f>
        <v>-3.8610038610038533E-3</v>
      </c>
      <c r="X22" s="64">
        <f>IFERROR(Q22/S22-1,"n/a")</f>
        <v>0.92059553349875922</v>
      </c>
      <c r="Y22" s="64">
        <f>IFERROR(Q22/T22-1,"n/a")</f>
        <v>54.285714285714285</v>
      </c>
      <c r="Z22" s="64">
        <f>IFERROR(Q22/U22-1,"n/a")</f>
        <v>17</v>
      </c>
      <c r="AA22" s="60">
        <f>IFERROR(Q22/V22-1,"n/a")</f>
        <v>0.8</v>
      </c>
      <c r="AB22" s="68">
        <v>1500</v>
      </c>
      <c r="AC22" s="68">
        <v>895</v>
      </c>
      <c r="AD22" s="68">
        <v>283</v>
      </c>
      <c r="AE22" s="68">
        <v>43</v>
      </c>
      <c r="AF22" s="134">
        <v>827</v>
      </c>
      <c r="AG22" s="122"/>
      <c r="AH22" s="122"/>
    </row>
    <row r="23" spans="1:34" s="123" customFormat="1" ht="12.75">
      <c r="A23" s="122"/>
      <c r="B23" s="127"/>
      <c r="C23" s="33"/>
      <c r="D23" s="26" t="s">
        <v>11</v>
      </c>
      <c r="E23" s="32"/>
      <c r="F23" s="71">
        <v>391649</v>
      </c>
      <c r="G23" s="73">
        <v>393561</v>
      </c>
      <c r="H23" s="71">
        <v>283525</v>
      </c>
      <c r="I23" s="71">
        <v>23553</v>
      </c>
      <c r="J23" s="71">
        <v>0</v>
      </c>
      <c r="K23" s="71">
        <v>261197</v>
      </c>
      <c r="L23" s="64">
        <f>IFERROR(F23/G23-1,"n/a")</f>
        <v>-4.8582049542510441E-3</v>
      </c>
      <c r="M23" s="64">
        <f>IFERROR(F23/H23-1,"n/a")</f>
        <v>0.38135614143373608</v>
      </c>
      <c r="N23" s="64">
        <f>IFERROR(F23/I23-1,"n/a")</f>
        <v>15.628412516452258</v>
      </c>
      <c r="O23" s="64" t="str">
        <f>IFERROR(F23/J23-1,"n/a")</f>
        <v>n/a</v>
      </c>
      <c r="P23" s="60">
        <f>IFERROR(F23/K23-1,"n/a")</f>
        <v>0.49943912066371365</v>
      </c>
      <c r="Q23" s="68">
        <f>'June-24'!Q23+F23</f>
        <v>2546374</v>
      </c>
      <c r="R23" s="68">
        <f>'June-24'!R23+G23</f>
        <v>2307313</v>
      </c>
      <c r="S23" s="68">
        <f>'June-24'!S23+H23</f>
        <v>825612</v>
      </c>
      <c r="T23" s="68">
        <f>'June-24'!T23+I23</f>
        <v>28476</v>
      </c>
      <c r="U23" s="68">
        <f>'June-24'!U23+J23</f>
        <v>140552</v>
      </c>
      <c r="V23" s="68">
        <f>'June-24'!V23+K23</f>
        <v>1301649</v>
      </c>
      <c r="W23" s="64">
        <f>IFERROR(Q23/R23-1,"n/a")</f>
        <v>0.1036101300517096</v>
      </c>
      <c r="X23" s="64">
        <f>IFERROR(Q23/S23-1,"n/a")</f>
        <v>2.0842260044669891</v>
      </c>
      <c r="Y23" s="64">
        <f>IFERROR(Q23/T23-1,"n/a")</f>
        <v>88.42175867397107</v>
      </c>
      <c r="Z23" s="64">
        <f>IFERROR(Q23/U23-1,"n/a")</f>
        <v>17.11695315612727</v>
      </c>
      <c r="AA23" s="60">
        <f>IFERROR(Q23/V23-1,"n/a")</f>
        <v>0.95626778033094939</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4</v>
      </c>
      <c r="G25" s="71">
        <v>3</v>
      </c>
      <c r="H25" s="71">
        <v>3</v>
      </c>
      <c r="I25" s="71">
        <v>0</v>
      </c>
      <c r="J25" s="71">
        <v>0</v>
      </c>
      <c r="K25" s="71">
        <v>3</v>
      </c>
      <c r="L25" s="64">
        <f>IFERROR(F25/G25-1,"n/a")</f>
        <v>0.33333333333333326</v>
      </c>
      <c r="M25" s="64">
        <f>IFERROR(F25/H25-1,"n/a")</f>
        <v>0.33333333333333326</v>
      </c>
      <c r="N25" s="64" t="str">
        <f>IFERROR(F25/I25-1,"n/a")</f>
        <v>n/a</v>
      </c>
      <c r="O25" s="64" t="str">
        <f>IFERROR(F25/J25-1,"n/a")</f>
        <v>n/a</v>
      </c>
      <c r="P25" s="60">
        <f>IFERROR(F25/K25-1,"n/a")</f>
        <v>0.33333333333333326</v>
      </c>
      <c r="Q25" s="68">
        <f>'June-24'!Q25+F25</f>
        <v>9</v>
      </c>
      <c r="R25" s="68">
        <f>'June-24'!R25+G25</f>
        <v>11</v>
      </c>
      <c r="S25" s="68">
        <f>'June-24'!S25+H25</f>
        <v>5</v>
      </c>
      <c r="T25" s="68">
        <f>'June-24'!T25+I25</f>
        <v>0</v>
      </c>
      <c r="U25" s="68">
        <f>'June-24'!U25+J25</f>
        <v>0</v>
      </c>
      <c r="V25" s="68">
        <f>'June-24'!V25+K25</f>
        <v>11</v>
      </c>
      <c r="W25" s="64">
        <f>IFERROR(Q25/R25-1,"n/a")</f>
        <v>-0.18181818181818177</v>
      </c>
      <c r="X25" s="64">
        <f>IFERROR(Q25/S25-1,"n/a")</f>
        <v>0.8</v>
      </c>
      <c r="Y25" s="64" t="str">
        <f>IFERROR(Q25/T25-1,"n/a")</f>
        <v>n/a</v>
      </c>
      <c r="Z25" s="64" t="str">
        <f>IFERROR(Q25/U25-1,"n/a")</f>
        <v>n/a</v>
      </c>
      <c r="AA25" s="60">
        <f>IFERROR(Q25/V25-1,"n/a")</f>
        <v>-0.18181818181818177</v>
      </c>
      <c r="AB25" s="68">
        <v>21</v>
      </c>
      <c r="AC25" s="68">
        <v>9</v>
      </c>
      <c r="AD25" s="68">
        <v>0</v>
      </c>
      <c r="AE25" s="68">
        <v>0</v>
      </c>
      <c r="AF25" s="134">
        <v>16</v>
      </c>
      <c r="AG25" s="122"/>
      <c r="AH25" s="122"/>
    </row>
    <row r="26" spans="1:34" s="123" customFormat="1" ht="12.75">
      <c r="A26" s="122"/>
      <c r="B26" s="127"/>
      <c r="C26" s="33"/>
      <c r="D26" s="26" t="s">
        <v>11</v>
      </c>
      <c r="E26" s="32"/>
      <c r="F26" s="71">
        <v>15059</v>
      </c>
      <c r="G26" s="71">
        <v>6188</v>
      </c>
      <c r="H26" s="71">
        <v>5526</v>
      </c>
      <c r="I26" s="71">
        <v>0</v>
      </c>
      <c r="J26" s="71">
        <v>0</v>
      </c>
      <c r="K26" s="71">
        <v>3523</v>
      </c>
      <c r="L26" s="64">
        <f>IFERROR(F26/G26-1,"n/a")</f>
        <v>1.4335811247575951</v>
      </c>
      <c r="M26" s="64">
        <f>IFERROR(F26/H26-1,"n/a")</f>
        <v>1.7251176257690917</v>
      </c>
      <c r="N26" s="64" t="str">
        <f>IFERROR(F26/I26-1,"n/a")</f>
        <v>n/a</v>
      </c>
      <c r="O26" s="64" t="str">
        <f>IFERROR(F26/J26-1,"n/a")</f>
        <v>n/a</v>
      </c>
      <c r="P26" s="60">
        <f>IFERROR(F26/K26-1,"n/a")</f>
        <v>3.2744819755889862</v>
      </c>
      <c r="Q26" s="68">
        <f>'June-24'!Q26+F26</f>
        <v>33718</v>
      </c>
      <c r="R26" s="68">
        <f>'June-24'!R26+G26</f>
        <v>19775</v>
      </c>
      <c r="S26" s="68">
        <f>'June-24'!S26+H26</f>
        <v>8677</v>
      </c>
      <c r="T26" s="68">
        <f>'June-24'!T26+I26</f>
        <v>0</v>
      </c>
      <c r="U26" s="68">
        <f>'June-24'!U26+J26</f>
        <v>0</v>
      </c>
      <c r="V26" s="68">
        <f>'June-24'!V26+K26</f>
        <v>13750</v>
      </c>
      <c r="W26" s="64">
        <f>IFERROR(Q26/R26-1,"n/a")</f>
        <v>0.70508217446270538</v>
      </c>
      <c r="X26" s="64">
        <f>IFERROR(Q26/S26-1,"n/a")</f>
        <v>2.88590526679728</v>
      </c>
      <c r="Y26" s="64" t="str">
        <f>IFERROR(Q26/T26-1,"n/a")</f>
        <v>n/a</v>
      </c>
      <c r="Z26" s="64" t="str">
        <f>IFERROR(Q26/U26-1,"n/a")</f>
        <v>n/a</v>
      </c>
      <c r="AA26" s="60">
        <f>IFERROR(Q26/V26-1,"n/a")</f>
        <v>1.4522181818181816</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441</v>
      </c>
      <c r="G27" s="75">
        <f t="shared" si="0"/>
        <v>353</v>
      </c>
      <c r="H27" s="75">
        <f t="shared" si="0"/>
        <v>311</v>
      </c>
      <c r="I27" s="75">
        <f t="shared" si="0"/>
        <v>63</v>
      </c>
      <c r="J27" s="75">
        <f t="shared" si="0"/>
        <v>2</v>
      </c>
      <c r="K27" s="75">
        <f t="shared" si="0"/>
        <v>281</v>
      </c>
      <c r="L27" s="66">
        <f>IFERROR(F27/G27-1,"n/a")</f>
        <v>0.24929178470254953</v>
      </c>
      <c r="M27" s="66">
        <f>IFERROR(F27/H27-1,"n/a")</f>
        <v>0.41800643086816724</v>
      </c>
      <c r="N27" s="66">
        <f>IFERROR(F27/I27-1,"n/a")</f>
        <v>6</v>
      </c>
      <c r="O27" s="66">
        <f>IFERROR(F27/J27-1,"n/a")</f>
        <v>219.5</v>
      </c>
      <c r="P27" s="62">
        <f>IFERROR(F27/K27-1,"n/a")</f>
        <v>0.56939501779359425</v>
      </c>
      <c r="Q27" s="75">
        <f t="shared" ref="Q27:V28" si="1">Q13+Q16+Q19+Q22+Q25</f>
        <v>2913</v>
      </c>
      <c r="R27" s="75">
        <f t="shared" si="1"/>
        <v>2382</v>
      </c>
      <c r="S27" s="75">
        <f t="shared" si="1"/>
        <v>1949</v>
      </c>
      <c r="T27" s="75">
        <f t="shared" si="1"/>
        <v>121</v>
      </c>
      <c r="U27" s="75">
        <f t="shared" si="1"/>
        <v>609</v>
      </c>
      <c r="V27" s="75">
        <f t="shared" si="1"/>
        <v>1798</v>
      </c>
      <c r="W27" s="66">
        <f>IFERROR(Q27/R27-1,"n/a")</f>
        <v>0.2229219143576826</v>
      </c>
      <c r="X27" s="66">
        <f>IFERROR(Q27/S27-1,"n/a")</f>
        <v>0.49461262185736277</v>
      </c>
      <c r="Y27" s="66">
        <f>IFERROR(Q27/T27-1,"n/a")</f>
        <v>23.074380165289256</v>
      </c>
      <c r="Z27" s="66">
        <f>IFERROR(Q27/U27-1,"n/a")</f>
        <v>3.7832512315270934</v>
      </c>
      <c r="AA27" s="62">
        <f>IFERROR(Q27/V27-1,"n/a")</f>
        <v>0.62013348164627358</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1595545</v>
      </c>
      <c r="G28" s="76">
        <f t="shared" si="0"/>
        <v>1271791</v>
      </c>
      <c r="H28" s="76">
        <f t="shared" si="0"/>
        <v>857236</v>
      </c>
      <c r="I28" s="76">
        <f t="shared" si="0"/>
        <v>92497</v>
      </c>
      <c r="J28" s="76">
        <f t="shared" si="0"/>
        <v>6081</v>
      </c>
      <c r="K28" s="76">
        <f t="shared" si="0"/>
        <v>868909</v>
      </c>
      <c r="L28" s="67">
        <f>IFERROR(F28/G28-1,"n/a")</f>
        <v>0.25456541208421823</v>
      </c>
      <c r="M28" s="67">
        <f>IFERROR(F28/H28-1,"n/a")</f>
        <v>0.86126690899588909</v>
      </c>
      <c r="N28" s="67">
        <f>IFERROR(F28/I28-1,"n/a")</f>
        <v>16.249694584689234</v>
      </c>
      <c r="O28" s="67">
        <f>IFERROR(F28/J28-1,"n/a")</f>
        <v>261.38200953790493</v>
      </c>
      <c r="P28" s="63">
        <f>IFERROR(F28/K28-1,"n/a")</f>
        <v>0.83626248548467097</v>
      </c>
      <c r="Q28" s="76">
        <f t="shared" si="1"/>
        <v>8973110.4000000004</v>
      </c>
      <c r="R28" s="76">
        <f t="shared" si="1"/>
        <v>6870350</v>
      </c>
      <c r="S28" s="76">
        <f t="shared" si="1"/>
        <v>3489716</v>
      </c>
      <c r="T28" s="76">
        <f t="shared" si="1"/>
        <v>162487</v>
      </c>
      <c r="U28" s="76">
        <f t="shared" si="1"/>
        <v>1284596</v>
      </c>
      <c r="V28" s="76">
        <f t="shared" si="1"/>
        <v>5116128</v>
      </c>
      <c r="W28" s="67">
        <f>IFERROR(Q28/R28-1,"n/a")</f>
        <v>0.30606306811152284</v>
      </c>
      <c r="X28" s="67">
        <f>IFERROR(Q28/S28-1,"n/a")</f>
        <v>1.5713010457011403</v>
      </c>
      <c r="Y28" s="67">
        <f>IFERROR(Q28/T28-1,"n/a")</f>
        <v>54.223558807781551</v>
      </c>
      <c r="Z28" s="67">
        <f>IFERROR(Q28/U28-1,"n/a")</f>
        <v>5.9851614048307802</v>
      </c>
      <c r="AA28" s="63">
        <f>IFERROR(Q28/V28-1,"n/a")</f>
        <v>0.75388700204529679</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July</v>
      </c>
      <c r="G33" s="170"/>
      <c r="H33" s="170"/>
      <c r="I33" s="170"/>
      <c r="J33" s="170"/>
      <c r="K33" s="170"/>
      <c r="L33" s="170"/>
      <c r="M33" s="170"/>
      <c r="N33" s="170"/>
      <c r="O33" s="170"/>
      <c r="P33" s="171"/>
      <c r="Q33" s="176" t="s">
        <v>134</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166</v>
      </c>
      <c r="G37" s="74">
        <f t="shared" si="3"/>
        <v>105</v>
      </c>
      <c r="H37" s="74">
        <f t="shared" si="3"/>
        <v>84</v>
      </c>
      <c r="I37" s="74">
        <f t="shared" si="3"/>
        <v>28</v>
      </c>
      <c r="J37" s="74">
        <f t="shared" si="3"/>
        <v>0</v>
      </c>
      <c r="K37" s="74">
        <f t="shared" si="3"/>
        <v>101</v>
      </c>
      <c r="L37" s="64">
        <f>IFERROR(F37/G37-1,"n/a")</f>
        <v>0.58095238095238089</v>
      </c>
      <c r="M37" s="64">
        <f>IFERROR(F37/H37-1,"n/a")</f>
        <v>0.97619047619047628</v>
      </c>
      <c r="N37" s="64">
        <f>IFERROR(F37/I37-1,"n/a")</f>
        <v>4.9285714285714288</v>
      </c>
      <c r="O37" s="64" t="str">
        <f>IFERROR(F37/J37-1,"n/a")</f>
        <v>n/a</v>
      </c>
      <c r="P37" s="60">
        <f>IFERROR(F37/K37-1,"n/a")</f>
        <v>0.64356435643564347</v>
      </c>
      <c r="Q37" s="74">
        <f>'June-24'!Q37+F37</f>
        <v>672</v>
      </c>
      <c r="R37" s="74">
        <f>'June-24'!R37+G37</f>
        <v>428</v>
      </c>
      <c r="S37" s="74">
        <f>'June-24'!S37+H37</f>
        <v>380</v>
      </c>
      <c r="T37" s="74">
        <f>'June-24'!T37+I37</f>
        <v>28</v>
      </c>
      <c r="U37" s="74">
        <f>'June-24'!U37+J37</f>
        <v>42</v>
      </c>
      <c r="V37" s="74">
        <f>'June-24'!V37+K37</f>
        <v>410</v>
      </c>
      <c r="W37" s="119">
        <f>IFERROR(Q37/R37-1,"n/a")</f>
        <v>0.57009345794392519</v>
      </c>
      <c r="X37" s="119">
        <f>IFERROR(R37/S37-1,"n/a")</f>
        <v>0.12631578947368416</v>
      </c>
      <c r="Y37" s="119">
        <f>IFERROR(R37/T37-1,"n/a")</f>
        <v>14.285714285714286</v>
      </c>
      <c r="Z37" s="119">
        <f>IFERROR(R37/U37-1,"n/a")</f>
        <v>9.1904761904761898</v>
      </c>
      <c r="AA37" s="120">
        <f>IFERROR(R37/V37-1,"n/a")</f>
        <v>4.3902439024390283E-2</v>
      </c>
      <c r="AB37" s="147"/>
      <c r="AC37" s="89">
        <v>1486</v>
      </c>
      <c r="AD37" s="89">
        <v>1052</v>
      </c>
      <c r="AE37" s="70">
        <v>551</v>
      </c>
      <c r="AF37" s="78">
        <v>1584</v>
      </c>
      <c r="AH37" s="122"/>
    </row>
    <row r="38" spans="1:34" s="123" customFormat="1" ht="11.25">
      <c r="A38" s="122"/>
      <c r="B38" s="122"/>
      <c r="C38" s="33"/>
      <c r="D38" s="26" t="s">
        <v>11</v>
      </c>
      <c r="E38" s="32"/>
      <c r="F38" s="74">
        <f t="shared" si="3"/>
        <v>639139</v>
      </c>
      <c r="G38" s="74">
        <f t="shared" si="3"/>
        <v>396404</v>
      </c>
      <c r="H38" s="74">
        <f t="shared" si="3"/>
        <v>292122</v>
      </c>
      <c r="I38" s="74">
        <f t="shared" si="3"/>
        <v>30914</v>
      </c>
      <c r="J38" s="74">
        <f t="shared" si="3"/>
        <v>0</v>
      </c>
      <c r="K38" s="74">
        <f t="shared" si="3"/>
        <v>332464</v>
      </c>
      <c r="L38" s="64">
        <f>IFERROR(F38/G38-1,"n/a")</f>
        <v>0.61234245870374671</v>
      </c>
      <c r="M38" s="64">
        <f>IFERROR(F38/H38-1,"n/a")</f>
        <v>1.1879180616317839</v>
      </c>
      <c r="N38" s="64">
        <f>IFERROR(F38/I38-1,"n/a")</f>
        <v>19.674742834961506</v>
      </c>
      <c r="O38" s="64" t="str">
        <f>IFERROR(F38/J38-1,"n/a")</f>
        <v>n/a</v>
      </c>
      <c r="P38" s="60">
        <f>IFERROR(F38/K38-1,"n/a")</f>
        <v>0.92243069926367971</v>
      </c>
      <c r="Q38" s="74">
        <f>'June-24'!Q38+F38</f>
        <v>2440355</v>
      </c>
      <c r="R38" s="74">
        <f>'June-24'!R38+G38</f>
        <v>1559282</v>
      </c>
      <c r="S38" s="74">
        <f>'June-24'!S38+H38</f>
        <v>1076553</v>
      </c>
      <c r="T38" s="74">
        <f>'June-24'!T38+I38</f>
        <v>30914</v>
      </c>
      <c r="U38" s="74">
        <f>'June-24'!U38+J38</f>
        <v>0</v>
      </c>
      <c r="V38" s="74">
        <f>'June-24'!V38+K38</f>
        <v>1332615</v>
      </c>
      <c r="W38" s="119">
        <f>IFERROR(Q38/R38-1,"n/a")</f>
        <v>0.56505045270836196</v>
      </c>
      <c r="X38" s="119">
        <f>IFERROR(R38/S38-1,"n/a")</f>
        <v>0.44840244744104574</v>
      </c>
      <c r="Y38" s="119">
        <f>IFERROR(R38/T38-1,"n/a")</f>
        <v>49.439347868279746</v>
      </c>
      <c r="Z38" s="119" t="str">
        <f>IFERROR(R38/U38-1,"n/a")</f>
        <v>n/a</v>
      </c>
      <c r="AA38" s="120">
        <f>IFERROR(R38/V38-1,"n/a")</f>
        <v>0.17009188700412348</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K41" si="4">F16</f>
        <v>93</v>
      </c>
      <c r="G40" s="74">
        <f t="shared" si="4"/>
        <v>71</v>
      </c>
      <c r="H40" s="74">
        <f t="shared" si="4"/>
        <v>62</v>
      </c>
      <c r="I40" s="74">
        <f t="shared" si="4"/>
        <v>22</v>
      </c>
      <c r="J40" s="74">
        <f t="shared" si="4"/>
        <v>0</v>
      </c>
      <c r="K40" s="74">
        <f t="shared" si="4"/>
        <v>59</v>
      </c>
      <c r="L40" s="64">
        <f>IFERROR(F40/G40-1,"n/a")</f>
        <v>0.3098591549295775</v>
      </c>
      <c r="M40" s="64">
        <f>IFERROR(F40/H40-1,"n/a")</f>
        <v>0.5</v>
      </c>
      <c r="N40" s="64">
        <f>IFERROR(F40/I40-1,"n/a")</f>
        <v>3.2272727272727275</v>
      </c>
      <c r="O40" s="64" t="str">
        <f>IFERROR(F40/J40-1,"n/a")</f>
        <v>n/a</v>
      </c>
      <c r="P40" s="60">
        <f>IFERROR(F40/K40-1,"n/a")</f>
        <v>0.57627118644067798</v>
      </c>
      <c r="Q40" s="74">
        <f>'June-24'!Q40+F40</f>
        <v>354</v>
      </c>
      <c r="R40" s="74">
        <f>'June-24'!R40+G40</f>
        <v>260</v>
      </c>
      <c r="S40" s="74">
        <f>'June-24'!S40+H40</f>
        <v>278</v>
      </c>
      <c r="T40" s="74">
        <f>'June-24'!T40+I40</f>
        <v>61</v>
      </c>
      <c r="U40" s="74">
        <f>'June-24'!U40+J40</f>
        <v>0</v>
      </c>
      <c r="V40" s="74">
        <f>'June-24'!V40+K40</f>
        <v>252</v>
      </c>
      <c r="W40" s="119">
        <f>IFERROR(Q40/R40-1,"n/a")</f>
        <v>0.36153846153846159</v>
      </c>
      <c r="X40" s="119">
        <f>IFERROR(R40/S40-1,"n/a")</f>
        <v>-6.4748201438848962E-2</v>
      </c>
      <c r="Y40" s="119">
        <f>IFERROR(R40/T40-1,"n/a")</f>
        <v>3.2622950819672134</v>
      </c>
      <c r="Z40" s="119" t="str">
        <f>IFERROR(R40/U40-1,"n/a")</f>
        <v>n/a</v>
      </c>
      <c r="AA40" s="120">
        <f>IFERROR(R40/V40-1,"n/a")</f>
        <v>3.1746031746031855E-2</v>
      </c>
      <c r="AB40" s="147"/>
      <c r="AC40" s="89">
        <v>563</v>
      </c>
      <c r="AD40" s="89">
        <v>226</v>
      </c>
      <c r="AE40" s="70">
        <v>66</v>
      </c>
      <c r="AF40" s="78">
        <v>573</v>
      </c>
      <c r="AH40" s="122"/>
    </row>
    <row r="41" spans="1:34" s="123" customFormat="1" ht="11.25">
      <c r="A41" s="122"/>
      <c r="B41" s="122"/>
      <c r="C41" s="33"/>
      <c r="D41" s="26" t="s">
        <v>11</v>
      </c>
      <c r="E41" s="32"/>
      <c r="F41" s="74">
        <f t="shared" si="4"/>
        <v>287103</v>
      </c>
      <c r="G41" s="74">
        <f t="shared" si="4"/>
        <v>271757</v>
      </c>
      <c r="H41" s="74">
        <f t="shared" si="4"/>
        <v>137630</v>
      </c>
      <c r="I41" s="74">
        <f t="shared" si="4"/>
        <v>37562</v>
      </c>
      <c r="J41" s="74">
        <f t="shared" si="4"/>
        <v>0</v>
      </c>
      <c r="K41" s="74">
        <f t="shared" si="4"/>
        <v>174121</v>
      </c>
      <c r="L41" s="64">
        <f>IFERROR(F41/G41-1,"n/a")</f>
        <v>5.6469566561302864E-2</v>
      </c>
      <c r="M41" s="64">
        <f>IFERROR(F41/H41-1,"n/a")</f>
        <v>1.0860495531497492</v>
      </c>
      <c r="N41" s="64">
        <f>IFERROR(F41/I41-1,"n/a")</f>
        <v>6.643442841169267</v>
      </c>
      <c r="O41" s="64" t="str">
        <f>IFERROR(F41/J41-1,"n/a")</f>
        <v>n/a</v>
      </c>
      <c r="P41" s="60">
        <f>IFERROR(F41/K41-1,"n/a")</f>
        <v>0.64887061296454762</v>
      </c>
      <c r="Q41" s="74">
        <f>'June-24'!Q41+F41</f>
        <v>930282</v>
      </c>
      <c r="R41" s="74">
        <f>'June-24'!R41+G41</f>
        <v>765080</v>
      </c>
      <c r="S41" s="74">
        <f>'June-24'!S41+H41</f>
        <v>401684</v>
      </c>
      <c r="T41" s="74">
        <f>'June-24'!T41+I41</f>
        <v>92526</v>
      </c>
      <c r="U41" s="74">
        <f>'June-24'!U41+J41</f>
        <v>0</v>
      </c>
      <c r="V41" s="74">
        <f>'June-24'!V41+K41</f>
        <v>652250</v>
      </c>
      <c r="W41" s="119">
        <f>IFERROR(Q41/R41-1,"n/a")</f>
        <v>0.2159277461180531</v>
      </c>
      <c r="X41" s="119">
        <f>IFERROR(R41/S41-1,"n/a")</f>
        <v>0.90468129176168333</v>
      </c>
      <c r="Y41" s="119">
        <f>IFERROR(R41/T41-1,"n/a")</f>
        <v>7.2688109288200078</v>
      </c>
      <c r="Z41" s="119" t="str">
        <f>IFERROR(R41/U41-1,"n/a")</f>
        <v>n/a</v>
      </c>
      <c r="AA41" s="120">
        <f>IFERROR(R41/V41-1,"n/a")</f>
        <v>0.17298581832119586</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K44" si="5">F19</f>
        <v>100</v>
      </c>
      <c r="G43" s="74">
        <f t="shared" si="5"/>
        <v>93</v>
      </c>
      <c r="H43" s="74">
        <f t="shared" si="5"/>
        <v>88</v>
      </c>
      <c r="I43" s="74">
        <f t="shared" si="5"/>
        <v>3</v>
      </c>
      <c r="J43" s="74">
        <f t="shared" si="5"/>
        <v>2</v>
      </c>
      <c r="K43" s="74">
        <f t="shared" si="5"/>
        <v>50</v>
      </c>
      <c r="L43" s="64">
        <f>IFERROR(F43/G43-1,"n/a")</f>
        <v>7.5268817204301008E-2</v>
      </c>
      <c r="M43" s="64">
        <f>IFERROR(F43/H43-1,"n/a")</f>
        <v>0.13636363636363646</v>
      </c>
      <c r="N43" s="64">
        <f>IFERROR(F43/I43-1,"n/a")</f>
        <v>32.333333333333336</v>
      </c>
      <c r="O43" s="64">
        <f>IFERROR(F43/J43-1,"n/a")</f>
        <v>49</v>
      </c>
      <c r="P43" s="60">
        <f>IFERROR(F43/K43-1,"n/a")</f>
        <v>1</v>
      </c>
      <c r="Q43" s="74">
        <f>'June-24'!Q43+F43</f>
        <v>338</v>
      </c>
      <c r="R43" s="74">
        <f>'June-24'!R43+G43</f>
        <v>326</v>
      </c>
      <c r="S43" s="74">
        <f>'June-24'!S43+H43</f>
        <v>305</v>
      </c>
      <c r="T43" s="74">
        <f>'June-24'!T43+I43</f>
        <v>6</v>
      </c>
      <c r="U43" s="74">
        <f>'June-24'!U43+J43</f>
        <v>2</v>
      </c>
      <c r="V43" s="74">
        <f>'June-24'!V43+K43</f>
        <v>150</v>
      </c>
      <c r="W43" s="119">
        <f>IFERROR(Q43/R43-1,"n/a")</f>
        <v>3.6809815950920255E-2</v>
      </c>
      <c r="X43" s="119">
        <f>IFERROR(R43/S43-1,"n/a")</f>
        <v>6.8852459016393475E-2</v>
      </c>
      <c r="Y43" s="119">
        <f>IFERROR(R43/T43-1,"n/a")</f>
        <v>53.333333333333336</v>
      </c>
      <c r="Z43" s="119">
        <f>IFERROR(R43/U43-1,"n/a")</f>
        <v>162</v>
      </c>
      <c r="AA43" s="120">
        <f>IFERROR(R43/V43-1,"n/a")</f>
        <v>1.1733333333333333</v>
      </c>
      <c r="AB43" s="147"/>
      <c r="AC43" s="89">
        <v>669</v>
      </c>
      <c r="AD43" s="89">
        <v>59</v>
      </c>
      <c r="AE43" s="70">
        <v>9</v>
      </c>
      <c r="AF43" s="78">
        <v>287</v>
      </c>
      <c r="AH43" s="122"/>
    </row>
    <row r="44" spans="1:34" s="123" customFormat="1" ht="11.25">
      <c r="A44" s="122"/>
      <c r="B44" s="122"/>
      <c r="C44" s="33"/>
      <c r="D44" s="26" t="s">
        <v>11</v>
      </c>
      <c r="E44" s="32"/>
      <c r="F44" s="74">
        <f t="shared" si="5"/>
        <v>262595</v>
      </c>
      <c r="G44" s="74">
        <f t="shared" si="5"/>
        <v>203881</v>
      </c>
      <c r="H44" s="74">
        <f t="shared" si="5"/>
        <v>138433</v>
      </c>
      <c r="I44" s="74">
        <f t="shared" si="5"/>
        <v>468</v>
      </c>
      <c r="J44" s="74">
        <f t="shared" si="5"/>
        <v>6081</v>
      </c>
      <c r="K44" s="74">
        <f t="shared" si="5"/>
        <v>97604</v>
      </c>
      <c r="L44" s="64">
        <f>IFERROR(F44/G44-1,"n/a")</f>
        <v>0.28798171482384327</v>
      </c>
      <c r="M44" s="64">
        <f>IFERROR(F44/H44-1,"n/a")</f>
        <v>0.89691041875853306</v>
      </c>
      <c r="N44" s="64">
        <f>IFERROR(F44/I44-1,"n/a")</f>
        <v>560.10042735042737</v>
      </c>
      <c r="O44" s="64">
        <f>IFERROR(F44/J44-1,"n/a")</f>
        <v>42.182864660417692</v>
      </c>
      <c r="P44" s="60">
        <f>IFERROR(F44/K44-1,"n/a")</f>
        <v>1.6904122781853204</v>
      </c>
      <c r="Q44" s="74">
        <f>'June-24'!Q44+F44</f>
        <v>698242.4</v>
      </c>
      <c r="R44" s="74">
        <f>'June-24'!R44+G44</f>
        <v>576815</v>
      </c>
      <c r="S44" s="74">
        <f>'June-24'!S44+H44</f>
        <v>377939</v>
      </c>
      <c r="T44" s="74">
        <f>'June-24'!T44+I44</f>
        <v>468</v>
      </c>
      <c r="U44" s="74">
        <f>'June-24'!U44+J44</f>
        <v>8294</v>
      </c>
      <c r="V44" s="74">
        <f>'June-24'!V44+K44</f>
        <v>277902</v>
      </c>
      <c r="W44" s="119">
        <f>IFERROR(Q44/R44-1,"n/a")</f>
        <v>0.21051359621369081</v>
      </c>
      <c r="X44" s="119">
        <f>IFERROR(R44/S44-1,"n/a")</f>
        <v>0.52621190192068035</v>
      </c>
      <c r="Y44" s="119">
        <f>IFERROR(R44/T44-1,"n/a")</f>
        <v>1231.5106837606838</v>
      </c>
      <c r="Z44" s="119">
        <f>IFERROR(R44/U44-1,"n/a")</f>
        <v>68.546057390884982</v>
      </c>
      <c r="AA44" s="120">
        <f>IFERROR(R44/V44-1,"n/a")</f>
        <v>1.0756057890911186</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6">F22</f>
        <v>78</v>
      </c>
      <c r="G46" s="74">
        <f t="shared" si="6"/>
        <v>81</v>
      </c>
      <c r="H46" s="74">
        <f t="shared" si="6"/>
        <v>74</v>
      </c>
      <c r="I46" s="74">
        <f t="shared" si="6"/>
        <v>10</v>
      </c>
      <c r="J46" s="74">
        <f t="shared" si="6"/>
        <v>0</v>
      </c>
      <c r="K46" s="74">
        <f t="shared" si="6"/>
        <v>68</v>
      </c>
      <c r="L46" s="64">
        <f>IFERROR(F46/G46-1,"n/a")</f>
        <v>-3.703703703703709E-2</v>
      </c>
      <c r="M46" s="64">
        <f>IFERROR(F46/H46-1,"n/a")</f>
        <v>5.4054054054053946E-2</v>
      </c>
      <c r="N46" s="64">
        <f>IFERROR(F46/I46-1,"n/a")</f>
        <v>6.8</v>
      </c>
      <c r="O46" s="64" t="str">
        <f>IFERROR(F46/J46-1,"n/a")</f>
        <v>n/a</v>
      </c>
      <c r="P46" s="60">
        <f>IFERROR(F46/K46-1,"n/a")</f>
        <v>0.14705882352941169</v>
      </c>
      <c r="Q46" s="74">
        <f>'June-24'!Q46+F46</f>
        <v>515</v>
      </c>
      <c r="R46" s="74">
        <f>'June-24'!R46+G46</f>
        <v>490</v>
      </c>
      <c r="S46" s="74">
        <f>'June-24'!S46+H46</f>
        <v>350</v>
      </c>
      <c r="T46" s="74">
        <f>'June-24'!T46+I46</f>
        <v>14</v>
      </c>
      <c r="U46" s="74">
        <f>'June-24'!U46+J46</f>
        <v>0</v>
      </c>
      <c r="V46" s="74">
        <f>'June-24'!V46+K46</f>
        <v>341</v>
      </c>
      <c r="W46" s="119">
        <f>IFERROR(Q46/R46-1,"n/a")</f>
        <v>5.1020408163265252E-2</v>
      </c>
      <c r="X46" s="119">
        <f>IFERROR(R46/S46-1,"n/a")</f>
        <v>0.39999999999999991</v>
      </c>
      <c r="Y46" s="119">
        <f>IFERROR(R46/T46-1,"n/a")</f>
        <v>34</v>
      </c>
      <c r="Z46" s="119" t="str">
        <f>IFERROR(R46/U46-1,"n/a")</f>
        <v>n/a</v>
      </c>
      <c r="AA46" s="120">
        <f>IFERROR(R46/V46-1,"n/a")</f>
        <v>0.43695014662756604</v>
      </c>
      <c r="AB46" s="147"/>
      <c r="AC46" s="89">
        <v>1129</v>
      </c>
      <c r="AD46" s="89">
        <v>336</v>
      </c>
      <c r="AE46" s="84">
        <v>43</v>
      </c>
      <c r="AF46" s="78">
        <v>781</v>
      </c>
      <c r="AH46" s="122"/>
    </row>
    <row r="47" spans="1:34" s="123" customFormat="1" ht="11.25">
      <c r="A47" s="122"/>
      <c r="B47" s="122"/>
      <c r="C47" s="33"/>
      <c r="D47" s="26" t="s">
        <v>11</v>
      </c>
      <c r="E47" s="32"/>
      <c r="F47" s="74">
        <f t="shared" si="6"/>
        <v>391649</v>
      </c>
      <c r="G47" s="74">
        <f t="shared" si="6"/>
        <v>393561</v>
      </c>
      <c r="H47" s="74">
        <f t="shared" si="6"/>
        <v>283525</v>
      </c>
      <c r="I47" s="74">
        <f t="shared" si="6"/>
        <v>23553</v>
      </c>
      <c r="J47" s="74">
        <f t="shared" si="6"/>
        <v>0</v>
      </c>
      <c r="K47" s="74">
        <f t="shared" si="6"/>
        <v>261197</v>
      </c>
      <c r="L47" s="64">
        <f>IFERROR(F47/G47-1,"n/a")</f>
        <v>-4.8582049542510441E-3</v>
      </c>
      <c r="M47" s="64">
        <f>IFERROR(F47/H47-1,"n/a")</f>
        <v>0.38135614143373608</v>
      </c>
      <c r="N47" s="64">
        <f>IFERROR(F47/I47-1,"n/a")</f>
        <v>15.628412516452258</v>
      </c>
      <c r="O47" s="64" t="str">
        <f>IFERROR(F47/J47-1,"n/a")</f>
        <v>n/a</v>
      </c>
      <c r="P47" s="60">
        <f>IFERROR(F47/K47-1,"n/a")</f>
        <v>0.49943912066371365</v>
      </c>
      <c r="Q47" s="74">
        <f>'June-24'!Q47+F47</f>
        <v>1633319</v>
      </c>
      <c r="R47" s="74">
        <f>'June-24'!R47+G47</f>
        <v>1471039</v>
      </c>
      <c r="S47" s="74">
        <f>'June-24'!S47+H47</f>
        <v>757158</v>
      </c>
      <c r="T47" s="74">
        <f>'June-24'!T47+I47</f>
        <v>28476</v>
      </c>
      <c r="U47" s="74">
        <f>'June-24'!U47+J47</f>
        <v>0</v>
      </c>
      <c r="V47" s="74">
        <f>'June-24'!V47+K47</f>
        <v>1049749</v>
      </c>
      <c r="W47" s="119">
        <f>IFERROR(Q47/R47-1,"n/a")</f>
        <v>0.1103165857601327</v>
      </c>
      <c r="X47" s="119">
        <f>IFERROR(R47/S47-1,"n/a")</f>
        <v>0.94284284125638251</v>
      </c>
      <c r="Y47" s="119">
        <f>IFERROR(R47/T47-1,"n/a")</f>
        <v>50.658905745188932</v>
      </c>
      <c r="Z47" s="119" t="str">
        <f>IFERROR(R47/U47-1,"n/a")</f>
        <v>n/a</v>
      </c>
      <c r="AA47" s="120">
        <f>IFERROR(R47/V47-1,"n/a")</f>
        <v>0.40132450709645839</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7">F25</f>
        <v>4</v>
      </c>
      <c r="G49" s="74">
        <f t="shared" si="7"/>
        <v>3</v>
      </c>
      <c r="H49" s="74">
        <f t="shared" si="7"/>
        <v>3</v>
      </c>
      <c r="I49" s="74">
        <f t="shared" si="7"/>
        <v>0</v>
      </c>
      <c r="J49" s="74">
        <f t="shared" si="7"/>
        <v>0</v>
      </c>
      <c r="K49" s="74">
        <f t="shared" si="7"/>
        <v>3</v>
      </c>
      <c r="L49" s="64">
        <f>IFERROR(F49/G49-1,"n/a")</f>
        <v>0.33333333333333326</v>
      </c>
      <c r="M49" s="64">
        <f>IFERROR(F49/H49-1,"n/a")</f>
        <v>0.33333333333333326</v>
      </c>
      <c r="N49" s="64" t="str">
        <f>IFERROR(F49/I49-1,"n/a")</f>
        <v>n/a</v>
      </c>
      <c r="O49" s="64" t="str">
        <f>IFERROR(F49/J49-1,"n/a")</f>
        <v>n/a</v>
      </c>
      <c r="P49" s="60">
        <f>IFERROR(F49/K49-1,"n/a")</f>
        <v>0.33333333333333326</v>
      </c>
      <c r="Q49" s="74">
        <f>'June-24'!Q49+F49</f>
        <v>9</v>
      </c>
      <c r="R49" s="74">
        <f>'June-24'!R49+G49</f>
        <v>11</v>
      </c>
      <c r="S49" s="74">
        <f>'June-24'!S49+H49</f>
        <v>5</v>
      </c>
      <c r="T49" s="74">
        <f>'June-24'!T49+I49</f>
        <v>0</v>
      </c>
      <c r="U49" s="74">
        <f>'June-24'!U49+J49</f>
        <v>0</v>
      </c>
      <c r="V49" s="74">
        <f>'June-24'!V49+K49</f>
        <v>11</v>
      </c>
      <c r="W49" s="119">
        <f t="shared" ref="W49:X52" si="8">IFERROR(Q49/R49-1,"n/a")</f>
        <v>-0.18181818181818177</v>
      </c>
      <c r="X49" s="119">
        <f t="shared" si="8"/>
        <v>1.2000000000000002</v>
      </c>
      <c r="Y49" s="119" t="str">
        <f>IFERROR(R49/T49-1,"n/a")</f>
        <v>n/a</v>
      </c>
      <c r="Z49" s="119" t="str">
        <f>IFERROR(R49/U49-1,"n/a")</f>
        <v>n/a</v>
      </c>
      <c r="AA49" s="120">
        <f>IFERROR(R49/V49-1,"n/a")</f>
        <v>0</v>
      </c>
      <c r="AB49" s="147"/>
      <c r="AC49" s="89">
        <v>9</v>
      </c>
      <c r="AD49" s="68">
        <v>0</v>
      </c>
      <c r="AE49" s="68">
        <v>0</v>
      </c>
      <c r="AF49" s="78">
        <v>16</v>
      </c>
      <c r="AH49" s="122"/>
    </row>
    <row r="50" spans="3:34" s="123" customFormat="1" ht="11.25">
      <c r="C50" s="33"/>
      <c r="D50" s="26" t="s">
        <v>11</v>
      </c>
      <c r="E50" s="32"/>
      <c r="F50" s="74">
        <f t="shared" si="7"/>
        <v>15059</v>
      </c>
      <c r="G50" s="74">
        <f t="shared" si="7"/>
        <v>6188</v>
      </c>
      <c r="H50" s="74">
        <f t="shared" si="7"/>
        <v>5526</v>
      </c>
      <c r="I50" s="74">
        <f t="shared" si="7"/>
        <v>0</v>
      </c>
      <c r="J50" s="74">
        <f t="shared" si="7"/>
        <v>0</v>
      </c>
      <c r="K50" s="74">
        <f t="shared" si="7"/>
        <v>3523</v>
      </c>
      <c r="L50" s="64">
        <f>IFERROR(F50/G50-1,"n/a")</f>
        <v>1.4335811247575951</v>
      </c>
      <c r="M50" s="64">
        <f>IFERROR(F50/H50-1,"n/a")</f>
        <v>1.7251176257690917</v>
      </c>
      <c r="N50" s="64" t="str">
        <f>IFERROR(F50/I50-1,"n/a")</f>
        <v>n/a</v>
      </c>
      <c r="O50" s="64" t="str">
        <f>IFERROR(F50/J50-1,"n/a")</f>
        <v>n/a</v>
      </c>
      <c r="P50" s="60">
        <f>IFERROR(F50/K50-1,"n/a")</f>
        <v>3.2744819755889862</v>
      </c>
      <c r="Q50" s="74">
        <f>'June-24'!Q50+F50</f>
        <v>33718</v>
      </c>
      <c r="R50" s="74">
        <f>'June-24'!R50+G50</f>
        <v>19775</v>
      </c>
      <c r="S50" s="74">
        <f>'June-24'!S50+H50</f>
        <v>8677</v>
      </c>
      <c r="T50" s="74">
        <f>'June-24'!T50+I50</f>
        <v>0</v>
      </c>
      <c r="U50" s="74">
        <f>'June-24'!U50+J50</f>
        <v>0</v>
      </c>
      <c r="V50" s="74">
        <f>'June-24'!V50+K50</f>
        <v>13750</v>
      </c>
      <c r="W50" s="119">
        <f t="shared" si="8"/>
        <v>0.70508217446270538</v>
      </c>
      <c r="X50" s="119">
        <f t="shared" si="8"/>
        <v>1.2790134839230149</v>
      </c>
      <c r="Y50" s="119" t="str">
        <f>IFERROR(R50/T50-1,"n/a")</f>
        <v>n/a</v>
      </c>
      <c r="Z50" s="119" t="str">
        <f>IFERROR(R50/U50-1,"n/a")</f>
        <v>n/a</v>
      </c>
      <c r="AA50" s="120">
        <f>IFERROR(R50/V50-1,"n/a")</f>
        <v>0.43818181818181823</v>
      </c>
      <c r="AB50" s="147"/>
      <c r="AC50" s="82">
        <v>15637</v>
      </c>
      <c r="AD50" s="68">
        <v>0</v>
      </c>
      <c r="AE50" s="68">
        <v>0</v>
      </c>
      <c r="AF50" s="78">
        <v>20248</v>
      </c>
      <c r="AH50" s="122"/>
    </row>
    <row r="51" spans="3:34" s="123" customFormat="1" ht="12" thickBot="1">
      <c r="C51" s="35" t="s">
        <v>12</v>
      </c>
      <c r="D51" s="36"/>
      <c r="E51" s="37"/>
      <c r="F51" s="75">
        <f>F37+F40+F43+F46+F49</f>
        <v>441</v>
      </c>
      <c r="G51" s="75">
        <f>G37+G40+G43+G46+G49</f>
        <v>353</v>
      </c>
      <c r="H51" s="75">
        <f t="shared" ref="H51:K52" si="9">H37+H40+H43+H46+H49</f>
        <v>311</v>
      </c>
      <c r="I51" s="75">
        <f t="shared" si="9"/>
        <v>63</v>
      </c>
      <c r="J51" s="75">
        <f t="shared" si="9"/>
        <v>2</v>
      </c>
      <c r="K51" s="75">
        <f t="shared" si="9"/>
        <v>281</v>
      </c>
      <c r="L51" s="66">
        <f>IFERROR(F51/G51-1,"n/a")</f>
        <v>0.24929178470254953</v>
      </c>
      <c r="M51" s="66">
        <f>IFERROR(F51/H51-1,"n/a")</f>
        <v>0.41800643086816724</v>
      </c>
      <c r="N51" s="66">
        <f>IFERROR(F51/I51-1,"n/a")</f>
        <v>6</v>
      </c>
      <c r="O51" s="66">
        <f>IFERROR(F51/J51-1,"n/a")</f>
        <v>219.5</v>
      </c>
      <c r="P51" s="62">
        <f>IFERROR(F51/K51-1,"n/a")</f>
        <v>0.56939501779359425</v>
      </c>
      <c r="Q51" s="75">
        <f t="shared" ref="Q51:V52" si="10">Q37+Q40+Q43+Q46+Q49</f>
        <v>1888</v>
      </c>
      <c r="R51" s="75">
        <f t="shared" si="10"/>
        <v>1515</v>
      </c>
      <c r="S51" s="75">
        <f>S37+S40+S43+S46+S49</f>
        <v>1318</v>
      </c>
      <c r="T51" s="75">
        <f t="shared" si="10"/>
        <v>109</v>
      </c>
      <c r="U51" s="75">
        <f t="shared" si="10"/>
        <v>44</v>
      </c>
      <c r="V51" s="75">
        <f t="shared" si="10"/>
        <v>1164</v>
      </c>
      <c r="W51" s="66">
        <f t="shared" si="8"/>
        <v>0.24620462046204628</v>
      </c>
      <c r="X51" s="66">
        <f t="shared" si="8"/>
        <v>0.14946889226100146</v>
      </c>
      <c r="Y51" s="66">
        <f>IFERROR(R51/T51-1,"n/a")</f>
        <v>12.899082568807339</v>
      </c>
      <c r="Z51" s="66">
        <f t="shared" ref="Z51:Z52" si="11">IFERROR(R51/U51-1,"n/a")</f>
        <v>33.43181818181818</v>
      </c>
      <c r="AA51" s="62">
        <f>IFERROR(R51/V51-1,"n/a")</f>
        <v>0.30154639175257736</v>
      </c>
      <c r="AB51" s="66"/>
      <c r="AC51" s="46">
        <f t="shared" ref="AC51:AE52" si="12">AC37+AC40+AC43+AC46+AC49</f>
        <v>3856</v>
      </c>
      <c r="AD51" s="46">
        <f t="shared" si="12"/>
        <v>1673</v>
      </c>
      <c r="AE51" s="46">
        <f t="shared" si="12"/>
        <v>669</v>
      </c>
      <c r="AF51" s="80">
        <f>AF37+AF40+AF43+AF46+AF49</f>
        <v>3241</v>
      </c>
      <c r="AH51" s="122"/>
    </row>
    <row r="52" spans="3:34" s="123" customFormat="1" ht="12.75" thickTop="1" thickBot="1">
      <c r="C52" s="38" t="s">
        <v>13</v>
      </c>
      <c r="D52" s="39"/>
      <c r="E52" s="40"/>
      <c r="F52" s="76">
        <f>F38+F41+F44+F47+F50</f>
        <v>1595545</v>
      </c>
      <c r="G52" s="76">
        <f>G38+G41+G44+G47+G50</f>
        <v>1271791</v>
      </c>
      <c r="H52" s="76">
        <f t="shared" si="9"/>
        <v>857236</v>
      </c>
      <c r="I52" s="76">
        <f t="shared" si="9"/>
        <v>92497</v>
      </c>
      <c r="J52" s="76">
        <f t="shared" si="9"/>
        <v>6081</v>
      </c>
      <c r="K52" s="76">
        <f t="shared" si="9"/>
        <v>868909</v>
      </c>
      <c r="L52" s="67">
        <f>IFERROR(F52/G52-1,"n/a")</f>
        <v>0.25456541208421823</v>
      </c>
      <c r="M52" s="67">
        <f>IFERROR(F52/H52-1,"n/a")</f>
        <v>0.86126690899588909</v>
      </c>
      <c r="N52" s="67">
        <f>IFERROR(F52/I52-1,"n/a")</f>
        <v>16.249694584689234</v>
      </c>
      <c r="O52" s="67">
        <f>IFERROR(F52/J52-1,"n/a")</f>
        <v>261.38200953790493</v>
      </c>
      <c r="P52" s="63">
        <f>IFERROR(F52/K52-1,"n/a")</f>
        <v>0.83626248548467097</v>
      </c>
      <c r="Q52" s="76">
        <f t="shared" si="10"/>
        <v>5735916.4000000004</v>
      </c>
      <c r="R52" s="76">
        <f t="shared" si="10"/>
        <v>4391991</v>
      </c>
      <c r="S52" s="76">
        <f t="shared" si="10"/>
        <v>2622011</v>
      </c>
      <c r="T52" s="76">
        <f t="shared" si="10"/>
        <v>152384</v>
      </c>
      <c r="U52" s="76">
        <f t="shared" si="10"/>
        <v>8294</v>
      </c>
      <c r="V52" s="76">
        <f t="shared" si="10"/>
        <v>3326266</v>
      </c>
      <c r="W52" s="67">
        <f t="shared" si="8"/>
        <v>0.30599457057175217</v>
      </c>
      <c r="X52" s="67">
        <f t="shared" si="8"/>
        <v>0.67504674846901858</v>
      </c>
      <c r="Y52" s="117">
        <f>IFERROR(R52/T52-1,"n/a")</f>
        <v>27.821864500209998</v>
      </c>
      <c r="Z52" s="117">
        <f t="shared" si="11"/>
        <v>528.53834096937544</v>
      </c>
      <c r="AA52" s="118">
        <f>IFERROR(R52/V52-1,"n/a")</f>
        <v>0.32039680530661108</v>
      </c>
      <c r="AB52" s="117"/>
      <c r="AC52" s="47">
        <f t="shared" si="12"/>
        <v>9237323</v>
      </c>
      <c r="AD52" s="47">
        <f t="shared" si="12"/>
        <v>2410085</v>
      </c>
      <c r="AE52" s="47">
        <f t="shared" si="12"/>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A2561-9790-418D-9F21-8F693819A9C3}">
  <dimension ref="A1:AH66"/>
  <sheetViews>
    <sheetView showGridLines="0" topLeftCell="A8" zoomScale="95" zoomScaleNormal="75" workbookViewId="0">
      <selection activeCell="F13" sqref="F13:K26"/>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45488</v>
      </c>
      <c r="AG3" s="25"/>
      <c r="AH3" s="9"/>
    </row>
    <row r="4" spans="1:34" ht="15.75">
      <c r="A4" s="9"/>
      <c r="B4" s="11" t="s">
        <v>7</v>
      </c>
      <c r="C4" s="26"/>
      <c r="D4" s="93" t="s">
        <v>51</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7" t="str">
        <f>D4</f>
        <v>June</v>
      </c>
      <c r="G9" s="167"/>
      <c r="H9" s="167"/>
      <c r="I9" s="167"/>
      <c r="J9" s="167"/>
      <c r="K9" s="167"/>
      <c r="L9" s="167"/>
      <c r="M9" s="167"/>
      <c r="N9" s="167"/>
      <c r="O9" s="167"/>
      <c r="P9" s="168"/>
      <c r="Q9" s="169" t="str">
        <f>"January to "&amp; D4</f>
        <v>January to June</v>
      </c>
      <c r="R9" s="170"/>
      <c r="S9" s="170"/>
      <c r="T9" s="170"/>
      <c r="U9" s="170"/>
      <c r="V9" s="170"/>
      <c r="W9" s="170"/>
      <c r="X9" s="170"/>
      <c r="Y9" s="170"/>
      <c r="Z9" s="170"/>
      <c r="AA9" s="171"/>
      <c r="AB9" s="169" t="s">
        <v>57</v>
      </c>
      <c r="AC9" s="170"/>
      <c r="AD9" s="170"/>
      <c r="AE9" s="170"/>
      <c r="AF9" s="172"/>
      <c r="AG9" s="122"/>
      <c r="AH9" s="122"/>
    </row>
    <row r="10" spans="1:34"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156</v>
      </c>
      <c r="G13" s="73">
        <v>95</v>
      </c>
      <c r="H13" s="71">
        <v>77</v>
      </c>
      <c r="I13" s="71">
        <v>0</v>
      </c>
      <c r="J13" s="71">
        <v>0</v>
      </c>
      <c r="K13" s="71">
        <v>90</v>
      </c>
      <c r="L13" s="64">
        <f>IFERROR(F13/G13-1,"n/a")</f>
        <v>0.64210526315789473</v>
      </c>
      <c r="M13" s="64">
        <f>IFERROR(F13/H13-1,"n/a")</f>
        <v>1.0259740259740258</v>
      </c>
      <c r="N13" s="64" t="str">
        <f>IFERROR(F13/I13-1,"n/a")</f>
        <v>n/a</v>
      </c>
      <c r="O13" s="64" t="str">
        <f>IFERROR(F13/J13-1,"n/a")</f>
        <v>n/a</v>
      </c>
      <c r="P13" s="60">
        <f>IFERROR(F13/K13-1,"n/a")</f>
        <v>0.73333333333333339</v>
      </c>
      <c r="Q13" s="68">
        <f>'May-24'!Q13+F13</f>
        <v>1208</v>
      </c>
      <c r="R13" s="68">
        <f>'May-24'!R13+G13</f>
        <v>853</v>
      </c>
      <c r="S13" s="68">
        <f>'May-24'!S13+H13</f>
        <v>826</v>
      </c>
      <c r="T13" s="68">
        <f>'May-24'!T13+I13</f>
        <v>0</v>
      </c>
      <c r="U13" s="68">
        <f>'May-24'!U13+J13</f>
        <v>551</v>
      </c>
      <c r="V13" s="68">
        <f>'May-24'!V13+K13</f>
        <v>825</v>
      </c>
      <c r="W13" s="64">
        <f>IFERROR(Q13/R13-1,"n/a")</f>
        <v>0.41617819460726846</v>
      </c>
      <c r="X13" s="64">
        <f>IFERROR(Q13/S13-1,"n/a")</f>
        <v>0.46246973365617428</v>
      </c>
      <c r="Y13" s="64" t="str">
        <f>IFERROR(Q13/T13-1,"n/a")</f>
        <v>n/a</v>
      </c>
      <c r="Z13" s="64">
        <f>IFERROR(Q13/U13-1,"n/a")</f>
        <v>1.1923774954627948</v>
      </c>
      <c r="AA13" s="60">
        <f>IFERROR(Q13/V13-1,"n/a")</f>
        <v>0.46424242424242435</v>
      </c>
      <c r="AB13" s="68">
        <v>1630</v>
      </c>
      <c r="AC13" s="68">
        <v>1486</v>
      </c>
      <c r="AD13" s="68">
        <v>522</v>
      </c>
      <c r="AE13" s="68">
        <v>551</v>
      </c>
      <c r="AF13" s="134">
        <v>1591</v>
      </c>
      <c r="AG13" s="122"/>
      <c r="AH13" s="122"/>
    </row>
    <row r="14" spans="1:34" s="123" customFormat="1" ht="12.75">
      <c r="A14" s="122"/>
      <c r="B14" s="127"/>
      <c r="C14" s="33"/>
      <c r="D14" s="26" t="s">
        <v>11</v>
      </c>
      <c r="E14" s="32"/>
      <c r="F14" s="71">
        <v>557443</v>
      </c>
      <c r="G14" s="73">
        <v>359885</v>
      </c>
      <c r="H14" s="71">
        <v>251675</v>
      </c>
      <c r="I14" s="71">
        <v>0</v>
      </c>
      <c r="J14" s="71">
        <v>0</v>
      </c>
      <c r="K14" s="71">
        <v>303053</v>
      </c>
      <c r="L14" s="64">
        <f>IFERROR(F14/G14-1,"n/a")</f>
        <v>0.54894758047709691</v>
      </c>
      <c r="M14" s="64">
        <f>IFERROR(F14/H14-1,"n/a")</f>
        <v>1.2149319558955001</v>
      </c>
      <c r="N14" s="64" t="str">
        <f>IFERROR(F14/I14-1,"n/a")</f>
        <v>n/a</v>
      </c>
      <c r="O14" s="64" t="str">
        <f>IFERROR(F14/J14-1,"n/a")</f>
        <v>n/a</v>
      </c>
      <c r="P14" s="60">
        <f>IFERROR(F14/K14-1,"n/a")</f>
        <v>0.83942412713287773</v>
      </c>
      <c r="Q14" s="68">
        <f>'May-24'!Q14+F14</f>
        <v>3955040</v>
      </c>
      <c r="R14" s="68">
        <f>'May-24'!R14+G14</f>
        <v>2701062</v>
      </c>
      <c r="S14" s="68">
        <f>'May-24'!S14+H14</f>
        <v>1544089</v>
      </c>
      <c r="T14" s="68">
        <f>'May-24'!T14+I14</f>
        <v>0</v>
      </c>
      <c r="U14" s="68">
        <f>'May-24'!U14+J14</f>
        <v>1092884</v>
      </c>
      <c r="V14" s="68">
        <f>'May-24'!V14+K14</f>
        <v>2451255</v>
      </c>
      <c r="W14" s="64">
        <f>IFERROR(Q14/R14-1,"n/a")</f>
        <v>0.46425368984495718</v>
      </c>
      <c r="X14" s="64">
        <f>IFERROR(Q14/S14-1,"n/a")</f>
        <v>1.5614067582891917</v>
      </c>
      <c r="Y14" s="64" t="str">
        <f>IFERROR(Q14/T14-1,"n/a")</f>
        <v>n/a</v>
      </c>
      <c r="Z14" s="64">
        <f>IFERROR(Q14/U14-1,"n/a")</f>
        <v>2.6189019145673282</v>
      </c>
      <c r="AA14" s="60">
        <f>IFERROR(Q14/V14-1,"n/a")</f>
        <v>0.61347554619980382</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114</v>
      </c>
      <c r="G16" s="74">
        <v>73</v>
      </c>
      <c r="H16" s="71">
        <v>89</v>
      </c>
      <c r="I16" s="71">
        <v>17</v>
      </c>
      <c r="J16" s="71">
        <v>0</v>
      </c>
      <c r="K16" s="71">
        <v>71</v>
      </c>
      <c r="L16" s="64">
        <f>IFERROR(F16/G16-1,"n/a")</f>
        <v>0.56164383561643838</v>
      </c>
      <c r="M16" s="64">
        <f>IFERROR(F16/H16-1,"n/a")</f>
        <v>0.2808988764044944</v>
      </c>
      <c r="N16" s="64">
        <f>IFERROR(F16/I16-1,"n/a")</f>
        <v>5.7058823529411766</v>
      </c>
      <c r="O16" s="64" t="str">
        <f>IFERROR(F16/J16-1,"n/a")</f>
        <v>n/a</v>
      </c>
      <c r="P16" s="60">
        <f>IFERROR(F16/K16-1,"n/a")</f>
        <v>0.60563380281690149</v>
      </c>
      <c r="Q16" s="68">
        <f>'May-24'!Q16+F16</f>
        <v>298</v>
      </c>
      <c r="R16" s="68">
        <f>'May-24'!R16+G16</f>
        <v>216</v>
      </c>
      <c r="S16" s="68">
        <f>'May-24'!S16+H16</f>
        <v>252</v>
      </c>
      <c r="T16" s="68">
        <f>'May-24'!T16+I16</f>
        <v>51</v>
      </c>
      <c r="U16" s="68">
        <f>'May-24'!U16+J16</f>
        <v>10</v>
      </c>
      <c r="V16" s="68">
        <f>'May-24'!V16+K16</f>
        <v>216</v>
      </c>
      <c r="W16" s="64">
        <f>IFERROR(Q16/R16-1,"n/a")</f>
        <v>0.37962962962962954</v>
      </c>
      <c r="X16" s="64">
        <f>IFERROR(Q16/S16-1,"n/a")</f>
        <v>0.18253968253968256</v>
      </c>
      <c r="Y16" s="64">
        <f>IFERROR(Q16/T16-1,"n/a")</f>
        <v>4.8431372549019605</v>
      </c>
      <c r="Z16" s="64">
        <f>IFERROR(Q16/U16-1,"n/a")</f>
        <v>28.8</v>
      </c>
      <c r="AA16" s="60">
        <f>IFERROR(Q16/V16-1,"n/a")</f>
        <v>0.37962962962962954</v>
      </c>
      <c r="AB16" s="68">
        <v>575</v>
      </c>
      <c r="AC16" s="68">
        <v>572</v>
      </c>
      <c r="AD16" s="68">
        <v>202</v>
      </c>
      <c r="AE16" s="68">
        <v>54</v>
      </c>
      <c r="AF16" s="134">
        <v>586</v>
      </c>
      <c r="AG16" s="122"/>
      <c r="AH16" s="122"/>
    </row>
    <row r="17" spans="1:34" s="123" customFormat="1" ht="12.75">
      <c r="A17" s="122"/>
      <c r="B17" s="127"/>
      <c r="C17" s="33"/>
      <c r="D17" s="26" t="s">
        <v>11</v>
      </c>
      <c r="E17" s="32"/>
      <c r="F17" s="71">
        <v>313005</v>
      </c>
      <c r="G17" s="74">
        <v>224892</v>
      </c>
      <c r="H17" s="71">
        <v>121649</v>
      </c>
      <c r="I17" s="71">
        <v>24481</v>
      </c>
      <c r="J17" s="71">
        <v>0</v>
      </c>
      <c r="K17" s="71">
        <v>165399</v>
      </c>
      <c r="L17" s="64">
        <f>IFERROR(F17/G17-1,"n/a")</f>
        <v>0.39180139800437552</v>
      </c>
      <c r="M17" s="64">
        <f>IFERROR(F17/H17-1,"n/a")</f>
        <v>1.5730174518491724</v>
      </c>
      <c r="N17" s="64">
        <f>IFERROR(F17/I17-1,"n/a")</f>
        <v>11.785629671990524</v>
      </c>
      <c r="O17" s="64" t="str">
        <f>IFERROR(F17/J17-1,"n/a")</f>
        <v>n/a</v>
      </c>
      <c r="P17" s="60">
        <f>IFERROR(F17/K17-1,"n/a")</f>
        <v>0.89242377523443306</v>
      </c>
      <c r="Q17" s="68">
        <f>'May-24'!Q17+F17</f>
        <v>773753</v>
      </c>
      <c r="R17" s="68">
        <f>'May-24'!R17+G17</f>
        <v>576378</v>
      </c>
      <c r="S17" s="68">
        <f>'May-24'!S17+H17</f>
        <v>300562</v>
      </c>
      <c r="T17" s="68">
        <f>'May-24'!T17+I17</f>
        <v>65067</v>
      </c>
      <c r="U17" s="68">
        <f>'May-24'!U17+J17</f>
        <v>41113</v>
      </c>
      <c r="V17" s="68">
        <f>'May-24'!V17+K17</f>
        <v>558503</v>
      </c>
      <c r="W17" s="64">
        <f>IFERROR(Q17/R17-1,"n/a")</f>
        <v>0.34244020417156795</v>
      </c>
      <c r="X17" s="64">
        <f>IFERROR(Q17/S17-1,"n/a")</f>
        <v>1.5743540434253167</v>
      </c>
      <c r="Y17" s="64">
        <f>IFERROR(Q17/T17-1,"n/a")</f>
        <v>10.891634776461187</v>
      </c>
      <c r="Z17" s="64">
        <f>IFERROR(Q17/U17-1,"n/a")</f>
        <v>17.820154209130934</v>
      </c>
      <c r="AA17" s="60">
        <f>IFERROR(Q17/V17-1,"n/a")</f>
        <v>0.38540527087589505</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95</v>
      </c>
      <c r="G19" s="73">
        <v>87</v>
      </c>
      <c r="H19" s="71">
        <v>91</v>
      </c>
      <c r="I19" s="71">
        <v>0</v>
      </c>
      <c r="J19" s="71">
        <v>0</v>
      </c>
      <c r="K19" s="71">
        <v>42</v>
      </c>
      <c r="L19" s="64">
        <f>IFERROR(F19/G19-1,"n/a")</f>
        <v>9.1954022988505857E-2</v>
      </c>
      <c r="M19" s="64">
        <f>IFERROR(F19/H19-1,"n/a")</f>
        <v>4.3956043956044022E-2</v>
      </c>
      <c r="N19" s="64" t="str">
        <f>IFERROR(F19/I19-1,"n/a")</f>
        <v>n/a</v>
      </c>
      <c r="O19" s="64" t="str">
        <f>IFERROR(F19/J19-1,"n/a")</f>
        <v>n/a</v>
      </c>
      <c r="P19" s="60">
        <f>IFERROR(F19/K19-1,"n/a")</f>
        <v>1.2619047619047619</v>
      </c>
      <c r="Q19" s="68">
        <f>'May-24'!Q19+F19</f>
        <v>265</v>
      </c>
      <c r="R19" s="68">
        <f>'May-24'!R19+G19</f>
        <v>256</v>
      </c>
      <c r="S19" s="68">
        <f>'May-24'!S19+H19</f>
        <v>229</v>
      </c>
      <c r="T19" s="68">
        <f>'May-24'!T19+I19</f>
        <v>3</v>
      </c>
      <c r="U19" s="68">
        <f>'May-24'!U19+J19</f>
        <v>3</v>
      </c>
      <c r="V19" s="68">
        <f>'May-24'!V19+K19</f>
        <v>106</v>
      </c>
      <c r="W19" s="64">
        <f>IFERROR(Q19/R19-1,"n/a")</f>
        <v>3.515625E-2</v>
      </c>
      <c r="X19" s="64">
        <f>IFERROR(Q19/S19-1,"n/a")</f>
        <v>0.15720524017467241</v>
      </c>
      <c r="Y19" s="64">
        <f>IFERROR(Q19/T19-1,"n/a")</f>
        <v>87.333333333333329</v>
      </c>
      <c r="Z19" s="64">
        <f>IFERROR(Q19/U19-1,"n/a")</f>
        <v>87.333333333333329</v>
      </c>
      <c r="AA19" s="60">
        <f>IFERROR(Q19/V19-1,"n/a")</f>
        <v>1.5</v>
      </c>
      <c r="AB19" s="68">
        <v>708</v>
      </c>
      <c r="AC19" s="68">
        <v>658</v>
      </c>
      <c r="AD19" s="68">
        <v>47</v>
      </c>
      <c r="AE19" s="68">
        <v>9</v>
      </c>
      <c r="AF19" s="134">
        <v>290</v>
      </c>
      <c r="AG19" s="122"/>
      <c r="AH19" s="122"/>
    </row>
    <row r="20" spans="1:34" s="123" customFormat="1" ht="12.75">
      <c r="A20" s="122"/>
      <c r="B20" s="127"/>
      <c r="C20" s="33"/>
      <c r="D20" s="26" t="s">
        <v>11</v>
      </c>
      <c r="E20" s="32"/>
      <c r="F20" s="71">
        <v>203091</v>
      </c>
      <c r="G20" s="73">
        <f>132170+37144</f>
        <v>169314</v>
      </c>
      <c r="H20" s="71">
        <v>118355</v>
      </c>
      <c r="I20" s="71">
        <v>0</v>
      </c>
      <c r="J20" s="71">
        <v>2213</v>
      </c>
      <c r="K20" s="71">
        <f>46798+31061</f>
        <v>77859</v>
      </c>
      <c r="L20" s="64">
        <f>IFERROR(F20/G20-1,"n/a")</f>
        <v>0.19949324922924272</v>
      </c>
      <c r="M20" s="64">
        <f>IFERROR(F20/H20-1,"n/a")</f>
        <v>0.71594778420852512</v>
      </c>
      <c r="N20" s="64" t="str">
        <f>IFERROR(F20/I20-1,"n/a")</f>
        <v>n/a</v>
      </c>
      <c r="O20" s="64">
        <f>IFERROR(F20/J20-1,"n/a")</f>
        <v>90.771802982376869</v>
      </c>
      <c r="P20" s="60">
        <f>IFERROR(F20/K20-1,"n/a")</f>
        <v>1.6084460370670057</v>
      </c>
      <c r="Q20" s="68">
        <f>'May-24'!Q20+F20</f>
        <v>475388.4</v>
      </c>
      <c r="R20" s="68">
        <f>'May-24'!R20+G20</f>
        <v>393780</v>
      </c>
      <c r="S20" s="68">
        <f>'May-24'!S20+H20</f>
        <v>242591</v>
      </c>
      <c r="T20" s="68">
        <f>'May-24'!T20+I20</f>
        <v>0</v>
      </c>
      <c r="U20" s="68">
        <f>'May-24'!U20+J20</f>
        <v>3966</v>
      </c>
      <c r="V20" s="68">
        <f>'May-24'!V20+K20</f>
        <v>186782</v>
      </c>
      <c r="W20" s="64">
        <f>IFERROR(Q20/R20-1,"n/a")</f>
        <v>0.20724363857991768</v>
      </c>
      <c r="X20" s="64">
        <f>IFERROR(Q20/S20-1,"n/a")</f>
        <v>0.95962917008462822</v>
      </c>
      <c r="Y20" s="64" t="str">
        <f>IFERROR(Q20/T20-1,"n/a")</f>
        <v>n/a</v>
      </c>
      <c r="Z20" s="64">
        <f>IFERROR(Q20/U20-1,"n/a")</f>
        <v>118.86596066565809</v>
      </c>
      <c r="AA20" s="60">
        <f>IFERROR(Q20/V20-1,"n/a")</f>
        <v>1.5451510316839956</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96</v>
      </c>
      <c r="G22" s="74">
        <v>88</v>
      </c>
      <c r="H22" s="71">
        <v>69</v>
      </c>
      <c r="I22" s="71">
        <v>4</v>
      </c>
      <c r="J22" s="71">
        <v>0</v>
      </c>
      <c r="K22" s="71">
        <v>70</v>
      </c>
      <c r="L22" s="64">
        <f>IFERROR(F22/G22-1,"n/a")</f>
        <v>9.0909090909090828E-2</v>
      </c>
      <c r="M22" s="64">
        <f>IFERROR(F22/H22-1,"n/a")</f>
        <v>0.39130434782608692</v>
      </c>
      <c r="N22" s="64">
        <f>IFERROR(F22/I22-1,"n/a")</f>
        <v>23</v>
      </c>
      <c r="O22" s="64" t="str">
        <f>IFERROR(F22/J22-1,"n/a")</f>
        <v>n/a</v>
      </c>
      <c r="P22" s="60">
        <f>IFERROR(F22/K22-1,"n/a")</f>
        <v>0.37142857142857144</v>
      </c>
      <c r="Q22" s="68">
        <f>'May-24'!Q22+F22</f>
        <v>696</v>
      </c>
      <c r="R22" s="68">
        <f>'May-24'!R22+G22</f>
        <v>696</v>
      </c>
      <c r="S22" s="68">
        <f>'May-24'!S22+H22</f>
        <v>329</v>
      </c>
      <c r="T22" s="68">
        <f>'May-24'!T22+I22</f>
        <v>4</v>
      </c>
      <c r="U22" s="68">
        <f>'May-24'!U22+J22</f>
        <v>43</v>
      </c>
      <c r="V22" s="68">
        <f>'May-24'!V22+K22</f>
        <v>362</v>
      </c>
      <c r="W22" s="64">
        <f>IFERROR(Q22/R22-1,"n/a")</f>
        <v>0</v>
      </c>
      <c r="X22" s="64">
        <f>IFERROR(Q22/S22-1,"n/a")</f>
        <v>1.115501519756839</v>
      </c>
      <c r="Y22" s="64">
        <f>IFERROR(Q22/T22-1,"n/a")</f>
        <v>173</v>
      </c>
      <c r="Z22" s="64">
        <f>IFERROR(Q22/U22-1,"n/a")</f>
        <v>15.186046511627907</v>
      </c>
      <c r="AA22" s="60">
        <f>IFERROR(Q22/V22-1,"n/a")</f>
        <v>0.92265193370165743</v>
      </c>
      <c r="AB22" s="68">
        <v>1500</v>
      </c>
      <c r="AC22" s="68">
        <v>895</v>
      </c>
      <c r="AD22" s="68">
        <v>283</v>
      </c>
      <c r="AE22" s="68">
        <v>43</v>
      </c>
      <c r="AF22" s="134">
        <v>827</v>
      </c>
      <c r="AG22" s="122"/>
      <c r="AH22" s="122"/>
    </row>
    <row r="23" spans="1:34" s="123" customFormat="1" ht="12.75">
      <c r="A23" s="122"/>
      <c r="B23" s="127"/>
      <c r="C23" s="33"/>
      <c r="D23" s="26" t="s">
        <v>11</v>
      </c>
      <c r="E23" s="32"/>
      <c r="F23" s="71">
        <v>382725</v>
      </c>
      <c r="G23" s="73">
        <v>334459</v>
      </c>
      <c r="H23" s="71">
        <v>183895</v>
      </c>
      <c r="I23" s="71">
        <v>4923</v>
      </c>
      <c r="J23" s="71">
        <v>0</v>
      </c>
      <c r="K23" s="71">
        <v>275367</v>
      </c>
      <c r="L23" s="64">
        <f>IFERROR(F23/G23-1,"n/a")</f>
        <v>0.1443106628914157</v>
      </c>
      <c r="M23" s="64">
        <f>IFERROR(F23/H23-1,"n/a")</f>
        <v>1.0812148236765546</v>
      </c>
      <c r="N23" s="64">
        <f>IFERROR(F23/I23-1,"n/a")</f>
        <v>76.742230347349178</v>
      </c>
      <c r="O23" s="64" t="str">
        <f>IFERROR(F23/J23-1,"n/a")</f>
        <v>n/a</v>
      </c>
      <c r="P23" s="60">
        <f>IFERROR(F23/K23-1,"n/a")</f>
        <v>0.38987242480035733</v>
      </c>
      <c r="Q23" s="68">
        <f>'May-24'!Q23+F23</f>
        <v>2154725</v>
      </c>
      <c r="R23" s="68">
        <f>'May-24'!R23+G23</f>
        <v>1913752</v>
      </c>
      <c r="S23" s="68">
        <f>'May-24'!S23+H23</f>
        <v>542087</v>
      </c>
      <c r="T23" s="68">
        <f>'May-24'!T23+I23</f>
        <v>4923</v>
      </c>
      <c r="U23" s="68">
        <f>'May-24'!U23+J23</f>
        <v>140552</v>
      </c>
      <c r="V23" s="68">
        <f>'May-24'!V23+K23</f>
        <v>1040452</v>
      </c>
      <c r="W23" s="64">
        <f>IFERROR(Q23/R23-1,"n/a")</f>
        <v>0.12591652418913224</v>
      </c>
      <c r="X23" s="64">
        <f>IFERROR(Q23/S23-1,"n/a")</f>
        <v>2.9748693475401549</v>
      </c>
      <c r="Y23" s="64">
        <f>IFERROR(Q23/T23-1,"n/a")</f>
        <v>436.68535445866343</v>
      </c>
      <c r="Z23" s="64">
        <f>IFERROR(Q23/U23-1,"n/a")</f>
        <v>14.330447094313849</v>
      </c>
      <c r="AA23" s="60">
        <f>IFERROR(Q23/V23-1,"n/a")</f>
        <v>1.0709508944189641</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2</v>
      </c>
      <c r="G25" s="71">
        <v>4</v>
      </c>
      <c r="H25" s="71">
        <v>1</v>
      </c>
      <c r="I25" s="71">
        <v>0</v>
      </c>
      <c r="J25" s="71">
        <v>0</v>
      </c>
      <c r="K25" s="71">
        <v>5</v>
      </c>
      <c r="L25" s="64">
        <f>IFERROR(F25/G25-1,"n/a")</f>
        <v>-0.5</v>
      </c>
      <c r="M25" s="64">
        <f>IFERROR(F25/H25-1,"n/a")</f>
        <v>1</v>
      </c>
      <c r="N25" s="64" t="str">
        <f>IFERROR(F25/I25-1,"n/a")</f>
        <v>n/a</v>
      </c>
      <c r="O25" s="64" t="str">
        <f>IFERROR(F25/J25-1,"n/a")</f>
        <v>n/a</v>
      </c>
      <c r="P25" s="60">
        <f>IFERROR(F25/K25-1,"n/a")</f>
        <v>-0.6</v>
      </c>
      <c r="Q25" s="68">
        <f>'May-24'!Q25+F25</f>
        <v>5</v>
      </c>
      <c r="R25" s="68">
        <f>'May-24'!R25+G25</f>
        <v>8</v>
      </c>
      <c r="S25" s="68">
        <f>'May-24'!S25+H25</f>
        <v>2</v>
      </c>
      <c r="T25" s="68">
        <f>'May-24'!T25+I25</f>
        <v>0</v>
      </c>
      <c r="U25" s="68">
        <f>'May-24'!U25+J25</f>
        <v>0</v>
      </c>
      <c r="V25" s="68">
        <f>'May-24'!V25+K25</f>
        <v>8</v>
      </c>
      <c r="W25" s="64">
        <f>IFERROR(Q25/R25-1,"n/a")</f>
        <v>-0.375</v>
      </c>
      <c r="X25" s="64">
        <f>IFERROR(Q25/S25-1,"n/a")</f>
        <v>1.5</v>
      </c>
      <c r="Y25" s="64" t="str">
        <f>IFERROR(Q25/T25-1,"n/a")</f>
        <v>n/a</v>
      </c>
      <c r="Z25" s="64" t="str">
        <f>IFERROR(Q25/U25-1,"n/a")</f>
        <v>n/a</v>
      </c>
      <c r="AA25" s="60">
        <f>IFERROR(Q25/V25-1,"n/a")</f>
        <v>-0.375</v>
      </c>
      <c r="AB25" s="68">
        <v>21</v>
      </c>
      <c r="AC25" s="68">
        <v>9</v>
      </c>
      <c r="AD25" s="68">
        <v>0</v>
      </c>
      <c r="AE25" s="68">
        <v>0</v>
      </c>
      <c r="AF25" s="134">
        <v>16</v>
      </c>
      <c r="AG25" s="122"/>
      <c r="AH25" s="122"/>
    </row>
    <row r="26" spans="1:34" s="123" customFormat="1" ht="12.75">
      <c r="A26" s="122"/>
      <c r="B26" s="127"/>
      <c r="C26" s="33"/>
      <c r="D26" s="26" t="s">
        <v>11</v>
      </c>
      <c r="E26" s="32"/>
      <c r="F26" s="71">
        <v>6222</v>
      </c>
      <c r="G26" s="71">
        <v>9205</v>
      </c>
      <c r="H26" s="71">
        <v>2226</v>
      </c>
      <c r="I26" s="71">
        <v>0</v>
      </c>
      <c r="J26" s="71">
        <v>0</v>
      </c>
      <c r="K26" s="71">
        <v>6817</v>
      </c>
      <c r="L26" s="64">
        <f>IFERROR(F26/G26-1,"n/a")</f>
        <v>-0.32406300923411191</v>
      </c>
      <c r="M26" s="64">
        <f>IFERROR(F26/H26-1,"n/a")</f>
        <v>1.7951482479784366</v>
      </c>
      <c r="N26" s="64" t="str">
        <f>IFERROR(F26/I26-1,"n/a")</f>
        <v>n/a</v>
      </c>
      <c r="O26" s="64" t="str">
        <f>IFERROR(F26/J26-1,"n/a")</f>
        <v>n/a</v>
      </c>
      <c r="P26" s="60">
        <f>IFERROR(F26/K26-1,"n/a")</f>
        <v>-8.7281795511221949E-2</v>
      </c>
      <c r="Q26" s="68">
        <f>'May-24'!Q26+F26</f>
        <v>18659</v>
      </c>
      <c r="R26" s="68">
        <f>'May-24'!R26+G26</f>
        <v>13587</v>
      </c>
      <c r="S26" s="68">
        <f>'May-24'!S26+H26</f>
        <v>3151</v>
      </c>
      <c r="T26" s="68">
        <f>'May-24'!T26+I26</f>
        <v>0</v>
      </c>
      <c r="U26" s="68">
        <f>'May-24'!U26+J26</f>
        <v>0</v>
      </c>
      <c r="V26" s="68">
        <f>'May-24'!V26+K26</f>
        <v>10227</v>
      </c>
      <c r="W26" s="64">
        <f>IFERROR(Q26/R26-1,"n/a")</f>
        <v>0.37329800544638259</v>
      </c>
      <c r="X26" s="64">
        <f>IFERROR(Q26/S26-1,"n/a")</f>
        <v>4.9216121866074261</v>
      </c>
      <c r="Y26" s="64" t="str">
        <f>IFERROR(Q26/T26-1,"n/a")</f>
        <v>n/a</v>
      </c>
      <c r="Z26" s="64" t="str">
        <f>IFERROR(Q26/U26-1,"n/a")</f>
        <v>n/a</v>
      </c>
      <c r="AA26" s="60">
        <f>IFERROR(Q26/V26-1,"n/a")</f>
        <v>0.82448420846778125</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463</v>
      </c>
      <c r="G27" s="75">
        <f t="shared" si="0"/>
        <v>347</v>
      </c>
      <c r="H27" s="75">
        <f t="shared" si="0"/>
        <v>327</v>
      </c>
      <c r="I27" s="75">
        <f t="shared" si="0"/>
        <v>21</v>
      </c>
      <c r="J27" s="75">
        <f t="shared" si="0"/>
        <v>0</v>
      </c>
      <c r="K27" s="75">
        <f t="shared" si="0"/>
        <v>278</v>
      </c>
      <c r="L27" s="66">
        <f>IFERROR(F27/G27-1,"n/a")</f>
        <v>0.33429394812680124</v>
      </c>
      <c r="M27" s="66">
        <f>IFERROR(F27/H27-1,"n/a")</f>
        <v>0.41590214067278297</v>
      </c>
      <c r="N27" s="66">
        <f>IFERROR(F27/I27-1,"n/a")</f>
        <v>21.047619047619047</v>
      </c>
      <c r="O27" s="66" t="str">
        <f>IFERROR(F27/J27-1,"n/a")</f>
        <v>n/a</v>
      </c>
      <c r="P27" s="62">
        <f>IFERROR(F27/K27-1,"n/a")</f>
        <v>0.66546762589928066</v>
      </c>
      <c r="Q27" s="75">
        <f t="shared" ref="Q27:V28" si="1">Q13+Q16+Q19+Q22+Q25</f>
        <v>2472</v>
      </c>
      <c r="R27" s="75">
        <f t="shared" si="1"/>
        <v>2029</v>
      </c>
      <c r="S27" s="75">
        <f t="shared" si="1"/>
        <v>1638</v>
      </c>
      <c r="T27" s="75">
        <f t="shared" si="1"/>
        <v>58</v>
      </c>
      <c r="U27" s="75">
        <f t="shared" si="1"/>
        <v>607</v>
      </c>
      <c r="V27" s="75">
        <f t="shared" si="1"/>
        <v>1517</v>
      </c>
      <c r="W27" s="66">
        <f>IFERROR(Q27/R27-1,"n/a")</f>
        <v>0.21833415475603735</v>
      </c>
      <c r="X27" s="66">
        <f>IFERROR(Q27/S27-1,"n/a")</f>
        <v>0.50915750915750912</v>
      </c>
      <c r="Y27" s="66">
        <f>IFERROR(Q27/T27-1,"n/a")</f>
        <v>41.620689655172413</v>
      </c>
      <c r="Z27" s="66">
        <f>IFERROR(Q27/U27-1,"n/a")</f>
        <v>3.0724876441515647</v>
      </c>
      <c r="AA27" s="62">
        <f>IFERROR(Q27/V27-1,"n/a")</f>
        <v>0.62953197099538571</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1462486</v>
      </c>
      <c r="G28" s="76">
        <f t="shared" si="0"/>
        <v>1097755</v>
      </c>
      <c r="H28" s="76">
        <f t="shared" si="0"/>
        <v>677800</v>
      </c>
      <c r="I28" s="76">
        <f t="shared" si="0"/>
        <v>29404</v>
      </c>
      <c r="J28" s="76">
        <f t="shared" si="0"/>
        <v>2213</v>
      </c>
      <c r="K28" s="76">
        <f t="shared" si="0"/>
        <v>828495</v>
      </c>
      <c r="L28" s="67">
        <f>IFERROR(F28/G28-1,"n/a")</f>
        <v>0.33225173194383073</v>
      </c>
      <c r="M28" s="67">
        <f>IFERROR(F28/H28-1,"n/a")</f>
        <v>1.1576954853939214</v>
      </c>
      <c r="N28" s="67">
        <f>IFERROR(F28/I28-1,"n/a")</f>
        <v>48.737654740851582</v>
      </c>
      <c r="O28" s="67">
        <f>IFERROR(F28/J28-1,"n/a")</f>
        <v>659.86127428829639</v>
      </c>
      <c r="P28" s="63">
        <f>IFERROR(F28/K28-1,"n/a")</f>
        <v>0.76523213779202037</v>
      </c>
      <c r="Q28" s="76">
        <f t="shared" si="1"/>
        <v>7377565.4000000004</v>
      </c>
      <c r="R28" s="76">
        <f t="shared" si="1"/>
        <v>5598559</v>
      </c>
      <c r="S28" s="76">
        <f t="shared" si="1"/>
        <v>2632480</v>
      </c>
      <c r="T28" s="76">
        <f t="shared" si="1"/>
        <v>69990</v>
      </c>
      <c r="U28" s="76">
        <f t="shared" si="1"/>
        <v>1278515</v>
      </c>
      <c r="V28" s="76">
        <f t="shared" si="1"/>
        <v>4247219</v>
      </c>
      <c r="W28" s="67">
        <f>IFERROR(Q28/R28-1,"n/a")</f>
        <v>0.31776148112398217</v>
      </c>
      <c r="X28" s="67">
        <f>IFERROR(Q28/S28-1,"n/a")</f>
        <v>1.8025152707712881</v>
      </c>
      <c r="Y28" s="67">
        <f>IFERROR(Q28/T28-1,"n/a")</f>
        <v>104.40884983569082</v>
      </c>
      <c r="Z28" s="67">
        <f>IFERROR(Q28/U28-1,"n/a")</f>
        <v>4.7704175547412433</v>
      </c>
      <c r="AA28" s="63">
        <f>IFERROR(Q28/V28-1,"n/a")</f>
        <v>0.73703437472849886</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June</v>
      </c>
      <c r="G33" s="170"/>
      <c r="H33" s="170"/>
      <c r="I33" s="170"/>
      <c r="J33" s="170"/>
      <c r="K33" s="170"/>
      <c r="L33" s="170"/>
      <c r="M33" s="170"/>
      <c r="N33" s="170"/>
      <c r="O33" s="170"/>
      <c r="P33" s="171"/>
      <c r="Q33" s="176" t="s">
        <v>132</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156</v>
      </c>
      <c r="G37" s="74">
        <f t="shared" si="3"/>
        <v>95</v>
      </c>
      <c r="H37" s="74">
        <f t="shared" si="3"/>
        <v>77</v>
      </c>
      <c r="I37" s="74">
        <f t="shared" si="3"/>
        <v>0</v>
      </c>
      <c r="J37" s="74">
        <f t="shared" si="3"/>
        <v>0</v>
      </c>
      <c r="K37" s="74">
        <f t="shared" si="3"/>
        <v>90</v>
      </c>
      <c r="L37" s="64">
        <f>IFERROR(F37/G37-1,"n/a")</f>
        <v>0.64210526315789473</v>
      </c>
      <c r="M37" s="64">
        <f>IFERROR(F37/H37-1,"n/a")</f>
        <v>1.0259740259740258</v>
      </c>
      <c r="N37" s="64" t="str">
        <f>IFERROR(F37/I37-1,"n/a")</f>
        <v>n/a</v>
      </c>
      <c r="O37" s="64" t="str">
        <f>IFERROR(F37/J37-1,"n/a")</f>
        <v>n/a</v>
      </c>
      <c r="P37" s="60">
        <f>IFERROR(F37/K37-1,"n/a")</f>
        <v>0.73333333333333339</v>
      </c>
      <c r="Q37" s="74">
        <f>'May-24'!Q37+F37</f>
        <v>506</v>
      </c>
      <c r="R37" s="74">
        <f>'May-24'!R37+G37</f>
        <v>323</v>
      </c>
      <c r="S37" s="74">
        <f>'May-24'!S37+H37</f>
        <v>296</v>
      </c>
      <c r="T37" s="74">
        <f>'May-24'!T37+I37</f>
        <v>0</v>
      </c>
      <c r="U37" s="74">
        <f>'May-24'!U37+J37</f>
        <v>42</v>
      </c>
      <c r="V37" s="74">
        <f>'May-24'!V37+K37</f>
        <v>309</v>
      </c>
      <c r="W37" s="119">
        <f>IFERROR(Q37/R37-1,"n/a")</f>
        <v>0.56656346749226016</v>
      </c>
      <c r="X37" s="119">
        <f>IFERROR(R37/S37-1,"n/a")</f>
        <v>9.1216216216216228E-2</v>
      </c>
      <c r="Y37" s="119" t="str">
        <f>IFERROR(R37/T37-1,"n/a")</f>
        <v>n/a</v>
      </c>
      <c r="Z37" s="119">
        <f>IFERROR(R37/U37-1,"n/a")</f>
        <v>6.6904761904761907</v>
      </c>
      <c r="AA37" s="120">
        <f>IFERROR(R37/V37-1,"n/a")</f>
        <v>4.5307443365695699E-2</v>
      </c>
      <c r="AB37" s="147"/>
      <c r="AC37" s="89">
        <v>1486</v>
      </c>
      <c r="AD37" s="89">
        <v>1052</v>
      </c>
      <c r="AE37" s="70">
        <v>551</v>
      </c>
      <c r="AF37" s="78">
        <v>1584</v>
      </c>
      <c r="AH37" s="122"/>
    </row>
    <row r="38" spans="1:34" s="123" customFormat="1" ht="11.25">
      <c r="A38" s="122"/>
      <c r="B38" s="122"/>
      <c r="C38" s="33"/>
      <c r="D38" s="26" t="s">
        <v>11</v>
      </c>
      <c r="E38" s="32"/>
      <c r="F38" s="74">
        <f t="shared" si="3"/>
        <v>557443</v>
      </c>
      <c r="G38" s="74">
        <f t="shared" si="3"/>
        <v>359885</v>
      </c>
      <c r="H38" s="74">
        <f t="shared" si="3"/>
        <v>251675</v>
      </c>
      <c r="I38" s="74">
        <f t="shared" si="3"/>
        <v>0</v>
      </c>
      <c r="J38" s="74">
        <f t="shared" si="3"/>
        <v>0</v>
      </c>
      <c r="K38" s="74">
        <f t="shared" si="3"/>
        <v>303053</v>
      </c>
      <c r="L38" s="64">
        <f>IFERROR(F38/G38-1,"n/a")</f>
        <v>0.54894758047709691</v>
      </c>
      <c r="M38" s="64">
        <f>IFERROR(F38/H38-1,"n/a")</f>
        <v>1.2149319558955001</v>
      </c>
      <c r="N38" s="64" t="str">
        <f>IFERROR(F38/I38-1,"n/a")</f>
        <v>n/a</v>
      </c>
      <c r="O38" s="64" t="str">
        <f>IFERROR(F38/J38-1,"n/a")</f>
        <v>n/a</v>
      </c>
      <c r="P38" s="60">
        <f>IFERROR(F38/K38-1,"n/a")</f>
        <v>0.83942412713287773</v>
      </c>
      <c r="Q38" s="74">
        <f>'May-24'!Q38+F38</f>
        <v>1801216</v>
      </c>
      <c r="R38" s="74">
        <f>'May-24'!R38+G38</f>
        <v>1162878</v>
      </c>
      <c r="S38" s="74">
        <f>'May-24'!S38+H38</f>
        <v>784431</v>
      </c>
      <c r="T38" s="74">
        <f>'May-24'!T38+I38</f>
        <v>0</v>
      </c>
      <c r="U38" s="74">
        <f>'May-24'!U38+J38</f>
        <v>0</v>
      </c>
      <c r="V38" s="74">
        <f>'May-24'!V38+K38</f>
        <v>1000151</v>
      </c>
      <c r="W38" s="119">
        <f>IFERROR(Q38/R38-1,"n/a")</f>
        <v>0.54892946637566453</v>
      </c>
      <c r="X38" s="119">
        <f>IFERROR(R38/S38-1,"n/a")</f>
        <v>0.48244778699464952</v>
      </c>
      <c r="Y38" s="119" t="str">
        <f>IFERROR(R38/T38-1,"n/a")</f>
        <v>n/a</v>
      </c>
      <c r="Z38" s="119" t="str">
        <f>IFERROR(R38/U38-1,"n/a")</f>
        <v>n/a</v>
      </c>
      <c r="AA38" s="120">
        <f>IFERROR(R38/V38-1,"n/a")</f>
        <v>0.16270243193277811</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K41" si="4">F16</f>
        <v>114</v>
      </c>
      <c r="G40" s="74">
        <f t="shared" si="4"/>
        <v>73</v>
      </c>
      <c r="H40" s="74">
        <f t="shared" si="4"/>
        <v>89</v>
      </c>
      <c r="I40" s="74">
        <f t="shared" si="4"/>
        <v>17</v>
      </c>
      <c r="J40" s="74">
        <f t="shared" si="4"/>
        <v>0</v>
      </c>
      <c r="K40" s="74">
        <f t="shared" si="4"/>
        <v>71</v>
      </c>
      <c r="L40" s="64">
        <f>IFERROR(F40/G40-1,"n/a")</f>
        <v>0.56164383561643838</v>
      </c>
      <c r="M40" s="64">
        <f>IFERROR(F40/H40-1,"n/a")</f>
        <v>0.2808988764044944</v>
      </c>
      <c r="N40" s="64">
        <f>IFERROR(F40/I40-1,"n/a")</f>
        <v>5.7058823529411766</v>
      </c>
      <c r="O40" s="64" t="str">
        <f>IFERROR(F40/J40-1,"n/a")</f>
        <v>n/a</v>
      </c>
      <c r="P40" s="60">
        <f>IFERROR(F40/K40-1,"n/a")</f>
        <v>0.60563380281690149</v>
      </c>
      <c r="Q40" s="74">
        <f>'May-24'!Q40+F40</f>
        <v>261</v>
      </c>
      <c r="R40" s="74">
        <f>'May-24'!R40+G40</f>
        <v>189</v>
      </c>
      <c r="S40" s="74">
        <f>'May-24'!S40+H40</f>
        <v>216</v>
      </c>
      <c r="T40" s="74">
        <f>'May-24'!T40+I40</f>
        <v>39</v>
      </c>
      <c r="U40" s="74">
        <f>'May-24'!U40+J40</f>
        <v>0</v>
      </c>
      <c r="V40" s="74">
        <f>'May-24'!V40+K40</f>
        <v>193</v>
      </c>
      <c r="W40" s="119">
        <f>IFERROR(Q40/R40-1,"n/a")</f>
        <v>0.38095238095238093</v>
      </c>
      <c r="X40" s="119">
        <f>IFERROR(R40/S40-1,"n/a")</f>
        <v>-0.125</v>
      </c>
      <c r="Y40" s="119">
        <f>IFERROR(R40/T40-1,"n/a")</f>
        <v>3.8461538461538458</v>
      </c>
      <c r="Z40" s="119" t="str">
        <f>IFERROR(R40/U40-1,"n/a")</f>
        <v>n/a</v>
      </c>
      <c r="AA40" s="120">
        <f>IFERROR(R40/V40-1,"n/a")</f>
        <v>-2.0725388601036232E-2</v>
      </c>
      <c r="AB40" s="147"/>
      <c r="AC40" s="89">
        <v>563</v>
      </c>
      <c r="AD40" s="89">
        <v>226</v>
      </c>
      <c r="AE40" s="70">
        <v>66</v>
      </c>
      <c r="AF40" s="78">
        <v>573</v>
      </c>
      <c r="AH40" s="122"/>
    </row>
    <row r="41" spans="1:34" s="123" customFormat="1" ht="11.25">
      <c r="A41" s="122"/>
      <c r="B41" s="122"/>
      <c r="C41" s="33"/>
      <c r="D41" s="26" t="s">
        <v>11</v>
      </c>
      <c r="E41" s="32"/>
      <c r="F41" s="74">
        <f t="shared" si="4"/>
        <v>313005</v>
      </c>
      <c r="G41" s="74">
        <f t="shared" si="4"/>
        <v>224892</v>
      </c>
      <c r="H41" s="74">
        <f t="shared" si="4"/>
        <v>121649</v>
      </c>
      <c r="I41" s="74">
        <f t="shared" si="4"/>
        <v>24481</v>
      </c>
      <c r="J41" s="74">
        <f t="shared" si="4"/>
        <v>0</v>
      </c>
      <c r="K41" s="74">
        <f t="shared" si="4"/>
        <v>165399</v>
      </c>
      <c r="L41" s="64">
        <f>IFERROR(F41/G41-1,"n/a")</f>
        <v>0.39180139800437552</v>
      </c>
      <c r="M41" s="64">
        <f>IFERROR(F41/H41-1,"n/a")</f>
        <v>1.5730174518491724</v>
      </c>
      <c r="N41" s="64">
        <f>IFERROR(F41/I41-1,"n/a")</f>
        <v>11.785629671990524</v>
      </c>
      <c r="O41" s="64" t="str">
        <f>IFERROR(F41/J41-1,"n/a")</f>
        <v>n/a</v>
      </c>
      <c r="P41" s="60">
        <f>IFERROR(F41/K41-1,"n/a")</f>
        <v>0.89242377523443306</v>
      </c>
      <c r="Q41" s="74">
        <f>'May-24'!Q41+F41</f>
        <v>643179</v>
      </c>
      <c r="R41" s="74">
        <f>'May-24'!R41+G41</f>
        <v>493323</v>
      </c>
      <c r="S41" s="74">
        <f>'May-24'!S41+H41</f>
        <v>264054</v>
      </c>
      <c r="T41" s="74">
        <f>'May-24'!T41+I41</f>
        <v>54964</v>
      </c>
      <c r="U41" s="74">
        <f>'May-24'!U41+J41</f>
        <v>0</v>
      </c>
      <c r="V41" s="74">
        <f>'May-24'!V41+K41</f>
        <v>478129</v>
      </c>
      <c r="W41" s="119">
        <f>IFERROR(Q41/R41-1,"n/a")</f>
        <v>0.30376852488126449</v>
      </c>
      <c r="X41" s="119">
        <f>IFERROR(R41/S41-1,"n/a")</f>
        <v>0.86826558204003734</v>
      </c>
      <c r="Y41" s="119">
        <f>IFERROR(R41/T41-1,"n/a")</f>
        <v>7.9753838876355427</v>
      </c>
      <c r="Z41" s="119" t="str">
        <f>IFERROR(R41/U41-1,"n/a")</f>
        <v>n/a</v>
      </c>
      <c r="AA41" s="120">
        <f>IFERROR(R41/V41-1,"n/a")</f>
        <v>3.1778034798140231E-2</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K44" si="5">F19</f>
        <v>95</v>
      </c>
      <c r="G43" s="74">
        <f t="shared" si="5"/>
        <v>87</v>
      </c>
      <c r="H43" s="74">
        <f t="shared" si="5"/>
        <v>91</v>
      </c>
      <c r="I43" s="74">
        <f t="shared" si="5"/>
        <v>0</v>
      </c>
      <c r="J43" s="74">
        <f t="shared" si="5"/>
        <v>0</v>
      </c>
      <c r="K43" s="74">
        <f t="shared" si="5"/>
        <v>42</v>
      </c>
      <c r="L43" s="64">
        <f>IFERROR(F43/G43-1,"n/a")</f>
        <v>9.1954022988505857E-2</v>
      </c>
      <c r="M43" s="64">
        <f>IFERROR(F43/H43-1,"n/a")</f>
        <v>4.3956043956044022E-2</v>
      </c>
      <c r="N43" s="64" t="str">
        <f>IFERROR(F43/I43-1,"n/a")</f>
        <v>n/a</v>
      </c>
      <c r="O43" s="64" t="str">
        <f>IFERROR(F43/J43-1,"n/a")</f>
        <v>n/a</v>
      </c>
      <c r="P43" s="60">
        <f>IFERROR(F43/K43-1,"n/a")</f>
        <v>1.2619047619047619</v>
      </c>
      <c r="Q43" s="74">
        <f>'May-24'!Q43+F43</f>
        <v>238</v>
      </c>
      <c r="R43" s="74">
        <f>'May-24'!R43+G43</f>
        <v>233</v>
      </c>
      <c r="S43" s="74">
        <f>'May-24'!S43+H43</f>
        <v>217</v>
      </c>
      <c r="T43" s="74">
        <f>'May-24'!T43+I43</f>
        <v>3</v>
      </c>
      <c r="U43" s="74">
        <f>'May-24'!U43+J43</f>
        <v>0</v>
      </c>
      <c r="V43" s="74">
        <f>'May-24'!V43+K43</f>
        <v>100</v>
      </c>
      <c r="W43" s="119">
        <f>IFERROR(Q43/R43-1,"n/a")</f>
        <v>2.1459227467811148E-2</v>
      </c>
      <c r="X43" s="119">
        <f>IFERROR(R43/S43-1,"n/a")</f>
        <v>7.3732718894009119E-2</v>
      </c>
      <c r="Y43" s="119">
        <f>IFERROR(R43/T43-1,"n/a")</f>
        <v>76.666666666666671</v>
      </c>
      <c r="Z43" s="119" t="str">
        <f>IFERROR(R43/U43-1,"n/a")</f>
        <v>n/a</v>
      </c>
      <c r="AA43" s="120">
        <f>IFERROR(R43/V43-1,"n/a")</f>
        <v>1.33</v>
      </c>
      <c r="AB43" s="147"/>
      <c r="AC43" s="89">
        <v>669</v>
      </c>
      <c r="AD43" s="89">
        <v>59</v>
      </c>
      <c r="AE43" s="70">
        <v>9</v>
      </c>
      <c r="AF43" s="78">
        <v>287</v>
      </c>
      <c r="AH43" s="122"/>
    </row>
    <row r="44" spans="1:34" s="123" customFormat="1" ht="11.25">
      <c r="A44" s="122"/>
      <c r="B44" s="122"/>
      <c r="C44" s="33"/>
      <c r="D44" s="26" t="s">
        <v>11</v>
      </c>
      <c r="E44" s="32"/>
      <c r="F44" s="74">
        <f t="shared" si="5"/>
        <v>203091</v>
      </c>
      <c r="G44" s="74">
        <f t="shared" si="5"/>
        <v>169314</v>
      </c>
      <c r="H44" s="74">
        <f t="shared" si="5"/>
        <v>118355</v>
      </c>
      <c r="I44" s="74">
        <f t="shared" si="5"/>
        <v>0</v>
      </c>
      <c r="J44" s="74">
        <f t="shared" si="5"/>
        <v>2213</v>
      </c>
      <c r="K44" s="74">
        <f t="shared" si="5"/>
        <v>77859</v>
      </c>
      <c r="L44" s="64">
        <f>IFERROR(F44/G44-1,"n/a")</f>
        <v>0.19949324922924272</v>
      </c>
      <c r="M44" s="64">
        <f>IFERROR(F44/H44-1,"n/a")</f>
        <v>0.71594778420852512</v>
      </c>
      <c r="N44" s="64" t="str">
        <f>IFERROR(F44/I44-1,"n/a")</f>
        <v>n/a</v>
      </c>
      <c r="O44" s="64">
        <f>IFERROR(F44/J44-1,"n/a")</f>
        <v>90.771802982376869</v>
      </c>
      <c r="P44" s="60">
        <f>IFERROR(F44/K44-1,"n/a")</f>
        <v>1.6084460370670057</v>
      </c>
      <c r="Q44" s="74">
        <f>'May-24'!Q44+F44</f>
        <v>435647.4</v>
      </c>
      <c r="R44" s="74">
        <f>'May-24'!R44+G44</f>
        <v>372934</v>
      </c>
      <c r="S44" s="74">
        <f>'May-24'!S44+H44</f>
        <v>239506</v>
      </c>
      <c r="T44" s="74">
        <f>'May-24'!T44+I44</f>
        <v>0</v>
      </c>
      <c r="U44" s="74">
        <f>'May-24'!U44+J44</f>
        <v>2213</v>
      </c>
      <c r="V44" s="74">
        <f>'May-24'!V44+K44</f>
        <v>180298</v>
      </c>
      <c r="W44" s="119">
        <f>IFERROR(Q44/R44-1,"n/a")</f>
        <v>0.16816219491920825</v>
      </c>
      <c r="X44" s="119">
        <f>IFERROR(R44/S44-1,"n/a")</f>
        <v>0.55709669068833345</v>
      </c>
      <c r="Y44" s="119" t="str">
        <f>IFERROR(R44/T44-1,"n/a")</f>
        <v>n/a</v>
      </c>
      <c r="Z44" s="119">
        <f>IFERROR(R44/U44-1,"n/a")</f>
        <v>167.51965657478536</v>
      </c>
      <c r="AA44" s="120">
        <f>IFERROR(R44/V44-1,"n/a")</f>
        <v>1.068431152869139</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6">F22</f>
        <v>96</v>
      </c>
      <c r="G46" s="74">
        <f t="shared" si="6"/>
        <v>88</v>
      </c>
      <c r="H46" s="74">
        <f t="shared" si="6"/>
        <v>69</v>
      </c>
      <c r="I46" s="74">
        <f t="shared" si="6"/>
        <v>4</v>
      </c>
      <c r="J46" s="74">
        <f t="shared" si="6"/>
        <v>0</v>
      </c>
      <c r="K46" s="74">
        <f t="shared" si="6"/>
        <v>70</v>
      </c>
      <c r="L46" s="64">
        <f>IFERROR(F46/G46-1,"n/a")</f>
        <v>9.0909090909090828E-2</v>
      </c>
      <c r="M46" s="64">
        <f>IFERROR(F46/H46-1,"n/a")</f>
        <v>0.39130434782608692</v>
      </c>
      <c r="N46" s="64">
        <f>IFERROR(F46/I46-1,"n/a")</f>
        <v>23</v>
      </c>
      <c r="O46" s="64" t="str">
        <f>IFERROR(F46/J46-1,"n/a")</f>
        <v>n/a</v>
      </c>
      <c r="P46" s="60">
        <f>IFERROR(F46/K46-1,"n/a")</f>
        <v>0.37142857142857144</v>
      </c>
      <c r="Q46" s="74">
        <f>'May-24'!Q46+F46</f>
        <v>437</v>
      </c>
      <c r="R46" s="74">
        <f>'May-24'!R46+G46</f>
        <v>409</v>
      </c>
      <c r="S46" s="74">
        <f>'May-24'!S46+H46</f>
        <v>276</v>
      </c>
      <c r="T46" s="74">
        <f>'May-24'!T46+I46</f>
        <v>4</v>
      </c>
      <c r="U46" s="74">
        <f>'May-24'!U46+J46</f>
        <v>0</v>
      </c>
      <c r="V46" s="74">
        <f>'May-24'!V46+K46</f>
        <v>273</v>
      </c>
      <c r="W46" s="119">
        <f>IFERROR(Q46/R46-1,"n/a")</f>
        <v>6.8459657701711585E-2</v>
      </c>
      <c r="X46" s="119">
        <f>IFERROR(R46/S46-1,"n/a")</f>
        <v>0.48188405797101441</v>
      </c>
      <c r="Y46" s="119">
        <f>IFERROR(R46/T46-1,"n/a")</f>
        <v>101.25</v>
      </c>
      <c r="Z46" s="119" t="str">
        <f>IFERROR(R46/U46-1,"n/a")</f>
        <v>n/a</v>
      </c>
      <c r="AA46" s="120">
        <f>IFERROR(R46/V46-1,"n/a")</f>
        <v>0.49816849816849818</v>
      </c>
      <c r="AB46" s="147"/>
      <c r="AC46" s="89">
        <v>1129</v>
      </c>
      <c r="AD46" s="89">
        <v>336</v>
      </c>
      <c r="AE46" s="84">
        <v>43</v>
      </c>
      <c r="AF46" s="78">
        <v>781</v>
      </c>
      <c r="AH46" s="122"/>
    </row>
    <row r="47" spans="1:34" s="123" customFormat="1" ht="11.25">
      <c r="A47" s="122"/>
      <c r="B47" s="122"/>
      <c r="C47" s="33"/>
      <c r="D47" s="26" t="s">
        <v>11</v>
      </c>
      <c r="E47" s="32"/>
      <c r="F47" s="74">
        <f t="shared" si="6"/>
        <v>382725</v>
      </c>
      <c r="G47" s="74">
        <f t="shared" si="6"/>
        <v>334459</v>
      </c>
      <c r="H47" s="74">
        <f t="shared" si="6"/>
        <v>183895</v>
      </c>
      <c r="I47" s="74">
        <f t="shared" si="6"/>
        <v>4923</v>
      </c>
      <c r="J47" s="74">
        <f t="shared" si="6"/>
        <v>0</v>
      </c>
      <c r="K47" s="74">
        <f t="shared" si="6"/>
        <v>275367</v>
      </c>
      <c r="L47" s="64">
        <f>IFERROR(F47/G47-1,"n/a")</f>
        <v>0.1443106628914157</v>
      </c>
      <c r="M47" s="64">
        <f>IFERROR(F47/H47-1,"n/a")</f>
        <v>1.0812148236765546</v>
      </c>
      <c r="N47" s="64">
        <f>IFERROR(F47/I47-1,"n/a")</f>
        <v>76.742230347349178</v>
      </c>
      <c r="O47" s="64" t="str">
        <f>IFERROR(F47/J47-1,"n/a")</f>
        <v>n/a</v>
      </c>
      <c r="P47" s="60">
        <f>IFERROR(F47/K47-1,"n/a")</f>
        <v>0.38987242480035733</v>
      </c>
      <c r="Q47" s="74">
        <f>'May-24'!Q47+F47</f>
        <v>1241670</v>
      </c>
      <c r="R47" s="74">
        <f>'May-24'!R47+G47</f>
        <v>1077478</v>
      </c>
      <c r="S47" s="74">
        <f>'May-24'!S47+H47</f>
        <v>473633</v>
      </c>
      <c r="T47" s="74">
        <f>'May-24'!T47+I47</f>
        <v>4923</v>
      </c>
      <c r="U47" s="74">
        <f>'May-24'!U47+J47</f>
        <v>0</v>
      </c>
      <c r="V47" s="74">
        <f>'May-24'!V47+K47</f>
        <v>788552</v>
      </c>
      <c r="W47" s="119">
        <f>IFERROR(Q47/R47-1,"n/a")</f>
        <v>0.15238547794015278</v>
      </c>
      <c r="X47" s="119">
        <f>IFERROR(R47/S47-1,"n/a")</f>
        <v>1.2749217220928442</v>
      </c>
      <c r="Y47" s="119">
        <f>IFERROR(R47/T47-1,"n/a")</f>
        <v>217.86613853341458</v>
      </c>
      <c r="Z47" s="119" t="str">
        <f>IFERROR(R47/U47-1,"n/a")</f>
        <v>n/a</v>
      </c>
      <c r="AA47" s="120">
        <f>IFERROR(R47/V47-1,"n/a")</f>
        <v>0.3664006939301403</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7">F25</f>
        <v>2</v>
      </c>
      <c r="G49" s="74">
        <f t="shared" si="7"/>
        <v>4</v>
      </c>
      <c r="H49" s="74">
        <f t="shared" si="7"/>
        <v>1</v>
      </c>
      <c r="I49" s="74">
        <f t="shared" si="7"/>
        <v>0</v>
      </c>
      <c r="J49" s="74">
        <f t="shared" si="7"/>
        <v>0</v>
      </c>
      <c r="K49" s="74">
        <f t="shared" si="7"/>
        <v>5</v>
      </c>
      <c r="L49" s="64">
        <f>IFERROR(F49/G49-1,"n/a")</f>
        <v>-0.5</v>
      </c>
      <c r="M49" s="64">
        <f>IFERROR(F49/H49-1,"n/a")</f>
        <v>1</v>
      </c>
      <c r="N49" s="64" t="str">
        <f>IFERROR(F49/I49-1,"n/a")</f>
        <v>n/a</v>
      </c>
      <c r="O49" s="64" t="str">
        <f>IFERROR(F49/J49-1,"n/a")</f>
        <v>n/a</v>
      </c>
      <c r="P49" s="60">
        <f>IFERROR(F49/K49-1,"n/a")</f>
        <v>-0.6</v>
      </c>
      <c r="Q49" s="74">
        <f>'May-24'!Q49+F49</f>
        <v>5</v>
      </c>
      <c r="R49" s="74">
        <f>'May-24'!R49+G49</f>
        <v>8</v>
      </c>
      <c r="S49" s="74">
        <f>'May-24'!S49+H49</f>
        <v>2</v>
      </c>
      <c r="T49" s="74">
        <f>'May-24'!T49+I49</f>
        <v>0</v>
      </c>
      <c r="U49" s="74">
        <f>'May-24'!U49+J49</f>
        <v>0</v>
      </c>
      <c r="V49" s="74">
        <f>'May-24'!V49+K49</f>
        <v>8</v>
      </c>
      <c r="W49" s="119">
        <f t="shared" ref="W49:X52" si="8">IFERROR(Q49/R49-1,"n/a")</f>
        <v>-0.375</v>
      </c>
      <c r="X49" s="119">
        <f t="shared" si="8"/>
        <v>3</v>
      </c>
      <c r="Y49" s="119" t="str">
        <f>IFERROR(R49/T49-1,"n/a")</f>
        <v>n/a</v>
      </c>
      <c r="Z49" s="119" t="str">
        <f>IFERROR(R49/U49-1,"n/a")</f>
        <v>n/a</v>
      </c>
      <c r="AA49" s="120">
        <f>IFERROR(R49/V49-1,"n/a")</f>
        <v>0</v>
      </c>
      <c r="AB49" s="147"/>
      <c r="AC49" s="89">
        <v>9</v>
      </c>
      <c r="AD49" s="68">
        <v>0</v>
      </c>
      <c r="AE49" s="68">
        <v>0</v>
      </c>
      <c r="AF49" s="78">
        <v>16</v>
      </c>
      <c r="AH49" s="122"/>
    </row>
    <row r="50" spans="3:34" s="123" customFormat="1" ht="11.25">
      <c r="C50" s="33"/>
      <c r="D50" s="26" t="s">
        <v>11</v>
      </c>
      <c r="E50" s="32"/>
      <c r="F50" s="74">
        <f t="shared" si="7"/>
        <v>6222</v>
      </c>
      <c r="G50" s="74">
        <f t="shared" si="7"/>
        <v>9205</v>
      </c>
      <c r="H50" s="74">
        <f t="shared" si="7"/>
        <v>2226</v>
      </c>
      <c r="I50" s="74">
        <f t="shared" si="7"/>
        <v>0</v>
      </c>
      <c r="J50" s="74">
        <f t="shared" si="7"/>
        <v>0</v>
      </c>
      <c r="K50" s="74">
        <f t="shared" si="7"/>
        <v>6817</v>
      </c>
      <c r="L50" s="64">
        <f>IFERROR(F50/G50-1,"n/a")</f>
        <v>-0.32406300923411191</v>
      </c>
      <c r="M50" s="64">
        <f>IFERROR(F50/H50-1,"n/a")</f>
        <v>1.7951482479784366</v>
      </c>
      <c r="N50" s="64" t="str">
        <f>IFERROR(F50/I50-1,"n/a")</f>
        <v>n/a</v>
      </c>
      <c r="O50" s="64" t="str">
        <f>IFERROR(F50/J50-1,"n/a")</f>
        <v>n/a</v>
      </c>
      <c r="P50" s="60">
        <f>IFERROR(F50/K50-1,"n/a")</f>
        <v>-8.7281795511221949E-2</v>
      </c>
      <c r="Q50" s="74">
        <f>'May-24'!Q50+F50</f>
        <v>18659</v>
      </c>
      <c r="R50" s="74">
        <f>'May-24'!R50+G50</f>
        <v>13587</v>
      </c>
      <c r="S50" s="74">
        <f>'May-24'!S50+H50</f>
        <v>3151</v>
      </c>
      <c r="T50" s="74">
        <f>'May-24'!T50+I50</f>
        <v>0</v>
      </c>
      <c r="U50" s="74">
        <f>'May-24'!U50+J50</f>
        <v>0</v>
      </c>
      <c r="V50" s="74">
        <f>'May-24'!V50+K50</f>
        <v>10227</v>
      </c>
      <c r="W50" s="119">
        <f t="shared" si="8"/>
        <v>0.37329800544638259</v>
      </c>
      <c r="X50" s="119">
        <f t="shared" si="8"/>
        <v>3.3119644557283401</v>
      </c>
      <c r="Y50" s="119" t="str">
        <f>IFERROR(R50/T50-1,"n/a")</f>
        <v>n/a</v>
      </c>
      <c r="Z50" s="119" t="str">
        <f>IFERROR(R50/U50-1,"n/a")</f>
        <v>n/a</v>
      </c>
      <c r="AA50" s="120">
        <f>IFERROR(R50/V50-1,"n/a")</f>
        <v>0.32854209445585214</v>
      </c>
      <c r="AB50" s="147"/>
      <c r="AC50" s="82">
        <v>15637</v>
      </c>
      <c r="AD50" s="68">
        <v>0</v>
      </c>
      <c r="AE50" s="68">
        <v>0</v>
      </c>
      <c r="AF50" s="78">
        <v>20248</v>
      </c>
      <c r="AH50" s="122"/>
    </row>
    <row r="51" spans="3:34" s="123" customFormat="1" ht="12" thickBot="1">
      <c r="C51" s="35" t="s">
        <v>12</v>
      </c>
      <c r="D51" s="36"/>
      <c r="E51" s="37"/>
      <c r="F51" s="75">
        <f>F37+F40+F43+F46+F49</f>
        <v>463</v>
      </c>
      <c r="G51" s="75">
        <f>G37+G40+G43+G46+G49</f>
        <v>347</v>
      </c>
      <c r="H51" s="75">
        <f t="shared" ref="H51:K52" si="9">H37+H40+H43+H46+H49</f>
        <v>327</v>
      </c>
      <c r="I51" s="75">
        <f t="shared" si="9"/>
        <v>21</v>
      </c>
      <c r="J51" s="75">
        <f t="shared" si="9"/>
        <v>0</v>
      </c>
      <c r="K51" s="75">
        <f t="shared" si="9"/>
        <v>278</v>
      </c>
      <c r="L51" s="66">
        <f>IFERROR(F51/G51-1,"n/a")</f>
        <v>0.33429394812680124</v>
      </c>
      <c r="M51" s="66">
        <f>IFERROR(F51/H51-1,"n/a")</f>
        <v>0.41590214067278297</v>
      </c>
      <c r="N51" s="66">
        <f>IFERROR(F51/I51-1,"n/a")</f>
        <v>21.047619047619047</v>
      </c>
      <c r="O51" s="66" t="str">
        <f>IFERROR(F51/J51-1,"n/a")</f>
        <v>n/a</v>
      </c>
      <c r="P51" s="62">
        <f>IFERROR(F51/K51-1,"n/a")</f>
        <v>0.66546762589928066</v>
      </c>
      <c r="Q51" s="75">
        <f t="shared" ref="Q51:V52" si="10">Q37+Q40+Q43+Q46+Q49</f>
        <v>1447</v>
      </c>
      <c r="R51" s="75">
        <f t="shared" si="10"/>
        <v>1162</v>
      </c>
      <c r="S51" s="75">
        <f>S37+S40+S43+S46+S49</f>
        <v>1007</v>
      </c>
      <c r="T51" s="75">
        <f t="shared" si="10"/>
        <v>46</v>
      </c>
      <c r="U51" s="75">
        <f t="shared" si="10"/>
        <v>42</v>
      </c>
      <c r="V51" s="75">
        <f t="shared" si="10"/>
        <v>883</v>
      </c>
      <c r="W51" s="66">
        <f t="shared" si="8"/>
        <v>0.24526678141135982</v>
      </c>
      <c r="X51" s="66">
        <f t="shared" si="8"/>
        <v>0.15392254220456802</v>
      </c>
      <c r="Y51" s="66">
        <f>IFERROR(R51/T51-1,"n/a")</f>
        <v>24.260869565217391</v>
      </c>
      <c r="Z51" s="66">
        <f t="shared" ref="Z51:Z52" si="11">IFERROR(R51/U51-1,"n/a")</f>
        <v>26.666666666666668</v>
      </c>
      <c r="AA51" s="62">
        <f>IFERROR(R51/V51-1,"n/a")</f>
        <v>0.31596828992072479</v>
      </c>
      <c r="AB51" s="66"/>
      <c r="AC51" s="46">
        <f t="shared" ref="AC51:AE52" si="12">AC37+AC40+AC43+AC46+AC49</f>
        <v>3856</v>
      </c>
      <c r="AD51" s="46">
        <f t="shared" si="12"/>
        <v>1673</v>
      </c>
      <c r="AE51" s="46">
        <f t="shared" si="12"/>
        <v>669</v>
      </c>
      <c r="AF51" s="80">
        <f>AF37+AF40+AF43+AF46+AF49</f>
        <v>3241</v>
      </c>
      <c r="AH51" s="122"/>
    </row>
    <row r="52" spans="3:34" s="123" customFormat="1" ht="12.75" thickTop="1" thickBot="1">
      <c r="C52" s="38" t="s">
        <v>13</v>
      </c>
      <c r="D52" s="39"/>
      <c r="E52" s="40"/>
      <c r="F52" s="76">
        <f>F38+F41+F44+F47+F50</f>
        <v>1462486</v>
      </c>
      <c r="G52" s="76">
        <f>G38+G41+G44+G47+G50</f>
        <v>1097755</v>
      </c>
      <c r="H52" s="76">
        <f t="shared" si="9"/>
        <v>677800</v>
      </c>
      <c r="I52" s="76">
        <f t="shared" si="9"/>
        <v>29404</v>
      </c>
      <c r="J52" s="76">
        <f t="shared" si="9"/>
        <v>2213</v>
      </c>
      <c r="K52" s="76">
        <f t="shared" si="9"/>
        <v>828495</v>
      </c>
      <c r="L52" s="67">
        <f>IFERROR(F52/G52-1,"n/a")</f>
        <v>0.33225173194383073</v>
      </c>
      <c r="M52" s="67">
        <f>IFERROR(F52/H52-1,"n/a")</f>
        <v>1.1576954853939214</v>
      </c>
      <c r="N52" s="67">
        <f>IFERROR(F52/I52-1,"n/a")</f>
        <v>48.737654740851582</v>
      </c>
      <c r="O52" s="67">
        <f>IFERROR(F52/J52-1,"n/a")</f>
        <v>659.86127428829639</v>
      </c>
      <c r="P52" s="63">
        <f>IFERROR(F52/K52-1,"n/a")</f>
        <v>0.76523213779202037</v>
      </c>
      <c r="Q52" s="76">
        <f t="shared" si="10"/>
        <v>4140371.4</v>
      </c>
      <c r="R52" s="76">
        <f t="shared" si="10"/>
        <v>3120200</v>
      </c>
      <c r="S52" s="76">
        <f t="shared" si="10"/>
        <v>1764775</v>
      </c>
      <c r="T52" s="76">
        <f t="shared" si="10"/>
        <v>59887</v>
      </c>
      <c r="U52" s="76">
        <f t="shared" si="10"/>
        <v>2213</v>
      </c>
      <c r="V52" s="76">
        <f t="shared" si="10"/>
        <v>2457357</v>
      </c>
      <c r="W52" s="67">
        <f t="shared" si="8"/>
        <v>0.32695705403499775</v>
      </c>
      <c r="X52" s="67">
        <f t="shared" si="8"/>
        <v>0.76804408494000653</v>
      </c>
      <c r="Y52" s="117">
        <f>IFERROR(R52/T52-1,"n/a")</f>
        <v>51.101457745420539</v>
      </c>
      <c r="Z52" s="117">
        <f t="shared" si="11"/>
        <v>1408.9412562132852</v>
      </c>
      <c r="AA52" s="118">
        <f>IFERROR(R52/V52-1,"n/a")</f>
        <v>0.26973817805064537</v>
      </c>
      <c r="AB52" s="117"/>
      <c r="AC52" s="47">
        <f t="shared" si="12"/>
        <v>9237323</v>
      </c>
      <c r="AD52" s="47">
        <f t="shared" si="12"/>
        <v>2410085</v>
      </c>
      <c r="AE52" s="47">
        <f t="shared" si="12"/>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DF761-5CA8-4199-AE44-F4598AE6E0BB}">
  <dimension ref="A1:AH66"/>
  <sheetViews>
    <sheetView showGridLines="0" topLeftCell="A10" zoomScale="95" zoomScaleNormal="75" workbookViewId="0">
      <selection activeCell="F27" sqref="F27:K28"/>
    </sheetView>
  </sheetViews>
  <sheetFormatPr defaultColWidth="0" defaultRowHeight="0" customHeight="1" zeroHeight="1"/>
  <cols>
    <col min="1" max="2" width="4.140625" customWidth="1"/>
    <col min="3" max="3" width="3.85546875" customWidth="1"/>
    <col min="4" max="4" width="8.85546875"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45458</v>
      </c>
      <c r="AG3" s="25"/>
      <c r="AH3" s="9"/>
    </row>
    <row r="4" spans="1:34" ht="15.75">
      <c r="A4" s="9"/>
      <c r="B4" s="11" t="s">
        <v>7</v>
      </c>
      <c r="C4" s="26"/>
      <c r="D4" s="93" t="s">
        <v>47</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7" t="str">
        <f>D4</f>
        <v>May</v>
      </c>
      <c r="G9" s="167"/>
      <c r="H9" s="167"/>
      <c r="I9" s="167"/>
      <c r="J9" s="167"/>
      <c r="K9" s="167"/>
      <c r="L9" s="167"/>
      <c r="M9" s="167"/>
      <c r="N9" s="167"/>
      <c r="O9" s="167"/>
      <c r="P9" s="168"/>
      <c r="Q9" s="169" t="str">
        <f>"January to "&amp; D4</f>
        <v>January to May</v>
      </c>
      <c r="R9" s="170"/>
      <c r="S9" s="170"/>
      <c r="T9" s="170"/>
      <c r="U9" s="170"/>
      <c r="V9" s="170"/>
      <c r="W9" s="170"/>
      <c r="X9" s="170"/>
      <c r="Y9" s="170"/>
      <c r="Z9" s="170"/>
      <c r="AA9" s="171"/>
      <c r="AB9" s="169" t="s">
        <v>57</v>
      </c>
      <c r="AC9" s="170"/>
      <c r="AD9" s="170"/>
      <c r="AE9" s="170"/>
      <c r="AF9" s="172"/>
      <c r="AG9" s="122"/>
      <c r="AH9" s="122"/>
    </row>
    <row r="10" spans="1:34"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163</v>
      </c>
      <c r="G13" s="71">
        <v>99</v>
      </c>
      <c r="H13" s="71">
        <v>83</v>
      </c>
      <c r="I13" s="71">
        <v>0</v>
      </c>
      <c r="J13" s="71">
        <v>0</v>
      </c>
      <c r="K13" s="71">
        <v>90</v>
      </c>
      <c r="L13" s="64">
        <f>IFERROR(F13/G13-1,"n/a")</f>
        <v>0.64646464646464641</v>
      </c>
      <c r="M13" s="64">
        <f>IFERROR(F13/H13-1,"n/a")</f>
        <v>0.96385542168674698</v>
      </c>
      <c r="N13" s="64" t="str">
        <f>IFERROR(F13/I13-1,"n/a")</f>
        <v>n/a</v>
      </c>
      <c r="O13" s="64" t="str">
        <f>IFERROR(F13/J13-1,"n/a")</f>
        <v>n/a</v>
      </c>
      <c r="P13" s="60">
        <f>IFERROR(F13/K13-1,"n/a")</f>
        <v>0.81111111111111112</v>
      </c>
      <c r="Q13" s="68">
        <f>'Apr-24'!Q13+F13</f>
        <v>1052</v>
      </c>
      <c r="R13" s="68">
        <f>'Apr-24'!R13+G13</f>
        <v>758</v>
      </c>
      <c r="S13" s="68">
        <f>'Apr-24'!S13+H13</f>
        <v>749</v>
      </c>
      <c r="T13" s="68">
        <f>'Apr-24'!T13+I13</f>
        <v>0</v>
      </c>
      <c r="U13" s="68">
        <f>'Apr-24'!U13+J13</f>
        <v>551</v>
      </c>
      <c r="V13" s="68">
        <f>'Apr-24'!V13+K13</f>
        <v>735</v>
      </c>
      <c r="W13" s="64">
        <f>IFERROR(Q13/R13-1,"n/a")</f>
        <v>0.38786279683377312</v>
      </c>
      <c r="X13" s="64">
        <f>IFERROR(Q13/S13-1,"n/a")</f>
        <v>0.40453938584779703</v>
      </c>
      <c r="Y13" s="64" t="str">
        <f>IFERROR(Q13/T13-1,"n/a")</f>
        <v>n/a</v>
      </c>
      <c r="Z13" s="64">
        <f>IFERROR(Q13/U13-1,"n/a")</f>
        <v>0.90925589836660614</v>
      </c>
      <c r="AA13" s="60">
        <f>IFERROR(Q13/V13-1,"n/a")</f>
        <v>0.43129251700680271</v>
      </c>
      <c r="AB13" s="68">
        <v>1630</v>
      </c>
      <c r="AC13" s="68">
        <v>1486</v>
      </c>
      <c r="AD13" s="68">
        <v>522</v>
      </c>
      <c r="AE13" s="68">
        <v>551</v>
      </c>
      <c r="AF13" s="134">
        <v>1591</v>
      </c>
      <c r="AG13" s="122"/>
      <c r="AH13" s="122"/>
    </row>
    <row r="14" spans="1:34" s="123" customFormat="1" ht="12.75">
      <c r="A14" s="122"/>
      <c r="B14" s="127"/>
      <c r="C14" s="33"/>
      <c r="D14" s="26" t="s">
        <v>11</v>
      </c>
      <c r="E14" s="32"/>
      <c r="F14" s="71">
        <v>584059</v>
      </c>
      <c r="G14" s="71">
        <v>353242</v>
      </c>
      <c r="H14" s="71">
        <v>234968</v>
      </c>
      <c r="I14" s="71">
        <v>0</v>
      </c>
      <c r="J14" s="71">
        <v>0</v>
      </c>
      <c r="K14" s="71">
        <v>303053</v>
      </c>
      <c r="L14" s="64">
        <f>IFERROR(F14/G14-1,"n/a")</f>
        <v>0.65342456446288955</v>
      </c>
      <c r="M14" s="64">
        <f>IFERROR(F14/H14-1,"n/a")</f>
        <v>1.4856959245514281</v>
      </c>
      <c r="N14" s="64" t="str">
        <f>IFERROR(F14/I14-1,"n/a")</f>
        <v>n/a</v>
      </c>
      <c r="O14" s="64" t="str">
        <f>IFERROR(F14/J14-1,"n/a")</f>
        <v>n/a</v>
      </c>
      <c r="P14" s="60">
        <f>IFERROR(F14/K14-1,"n/a")</f>
        <v>0.92725034894886371</v>
      </c>
      <c r="Q14" s="68">
        <f>'Apr-24'!Q14+F14</f>
        <v>3397597</v>
      </c>
      <c r="R14" s="68">
        <f>'Apr-24'!R14+G14</f>
        <v>2341177</v>
      </c>
      <c r="S14" s="68">
        <f>'Apr-24'!S14+H14</f>
        <v>1292414</v>
      </c>
      <c r="T14" s="68">
        <f>'Apr-24'!T14+I14</f>
        <v>0</v>
      </c>
      <c r="U14" s="68">
        <f>'Apr-24'!U14+J14</f>
        <v>1092884</v>
      </c>
      <c r="V14" s="68">
        <f>'Apr-24'!V14+K14</f>
        <v>2148202</v>
      </c>
      <c r="W14" s="64">
        <f>IFERROR(Q14/R14-1,"n/a")</f>
        <v>0.45123457132886569</v>
      </c>
      <c r="X14" s="64">
        <f>IFERROR(Q14/S14-1,"n/a")</f>
        <v>1.6288766602652092</v>
      </c>
      <c r="Y14" s="64" t="str">
        <f>IFERROR(Q14/T14-1,"n/a")</f>
        <v>n/a</v>
      </c>
      <c r="Z14" s="64">
        <f>IFERROR(Q14/U14-1,"n/a")</f>
        <v>2.1088358874317858</v>
      </c>
      <c r="AA14" s="60">
        <f>IFERROR(Q14/V14-1,"n/a")</f>
        <v>0.58160033367439379</v>
      </c>
      <c r="AB14" s="68">
        <v>5232537</v>
      </c>
      <c r="AC14" s="68">
        <v>3592413</v>
      </c>
      <c r="AD14" s="68">
        <v>768312</v>
      </c>
      <c r="AE14" s="68">
        <v>1092884</v>
      </c>
      <c r="AF14" s="134">
        <v>4592479</v>
      </c>
      <c r="AG14" s="122"/>
      <c r="AH14" s="122"/>
    </row>
    <row r="15" spans="1:34" s="123" customFormat="1" ht="12.75">
      <c r="A15" s="122"/>
      <c r="B15" s="127"/>
      <c r="C15" s="31" t="s">
        <v>130</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92</v>
      </c>
      <c r="G16" s="71">
        <v>70</v>
      </c>
      <c r="H16" s="71">
        <v>71</v>
      </c>
      <c r="I16" s="71">
        <v>17</v>
      </c>
      <c r="J16" s="71">
        <v>0</v>
      </c>
      <c r="K16" s="71">
        <v>71</v>
      </c>
      <c r="L16" s="64">
        <f>IFERROR(F16/G16-1,"n/a")</f>
        <v>0.31428571428571428</v>
      </c>
      <c r="M16" s="64">
        <f>IFERROR(F16/H16-1,"n/a")</f>
        <v>0.29577464788732399</v>
      </c>
      <c r="N16" s="64">
        <f>IFERROR(F16/I16-1,"n/a")</f>
        <v>4.4117647058823533</v>
      </c>
      <c r="O16" s="64" t="str">
        <f>IFERROR(F16/J16-1,"n/a")</f>
        <v>n/a</v>
      </c>
      <c r="P16" s="60">
        <f>IFERROR(F16/K16-1,"n/a")</f>
        <v>0.29577464788732399</v>
      </c>
      <c r="Q16" s="68">
        <f>'Apr-24'!Q16+F16</f>
        <v>184</v>
      </c>
      <c r="R16" s="68">
        <f>'Apr-24'!R16+G16</f>
        <v>143</v>
      </c>
      <c r="S16" s="68">
        <f>'Apr-24'!S16+H16</f>
        <v>163</v>
      </c>
      <c r="T16" s="68">
        <f>'Apr-24'!T16+I16</f>
        <v>34</v>
      </c>
      <c r="U16" s="68">
        <f>'Apr-24'!U16+J16</f>
        <v>10</v>
      </c>
      <c r="V16" s="68">
        <f>'Apr-24'!V16+K16</f>
        <v>145</v>
      </c>
      <c r="W16" s="64">
        <f>IFERROR(Q16/R16-1,"n/a")</f>
        <v>0.28671328671328666</v>
      </c>
      <c r="X16" s="64">
        <f>IFERROR(Q16/S16-1,"n/a")</f>
        <v>0.12883435582822078</v>
      </c>
      <c r="Y16" s="64">
        <f>IFERROR(Q16/T16-1,"n/a")</f>
        <v>4.4117647058823533</v>
      </c>
      <c r="Z16" s="64">
        <f>IFERROR(Q16/U16-1,"n/a")</f>
        <v>17.399999999999999</v>
      </c>
      <c r="AA16" s="60">
        <f>IFERROR(Q16/V16-1,"n/a")</f>
        <v>0.2689655172413794</v>
      </c>
      <c r="AB16" s="68">
        <v>575</v>
      </c>
      <c r="AC16" s="68">
        <v>572</v>
      </c>
      <c r="AD16" s="68">
        <v>202</v>
      </c>
      <c r="AE16" s="68">
        <v>54</v>
      </c>
      <c r="AF16" s="134">
        <v>586</v>
      </c>
      <c r="AG16" s="122"/>
      <c r="AH16" s="122"/>
    </row>
    <row r="17" spans="1:34" s="123" customFormat="1" ht="12.75">
      <c r="A17" s="122"/>
      <c r="B17" s="127"/>
      <c r="C17" s="33"/>
      <c r="D17" s="26" t="s">
        <v>11</v>
      </c>
      <c r="E17" s="32"/>
      <c r="F17" s="71">
        <v>200577</v>
      </c>
      <c r="G17" s="71">
        <v>161083</v>
      </c>
      <c r="H17" s="71">
        <v>82038</v>
      </c>
      <c r="I17" s="71">
        <v>24481</v>
      </c>
      <c r="J17" s="71">
        <v>0</v>
      </c>
      <c r="K17" s="71">
        <v>165399</v>
      </c>
      <c r="L17" s="64">
        <f>IFERROR(F17/G17-1,"n/a")</f>
        <v>0.24517795173916546</v>
      </c>
      <c r="M17" s="64">
        <f>IFERROR(F17/H17-1,"n/a")</f>
        <v>1.4449279602135596</v>
      </c>
      <c r="N17" s="64">
        <f>IFERROR(F17/I17-1,"n/a")</f>
        <v>7.1931702136350637</v>
      </c>
      <c r="O17" s="64" t="str">
        <f>IFERROR(F17/J17-1,"n/a")</f>
        <v>n/a</v>
      </c>
      <c r="P17" s="60">
        <f>IFERROR(F17/K17-1,"n/a")</f>
        <v>0.21268568733789195</v>
      </c>
      <c r="Q17" s="68">
        <f>'Apr-24'!Q17+F17</f>
        <v>460748</v>
      </c>
      <c r="R17" s="68">
        <f>'Apr-24'!R17+G17</f>
        <v>351486</v>
      </c>
      <c r="S17" s="68">
        <f>'Apr-24'!S17+H17</f>
        <v>178913</v>
      </c>
      <c r="T17" s="68">
        <f>'Apr-24'!T17+I17</f>
        <v>40586</v>
      </c>
      <c r="U17" s="68">
        <f>'Apr-24'!U17+J17</f>
        <v>41113</v>
      </c>
      <c r="V17" s="68">
        <f>'Apr-24'!V17+K17</f>
        <v>393104</v>
      </c>
      <c r="W17" s="64">
        <f>IFERROR(Q17/R17-1,"n/a")</f>
        <v>0.31085733144421113</v>
      </c>
      <c r="X17" s="64">
        <f>IFERROR(Q17/S17-1,"n/a")</f>
        <v>1.5752628372449178</v>
      </c>
      <c r="Y17" s="64">
        <f>IFERROR(Q17/T17-1,"n/a")</f>
        <v>10.35238752279111</v>
      </c>
      <c r="Z17" s="64">
        <f>IFERROR(Q17/U17-1,"n/a")</f>
        <v>10.206868873592294</v>
      </c>
      <c r="AA17" s="60">
        <f>IFERROR(Q17/V17-1,"n/a")</f>
        <v>0.17207660059424468</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91</v>
      </c>
      <c r="G19" s="71">
        <v>99</v>
      </c>
      <c r="H19" s="71">
        <v>91</v>
      </c>
      <c r="I19" s="71">
        <v>1</v>
      </c>
      <c r="J19" s="71">
        <v>0</v>
      </c>
      <c r="K19" s="71">
        <v>37</v>
      </c>
      <c r="L19" s="64">
        <f>IFERROR(F19/G19-1,"n/a")</f>
        <v>-8.0808080808080773E-2</v>
      </c>
      <c r="M19" s="64">
        <f>IFERROR(F19/H19-1,"n/a")</f>
        <v>0</v>
      </c>
      <c r="N19" s="64">
        <f>IFERROR(F19/I19-1,"n/a")</f>
        <v>90</v>
      </c>
      <c r="O19" s="64" t="str">
        <f>IFERROR(F19/J19-1,"n/a")</f>
        <v>n/a</v>
      </c>
      <c r="P19" s="60">
        <f>IFERROR(F19/K19-1,"n/a")</f>
        <v>1.4594594594594597</v>
      </c>
      <c r="Q19" s="68">
        <f>'Apr-24'!Q19+F19</f>
        <v>170</v>
      </c>
      <c r="R19" s="68">
        <f>'Apr-24'!R19+G19</f>
        <v>169</v>
      </c>
      <c r="S19" s="68">
        <f>'Apr-24'!S19+H19</f>
        <v>138</v>
      </c>
      <c r="T19" s="68">
        <f>'Apr-24'!T19+I19</f>
        <v>3</v>
      </c>
      <c r="U19" s="68">
        <f>'Apr-24'!U19+J19</f>
        <v>3</v>
      </c>
      <c r="V19" s="68">
        <f>'Apr-24'!V19+K19</f>
        <v>64</v>
      </c>
      <c r="W19" s="64">
        <f>IFERROR(Q19/R19-1,"n/a")</f>
        <v>5.9171597633136397E-3</v>
      </c>
      <c r="X19" s="64">
        <f>IFERROR(Q19/S19-1,"n/a")</f>
        <v>0.23188405797101441</v>
      </c>
      <c r="Y19" s="64">
        <f>IFERROR(Q19/T19-1,"n/a")</f>
        <v>55.666666666666664</v>
      </c>
      <c r="Z19" s="64">
        <f>IFERROR(Q19/U19-1,"n/a")</f>
        <v>55.666666666666664</v>
      </c>
      <c r="AA19" s="60">
        <f>IFERROR(Q19/V19-1,"n/a")</f>
        <v>1.65625</v>
      </c>
      <c r="AB19" s="68">
        <v>708</v>
      </c>
      <c r="AC19" s="68">
        <v>658</v>
      </c>
      <c r="AD19" s="68">
        <v>47</v>
      </c>
      <c r="AE19" s="68">
        <v>9</v>
      </c>
      <c r="AF19" s="134">
        <v>290</v>
      </c>
      <c r="AG19" s="122"/>
      <c r="AH19" s="122"/>
    </row>
    <row r="20" spans="1:34" s="123" customFormat="1" ht="12.75">
      <c r="A20" s="122"/>
      <c r="B20" s="127"/>
      <c r="C20" s="33"/>
      <c r="D20" s="26" t="s">
        <v>11</v>
      </c>
      <c r="E20" s="32"/>
      <c r="F20" s="71">
        <v>156985</v>
      </c>
      <c r="G20" s="71">
        <v>137318</v>
      </c>
      <c r="H20" s="71">
        <v>88575</v>
      </c>
      <c r="I20" s="71">
        <v>0</v>
      </c>
      <c r="J20" s="71">
        <v>0</v>
      </c>
      <c r="K20" s="71">
        <v>66376</v>
      </c>
      <c r="L20" s="64">
        <f>IFERROR(F20/G20-1,"n/a")</f>
        <v>0.14322230151910165</v>
      </c>
      <c r="M20" s="64">
        <f>IFERROR(F20/H20-1,"n/a")</f>
        <v>0.77233982500705611</v>
      </c>
      <c r="N20" s="64" t="str">
        <f>IFERROR(F20/I20-1,"n/a")</f>
        <v>n/a</v>
      </c>
      <c r="O20" s="64" t="str">
        <f>IFERROR(F20/J20-1,"n/a")</f>
        <v>n/a</v>
      </c>
      <c r="P20" s="60">
        <f>IFERROR(F20/K20-1,"n/a")</f>
        <v>1.3650867783536218</v>
      </c>
      <c r="Q20" s="68">
        <f>'Apr-24'!Q20+F20</f>
        <v>272297.40000000002</v>
      </c>
      <c r="R20" s="68">
        <f>'Apr-24'!R20+G20</f>
        <v>224466</v>
      </c>
      <c r="S20" s="68">
        <f>'Apr-24'!S20+H20</f>
        <v>124236</v>
      </c>
      <c r="T20" s="68">
        <f>'Apr-24'!T20+I20</f>
        <v>0</v>
      </c>
      <c r="U20" s="68">
        <f>'Apr-24'!U20+J20</f>
        <v>1753</v>
      </c>
      <c r="V20" s="68">
        <f>'Apr-24'!V20+K20</f>
        <v>108923</v>
      </c>
      <c r="W20" s="64">
        <f>IFERROR(Q20/R20-1,"n/a")</f>
        <v>0.21308973296624001</v>
      </c>
      <c r="X20" s="64">
        <f>IFERROR(Q20/S20-1,"n/a")</f>
        <v>1.1917753308219843</v>
      </c>
      <c r="Y20" s="64" t="str">
        <f>IFERROR(Q20/T20-1,"n/a")</f>
        <v>n/a</v>
      </c>
      <c r="Z20" s="64">
        <f>IFERROR(Q20/U20-1,"n/a")</f>
        <v>154.33223046206504</v>
      </c>
      <c r="AA20" s="60">
        <f>IFERROR(Q20/V20-1,"n/a")</f>
        <v>1.4999072739458152</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147</v>
      </c>
      <c r="G22" s="71">
        <v>159</v>
      </c>
      <c r="H22" s="71">
        <v>107</v>
      </c>
      <c r="I22" s="71">
        <v>0</v>
      </c>
      <c r="J22" s="71">
        <v>0</v>
      </c>
      <c r="K22" s="71">
        <v>113</v>
      </c>
      <c r="L22" s="64">
        <f>IFERROR(F22/G22-1,"n/a")</f>
        <v>-7.547169811320753E-2</v>
      </c>
      <c r="M22" s="64">
        <f>IFERROR(F22/H22-1,"n/a")</f>
        <v>0.37383177570093462</v>
      </c>
      <c r="N22" s="64" t="str">
        <f>IFERROR(F22/I22-1,"n/a")</f>
        <v>n/a</v>
      </c>
      <c r="O22" s="64" t="str">
        <f>IFERROR(F22/J22-1,"n/a")</f>
        <v>n/a</v>
      </c>
      <c r="P22" s="60">
        <f>IFERROR(F22/K22-1,"n/a")</f>
        <v>0.30088495575221241</v>
      </c>
      <c r="Q22" s="68">
        <f>'Apr-24'!Q22+F22</f>
        <v>600</v>
      </c>
      <c r="R22" s="68">
        <f>'Apr-24'!R22+G22</f>
        <v>608</v>
      </c>
      <c r="S22" s="68">
        <f>'Apr-24'!S22+H22</f>
        <v>260</v>
      </c>
      <c r="T22" s="68">
        <f>'Apr-24'!T22+I22</f>
        <v>0</v>
      </c>
      <c r="U22" s="68">
        <f>'Apr-24'!U22+J22</f>
        <v>43</v>
      </c>
      <c r="V22" s="68">
        <f>'Apr-24'!V22+K22</f>
        <v>292</v>
      </c>
      <c r="W22" s="64">
        <f>IFERROR(Q22/R22-1,"n/a")</f>
        <v>-1.3157894736842146E-2</v>
      </c>
      <c r="X22" s="64">
        <f>IFERROR(Q22/S22-1,"n/a")</f>
        <v>1.3076923076923075</v>
      </c>
      <c r="Y22" s="64" t="str">
        <f>IFERROR(Q22/T22-1,"n/a")</f>
        <v>n/a</v>
      </c>
      <c r="Z22" s="64">
        <f>IFERROR(Q22/U22-1,"n/a")</f>
        <v>12.953488372093023</v>
      </c>
      <c r="AA22" s="60">
        <f>IFERROR(Q22/V22-1,"n/a")</f>
        <v>1.0547945205479454</v>
      </c>
      <c r="AB22" s="68">
        <v>1500</v>
      </c>
      <c r="AC22" s="68">
        <v>895</v>
      </c>
      <c r="AD22" s="68">
        <v>283</v>
      </c>
      <c r="AE22" s="68">
        <v>43</v>
      </c>
      <c r="AF22" s="134">
        <v>827</v>
      </c>
      <c r="AG22" s="122"/>
      <c r="AH22" s="122"/>
    </row>
    <row r="23" spans="1:34" s="123" customFormat="1" ht="12.75">
      <c r="A23" s="122"/>
      <c r="B23" s="127"/>
      <c r="C23" s="33"/>
      <c r="D23" s="26" t="s">
        <v>11</v>
      </c>
      <c r="E23" s="32"/>
      <c r="F23" s="71">
        <v>425839</v>
      </c>
      <c r="G23" s="71">
        <v>390316</v>
      </c>
      <c r="H23" s="71">
        <v>173929</v>
      </c>
      <c r="I23" s="71">
        <v>0</v>
      </c>
      <c r="J23" s="71">
        <v>0</v>
      </c>
      <c r="K23" s="71">
        <v>300445</v>
      </c>
      <c r="L23" s="64">
        <f>IFERROR(F23/G23-1,"n/a")</f>
        <v>9.1010873241168744E-2</v>
      </c>
      <c r="M23" s="64">
        <f>IFERROR(F23/H23-1,"n/a")</f>
        <v>1.4483496139229226</v>
      </c>
      <c r="N23" s="64" t="str">
        <f>IFERROR(F23/I23-1,"n/a")</f>
        <v>n/a</v>
      </c>
      <c r="O23" s="64" t="str">
        <f>IFERROR(F23/J23-1,"n/a")</f>
        <v>n/a</v>
      </c>
      <c r="P23" s="60">
        <f>IFERROR(F23/K23-1,"n/a")</f>
        <v>0.41736091464327907</v>
      </c>
      <c r="Q23" s="68">
        <f>'Apr-24'!Q23+F23</f>
        <v>1772000</v>
      </c>
      <c r="R23" s="68">
        <f>'Apr-24'!R23+G23</f>
        <v>1579293</v>
      </c>
      <c r="S23" s="68">
        <f>'Apr-24'!S23+H23</f>
        <v>358192</v>
      </c>
      <c r="T23" s="68">
        <f>'Apr-24'!T23+I23</f>
        <v>0</v>
      </c>
      <c r="U23" s="68">
        <f>'Apr-24'!U23+J23</f>
        <v>140552</v>
      </c>
      <c r="V23" s="68">
        <f>'Apr-24'!V23+K23</f>
        <v>765085</v>
      </c>
      <c r="W23" s="64">
        <f>IFERROR(Q23/R23-1,"n/a")</f>
        <v>0.12202105625745197</v>
      </c>
      <c r="X23" s="64">
        <f>IFERROR(Q23/S23-1,"n/a")</f>
        <v>3.9470674945280741</v>
      </c>
      <c r="Y23" s="64" t="str">
        <f>IFERROR(Q23/T23-1,"n/a")</f>
        <v>n/a</v>
      </c>
      <c r="Z23" s="64">
        <f>IFERROR(Q23/U23-1,"n/a")</f>
        <v>11.607433547726108</v>
      </c>
      <c r="AA23" s="60">
        <f>IFERROR(Q23/V23-1,"n/a")</f>
        <v>1.3160825267780702</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2</v>
      </c>
      <c r="G25" s="71">
        <v>3</v>
      </c>
      <c r="H25" s="71">
        <v>0</v>
      </c>
      <c r="I25" s="71">
        <v>0</v>
      </c>
      <c r="J25" s="71">
        <v>0</v>
      </c>
      <c r="K25" s="71">
        <v>2</v>
      </c>
      <c r="L25" s="64">
        <f>IFERROR(F25/G25-1,"n/a")</f>
        <v>-0.33333333333333337</v>
      </c>
      <c r="M25" s="64" t="str">
        <f>IFERROR(F25/H25-1,"n/a")</f>
        <v>n/a</v>
      </c>
      <c r="N25" s="64" t="str">
        <f>IFERROR(F25/I25-1,"n/a")</f>
        <v>n/a</v>
      </c>
      <c r="O25" s="64" t="str">
        <f>IFERROR(F25/J25-1,"n/a")</f>
        <v>n/a</v>
      </c>
      <c r="P25" s="60">
        <f>IFERROR(F25/K25-1,"n/a")</f>
        <v>0</v>
      </c>
      <c r="Q25" s="68">
        <f>'Apr-24'!Q25+F25</f>
        <v>3</v>
      </c>
      <c r="R25" s="68">
        <f>'Apr-24'!R25+G25</f>
        <v>4</v>
      </c>
      <c r="S25" s="68">
        <f>'Apr-24'!S25+H25</f>
        <v>1</v>
      </c>
      <c r="T25" s="68">
        <f>'Apr-24'!T25+I25</f>
        <v>0</v>
      </c>
      <c r="U25" s="68">
        <f>'Apr-24'!U25+J25</f>
        <v>0</v>
      </c>
      <c r="V25" s="68">
        <f>'Apr-24'!V25+K25</f>
        <v>3</v>
      </c>
      <c r="W25" s="64">
        <f>IFERROR(Q25/R25-1,"n/a")</f>
        <v>-0.25</v>
      </c>
      <c r="X25" s="64">
        <f>IFERROR(Q25/S25-1,"n/a")</f>
        <v>2</v>
      </c>
      <c r="Y25" s="64" t="str">
        <f>IFERROR(Q25/T25-1,"n/a")</f>
        <v>n/a</v>
      </c>
      <c r="Z25" s="64" t="str">
        <f>IFERROR(Q25/U25-1,"n/a")</f>
        <v>n/a</v>
      </c>
      <c r="AA25" s="60">
        <f>IFERROR(Q25/V25-1,"n/a")</f>
        <v>0</v>
      </c>
      <c r="AB25" s="68">
        <v>21</v>
      </c>
      <c r="AC25" s="68">
        <v>9</v>
      </c>
      <c r="AD25" s="68">
        <v>0</v>
      </c>
      <c r="AE25" s="68">
        <v>0</v>
      </c>
      <c r="AF25" s="134">
        <v>16</v>
      </c>
      <c r="AG25" s="122"/>
      <c r="AH25" s="122"/>
    </row>
    <row r="26" spans="1:34" s="123" customFormat="1" ht="12.75">
      <c r="A26" s="122"/>
      <c r="B26" s="127"/>
      <c r="C26" s="33"/>
      <c r="D26" s="26" t="s">
        <v>11</v>
      </c>
      <c r="E26" s="32"/>
      <c r="F26" s="71">
        <v>8306</v>
      </c>
      <c r="G26" s="71">
        <v>2124</v>
      </c>
      <c r="H26" s="71">
        <v>0</v>
      </c>
      <c r="I26" s="71">
        <v>0</v>
      </c>
      <c r="J26" s="71">
        <v>0</v>
      </c>
      <c r="K26" s="71">
        <v>2351</v>
      </c>
      <c r="L26" s="64">
        <f>IFERROR(F26/G26-1,"n/a")</f>
        <v>2.9105461393596985</v>
      </c>
      <c r="M26" s="64" t="str">
        <f>IFERROR(F26/H26-1,"n/a")</f>
        <v>n/a</v>
      </c>
      <c r="N26" s="64" t="str">
        <f>IFERROR(F26/I26-1,"n/a")</f>
        <v>n/a</v>
      </c>
      <c r="O26" s="64" t="str">
        <f>IFERROR(F26/J26-1,"n/a")</f>
        <v>n/a</v>
      </c>
      <c r="P26" s="60">
        <f>IFERROR(F26/K26-1,"n/a")</f>
        <v>2.5329646958740963</v>
      </c>
      <c r="Q26" s="68">
        <f>'Apr-24'!Q26+F26</f>
        <v>12437</v>
      </c>
      <c r="R26" s="68">
        <f>'Apr-24'!R26+G26</f>
        <v>4382</v>
      </c>
      <c r="S26" s="68">
        <f>'Apr-24'!S26+H26</f>
        <v>925</v>
      </c>
      <c r="T26" s="68">
        <f>'Apr-24'!T26+I26</f>
        <v>0</v>
      </c>
      <c r="U26" s="68">
        <f>'Apr-24'!U26+J26</f>
        <v>0</v>
      </c>
      <c r="V26" s="68">
        <f>'Apr-24'!V26+K26</f>
        <v>3410</v>
      </c>
      <c r="W26" s="64">
        <f>IFERROR(Q26/R26-1,"n/a")</f>
        <v>1.8382017343678685</v>
      </c>
      <c r="X26" s="64">
        <f>IFERROR(Q26/S26-1,"n/a")</f>
        <v>12.445405405405406</v>
      </c>
      <c r="Y26" s="64" t="str">
        <f>IFERROR(Q26/T26-1,"n/a")</f>
        <v>n/a</v>
      </c>
      <c r="Z26" s="64" t="str">
        <f>IFERROR(Q26/U26-1,"n/a")</f>
        <v>n/a</v>
      </c>
      <c r="AA26" s="60">
        <f>IFERROR(Q26/V26-1,"n/a")</f>
        <v>2.6472140762463341</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495</v>
      </c>
      <c r="G27" s="75">
        <f t="shared" si="0"/>
        <v>430</v>
      </c>
      <c r="H27" s="75">
        <f t="shared" si="0"/>
        <v>352</v>
      </c>
      <c r="I27" s="75">
        <f t="shared" si="0"/>
        <v>18</v>
      </c>
      <c r="J27" s="75">
        <f t="shared" si="0"/>
        <v>0</v>
      </c>
      <c r="K27" s="75">
        <f t="shared" si="0"/>
        <v>313</v>
      </c>
      <c r="L27" s="66">
        <f>IFERROR(F27/G27-1,"n/a")</f>
        <v>0.15116279069767447</v>
      </c>
      <c r="M27" s="66">
        <f>IFERROR(F27/H27-1,"n/a")</f>
        <v>0.40625</v>
      </c>
      <c r="N27" s="66">
        <f>IFERROR(F27/I27-1,"n/a")</f>
        <v>26.5</v>
      </c>
      <c r="O27" s="66" t="str">
        <f>IFERROR(F27/J27-1,"n/a")</f>
        <v>n/a</v>
      </c>
      <c r="P27" s="62">
        <f>IFERROR(F27/K27-1,"n/a")</f>
        <v>0.58146964856230032</v>
      </c>
      <c r="Q27" s="75">
        <f t="shared" ref="Q27:V28" si="1">Q13+Q16+Q19+Q22+Q25</f>
        <v>2009</v>
      </c>
      <c r="R27" s="75">
        <f t="shared" si="1"/>
        <v>1682</v>
      </c>
      <c r="S27" s="75">
        <f t="shared" si="1"/>
        <v>1311</v>
      </c>
      <c r="T27" s="75">
        <f t="shared" si="1"/>
        <v>37</v>
      </c>
      <c r="U27" s="75">
        <f t="shared" si="1"/>
        <v>607</v>
      </c>
      <c r="V27" s="75">
        <f t="shared" si="1"/>
        <v>1239</v>
      </c>
      <c r="W27" s="66">
        <f>IFERROR(Q27/R27-1,"n/a")</f>
        <v>0.19441141498216408</v>
      </c>
      <c r="X27" s="66">
        <f>IFERROR(Q27/S27-1,"n/a")</f>
        <v>0.53241800152555308</v>
      </c>
      <c r="Y27" s="66">
        <f>IFERROR(Q27/T27-1,"n/a")</f>
        <v>53.297297297297298</v>
      </c>
      <c r="Z27" s="66">
        <f>IFERROR(Q27/U27-1,"n/a")</f>
        <v>2.3097199341021417</v>
      </c>
      <c r="AA27" s="62">
        <f>IFERROR(Q27/V27-1,"n/a")</f>
        <v>0.62146892655367236</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1375766</v>
      </c>
      <c r="G28" s="76">
        <f t="shared" si="0"/>
        <v>1044083</v>
      </c>
      <c r="H28" s="76">
        <f t="shared" si="0"/>
        <v>579510</v>
      </c>
      <c r="I28" s="76">
        <f t="shared" si="0"/>
        <v>24481</v>
      </c>
      <c r="J28" s="76">
        <f t="shared" si="0"/>
        <v>0</v>
      </c>
      <c r="K28" s="76">
        <f t="shared" si="0"/>
        <v>837624</v>
      </c>
      <c r="L28" s="67">
        <f>IFERROR(F28/G28-1,"n/a")</f>
        <v>0.31767876691795571</v>
      </c>
      <c r="M28" s="67">
        <f>IFERROR(F28/H28-1,"n/a")</f>
        <v>1.3740159790167557</v>
      </c>
      <c r="N28" s="67">
        <f>IFERROR(F28/I28-1,"n/a")</f>
        <v>55.197295862097135</v>
      </c>
      <c r="O28" s="67" t="str">
        <f>IFERROR(F28/J28-1,"n/a")</f>
        <v>n/a</v>
      </c>
      <c r="P28" s="63">
        <f>IFERROR(F28/K28-1,"n/a")</f>
        <v>0.64246248913593695</v>
      </c>
      <c r="Q28" s="76">
        <f t="shared" si="1"/>
        <v>5915079.4000000004</v>
      </c>
      <c r="R28" s="76">
        <f t="shared" si="1"/>
        <v>4500804</v>
      </c>
      <c r="S28" s="76">
        <f t="shared" si="1"/>
        <v>1954680</v>
      </c>
      <c r="T28" s="76">
        <f t="shared" si="1"/>
        <v>40586</v>
      </c>
      <c r="U28" s="76">
        <f t="shared" si="1"/>
        <v>1276302</v>
      </c>
      <c r="V28" s="76">
        <f t="shared" si="1"/>
        <v>3418724</v>
      </c>
      <c r="W28" s="67">
        <f>IFERROR(Q28/R28-1,"n/a")</f>
        <v>0.31422728028147873</v>
      </c>
      <c r="X28" s="67">
        <f>IFERROR(Q28/S28-1,"n/a")</f>
        <v>2.0261113839605462</v>
      </c>
      <c r="Y28" s="67">
        <f>IFERROR(Q28/T28-1,"n/a")</f>
        <v>144.74186665352585</v>
      </c>
      <c r="Z28" s="67">
        <f>IFERROR(Q28/U28-1,"n/a")</f>
        <v>3.6345452722004667</v>
      </c>
      <c r="AA28" s="63">
        <f>IFERROR(Q28/V28-1,"n/a")</f>
        <v>0.73020091706730361</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May</v>
      </c>
      <c r="G33" s="170"/>
      <c r="H33" s="170"/>
      <c r="I33" s="170"/>
      <c r="J33" s="170"/>
      <c r="K33" s="170"/>
      <c r="L33" s="170"/>
      <c r="M33" s="170"/>
      <c r="N33" s="170"/>
      <c r="O33" s="170"/>
      <c r="P33" s="171"/>
      <c r="Q33" s="176" t="s">
        <v>131</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163</v>
      </c>
      <c r="G37" s="74">
        <f t="shared" si="3"/>
        <v>99</v>
      </c>
      <c r="H37" s="74">
        <f t="shared" si="3"/>
        <v>83</v>
      </c>
      <c r="I37" s="74">
        <f t="shared" si="3"/>
        <v>0</v>
      </c>
      <c r="J37" s="74">
        <f t="shared" si="3"/>
        <v>0</v>
      </c>
      <c r="K37" s="74">
        <f t="shared" si="3"/>
        <v>90</v>
      </c>
      <c r="L37" s="64">
        <f>IFERROR(F37/G37-1,"n/a")</f>
        <v>0.64646464646464641</v>
      </c>
      <c r="M37" s="64">
        <f>IFERROR(F37/H37-1,"n/a")</f>
        <v>0.96385542168674698</v>
      </c>
      <c r="N37" s="64" t="str">
        <f>IFERROR(F37/I37-1,"n/a")</f>
        <v>n/a</v>
      </c>
      <c r="O37" s="64" t="str">
        <f>IFERROR(F37/J37-1,"n/a")</f>
        <v>n/a</v>
      </c>
      <c r="P37" s="60">
        <f>IFERROR(F37/K37-1,"n/a")</f>
        <v>0.81111111111111112</v>
      </c>
      <c r="Q37" s="74">
        <f>'Apr-24'!Q37+F37</f>
        <v>350</v>
      </c>
      <c r="R37" s="74">
        <f>'Apr-24'!R37+G37</f>
        <v>228</v>
      </c>
      <c r="S37" s="74">
        <f>'Apr-24'!S37+H37</f>
        <v>219</v>
      </c>
      <c r="T37" s="74">
        <f>'Apr-24'!T37+I37</f>
        <v>0</v>
      </c>
      <c r="U37" s="74">
        <f>'Apr-24'!U37+J37</f>
        <v>42</v>
      </c>
      <c r="V37" s="74">
        <f>'Apr-24'!V37+K37</f>
        <v>219</v>
      </c>
      <c r="W37" s="119">
        <f>IFERROR(Q37/R37-1,"n/a")</f>
        <v>0.53508771929824572</v>
      </c>
      <c r="X37" s="119">
        <f>IFERROR(R37/S37-1,"n/a")</f>
        <v>4.1095890410958846E-2</v>
      </c>
      <c r="Y37" s="119" t="str">
        <f>IFERROR(R37/T37-1,"n/a")</f>
        <v>n/a</v>
      </c>
      <c r="Z37" s="119">
        <f>IFERROR(R37/U37-1,"n/a")</f>
        <v>4.4285714285714288</v>
      </c>
      <c r="AA37" s="120">
        <f>IFERROR(R37/V37-1,"n/a")</f>
        <v>4.1095890410958846E-2</v>
      </c>
      <c r="AB37" s="147"/>
      <c r="AC37" s="89">
        <v>1486</v>
      </c>
      <c r="AD37" s="89">
        <v>1052</v>
      </c>
      <c r="AE37" s="70">
        <v>551</v>
      </c>
      <c r="AF37" s="78">
        <v>1584</v>
      </c>
      <c r="AH37" s="122"/>
    </row>
    <row r="38" spans="1:34" s="123" customFormat="1" ht="11.25">
      <c r="A38" s="122"/>
      <c r="B38" s="122"/>
      <c r="C38" s="33"/>
      <c r="D38" s="26" t="s">
        <v>11</v>
      </c>
      <c r="E38" s="32"/>
      <c r="F38" s="74">
        <f t="shared" si="3"/>
        <v>584059</v>
      </c>
      <c r="G38" s="74">
        <f t="shared" si="3"/>
        <v>353242</v>
      </c>
      <c r="H38" s="74">
        <f t="shared" si="3"/>
        <v>234968</v>
      </c>
      <c r="I38" s="74">
        <f t="shared" si="3"/>
        <v>0</v>
      </c>
      <c r="J38" s="74">
        <f t="shared" si="3"/>
        <v>0</v>
      </c>
      <c r="K38" s="74">
        <f t="shared" si="3"/>
        <v>303053</v>
      </c>
      <c r="L38" s="64">
        <f>IFERROR(F38/G38-1,"n/a")</f>
        <v>0.65342456446288955</v>
      </c>
      <c r="M38" s="64">
        <f>IFERROR(F38/H38-1,"n/a")</f>
        <v>1.4856959245514281</v>
      </c>
      <c r="N38" s="64" t="str">
        <f>IFERROR(F38/I38-1,"n/a")</f>
        <v>n/a</v>
      </c>
      <c r="O38" s="64" t="str">
        <f>IFERROR(F38/J38-1,"n/a")</f>
        <v>n/a</v>
      </c>
      <c r="P38" s="60">
        <f>IFERROR(F38/K38-1,"n/a")</f>
        <v>0.92725034894886371</v>
      </c>
      <c r="Q38" s="74">
        <f>'Apr-24'!Q38+F38</f>
        <v>1243773</v>
      </c>
      <c r="R38" s="74">
        <f>'Apr-24'!R38+G38</f>
        <v>802993</v>
      </c>
      <c r="S38" s="74">
        <f>'Apr-24'!S38+H38</f>
        <v>532756</v>
      </c>
      <c r="T38" s="74">
        <f>'Apr-24'!T38+I38</f>
        <v>0</v>
      </c>
      <c r="U38" s="74">
        <f>'Apr-24'!U38+J38</f>
        <v>0</v>
      </c>
      <c r="V38" s="74">
        <f>'Apr-24'!V38+K38</f>
        <v>697098</v>
      </c>
      <c r="W38" s="119">
        <f>IFERROR(Q38/R38-1,"n/a")</f>
        <v>0.54892134800676962</v>
      </c>
      <c r="X38" s="119">
        <f>IFERROR(R38/S38-1,"n/a")</f>
        <v>0.50724346605200132</v>
      </c>
      <c r="Y38" s="119" t="str">
        <f>IFERROR(R38/T38-1,"n/a")</f>
        <v>n/a</v>
      </c>
      <c r="Z38" s="119" t="str">
        <f>IFERROR(R38/U38-1,"n/a")</f>
        <v>n/a</v>
      </c>
      <c r="AA38" s="120">
        <f>IFERROR(R38/V38-1,"n/a")</f>
        <v>0.15190834000384457</v>
      </c>
      <c r="AB38" s="147"/>
      <c r="AC38" s="89">
        <v>4370939</v>
      </c>
      <c r="AD38" s="89">
        <v>1527970</v>
      </c>
      <c r="AE38" s="84">
        <v>1092884</v>
      </c>
      <c r="AF38" s="78">
        <v>4234259</v>
      </c>
      <c r="AH38" s="122"/>
    </row>
    <row r="39" spans="1:34" s="123" customFormat="1" ht="11.25">
      <c r="A39" s="122"/>
      <c r="B39" s="122"/>
      <c r="C39" s="31" t="s">
        <v>108</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K41" si="4">F16</f>
        <v>92</v>
      </c>
      <c r="G40" s="74">
        <f t="shared" si="4"/>
        <v>70</v>
      </c>
      <c r="H40" s="74">
        <f t="shared" si="4"/>
        <v>71</v>
      </c>
      <c r="I40" s="74">
        <f t="shared" si="4"/>
        <v>17</v>
      </c>
      <c r="J40" s="74">
        <f t="shared" si="4"/>
        <v>0</v>
      </c>
      <c r="K40" s="74">
        <f t="shared" si="4"/>
        <v>71</v>
      </c>
      <c r="L40" s="64">
        <f>IFERROR(F40/G40-1,"n/a")</f>
        <v>0.31428571428571428</v>
      </c>
      <c r="M40" s="64">
        <f>IFERROR(F40/H40-1,"n/a")</f>
        <v>0.29577464788732399</v>
      </c>
      <c r="N40" s="64">
        <f>IFERROR(F40/I40-1,"n/a")</f>
        <v>4.4117647058823533</v>
      </c>
      <c r="O40" s="64" t="str">
        <f>IFERROR(F40/J40-1,"n/a")</f>
        <v>n/a</v>
      </c>
      <c r="P40" s="60">
        <f>IFERROR(F40/K40-1,"n/a")</f>
        <v>0.29577464788732399</v>
      </c>
      <c r="Q40" s="74">
        <f>'Apr-24'!Q40+F40</f>
        <v>147</v>
      </c>
      <c r="R40" s="74">
        <f>'Apr-24'!R40+G40</f>
        <v>116</v>
      </c>
      <c r="S40" s="74">
        <f>'Apr-24'!S40+H40</f>
        <v>127</v>
      </c>
      <c r="T40" s="74">
        <f>'Apr-24'!T40+I40</f>
        <v>22</v>
      </c>
      <c r="U40" s="74">
        <f>'Apr-24'!U40+J40</f>
        <v>0</v>
      </c>
      <c r="V40" s="74">
        <f>'Apr-24'!V40+K40</f>
        <v>122</v>
      </c>
      <c r="W40" s="119">
        <f>IFERROR(Q40/R40-1,"n/a")</f>
        <v>0.26724137931034475</v>
      </c>
      <c r="X40" s="119">
        <f>IFERROR(R40/S40-1,"n/a")</f>
        <v>-8.6614173228346414E-2</v>
      </c>
      <c r="Y40" s="119">
        <f>IFERROR(R40/T40-1,"n/a")</f>
        <v>4.2727272727272725</v>
      </c>
      <c r="Z40" s="119" t="str">
        <f>IFERROR(R40/U40-1,"n/a")</f>
        <v>n/a</v>
      </c>
      <c r="AA40" s="120">
        <f>IFERROR(R40/V40-1,"n/a")</f>
        <v>-4.9180327868852514E-2</v>
      </c>
      <c r="AB40" s="147"/>
      <c r="AC40" s="89">
        <v>563</v>
      </c>
      <c r="AD40" s="89">
        <v>226</v>
      </c>
      <c r="AE40" s="70">
        <v>66</v>
      </c>
      <c r="AF40" s="78">
        <v>573</v>
      </c>
      <c r="AH40" s="122"/>
    </row>
    <row r="41" spans="1:34" s="123" customFormat="1" ht="11.25">
      <c r="A41" s="122"/>
      <c r="B41" s="122"/>
      <c r="C41" s="33"/>
      <c r="D41" s="26" t="s">
        <v>11</v>
      </c>
      <c r="E41" s="32"/>
      <c r="F41" s="74">
        <f t="shared" si="4"/>
        <v>200577</v>
      </c>
      <c r="G41" s="74">
        <f t="shared" si="4"/>
        <v>161083</v>
      </c>
      <c r="H41" s="74">
        <f t="shared" si="4"/>
        <v>82038</v>
      </c>
      <c r="I41" s="74">
        <f t="shared" si="4"/>
        <v>24481</v>
      </c>
      <c r="J41" s="74">
        <f t="shared" si="4"/>
        <v>0</v>
      </c>
      <c r="K41" s="74">
        <f t="shared" si="4"/>
        <v>165399</v>
      </c>
      <c r="L41" s="64">
        <f>IFERROR(F41/G41-1,"n/a")</f>
        <v>0.24517795173916546</v>
      </c>
      <c r="M41" s="64">
        <f>IFERROR(F41/H41-1,"n/a")</f>
        <v>1.4449279602135596</v>
      </c>
      <c r="N41" s="64">
        <f>IFERROR(F41/I41-1,"n/a")</f>
        <v>7.1931702136350637</v>
      </c>
      <c r="O41" s="64" t="str">
        <f>IFERROR(F41/J41-1,"n/a")</f>
        <v>n/a</v>
      </c>
      <c r="P41" s="60">
        <f>IFERROR(F41/K41-1,"n/a")</f>
        <v>0.21268568733789195</v>
      </c>
      <c r="Q41" s="74">
        <f>'Apr-24'!Q41+F41</f>
        <v>330174</v>
      </c>
      <c r="R41" s="74">
        <f>'Apr-24'!R41+G41</f>
        <v>268431</v>
      </c>
      <c r="S41" s="74">
        <f>'Apr-24'!S41+H41</f>
        <v>142405</v>
      </c>
      <c r="T41" s="74">
        <f>'Apr-24'!T41+I41</f>
        <v>30483</v>
      </c>
      <c r="U41" s="74">
        <f>'Apr-24'!U41+J41</f>
        <v>0</v>
      </c>
      <c r="V41" s="74">
        <f>'Apr-24'!V41+K41</f>
        <v>312730</v>
      </c>
      <c r="W41" s="119">
        <f>IFERROR(Q41/R41-1,"n/a")</f>
        <v>0.23001441711277759</v>
      </c>
      <c r="X41" s="119">
        <f>IFERROR(R41/S41-1,"n/a")</f>
        <v>0.88498297110354263</v>
      </c>
      <c r="Y41" s="119">
        <f>IFERROR(R41/T41-1,"n/a")</f>
        <v>7.8059246137191227</v>
      </c>
      <c r="Z41" s="119" t="str">
        <f>IFERROR(R41/U41-1,"n/a")</f>
        <v>n/a</v>
      </c>
      <c r="AA41" s="120">
        <f>IFERROR(R41/V41-1,"n/a")</f>
        <v>-0.14165254372781633</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K44" si="5">F19</f>
        <v>91</v>
      </c>
      <c r="G43" s="74">
        <f t="shared" si="5"/>
        <v>99</v>
      </c>
      <c r="H43" s="74">
        <f t="shared" si="5"/>
        <v>91</v>
      </c>
      <c r="I43" s="74">
        <f t="shared" si="5"/>
        <v>1</v>
      </c>
      <c r="J43" s="74">
        <f t="shared" si="5"/>
        <v>0</v>
      </c>
      <c r="K43" s="74">
        <f t="shared" si="5"/>
        <v>37</v>
      </c>
      <c r="L43" s="64">
        <f>IFERROR(F43/G43-1,"n/a")</f>
        <v>-8.0808080808080773E-2</v>
      </c>
      <c r="M43" s="64">
        <f>IFERROR(F43/H43-1,"n/a")</f>
        <v>0</v>
      </c>
      <c r="N43" s="64">
        <f>IFERROR(F43/I43-1,"n/a")</f>
        <v>90</v>
      </c>
      <c r="O43" s="64" t="str">
        <f>IFERROR(F43/J43-1,"n/a")</f>
        <v>n/a</v>
      </c>
      <c r="P43" s="60">
        <f>IFERROR(F43/K43-1,"n/a")</f>
        <v>1.4594594594594597</v>
      </c>
      <c r="Q43" s="74">
        <f>'Apr-24'!Q43+F43</f>
        <v>143</v>
      </c>
      <c r="R43" s="74">
        <f>'Apr-24'!R43+G43</f>
        <v>146</v>
      </c>
      <c r="S43" s="74">
        <f>'Apr-24'!S43+H43</f>
        <v>126</v>
      </c>
      <c r="T43" s="74">
        <f>'Apr-24'!T43+I43</f>
        <v>3</v>
      </c>
      <c r="U43" s="74">
        <f>'Apr-24'!U43+J43</f>
        <v>0</v>
      </c>
      <c r="V43" s="74">
        <f>'Apr-24'!V43+K43</f>
        <v>58</v>
      </c>
      <c r="W43" s="119">
        <f>IFERROR(Q43/R43-1,"n/a")</f>
        <v>-2.0547945205479423E-2</v>
      </c>
      <c r="X43" s="119">
        <f>IFERROR(R43/S43-1,"n/a")</f>
        <v>0.15873015873015883</v>
      </c>
      <c r="Y43" s="119">
        <f>IFERROR(R43/T43-1,"n/a")</f>
        <v>47.666666666666664</v>
      </c>
      <c r="Z43" s="119" t="str">
        <f>IFERROR(R43/U43-1,"n/a")</f>
        <v>n/a</v>
      </c>
      <c r="AA43" s="120">
        <f>IFERROR(R43/V43-1,"n/a")</f>
        <v>1.5172413793103448</v>
      </c>
      <c r="AB43" s="147"/>
      <c r="AC43" s="89">
        <v>669</v>
      </c>
      <c r="AD43" s="89">
        <v>59</v>
      </c>
      <c r="AE43" s="70">
        <v>9</v>
      </c>
      <c r="AF43" s="78">
        <v>287</v>
      </c>
      <c r="AH43" s="122"/>
    </row>
    <row r="44" spans="1:34" s="123" customFormat="1" ht="11.25">
      <c r="A44" s="122"/>
      <c r="B44" s="122"/>
      <c r="C44" s="33"/>
      <c r="D44" s="26" t="s">
        <v>11</v>
      </c>
      <c r="E44" s="32"/>
      <c r="F44" s="74">
        <f t="shared" si="5"/>
        <v>156985</v>
      </c>
      <c r="G44" s="74">
        <f t="shared" si="5"/>
        <v>137318</v>
      </c>
      <c r="H44" s="74">
        <f t="shared" si="5"/>
        <v>88575</v>
      </c>
      <c r="I44" s="74">
        <f t="shared" si="5"/>
        <v>0</v>
      </c>
      <c r="J44" s="74">
        <f t="shared" si="5"/>
        <v>0</v>
      </c>
      <c r="K44" s="74">
        <f t="shared" si="5"/>
        <v>66376</v>
      </c>
      <c r="L44" s="64">
        <f>IFERROR(F44/G44-1,"n/a")</f>
        <v>0.14322230151910165</v>
      </c>
      <c r="M44" s="64">
        <f>IFERROR(F44/H44-1,"n/a")</f>
        <v>0.77233982500705611</v>
      </c>
      <c r="N44" s="64" t="str">
        <f>IFERROR(F44/I44-1,"n/a")</f>
        <v>n/a</v>
      </c>
      <c r="O44" s="64" t="str">
        <f>IFERROR(F44/J44-1,"n/a")</f>
        <v>n/a</v>
      </c>
      <c r="P44" s="60">
        <f>IFERROR(F44/K44-1,"n/a")</f>
        <v>1.3650867783536218</v>
      </c>
      <c r="Q44" s="74">
        <f>'Apr-24'!Q44+F44</f>
        <v>232556.4</v>
      </c>
      <c r="R44" s="74">
        <f>'Apr-24'!R44+G44</f>
        <v>203620</v>
      </c>
      <c r="S44" s="74">
        <f>'Apr-24'!S44+H44</f>
        <v>121151</v>
      </c>
      <c r="T44" s="74">
        <f>'Apr-24'!T44+I44</f>
        <v>0</v>
      </c>
      <c r="U44" s="74">
        <f>'Apr-24'!U44+J44</f>
        <v>0</v>
      </c>
      <c r="V44" s="74">
        <f>'Apr-24'!V44+K44</f>
        <v>102439</v>
      </c>
      <c r="W44" s="119">
        <f>IFERROR(Q44/R44-1,"n/a")</f>
        <v>0.1421098123956388</v>
      </c>
      <c r="X44" s="119">
        <f>IFERROR(R44/S44-1,"n/a")</f>
        <v>0.6807124992777609</v>
      </c>
      <c r="Y44" s="119" t="str">
        <f>IFERROR(R44/T44-1,"n/a")</f>
        <v>n/a</v>
      </c>
      <c r="Z44" s="119" t="str">
        <f>IFERROR(R44/U44-1,"n/a")</f>
        <v>n/a</v>
      </c>
      <c r="AA44" s="120">
        <f>IFERROR(R44/V44-1,"n/a")</f>
        <v>0.98771952088560022</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6">F22</f>
        <v>147</v>
      </c>
      <c r="G46" s="74">
        <f t="shared" si="6"/>
        <v>159</v>
      </c>
      <c r="H46" s="74">
        <f t="shared" si="6"/>
        <v>107</v>
      </c>
      <c r="I46" s="74">
        <f t="shared" si="6"/>
        <v>0</v>
      </c>
      <c r="J46" s="74">
        <f t="shared" si="6"/>
        <v>0</v>
      </c>
      <c r="K46" s="74">
        <f t="shared" si="6"/>
        <v>113</v>
      </c>
      <c r="L46" s="64">
        <f>IFERROR(F46/G46-1,"n/a")</f>
        <v>-7.547169811320753E-2</v>
      </c>
      <c r="M46" s="64">
        <f>IFERROR(F46/H46-1,"n/a")</f>
        <v>0.37383177570093462</v>
      </c>
      <c r="N46" s="64" t="str">
        <f>IFERROR(F46/I46-1,"n/a")</f>
        <v>n/a</v>
      </c>
      <c r="O46" s="64" t="str">
        <f>IFERROR(F46/J46-1,"n/a")</f>
        <v>n/a</v>
      </c>
      <c r="P46" s="60">
        <f>IFERROR(F46/K46-1,"n/a")</f>
        <v>0.30088495575221241</v>
      </c>
      <c r="Q46" s="74">
        <f>'Apr-24'!Q46+F46</f>
        <v>341</v>
      </c>
      <c r="R46" s="74">
        <f>'Apr-24'!R46+G46</f>
        <v>321</v>
      </c>
      <c r="S46" s="74">
        <f>'Apr-24'!S46+H46</f>
        <v>207</v>
      </c>
      <c r="T46" s="74">
        <f>'Apr-24'!T46+I46</f>
        <v>0</v>
      </c>
      <c r="U46" s="74">
        <f>'Apr-24'!U46+J46</f>
        <v>0</v>
      </c>
      <c r="V46" s="74">
        <f>'Apr-24'!V46+K46</f>
        <v>203</v>
      </c>
      <c r="W46" s="119">
        <f>IFERROR(Q46/R46-1,"n/a")</f>
        <v>6.230529595015577E-2</v>
      </c>
      <c r="X46" s="119">
        <f>IFERROR(R46/S46-1,"n/a")</f>
        <v>0.55072463768115942</v>
      </c>
      <c r="Y46" s="119" t="str">
        <f>IFERROR(R46/T46-1,"n/a")</f>
        <v>n/a</v>
      </c>
      <c r="Z46" s="119" t="str">
        <f>IFERROR(R46/U46-1,"n/a")</f>
        <v>n/a</v>
      </c>
      <c r="AA46" s="120">
        <f>IFERROR(R46/V46-1,"n/a")</f>
        <v>0.58128078817733986</v>
      </c>
      <c r="AB46" s="147"/>
      <c r="AC46" s="89">
        <v>1129</v>
      </c>
      <c r="AD46" s="89">
        <v>336</v>
      </c>
      <c r="AE46" s="84">
        <v>43</v>
      </c>
      <c r="AF46" s="78">
        <v>781</v>
      </c>
      <c r="AH46" s="122"/>
    </row>
    <row r="47" spans="1:34" s="123" customFormat="1" ht="11.25">
      <c r="A47" s="122"/>
      <c r="B47" s="122"/>
      <c r="C47" s="33"/>
      <c r="D47" s="26" t="s">
        <v>11</v>
      </c>
      <c r="E47" s="32"/>
      <c r="F47" s="74">
        <f t="shared" si="6"/>
        <v>425839</v>
      </c>
      <c r="G47" s="74">
        <f t="shared" si="6"/>
        <v>390316</v>
      </c>
      <c r="H47" s="74">
        <f t="shared" si="6"/>
        <v>173929</v>
      </c>
      <c r="I47" s="74">
        <f t="shared" si="6"/>
        <v>0</v>
      </c>
      <c r="J47" s="74">
        <f t="shared" si="6"/>
        <v>0</v>
      </c>
      <c r="K47" s="74">
        <f t="shared" si="6"/>
        <v>300445</v>
      </c>
      <c r="L47" s="64">
        <f>IFERROR(F47/G47-1,"n/a")</f>
        <v>9.1010873241168744E-2</v>
      </c>
      <c r="M47" s="64">
        <f>IFERROR(F47/H47-1,"n/a")</f>
        <v>1.4483496139229226</v>
      </c>
      <c r="N47" s="64" t="str">
        <f>IFERROR(F47/I47-1,"n/a")</f>
        <v>n/a</v>
      </c>
      <c r="O47" s="64" t="str">
        <f>IFERROR(F47/J47-1,"n/a")</f>
        <v>n/a</v>
      </c>
      <c r="P47" s="60">
        <f>IFERROR(F47/K47-1,"n/a")</f>
        <v>0.41736091464327907</v>
      </c>
      <c r="Q47" s="74">
        <f>'Apr-24'!Q47+F47</f>
        <v>858945</v>
      </c>
      <c r="R47" s="74">
        <f>'Apr-24'!R47+G47</f>
        <v>743019</v>
      </c>
      <c r="S47" s="74">
        <f>'Apr-24'!S47+H47</f>
        <v>289738</v>
      </c>
      <c r="T47" s="74">
        <f>'Apr-24'!T47+I47</f>
        <v>0</v>
      </c>
      <c r="U47" s="74">
        <f>'Apr-24'!U47+J47</f>
        <v>0</v>
      </c>
      <c r="V47" s="74">
        <f>'Apr-24'!V47+K47</f>
        <v>513185</v>
      </c>
      <c r="W47" s="119">
        <f>IFERROR(Q47/R47-1,"n/a")</f>
        <v>0.15602023636003914</v>
      </c>
      <c r="X47" s="119">
        <f>IFERROR(R47/S47-1,"n/a")</f>
        <v>1.5644513318929514</v>
      </c>
      <c r="Y47" s="119" t="str">
        <f>IFERROR(R47/T47-1,"n/a")</f>
        <v>n/a</v>
      </c>
      <c r="Z47" s="119" t="str">
        <f>IFERROR(R47/U47-1,"n/a")</f>
        <v>n/a</v>
      </c>
      <c r="AA47" s="120">
        <f>IFERROR(R47/V47-1,"n/a")</f>
        <v>0.44785798493720597</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7">F25</f>
        <v>2</v>
      </c>
      <c r="G49" s="74">
        <f t="shared" si="7"/>
        <v>3</v>
      </c>
      <c r="H49" s="74">
        <f t="shared" si="7"/>
        <v>0</v>
      </c>
      <c r="I49" s="74">
        <f t="shared" si="7"/>
        <v>0</v>
      </c>
      <c r="J49" s="74">
        <f t="shared" si="7"/>
        <v>0</v>
      </c>
      <c r="K49" s="74">
        <f t="shared" si="7"/>
        <v>2</v>
      </c>
      <c r="L49" s="64">
        <f>IFERROR(F49/G49-1,"n/a")</f>
        <v>-0.33333333333333337</v>
      </c>
      <c r="M49" s="64" t="str">
        <f>IFERROR(F49/H49-1,"n/a")</f>
        <v>n/a</v>
      </c>
      <c r="N49" s="64" t="str">
        <f>IFERROR(F49/I49-1,"n/a")</f>
        <v>n/a</v>
      </c>
      <c r="O49" s="64" t="str">
        <f>IFERROR(F49/J49-1,"n/a")</f>
        <v>n/a</v>
      </c>
      <c r="P49" s="60">
        <f>IFERROR(F49/K49-1,"n/a")</f>
        <v>0</v>
      </c>
      <c r="Q49" s="74">
        <f>'Apr-24'!Q49+F49</f>
        <v>3</v>
      </c>
      <c r="R49" s="74">
        <f>'Apr-24'!R49+G49</f>
        <v>4</v>
      </c>
      <c r="S49" s="74">
        <f>'Apr-24'!S49+H49</f>
        <v>1</v>
      </c>
      <c r="T49" s="74">
        <f>'Apr-24'!T49+I49</f>
        <v>0</v>
      </c>
      <c r="U49" s="74">
        <f>'Apr-24'!U49+J49</f>
        <v>0</v>
      </c>
      <c r="V49" s="74">
        <f>'Apr-24'!V49+K49</f>
        <v>3</v>
      </c>
      <c r="W49" s="119">
        <f t="shared" ref="W49:X52" si="8">IFERROR(Q49/R49-1,"n/a")</f>
        <v>-0.25</v>
      </c>
      <c r="X49" s="119">
        <f t="shared" si="8"/>
        <v>3</v>
      </c>
      <c r="Y49" s="119" t="str">
        <f>IFERROR(R49/T49-1,"n/a")</f>
        <v>n/a</v>
      </c>
      <c r="Z49" s="119" t="str">
        <f>IFERROR(R49/U49-1,"n/a")</f>
        <v>n/a</v>
      </c>
      <c r="AA49" s="120">
        <f>IFERROR(R49/V49-1,"n/a")</f>
        <v>0.33333333333333326</v>
      </c>
      <c r="AB49" s="147"/>
      <c r="AC49" s="89">
        <v>9</v>
      </c>
      <c r="AD49" s="68">
        <v>0</v>
      </c>
      <c r="AE49" s="68">
        <v>0</v>
      </c>
      <c r="AF49" s="78">
        <v>16</v>
      </c>
      <c r="AH49" s="122"/>
    </row>
    <row r="50" spans="3:34" s="123" customFormat="1" ht="11.25">
      <c r="C50" s="33"/>
      <c r="D50" s="26" t="s">
        <v>11</v>
      </c>
      <c r="E50" s="32"/>
      <c r="F50" s="74">
        <f t="shared" si="7"/>
        <v>8306</v>
      </c>
      <c r="G50" s="74">
        <f t="shared" si="7"/>
        <v>2124</v>
      </c>
      <c r="H50" s="74">
        <f t="shared" si="7"/>
        <v>0</v>
      </c>
      <c r="I50" s="74">
        <f t="shared" si="7"/>
        <v>0</v>
      </c>
      <c r="J50" s="74">
        <f t="shared" si="7"/>
        <v>0</v>
      </c>
      <c r="K50" s="74">
        <f t="shared" si="7"/>
        <v>2351</v>
      </c>
      <c r="L50" s="64">
        <f>IFERROR(F50/G50-1,"n/a")</f>
        <v>2.9105461393596985</v>
      </c>
      <c r="M50" s="64" t="str">
        <f>IFERROR(F50/H50-1,"n/a")</f>
        <v>n/a</v>
      </c>
      <c r="N50" s="64" t="str">
        <f>IFERROR(F50/I50-1,"n/a")</f>
        <v>n/a</v>
      </c>
      <c r="O50" s="64" t="str">
        <f>IFERROR(F50/J50-1,"n/a")</f>
        <v>n/a</v>
      </c>
      <c r="P50" s="60">
        <f>IFERROR(F50/K50-1,"n/a")</f>
        <v>2.5329646958740963</v>
      </c>
      <c r="Q50" s="74">
        <f>'Apr-24'!Q50+F50</f>
        <v>12437</v>
      </c>
      <c r="R50" s="74">
        <f>'Apr-24'!R50+G50</f>
        <v>4382</v>
      </c>
      <c r="S50" s="74">
        <f>'Apr-24'!S50+H50</f>
        <v>925</v>
      </c>
      <c r="T50" s="74">
        <f>'Apr-24'!T50+I50</f>
        <v>0</v>
      </c>
      <c r="U50" s="74">
        <f>'Apr-24'!U50+J50</f>
        <v>0</v>
      </c>
      <c r="V50" s="74">
        <f>'Apr-24'!V50+K50</f>
        <v>3410</v>
      </c>
      <c r="W50" s="119">
        <f t="shared" si="8"/>
        <v>1.8382017343678685</v>
      </c>
      <c r="X50" s="119">
        <f t="shared" si="8"/>
        <v>3.7372972972972969</v>
      </c>
      <c r="Y50" s="119" t="str">
        <f>IFERROR(R50/T50-1,"n/a")</f>
        <v>n/a</v>
      </c>
      <c r="Z50" s="119" t="str">
        <f>IFERROR(R50/U50-1,"n/a")</f>
        <v>n/a</v>
      </c>
      <c r="AA50" s="120">
        <f>IFERROR(R50/V50-1,"n/a")</f>
        <v>0.28504398826979482</v>
      </c>
      <c r="AB50" s="147"/>
      <c r="AC50" s="82">
        <v>15637</v>
      </c>
      <c r="AD50" s="68">
        <v>0</v>
      </c>
      <c r="AE50" s="68">
        <v>0</v>
      </c>
      <c r="AF50" s="78">
        <v>20248</v>
      </c>
      <c r="AH50" s="122"/>
    </row>
    <row r="51" spans="3:34" s="123" customFormat="1" ht="12" thickBot="1">
      <c r="C51" s="35" t="s">
        <v>12</v>
      </c>
      <c r="D51" s="36"/>
      <c r="E51" s="37"/>
      <c r="F51" s="75">
        <f>F37+F40+F43+F46+F49</f>
        <v>495</v>
      </c>
      <c r="G51" s="75">
        <f>G37+G40+G43+G46+G49</f>
        <v>430</v>
      </c>
      <c r="H51" s="75">
        <f t="shared" ref="H51:K52" si="9">H37+H40+H43+H46+H49</f>
        <v>352</v>
      </c>
      <c r="I51" s="75">
        <f t="shared" si="9"/>
        <v>18</v>
      </c>
      <c r="J51" s="75">
        <f t="shared" si="9"/>
        <v>0</v>
      </c>
      <c r="K51" s="75">
        <f t="shared" si="9"/>
        <v>313</v>
      </c>
      <c r="L51" s="66">
        <f>IFERROR(F51/G51-1,"n/a")</f>
        <v>0.15116279069767447</v>
      </c>
      <c r="M51" s="66">
        <f>IFERROR(F51/H51-1,"n/a")</f>
        <v>0.40625</v>
      </c>
      <c r="N51" s="66">
        <f>IFERROR(F51/I51-1,"n/a")</f>
        <v>26.5</v>
      </c>
      <c r="O51" s="66" t="str">
        <f>IFERROR(F51/J51-1,"n/a")</f>
        <v>n/a</v>
      </c>
      <c r="P51" s="62">
        <f>IFERROR(F51/K51-1,"n/a")</f>
        <v>0.58146964856230032</v>
      </c>
      <c r="Q51" s="75">
        <f t="shared" ref="Q51:V52" si="10">Q37+Q40+Q43+Q46+Q49</f>
        <v>984</v>
      </c>
      <c r="R51" s="75">
        <f t="shared" si="10"/>
        <v>815</v>
      </c>
      <c r="S51" s="75">
        <f>S37+S40+S43+S46+S49</f>
        <v>680</v>
      </c>
      <c r="T51" s="75">
        <f t="shared" si="10"/>
        <v>25</v>
      </c>
      <c r="U51" s="75">
        <f t="shared" si="10"/>
        <v>42</v>
      </c>
      <c r="V51" s="75">
        <f t="shared" si="10"/>
        <v>605</v>
      </c>
      <c r="W51" s="66">
        <f t="shared" si="8"/>
        <v>0.20736196319018396</v>
      </c>
      <c r="X51" s="66">
        <f t="shared" si="8"/>
        <v>0.19852941176470584</v>
      </c>
      <c r="Y51" s="66">
        <f>IFERROR(R51/T51-1,"n/a")</f>
        <v>31.6</v>
      </c>
      <c r="Z51" s="66">
        <f t="shared" ref="Z51:Z52" si="11">IFERROR(R51/U51-1,"n/a")</f>
        <v>18.404761904761905</v>
      </c>
      <c r="AA51" s="62">
        <f>IFERROR(R51/V51-1,"n/a")</f>
        <v>0.34710743801652888</v>
      </c>
      <c r="AB51" s="66"/>
      <c r="AC51" s="46">
        <f t="shared" ref="AC51:AE52" si="12">AC37+AC40+AC43+AC46+AC49</f>
        <v>3856</v>
      </c>
      <c r="AD51" s="46">
        <f t="shared" si="12"/>
        <v>1673</v>
      </c>
      <c r="AE51" s="46">
        <f t="shared" si="12"/>
        <v>669</v>
      </c>
      <c r="AF51" s="80">
        <f>AF37+AF40+AF43+AF46+AF49</f>
        <v>3241</v>
      </c>
      <c r="AH51" s="122"/>
    </row>
    <row r="52" spans="3:34" s="123" customFormat="1" ht="12.75" thickTop="1" thickBot="1">
      <c r="C52" s="38" t="s">
        <v>13</v>
      </c>
      <c r="D52" s="39"/>
      <c r="E52" s="40"/>
      <c r="F52" s="76">
        <f>F38+F41+F44+F47+F50</f>
        <v>1375766</v>
      </c>
      <c r="G52" s="76">
        <f>G38+G41+G44+G47+G50</f>
        <v>1044083</v>
      </c>
      <c r="H52" s="76">
        <f t="shared" si="9"/>
        <v>579510</v>
      </c>
      <c r="I52" s="76">
        <f t="shared" si="9"/>
        <v>24481</v>
      </c>
      <c r="J52" s="76">
        <f t="shared" si="9"/>
        <v>0</v>
      </c>
      <c r="K52" s="76">
        <f t="shared" si="9"/>
        <v>837624</v>
      </c>
      <c r="L52" s="67">
        <f>IFERROR(F52/G52-1,"n/a")</f>
        <v>0.31767876691795571</v>
      </c>
      <c r="M52" s="67">
        <f>IFERROR(F52/H52-1,"n/a")</f>
        <v>1.3740159790167557</v>
      </c>
      <c r="N52" s="67">
        <f>IFERROR(F52/I52-1,"n/a")</f>
        <v>55.197295862097135</v>
      </c>
      <c r="O52" s="67" t="str">
        <f>IFERROR(F52/J52-1,"n/a")</f>
        <v>n/a</v>
      </c>
      <c r="P52" s="63">
        <f>IFERROR(F52/K52-1,"n/a")</f>
        <v>0.64246248913593695</v>
      </c>
      <c r="Q52" s="76">
        <f t="shared" si="10"/>
        <v>2677885.4</v>
      </c>
      <c r="R52" s="76">
        <f t="shared" si="10"/>
        <v>2022445</v>
      </c>
      <c r="S52" s="76">
        <f t="shared" si="10"/>
        <v>1086975</v>
      </c>
      <c r="T52" s="76">
        <f t="shared" si="10"/>
        <v>30483</v>
      </c>
      <c r="U52" s="76">
        <f t="shared" si="10"/>
        <v>0</v>
      </c>
      <c r="V52" s="76">
        <f t="shared" si="10"/>
        <v>1628862</v>
      </c>
      <c r="W52" s="67">
        <f t="shared" si="8"/>
        <v>0.32408317655115471</v>
      </c>
      <c r="X52" s="67">
        <f t="shared" si="8"/>
        <v>0.86061776949791846</v>
      </c>
      <c r="Y52" s="117">
        <f>IFERROR(R52/T52-1,"n/a")</f>
        <v>65.346652232391818</v>
      </c>
      <c r="Z52" s="117" t="str">
        <f t="shared" si="11"/>
        <v>n/a</v>
      </c>
      <c r="AA52" s="118">
        <f>IFERROR(R52/V52-1,"n/a")</f>
        <v>0.24163065993313126</v>
      </c>
      <c r="AB52" s="117"/>
      <c r="AC52" s="47">
        <f t="shared" si="12"/>
        <v>9237323</v>
      </c>
      <c r="AD52" s="47">
        <f t="shared" si="12"/>
        <v>2410085</v>
      </c>
      <c r="AE52" s="47">
        <f t="shared" si="12"/>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14999847407452621"/>
    <pageSetUpPr fitToPage="1"/>
  </sheetPr>
  <dimension ref="A1:AH55"/>
  <sheetViews>
    <sheetView showGridLines="0" zoomScale="85" zoomScaleNormal="85" workbookViewId="0"/>
  </sheetViews>
  <sheetFormatPr defaultColWidth="0" defaultRowHeight="0" customHeight="1" zeroHeight="1"/>
  <cols>
    <col min="1" max="2" width="2.5703125" style="2" customWidth="1"/>
    <col min="3" max="3" width="20.85546875" style="2" customWidth="1"/>
    <col min="4" max="4" width="10.5703125" style="2" bestFit="1" customWidth="1"/>
    <col min="5" max="8" width="9.140625" style="2" customWidth="1"/>
    <col min="9" max="9" width="14.140625" style="2" customWidth="1"/>
    <col min="10" max="10" width="5" style="2" customWidth="1"/>
    <col min="11" max="11" width="9.140625" style="2" customWidth="1"/>
    <col min="12" max="12" width="4.85546875" style="2" customWidth="1"/>
    <col min="13" max="16" width="9.140625" style="2" customWidth="1"/>
    <col min="17" max="17" width="3.5703125" style="2" customWidth="1"/>
    <col min="18" max="18" width="10.140625" style="2" customWidth="1"/>
    <col min="19" max="33" width="10.140625" style="2" hidden="1" customWidth="1"/>
    <col min="34" max="34" width="4.85546875" style="2" hidden="1" customWidth="1"/>
    <col min="35" max="16384" width="10.140625" style="2" hidden="1"/>
  </cols>
  <sheetData>
    <row r="1" spans="2:34" ht="23.25">
      <c r="B1" s="13"/>
      <c r="C1" s="14"/>
      <c r="D1" s="14"/>
      <c r="E1" s="14"/>
      <c r="F1" s="14"/>
      <c r="G1" s="14"/>
      <c r="H1" s="14"/>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pans="2:34" ht="28.5" thickBot="1">
      <c r="B2" s="13"/>
      <c r="C2" s="15" t="s">
        <v>4</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3"/>
    </row>
    <row r="3" spans="2:34" ht="13.5">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2:34" ht="17.25" customHeight="1">
      <c r="B4" s="13"/>
      <c r="C4" s="17"/>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row>
    <row r="5" spans="2:34" ht="17.25"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2:34" ht="17.25" customHeight="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ht="17.25" customHeight="1">
      <c r="B7" s="13"/>
      <c r="C7" s="17"/>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ht="17.25" customHeight="1">
      <c r="B8" s="13"/>
      <c r="C8" s="13"/>
      <c r="D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ht="17.25" customHeight="1">
      <c r="B9" s="13"/>
      <c r="C9" s="13"/>
      <c r="D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ht="17.25" customHeight="1">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ht="17.25" customHeight="1">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7.25" customHeight="1">
      <c r="B12" s="13"/>
      <c r="C12" s="17"/>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7.25" customHeight="1">
      <c r="B13" s="13"/>
      <c r="C13" s="42"/>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7.25" customHeight="1">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ht="17.25" customHeight="1">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ht="17.25" customHeight="1">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ht="17.25" customHeight="1">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ht="17.25" customHeight="1">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7.25" customHeight="1">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ht="17.25" customHeight="1">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ht="17.25" customHeight="1">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ht="17.25" customHeight="1">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ht="17.2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7.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ht="17.25" customHeight="1">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ht="17.25" customHeight="1">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ht="17.25" customHeight="1">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ht="17.25"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7.25" customHeight="1">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ht="17.25" customHeight="1">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2:34" ht="17.25" customHeight="1">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2:34" ht="17.25" hidden="1" customHeight="1">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2:34" ht="17.25" hidden="1" customHeight="1">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2:34" ht="17.25" hidden="1" customHeight="1">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2:34" ht="13.5" hidden="1" customHeight="1"/>
    <row r="36" spans="2:34" ht="13.5" hidden="1" customHeight="1"/>
    <row r="37" spans="2:34" ht="13.5" hidden="1"/>
    <row r="38" spans="2:34" ht="13.5" hidden="1"/>
    <row r="39" spans="2:34" ht="13.5" hidden="1"/>
    <row r="40" spans="2:34" ht="13.5" hidden="1"/>
    <row r="41" spans="2:34" ht="13.5" hidden="1"/>
    <row r="42" spans="2:34" ht="13.5" hidden="1"/>
    <row r="43" spans="2:34" ht="13.5" hidden="1"/>
    <row r="44" spans="2:34" ht="12.75" hidden="1" customHeight="1"/>
    <row r="45" spans="2:34" ht="12.75" hidden="1" customHeight="1"/>
    <row r="46" spans="2:34" ht="12.75" hidden="1" customHeight="1"/>
    <row r="47" spans="2:34" ht="12.75" hidden="1" customHeight="1"/>
    <row r="48" spans="2:34" ht="12.75" hidden="1" customHeight="1"/>
    <row r="49" s="2" customFormat="1" ht="12.75" hidden="1" customHeight="1"/>
    <row r="50" s="2" customFormat="1" ht="0" hidden="1" customHeight="1"/>
    <row r="51" s="2" customFormat="1" ht="0" hidden="1" customHeight="1"/>
    <row r="52" s="2" customFormat="1" ht="0" hidden="1" customHeight="1"/>
    <row r="53" s="2" customFormat="1" ht="0" hidden="1" customHeight="1"/>
    <row r="54" s="2" customFormat="1" ht="0" hidden="1" customHeight="1"/>
    <row r="55" s="2" customFormat="1" ht="0" hidden="1" customHeight="1"/>
  </sheetData>
  <customSheetViews>
    <customSheetView guid="{5F6D01E3-9E6F-4D7F-980F-63899AF95899}" scale="85" showGridLines="0" fitToPage="1" hiddenRows="1" hiddenColumns="1" topLeftCell="B1">
      <selection activeCell="B1" sqref="B1"/>
      <pageMargins left="0.7" right="0.7" top="0.75" bottom="0.75" header="0.3" footer="0.3"/>
      <pageSetup paperSize="9" scale="62" orientation="landscape" r:id="rId1"/>
    </customSheetView>
  </customSheetViews>
  <pageMargins left="0.7" right="0.7" top="0.75" bottom="0.75" header="0.3" footer="0.3"/>
  <pageSetup paperSize="9" scale="62"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E8E3A-1E5B-4004-A97D-102B07FDFC29}">
  <dimension ref="A1:AH66"/>
  <sheetViews>
    <sheetView showGridLines="0" topLeftCell="A20" zoomScale="90" zoomScaleNormal="90" workbookViewId="0">
      <selection activeCell="F27" sqref="F27:K28"/>
    </sheetView>
  </sheetViews>
  <sheetFormatPr defaultColWidth="0" defaultRowHeight="0" customHeight="1" zeroHeight="1"/>
  <cols>
    <col min="1" max="2" width="4.140625" customWidth="1"/>
    <col min="3" max="3" width="3.85546875" customWidth="1"/>
    <col min="4" max="4" width="8.85546875"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45397</v>
      </c>
      <c r="AG3" s="25"/>
      <c r="AH3" s="9"/>
    </row>
    <row r="4" spans="1:34" ht="15.75">
      <c r="A4" s="9"/>
      <c r="B4" s="11" t="s">
        <v>7</v>
      </c>
      <c r="C4" s="26"/>
      <c r="D4" s="93" t="s">
        <v>45</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7" t="str">
        <f>D4</f>
        <v>April</v>
      </c>
      <c r="G9" s="167"/>
      <c r="H9" s="167"/>
      <c r="I9" s="167"/>
      <c r="J9" s="167"/>
      <c r="K9" s="167"/>
      <c r="L9" s="167"/>
      <c r="M9" s="167"/>
      <c r="N9" s="167"/>
      <c r="O9" s="167"/>
      <c r="P9" s="168"/>
      <c r="Q9" s="169" t="str">
        <f>"January to "&amp; D4</f>
        <v>January to April</v>
      </c>
      <c r="R9" s="170"/>
      <c r="S9" s="170"/>
      <c r="T9" s="170"/>
      <c r="U9" s="170"/>
      <c r="V9" s="170"/>
      <c r="W9" s="170"/>
      <c r="X9" s="170"/>
      <c r="Y9" s="170"/>
      <c r="Z9" s="170"/>
      <c r="AA9" s="171"/>
      <c r="AB9" s="169" t="s">
        <v>57</v>
      </c>
      <c r="AC9" s="170"/>
      <c r="AD9" s="170"/>
      <c r="AE9" s="170"/>
      <c r="AF9" s="172"/>
      <c r="AG9" s="122"/>
      <c r="AH9" s="122"/>
    </row>
    <row r="10" spans="1:34"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187</v>
      </c>
      <c r="G13" s="71">
        <v>129</v>
      </c>
      <c r="H13" s="71">
        <v>136</v>
      </c>
      <c r="I13" s="71">
        <v>0</v>
      </c>
      <c r="J13" s="71">
        <v>42</v>
      </c>
      <c r="K13" s="71">
        <v>129</v>
      </c>
      <c r="L13" s="64">
        <f>IFERROR(F13/G13-1,"n/a")</f>
        <v>0.4496124031007751</v>
      </c>
      <c r="M13" s="64">
        <f>IFERROR(F13/H13-1,"n/a")</f>
        <v>0.375</v>
      </c>
      <c r="N13" s="64" t="str">
        <f>IFERROR(F13/I13-1,"n/a")</f>
        <v>n/a</v>
      </c>
      <c r="O13" s="64">
        <f>IFERROR(F13/J13-1,"n/a")</f>
        <v>3.4523809523809526</v>
      </c>
      <c r="P13" s="60">
        <f>IFERROR(F13/K13-1,"n/a")</f>
        <v>0.4496124031007751</v>
      </c>
      <c r="Q13" s="68">
        <f>'Mar-24'!Q13+F13</f>
        <v>889</v>
      </c>
      <c r="R13" s="68">
        <f>'Mar-24'!R13+G13</f>
        <v>659</v>
      </c>
      <c r="S13" s="68">
        <f>'Mar-24'!S13+H13</f>
        <v>666</v>
      </c>
      <c r="T13" s="68">
        <f>'Mar-24'!T13+I13</f>
        <v>0</v>
      </c>
      <c r="U13" s="68">
        <f>'Mar-24'!U13+J13</f>
        <v>551</v>
      </c>
      <c r="V13" s="68">
        <f>'Mar-24'!V13+K13</f>
        <v>645</v>
      </c>
      <c r="W13" s="64">
        <f>IFERROR(Q13/R13-1,"n/a")</f>
        <v>0.34901365705614573</v>
      </c>
      <c r="X13" s="64">
        <f>IFERROR(Q13/S13-1,"n/a")</f>
        <v>0.33483483483483489</v>
      </c>
      <c r="Y13" s="64" t="str">
        <f>IFERROR(Q13/T13-1,"n/a")</f>
        <v>n/a</v>
      </c>
      <c r="Z13" s="64">
        <f>IFERROR(Q13/U13-1,"n/a")</f>
        <v>0.61343012704174238</v>
      </c>
      <c r="AA13" s="60">
        <f>IFERROR(Q13/V13-1,"n/a")</f>
        <v>0.3782945736434109</v>
      </c>
      <c r="AB13" s="68">
        <v>1630</v>
      </c>
      <c r="AC13" s="68">
        <v>1486</v>
      </c>
      <c r="AD13" s="68">
        <v>522</v>
      </c>
      <c r="AE13" s="68">
        <v>551</v>
      </c>
      <c r="AF13" s="134">
        <v>1591</v>
      </c>
      <c r="AG13" s="122"/>
      <c r="AH13" s="122"/>
    </row>
    <row r="14" spans="1:34" s="123" customFormat="1" ht="12.75">
      <c r="A14" s="122"/>
      <c r="B14" s="127"/>
      <c r="C14" s="33"/>
      <c r="D14" s="26" t="s">
        <v>11</v>
      </c>
      <c r="E14" s="32"/>
      <c r="F14" s="71">
        <v>659714</v>
      </c>
      <c r="G14" s="71">
        <v>449751</v>
      </c>
      <c r="H14" s="71">
        <v>297788</v>
      </c>
      <c r="I14" s="71">
        <v>0</v>
      </c>
      <c r="J14" s="71">
        <v>0</v>
      </c>
      <c r="K14" s="71">
        <v>394045</v>
      </c>
      <c r="L14" s="64">
        <f>IFERROR(F14/G14-1,"n/a")</f>
        <v>0.46684276410725056</v>
      </c>
      <c r="M14" s="64">
        <f>IFERROR(F14/H14-1,"n/a")</f>
        <v>1.2153814122798772</v>
      </c>
      <c r="N14" s="64" t="str">
        <f>IFERROR(F14/I14-1,"n/a")</f>
        <v>n/a</v>
      </c>
      <c r="O14" s="64" t="str">
        <f>IFERROR(F14/J14-1,"n/a")</f>
        <v>n/a</v>
      </c>
      <c r="P14" s="60">
        <f>IFERROR(F14/K14-1,"n/a")</f>
        <v>0.67420979837328221</v>
      </c>
      <c r="Q14" s="68">
        <f>'Mar-24'!Q14+F14</f>
        <v>2813538</v>
      </c>
      <c r="R14" s="68">
        <f>'Mar-24'!R14+G14</f>
        <v>1987935</v>
      </c>
      <c r="S14" s="68">
        <f>'Mar-24'!S14+H14</f>
        <v>1057446</v>
      </c>
      <c r="T14" s="68">
        <f>'Mar-24'!T14+I14</f>
        <v>0</v>
      </c>
      <c r="U14" s="68">
        <f>'Mar-24'!U14+J14</f>
        <v>1092884</v>
      </c>
      <c r="V14" s="68">
        <f>'Mar-24'!V14+K14</f>
        <v>1845149</v>
      </c>
      <c r="W14" s="64">
        <f>IFERROR(Q14/R14-1,"n/a")</f>
        <v>0.41530683850327099</v>
      </c>
      <c r="X14" s="64">
        <f>IFERROR(Q14/S14-1,"n/a")</f>
        <v>1.6606918934867596</v>
      </c>
      <c r="Y14" s="64" t="str">
        <f>IFERROR(Q14/T14-1,"n/a")</f>
        <v>n/a</v>
      </c>
      <c r="Z14" s="64">
        <f>IFERROR(Q14/U14-1,"n/a")</f>
        <v>1.5744159489936718</v>
      </c>
      <c r="AA14" s="60">
        <f>IFERROR(Q14/V14-1,"n/a")</f>
        <v>0.52482970209993884</v>
      </c>
      <c r="AB14" s="68">
        <v>5232537</v>
      </c>
      <c r="AC14" s="68">
        <v>3592413</v>
      </c>
      <c r="AD14" s="68">
        <v>768312</v>
      </c>
      <c r="AE14" s="68">
        <v>1092884</v>
      </c>
      <c r="AF14" s="134">
        <v>4592479</v>
      </c>
      <c r="AG14" s="122"/>
      <c r="AH14" s="122"/>
    </row>
    <row r="15" spans="1:34" s="123" customFormat="1" ht="12.75">
      <c r="A15" s="122"/>
      <c r="B15" s="127"/>
      <c r="C15" s="31" t="s">
        <v>108</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55</v>
      </c>
      <c r="G16" s="71">
        <v>46</v>
      </c>
      <c r="H16" s="71">
        <v>56</v>
      </c>
      <c r="I16" s="71">
        <v>5</v>
      </c>
      <c r="J16" s="71">
        <v>0</v>
      </c>
      <c r="K16" s="71">
        <v>51</v>
      </c>
      <c r="L16" s="64">
        <f>IFERROR(F16/G16-1,"n/a")</f>
        <v>0.19565217391304346</v>
      </c>
      <c r="M16" s="64">
        <f>IFERROR(F16/H16-1,"n/a")</f>
        <v>-1.7857142857142905E-2</v>
      </c>
      <c r="N16" s="64">
        <f>IFERROR(F16/I16-1,"n/a")</f>
        <v>10</v>
      </c>
      <c r="O16" s="64" t="str">
        <f>IFERROR(F16/J16-1,"n/a")</f>
        <v>n/a</v>
      </c>
      <c r="P16" s="60">
        <f>IFERROR(F16/K16-1,"n/a")</f>
        <v>7.8431372549019551E-2</v>
      </c>
      <c r="Q16" s="68">
        <f>'Mar-24'!Q16+F16</f>
        <v>92</v>
      </c>
      <c r="R16" s="68">
        <f>'Mar-24'!R16+G16</f>
        <v>73</v>
      </c>
      <c r="S16" s="68">
        <f>'Mar-24'!S16+H16</f>
        <v>92</v>
      </c>
      <c r="T16" s="68">
        <f>'Mar-24'!T16+I16</f>
        <v>17</v>
      </c>
      <c r="U16" s="68">
        <f>'Mar-24'!U16+J16</f>
        <v>10</v>
      </c>
      <c r="V16" s="68">
        <f>'Mar-24'!V16+K16</f>
        <v>74</v>
      </c>
      <c r="W16" s="64">
        <f>IFERROR(Q16/R16-1,"n/a")</f>
        <v>0.26027397260273966</v>
      </c>
      <c r="X16" s="64">
        <f>IFERROR(Q16/S16-1,"n/a")</f>
        <v>0</v>
      </c>
      <c r="Y16" s="64">
        <f>IFERROR(Q16/T16-1,"n/a")</f>
        <v>4.4117647058823533</v>
      </c>
      <c r="Z16" s="64">
        <f>IFERROR(Q16/U16-1,"n/a")</f>
        <v>8.1999999999999993</v>
      </c>
      <c r="AA16" s="60">
        <f>IFERROR(Q16/V16-1,"n/a")</f>
        <v>0.2432432432432432</v>
      </c>
      <c r="AB16" s="68">
        <v>575</v>
      </c>
      <c r="AC16" s="68">
        <v>572</v>
      </c>
      <c r="AD16" s="68">
        <v>202</v>
      </c>
      <c r="AE16" s="68">
        <v>54</v>
      </c>
      <c r="AF16" s="134">
        <v>586</v>
      </c>
      <c r="AG16" s="122"/>
      <c r="AH16" s="122"/>
    </row>
    <row r="17" spans="1:34" s="123" customFormat="1" ht="12.75">
      <c r="A17" s="122"/>
      <c r="B17" s="127"/>
      <c r="C17" s="33"/>
      <c r="D17" s="26" t="s">
        <v>11</v>
      </c>
      <c r="E17" s="32"/>
      <c r="F17" s="71">
        <v>129597</v>
      </c>
      <c r="G17" s="71">
        <v>107348</v>
      </c>
      <c r="H17" s="71">
        <v>60367</v>
      </c>
      <c r="I17" s="71">
        <v>6002</v>
      </c>
      <c r="J17" s="71">
        <v>0</v>
      </c>
      <c r="K17" s="71">
        <v>147331</v>
      </c>
      <c r="L17" s="64">
        <f>IFERROR(F17/G17-1,"n/a")</f>
        <v>0.2072604985654134</v>
      </c>
      <c r="M17" s="64">
        <f>IFERROR(F17/H17-1,"n/a")</f>
        <v>1.1468186260705351</v>
      </c>
      <c r="N17" s="64">
        <f>IFERROR(F17/I17-1,"n/a")</f>
        <v>20.592302565811398</v>
      </c>
      <c r="O17" s="64" t="str">
        <f>IFERROR(F17/J17-1,"n/a")</f>
        <v>n/a</v>
      </c>
      <c r="P17" s="60">
        <f>IFERROR(F17/K17-1,"n/a")</f>
        <v>-0.1203684221243323</v>
      </c>
      <c r="Q17" s="68">
        <f>'Mar-24'!Q17+F17</f>
        <v>260171</v>
      </c>
      <c r="R17" s="68">
        <f>'Mar-24'!R17+G17</f>
        <v>190403</v>
      </c>
      <c r="S17" s="68">
        <f>'Mar-24'!S17+H17</f>
        <v>96875</v>
      </c>
      <c r="T17" s="68">
        <f>'Mar-24'!T17+I17</f>
        <v>16105</v>
      </c>
      <c r="U17" s="68">
        <f>'Mar-24'!U17+J17</f>
        <v>41113</v>
      </c>
      <c r="V17" s="68">
        <f>'Mar-24'!V17+K17</f>
        <v>227705</v>
      </c>
      <c r="W17" s="64">
        <f>IFERROR(Q17/R17-1,"n/a")</f>
        <v>0.36642279796011623</v>
      </c>
      <c r="X17" s="64">
        <f>IFERROR(Q17/S17-1,"n/a")</f>
        <v>1.6856361290322579</v>
      </c>
      <c r="Y17" s="64">
        <f>IFERROR(Q17/T17-1,"n/a")</f>
        <v>15.154672461968332</v>
      </c>
      <c r="Z17" s="64">
        <f>IFERROR(Q17/U17-1,"n/a")</f>
        <v>5.328193028968939</v>
      </c>
      <c r="AA17" s="60">
        <f>IFERROR(Q17/V17-1,"n/a")</f>
        <v>0.14257921433433607</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52</v>
      </c>
      <c r="G19" s="71">
        <v>47</v>
      </c>
      <c r="H19" s="71">
        <v>35</v>
      </c>
      <c r="I19" s="71">
        <v>2</v>
      </c>
      <c r="J19" s="71">
        <v>0</v>
      </c>
      <c r="K19" s="71">
        <v>21</v>
      </c>
      <c r="L19" s="64">
        <f>IFERROR(F19/G19-1,"n/a")</f>
        <v>0.1063829787234043</v>
      </c>
      <c r="M19" s="64">
        <f>IFERROR(F19/H19-1,"n/a")</f>
        <v>0.48571428571428577</v>
      </c>
      <c r="N19" s="64">
        <f>IFERROR(F19/I19-1,"n/a")</f>
        <v>25</v>
      </c>
      <c r="O19" s="64" t="str">
        <f>IFERROR(F19/J19-1,"n/a")</f>
        <v>n/a</v>
      </c>
      <c r="P19" s="60">
        <f>IFERROR(F19/K19-1,"n/a")</f>
        <v>1.4761904761904763</v>
      </c>
      <c r="Q19" s="68">
        <f>'Mar-24'!Q19+F19</f>
        <v>79</v>
      </c>
      <c r="R19" s="68">
        <f>'Mar-24'!R19+G19</f>
        <v>70</v>
      </c>
      <c r="S19" s="68">
        <f>'Mar-24'!S19+H19</f>
        <v>47</v>
      </c>
      <c r="T19" s="68">
        <f>'Mar-24'!T19+I19</f>
        <v>2</v>
      </c>
      <c r="U19" s="68">
        <f>'Mar-24'!U19+J19</f>
        <v>3</v>
      </c>
      <c r="V19" s="68">
        <f>'Mar-24'!V19+K19</f>
        <v>27</v>
      </c>
      <c r="W19" s="64">
        <f>IFERROR(Q19/R19-1,"n/a")</f>
        <v>0.12857142857142856</v>
      </c>
      <c r="X19" s="64">
        <f>IFERROR(Q19/S19-1,"n/a")</f>
        <v>0.68085106382978733</v>
      </c>
      <c r="Y19" s="64">
        <f>IFERROR(Q19/T19-1,"n/a")</f>
        <v>38.5</v>
      </c>
      <c r="Z19" s="64">
        <f>IFERROR(Q19/U19-1,"n/a")</f>
        <v>25.333333333333332</v>
      </c>
      <c r="AA19" s="60">
        <f>IFERROR(Q19/V19-1,"n/a")</f>
        <v>1.925925925925926</v>
      </c>
      <c r="AB19" s="68">
        <v>708</v>
      </c>
      <c r="AC19" s="68">
        <v>658</v>
      </c>
      <c r="AD19" s="68">
        <v>47</v>
      </c>
      <c r="AE19" s="68">
        <v>9</v>
      </c>
      <c r="AF19" s="134">
        <v>290</v>
      </c>
      <c r="AG19" s="122"/>
      <c r="AH19" s="122"/>
    </row>
    <row r="20" spans="1:34" s="123" customFormat="1" ht="12.75">
      <c r="A20" s="122"/>
      <c r="B20" s="127"/>
      <c r="C20" s="33"/>
      <c r="D20" s="26" t="s">
        <v>11</v>
      </c>
      <c r="E20" s="32"/>
      <c r="F20" s="71">
        <v>75571.399999999994</v>
      </c>
      <c r="G20" s="71">
        <v>66302</v>
      </c>
      <c r="H20" s="71">
        <v>32576</v>
      </c>
      <c r="I20" s="71">
        <v>0</v>
      </c>
      <c r="J20" s="71">
        <v>0</v>
      </c>
      <c r="K20" s="71">
        <v>36063</v>
      </c>
      <c r="L20" s="64">
        <f>IFERROR(F20/G20-1,"n/a")</f>
        <v>0.13980573738348756</v>
      </c>
      <c r="M20" s="64">
        <f>IFERROR(F20/H20-1,"n/a")</f>
        <v>1.319848968565815</v>
      </c>
      <c r="N20" s="64" t="str">
        <f>IFERROR(F20/I20-1,"n/a")</f>
        <v>n/a</v>
      </c>
      <c r="O20" s="64" t="str">
        <f>IFERROR(F20/J20-1,"n/a")</f>
        <v>n/a</v>
      </c>
      <c r="P20" s="60">
        <f>IFERROR(F20/K20-1,"n/a")</f>
        <v>1.0955383634195712</v>
      </c>
      <c r="Q20" s="68">
        <f>'Mar-24'!Q20+F20</f>
        <v>115312.4</v>
      </c>
      <c r="R20" s="68">
        <f>'Mar-24'!R20+G20</f>
        <v>87148</v>
      </c>
      <c r="S20" s="68">
        <f>'Mar-24'!S20+H20</f>
        <v>35661</v>
      </c>
      <c r="T20" s="68">
        <f>'Mar-24'!T20+I20</f>
        <v>0</v>
      </c>
      <c r="U20" s="68">
        <f>'Mar-24'!U20+J20</f>
        <v>1753</v>
      </c>
      <c r="V20" s="68">
        <f>'Mar-24'!V20+K20</f>
        <v>42547</v>
      </c>
      <c r="W20" s="64">
        <f>IFERROR(Q20/R20-1,"n/a")</f>
        <v>0.32317895993023349</v>
      </c>
      <c r="X20" s="64">
        <f>IFERROR(Q20/S20-1,"n/a")</f>
        <v>2.2335716889599282</v>
      </c>
      <c r="Y20" s="64" t="str">
        <f>IFERROR(Q20/T20-1,"n/a")</f>
        <v>n/a</v>
      </c>
      <c r="Z20" s="64">
        <f>IFERROR(Q20/U20-1,"n/a")</f>
        <v>64.780034227039351</v>
      </c>
      <c r="AA20" s="60">
        <f>IFERROR(Q20/V20-1,"n/a")</f>
        <v>1.7102357393000682</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194</v>
      </c>
      <c r="G22" s="71">
        <v>162</v>
      </c>
      <c r="H22" s="71">
        <v>100</v>
      </c>
      <c r="I22" s="71">
        <v>0</v>
      </c>
      <c r="J22" s="71">
        <v>0</v>
      </c>
      <c r="K22" s="71">
        <v>90</v>
      </c>
      <c r="L22" s="64">
        <f>IFERROR(F22/G22-1,"n/a")</f>
        <v>0.19753086419753085</v>
      </c>
      <c r="M22" s="64">
        <f>IFERROR(F22/H22-1,"n/a")</f>
        <v>0.94</v>
      </c>
      <c r="N22" s="64" t="str">
        <f>IFERROR(F22/I22-1,"n/a")</f>
        <v>n/a</v>
      </c>
      <c r="O22" s="64" t="str">
        <f>IFERROR(F22/J22-1,"n/a")</f>
        <v>n/a</v>
      </c>
      <c r="P22" s="60">
        <f>IFERROR(F22/K22-1,"n/a")</f>
        <v>1.1555555555555554</v>
      </c>
      <c r="Q22" s="68">
        <f>'Mar-24'!Q22+F22</f>
        <v>453</v>
      </c>
      <c r="R22" s="68">
        <f>'Mar-24'!R22+G22</f>
        <v>449</v>
      </c>
      <c r="S22" s="68">
        <f>'Mar-24'!S22+H22</f>
        <v>153</v>
      </c>
      <c r="T22" s="68">
        <f>'Mar-24'!T22+I22</f>
        <v>0</v>
      </c>
      <c r="U22" s="68">
        <f>'Mar-24'!U22+J22</f>
        <v>43</v>
      </c>
      <c r="V22" s="68">
        <f>'Mar-24'!V22+K22</f>
        <v>179</v>
      </c>
      <c r="W22" s="64">
        <f>IFERROR(Q22/R22-1,"n/a")</f>
        <v>8.9086859688196629E-3</v>
      </c>
      <c r="X22" s="64">
        <f>IFERROR(Q22/S22-1,"n/a")</f>
        <v>1.9607843137254903</v>
      </c>
      <c r="Y22" s="64" t="str">
        <f>IFERROR(Q22/T22-1,"n/a")</f>
        <v>n/a</v>
      </c>
      <c r="Z22" s="64">
        <f>IFERROR(Q22/U22-1,"n/a")</f>
        <v>9.5348837209302317</v>
      </c>
      <c r="AA22" s="60">
        <f>IFERROR(Q22/V22-1,"n/a")</f>
        <v>1.5307262569832401</v>
      </c>
      <c r="AB22" s="68">
        <v>1500</v>
      </c>
      <c r="AC22" s="68">
        <v>895</v>
      </c>
      <c r="AD22" s="68">
        <v>283</v>
      </c>
      <c r="AE22" s="68">
        <v>43</v>
      </c>
      <c r="AF22" s="134">
        <v>827</v>
      </c>
      <c r="AG22" s="122"/>
      <c r="AH22" s="122"/>
    </row>
    <row r="23" spans="1:34" s="123" customFormat="1" ht="12.75">
      <c r="A23" s="122"/>
      <c r="B23" s="127"/>
      <c r="C23" s="33"/>
      <c r="D23" s="26" t="s">
        <v>11</v>
      </c>
      <c r="E23" s="32"/>
      <c r="F23" s="71">
        <v>433106</v>
      </c>
      <c r="G23" s="71">
        <v>352703</v>
      </c>
      <c r="H23" s="71">
        <v>115809</v>
      </c>
      <c r="I23" s="71">
        <v>0</v>
      </c>
      <c r="J23" s="71">
        <v>0</v>
      </c>
      <c r="K23" s="71">
        <v>212740</v>
      </c>
      <c r="L23" s="64">
        <f>IFERROR(F23/G23-1,"n/a")</f>
        <v>0.22796233658347109</v>
      </c>
      <c r="M23" s="64">
        <f>IFERROR(F23/H23-1,"n/a")</f>
        <v>2.7398302377190027</v>
      </c>
      <c r="N23" s="64" t="str">
        <f>IFERROR(F23/I23-1,"n/a")</f>
        <v>n/a</v>
      </c>
      <c r="O23" s="64" t="str">
        <f>IFERROR(F23/J23-1,"n/a")</f>
        <v>n/a</v>
      </c>
      <c r="P23" s="60">
        <f>IFERROR(F23/K23-1,"n/a")</f>
        <v>1.0358465732819404</v>
      </c>
      <c r="Q23" s="68">
        <f>'Mar-24'!Q23+F23</f>
        <v>1346161</v>
      </c>
      <c r="R23" s="68">
        <f>'Mar-24'!R23+G23</f>
        <v>1188977</v>
      </c>
      <c r="S23" s="68">
        <f>'Mar-24'!S23+H23</f>
        <v>184263</v>
      </c>
      <c r="T23" s="68">
        <f>'Mar-24'!T23+I23</f>
        <v>0</v>
      </c>
      <c r="U23" s="68">
        <f>'Mar-24'!U23+J23</f>
        <v>140552</v>
      </c>
      <c r="V23" s="68">
        <f>'Mar-24'!V23+K23</f>
        <v>464640</v>
      </c>
      <c r="W23" s="64">
        <f>IFERROR(Q23/R23-1,"n/a")</f>
        <v>0.13220104341799721</v>
      </c>
      <c r="X23" s="64">
        <f>IFERROR(Q23/S23-1,"n/a")</f>
        <v>6.3056500762497079</v>
      </c>
      <c r="Y23" s="64" t="str">
        <f>IFERROR(Q23/T23-1,"n/a")</f>
        <v>n/a</v>
      </c>
      <c r="Z23" s="64">
        <f>IFERROR(Q23/U23-1,"n/a")</f>
        <v>8.5776723205646306</v>
      </c>
      <c r="AA23" s="60">
        <f>IFERROR(Q23/V23-1,"n/a")</f>
        <v>1.8972128960055095</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1</v>
      </c>
      <c r="G25" s="71">
        <v>1</v>
      </c>
      <c r="H25" s="71">
        <v>1</v>
      </c>
      <c r="I25" s="71">
        <v>0</v>
      </c>
      <c r="J25" s="71">
        <v>0</v>
      </c>
      <c r="K25" s="71">
        <v>1</v>
      </c>
      <c r="L25" s="64">
        <f>IFERROR(F25/G25-1,"n/a")</f>
        <v>0</v>
      </c>
      <c r="M25" s="64">
        <f>IFERROR(F25/H25-1,"n/a")</f>
        <v>0</v>
      </c>
      <c r="N25" s="64" t="str">
        <f>IFERROR(F25/I25-1,"n/a")</f>
        <v>n/a</v>
      </c>
      <c r="O25" s="64" t="str">
        <f>IFERROR(F25/J25-1,"n/a")</f>
        <v>n/a</v>
      </c>
      <c r="P25" s="60">
        <f>IFERROR(F25/K25-1,"n/a")</f>
        <v>0</v>
      </c>
      <c r="Q25" s="68">
        <f>'Mar-24'!Q25+F25</f>
        <v>1</v>
      </c>
      <c r="R25" s="68">
        <f>'Mar-24'!R25+G25</f>
        <v>1</v>
      </c>
      <c r="S25" s="68">
        <f>'Mar-24'!S25+H25</f>
        <v>1</v>
      </c>
      <c r="T25" s="68">
        <f>'Mar-24'!T25+I25</f>
        <v>0</v>
      </c>
      <c r="U25" s="68">
        <f>'Mar-24'!U25+J25</f>
        <v>0</v>
      </c>
      <c r="V25" s="68">
        <f>'Mar-24'!V25+K25</f>
        <v>1</v>
      </c>
      <c r="W25" s="64">
        <f>IFERROR(Q25/R25-1,"n/a")</f>
        <v>0</v>
      </c>
      <c r="X25" s="64">
        <f>IFERROR(Q25/S25-1,"n/a")</f>
        <v>0</v>
      </c>
      <c r="Y25" s="64" t="str">
        <f>IFERROR(Q25/T25-1,"n/a")</f>
        <v>n/a</v>
      </c>
      <c r="Z25" s="64" t="str">
        <f>IFERROR(Q25/U25-1,"n/a")</f>
        <v>n/a</v>
      </c>
      <c r="AA25" s="60">
        <f>IFERROR(Q25/V25-1,"n/a")</f>
        <v>0</v>
      </c>
      <c r="AB25" s="68">
        <v>21</v>
      </c>
      <c r="AC25" s="68">
        <v>9</v>
      </c>
      <c r="AD25" s="68">
        <v>0</v>
      </c>
      <c r="AE25" s="68">
        <v>0</v>
      </c>
      <c r="AF25" s="134">
        <v>16</v>
      </c>
      <c r="AG25" s="122"/>
      <c r="AH25" s="122"/>
    </row>
    <row r="26" spans="1:34" s="123" customFormat="1" ht="12.75">
      <c r="A26" s="122"/>
      <c r="B26" s="127"/>
      <c r="C26" s="33"/>
      <c r="D26" s="26" t="s">
        <v>11</v>
      </c>
      <c r="E26" s="32"/>
      <c r="F26" s="71">
        <v>4131</v>
      </c>
      <c r="G26" s="71">
        <v>2258</v>
      </c>
      <c r="H26" s="71">
        <v>925</v>
      </c>
      <c r="I26" s="71">
        <v>0</v>
      </c>
      <c r="J26" s="71">
        <v>0</v>
      </c>
      <c r="K26" s="71">
        <v>1059</v>
      </c>
      <c r="L26" s="64">
        <f>IFERROR(F26/G26-1,"n/a")</f>
        <v>0.82949512843224094</v>
      </c>
      <c r="M26" s="64">
        <f>IFERROR(F26/H26-1,"n/a")</f>
        <v>3.4659459459459461</v>
      </c>
      <c r="N26" s="64" t="str">
        <f>IFERROR(F26/I26-1,"n/a")</f>
        <v>n/a</v>
      </c>
      <c r="O26" s="64" t="str">
        <f>IFERROR(F26/J26-1,"n/a")</f>
        <v>n/a</v>
      </c>
      <c r="P26" s="60">
        <f>IFERROR(F26/K26-1,"n/a")</f>
        <v>2.9008498583569406</v>
      </c>
      <c r="Q26" s="68">
        <f>'Mar-24'!Q26+F26</f>
        <v>4131</v>
      </c>
      <c r="R26" s="68">
        <f>'Mar-24'!R26+G26</f>
        <v>2258</v>
      </c>
      <c r="S26" s="68">
        <f>'Mar-24'!S26+H26</f>
        <v>925</v>
      </c>
      <c r="T26" s="68">
        <f>'Mar-24'!T26+I26</f>
        <v>0</v>
      </c>
      <c r="U26" s="68">
        <f>'Mar-24'!U26+J26</f>
        <v>0</v>
      </c>
      <c r="V26" s="68">
        <f>'Mar-24'!V26+K26</f>
        <v>1059</v>
      </c>
      <c r="W26" s="64">
        <f>IFERROR(Q26/R26-1,"n/a")</f>
        <v>0.82949512843224094</v>
      </c>
      <c r="X26" s="64">
        <f>IFERROR(Q26/S26-1,"n/a")</f>
        <v>3.4659459459459461</v>
      </c>
      <c r="Y26" s="64" t="str">
        <f>IFERROR(Q26/T26-1,"n/a")</f>
        <v>n/a</v>
      </c>
      <c r="Z26" s="64" t="str">
        <f>IFERROR(Q26/U26-1,"n/a")</f>
        <v>n/a</v>
      </c>
      <c r="AA26" s="60">
        <f>IFERROR(Q26/V26-1,"n/a")</f>
        <v>2.9008498583569406</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489</v>
      </c>
      <c r="G27" s="75">
        <f t="shared" si="0"/>
        <v>385</v>
      </c>
      <c r="H27" s="75">
        <f t="shared" si="0"/>
        <v>328</v>
      </c>
      <c r="I27" s="75">
        <f t="shared" si="0"/>
        <v>7</v>
      </c>
      <c r="J27" s="75">
        <f t="shared" si="0"/>
        <v>42</v>
      </c>
      <c r="K27" s="75">
        <f t="shared" si="0"/>
        <v>292</v>
      </c>
      <c r="L27" s="66">
        <f>IFERROR(F27/G27-1,"n/a")</f>
        <v>0.27012987012987022</v>
      </c>
      <c r="M27" s="66">
        <f>IFERROR(F27/H27-1,"n/a")</f>
        <v>0.49085365853658547</v>
      </c>
      <c r="N27" s="66">
        <f>IFERROR(F27/I27-1,"n/a")</f>
        <v>68.857142857142861</v>
      </c>
      <c r="O27" s="66">
        <f>IFERROR(F27/J27-1,"n/a")</f>
        <v>10.642857142857142</v>
      </c>
      <c r="P27" s="62">
        <f>IFERROR(F27/K27-1,"n/a")</f>
        <v>0.67465753424657526</v>
      </c>
      <c r="Q27" s="75">
        <f t="shared" ref="Q27:V28" si="1">Q13+Q16+Q19+Q22+Q25</f>
        <v>1514</v>
      </c>
      <c r="R27" s="75">
        <f t="shared" si="1"/>
        <v>1252</v>
      </c>
      <c r="S27" s="75">
        <f t="shared" si="1"/>
        <v>959</v>
      </c>
      <c r="T27" s="75">
        <f t="shared" si="1"/>
        <v>19</v>
      </c>
      <c r="U27" s="75">
        <f t="shared" si="1"/>
        <v>607</v>
      </c>
      <c r="V27" s="75">
        <f t="shared" si="1"/>
        <v>926</v>
      </c>
      <c r="W27" s="66">
        <f>IFERROR(Q27/R27-1,"n/a")</f>
        <v>0.20926517571884995</v>
      </c>
      <c r="X27" s="66">
        <f>IFERROR(Q27/S27-1,"n/a")</f>
        <v>0.5787278415015642</v>
      </c>
      <c r="Y27" s="66">
        <f>IFERROR(Q27/T27-1,"n/a")</f>
        <v>78.684210526315795</v>
      </c>
      <c r="Z27" s="66">
        <f>IFERROR(Q27/U27-1,"n/a")</f>
        <v>1.4942339373970346</v>
      </c>
      <c r="AA27" s="62">
        <f>IFERROR(Q27/V27-1,"n/a")</f>
        <v>0.63498920086393085</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1302119.3999999999</v>
      </c>
      <c r="G28" s="76">
        <f t="shared" si="0"/>
        <v>978362</v>
      </c>
      <c r="H28" s="76">
        <f t="shared" si="0"/>
        <v>507465</v>
      </c>
      <c r="I28" s="76">
        <f t="shared" si="0"/>
        <v>6002</v>
      </c>
      <c r="J28" s="76">
        <f t="shared" si="0"/>
        <v>0</v>
      </c>
      <c r="K28" s="76">
        <f t="shared" si="0"/>
        <v>791238</v>
      </c>
      <c r="L28" s="67">
        <f>IFERROR(F28/G28-1,"n/a")</f>
        <v>0.3309177993421657</v>
      </c>
      <c r="M28" s="67">
        <f>IFERROR(F28/H28-1,"n/a")</f>
        <v>1.5659294729685791</v>
      </c>
      <c r="N28" s="67">
        <f>IFERROR(F28/I28-1,"n/a")</f>
        <v>215.94758413862044</v>
      </c>
      <c r="O28" s="67" t="str">
        <f>IFERROR(F28/J28-1,"n/a")</f>
        <v>n/a</v>
      </c>
      <c r="P28" s="63">
        <f>IFERROR(F28/K28-1,"n/a")</f>
        <v>0.64567348888703524</v>
      </c>
      <c r="Q28" s="76">
        <f t="shared" si="1"/>
        <v>4539313.4000000004</v>
      </c>
      <c r="R28" s="76">
        <f t="shared" si="1"/>
        <v>3456721</v>
      </c>
      <c r="S28" s="76">
        <f t="shared" si="1"/>
        <v>1375170</v>
      </c>
      <c r="T28" s="76">
        <f t="shared" si="1"/>
        <v>16105</v>
      </c>
      <c r="U28" s="76">
        <f t="shared" si="1"/>
        <v>1276302</v>
      </c>
      <c r="V28" s="76">
        <f t="shared" si="1"/>
        <v>2581100</v>
      </c>
      <c r="W28" s="67">
        <f>IFERROR(Q28/R28-1,"n/a")</f>
        <v>0.31318477829133462</v>
      </c>
      <c r="X28" s="67">
        <f>IFERROR(Q28/S28-1,"n/a")</f>
        <v>2.3009107237650621</v>
      </c>
      <c r="Y28" s="67">
        <f>IFERROR(Q28/T28-1,"n/a")</f>
        <v>280.85739832350203</v>
      </c>
      <c r="Z28" s="67">
        <f>IFERROR(Q28/U28-1,"n/a")</f>
        <v>2.5566138735189639</v>
      </c>
      <c r="AA28" s="63">
        <f>IFERROR(Q28/V28-1,"n/a")</f>
        <v>0.75867397621169275</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April</v>
      </c>
      <c r="G33" s="170"/>
      <c r="H33" s="170"/>
      <c r="I33" s="170"/>
      <c r="J33" s="170"/>
      <c r="K33" s="170"/>
      <c r="L33" s="170"/>
      <c r="M33" s="170"/>
      <c r="N33" s="170"/>
      <c r="O33" s="170"/>
      <c r="P33" s="171"/>
      <c r="Q33" s="176" t="s">
        <v>127</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187</v>
      </c>
      <c r="G37" s="74">
        <f t="shared" si="3"/>
        <v>129</v>
      </c>
      <c r="H37" s="74">
        <f t="shared" si="3"/>
        <v>136</v>
      </c>
      <c r="I37" s="74">
        <f t="shared" si="3"/>
        <v>0</v>
      </c>
      <c r="J37" s="74">
        <f t="shared" si="3"/>
        <v>42</v>
      </c>
      <c r="K37" s="74">
        <f t="shared" si="3"/>
        <v>129</v>
      </c>
      <c r="L37" s="64">
        <f>IFERROR(F37/G37-1,"n/a")</f>
        <v>0.4496124031007751</v>
      </c>
      <c r="M37" s="64">
        <f>IFERROR(F37/H37-1,"n/a")</f>
        <v>0.375</v>
      </c>
      <c r="N37" s="64" t="str">
        <f>IFERROR(F37/I37-1,"n/a")</f>
        <v>n/a</v>
      </c>
      <c r="O37" s="64">
        <f>IFERROR(F37/J37-1,"n/a")</f>
        <v>3.4523809523809526</v>
      </c>
      <c r="P37" s="60">
        <f>IFERROR(F37/K37-1,"n/a")</f>
        <v>0.4496124031007751</v>
      </c>
      <c r="Q37" s="74">
        <f t="shared" ref="Q37:V38" si="4">F37</f>
        <v>187</v>
      </c>
      <c r="R37" s="74">
        <f>G37</f>
        <v>129</v>
      </c>
      <c r="S37" s="74">
        <f>H37</f>
        <v>136</v>
      </c>
      <c r="T37" s="74">
        <f t="shared" si="4"/>
        <v>0</v>
      </c>
      <c r="U37" s="74">
        <f t="shared" si="4"/>
        <v>42</v>
      </c>
      <c r="V37" s="74">
        <f t="shared" si="4"/>
        <v>129</v>
      </c>
      <c r="W37" s="119">
        <f>IFERROR(Q37/R37-1,"n/a")</f>
        <v>0.4496124031007751</v>
      </c>
      <c r="X37" s="119">
        <f>IFERROR(R37/S37-1,"n/a")</f>
        <v>-5.1470588235294157E-2</v>
      </c>
      <c r="Y37" s="119" t="str">
        <f>IFERROR(R37/T37-1,"n/a")</f>
        <v>n/a</v>
      </c>
      <c r="Z37" s="119">
        <f>IFERROR(R37/U37-1,"n/a")</f>
        <v>2.0714285714285716</v>
      </c>
      <c r="AA37" s="120">
        <f>IFERROR(R37/V37-1,"n/a")</f>
        <v>0</v>
      </c>
      <c r="AB37" s="147"/>
      <c r="AC37" s="89">
        <v>1486</v>
      </c>
      <c r="AD37" s="89">
        <v>1052</v>
      </c>
      <c r="AE37" s="70">
        <v>551</v>
      </c>
      <c r="AF37" s="78">
        <v>1584</v>
      </c>
      <c r="AH37" s="122"/>
    </row>
    <row r="38" spans="1:34" s="123" customFormat="1" ht="11.25">
      <c r="A38" s="122"/>
      <c r="B38" s="122"/>
      <c r="C38" s="33"/>
      <c r="D38" s="26" t="s">
        <v>11</v>
      </c>
      <c r="E38" s="32"/>
      <c r="F38" s="74">
        <f t="shared" si="3"/>
        <v>659714</v>
      </c>
      <c r="G38" s="74">
        <f t="shared" si="3"/>
        <v>449751</v>
      </c>
      <c r="H38" s="74">
        <f t="shared" si="3"/>
        <v>297788</v>
      </c>
      <c r="I38" s="74">
        <f t="shared" si="3"/>
        <v>0</v>
      </c>
      <c r="J38" s="74">
        <f t="shared" si="3"/>
        <v>0</v>
      </c>
      <c r="K38" s="74">
        <f t="shared" si="3"/>
        <v>394045</v>
      </c>
      <c r="L38" s="64">
        <f>IFERROR(F38/G38-1,"n/a")</f>
        <v>0.46684276410725056</v>
      </c>
      <c r="M38" s="64">
        <f>IFERROR(F38/H38-1,"n/a")</f>
        <v>1.2153814122798772</v>
      </c>
      <c r="N38" s="64" t="str">
        <f>IFERROR(F38/I38-1,"n/a")</f>
        <v>n/a</v>
      </c>
      <c r="O38" s="64" t="str">
        <f>IFERROR(F38/J38-1,"n/a")</f>
        <v>n/a</v>
      </c>
      <c r="P38" s="60">
        <f>IFERROR(F38/K38-1,"n/a")</f>
        <v>0.67420979837328221</v>
      </c>
      <c r="Q38" s="74">
        <f t="shared" si="4"/>
        <v>659714</v>
      </c>
      <c r="R38" s="74">
        <f t="shared" si="4"/>
        <v>449751</v>
      </c>
      <c r="S38" s="74">
        <f t="shared" si="4"/>
        <v>297788</v>
      </c>
      <c r="T38" s="74">
        <f t="shared" si="4"/>
        <v>0</v>
      </c>
      <c r="U38" s="74">
        <f t="shared" si="4"/>
        <v>0</v>
      </c>
      <c r="V38" s="74">
        <f t="shared" si="4"/>
        <v>394045</v>
      </c>
      <c r="W38" s="119">
        <f>IFERROR(Q38/R38-1,"n/a")</f>
        <v>0.46684276410725056</v>
      </c>
      <c r="X38" s="119">
        <f>IFERROR(R38/S38-1,"n/a")</f>
        <v>0.51030598949588302</v>
      </c>
      <c r="Y38" s="119" t="str">
        <f>IFERROR(R38/T38-1,"n/a")</f>
        <v>n/a</v>
      </c>
      <c r="Z38" s="119" t="str">
        <f>IFERROR(R38/U38-1,"n/a")</f>
        <v>n/a</v>
      </c>
      <c r="AA38" s="120">
        <f>IFERROR(R38/V38-1,"n/a")</f>
        <v>0.14136964052329049</v>
      </c>
      <c r="AB38" s="147"/>
      <c r="AC38" s="89">
        <v>4370939</v>
      </c>
      <c r="AD38" s="89">
        <v>1527970</v>
      </c>
      <c r="AE38" s="84">
        <v>1092884</v>
      </c>
      <c r="AF38" s="78">
        <v>4234259</v>
      </c>
      <c r="AH38" s="122"/>
    </row>
    <row r="39" spans="1:34" s="123" customFormat="1" ht="11.25">
      <c r="A39" s="122"/>
      <c r="B39" s="122"/>
      <c r="C39" s="31" t="s">
        <v>108</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K41" si="5">F16</f>
        <v>55</v>
      </c>
      <c r="G40" s="74">
        <f t="shared" si="5"/>
        <v>46</v>
      </c>
      <c r="H40" s="74">
        <f t="shared" si="5"/>
        <v>56</v>
      </c>
      <c r="I40" s="74">
        <f t="shared" si="5"/>
        <v>5</v>
      </c>
      <c r="J40" s="74">
        <f t="shared" si="5"/>
        <v>0</v>
      </c>
      <c r="K40" s="74">
        <f t="shared" si="5"/>
        <v>51</v>
      </c>
      <c r="L40" s="64">
        <f>IFERROR(F40/G40-1,"n/a")</f>
        <v>0.19565217391304346</v>
      </c>
      <c r="M40" s="64">
        <f>IFERROR(F40/H40-1,"n/a")</f>
        <v>-1.7857142857142905E-2</v>
      </c>
      <c r="N40" s="64">
        <f>IFERROR(F40/I40-1,"n/a")</f>
        <v>10</v>
      </c>
      <c r="O40" s="64" t="str">
        <f>IFERROR(F40/J40-1,"n/a")</f>
        <v>n/a</v>
      </c>
      <c r="P40" s="60">
        <f>IFERROR(F40/K40-1,"n/a")</f>
        <v>7.8431372549019551E-2</v>
      </c>
      <c r="Q40" s="74">
        <f t="shared" ref="Q40:V41" si="6">F40</f>
        <v>55</v>
      </c>
      <c r="R40" s="74">
        <f t="shared" si="6"/>
        <v>46</v>
      </c>
      <c r="S40" s="74">
        <f t="shared" si="6"/>
        <v>56</v>
      </c>
      <c r="T40" s="74">
        <f t="shared" si="6"/>
        <v>5</v>
      </c>
      <c r="U40" s="74">
        <f t="shared" si="6"/>
        <v>0</v>
      </c>
      <c r="V40" s="74">
        <f t="shared" si="6"/>
        <v>51</v>
      </c>
      <c r="W40" s="119">
        <f>IFERROR(Q40/R40-1,"n/a")</f>
        <v>0.19565217391304346</v>
      </c>
      <c r="X40" s="119">
        <f>IFERROR(R40/S40-1,"n/a")</f>
        <v>-0.1785714285714286</v>
      </c>
      <c r="Y40" s="119">
        <f>IFERROR(R40/T40-1,"n/a")</f>
        <v>8.1999999999999993</v>
      </c>
      <c r="Z40" s="119" t="str">
        <f>IFERROR(R40/U40-1,"n/a")</f>
        <v>n/a</v>
      </c>
      <c r="AA40" s="120">
        <f>IFERROR(R40/V40-1,"n/a")</f>
        <v>-9.8039215686274495E-2</v>
      </c>
      <c r="AB40" s="147"/>
      <c r="AC40" s="89">
        <v>563</v>
      </c>
      <c r="AD40" s="89">
        <v>226</v>
      </c>
      <c r="AE40" s="70">
        <v>66</v>
      </c>
      <c r="AF40" s="78">
        <v>573</v>
      </c>
      <c r="AH40" s="122"/>
    </row>
    <row r="41" spans="1:34" s="123" customFormat="1" ht="11.25">
      <c r="A41" s="122"/>
      <c r="B41" s="122"/>
      <c r="C41" s="33"/>
      <c r="D41" s="26" t="s">
        <v>11</v>
      </c>
      <c r="E41" s="32"/>
      <c r="F41" s="74">
        <f t="shared" si="5"/>
        <v>129597</v>
      </c>
      <c r="G41" s="74">
        <f t="shared" si="5"/>
        <v>107348</v>
      </c>
      <c r="H41" s="74">
        <f t="shared" si="5"/>
        <v>60367</v>
      </c>
      <c r="I41" s="74">
        <f t="shared" si="5"/>
        <v>6002</v>
      </c>
      <c r="J41" s="74">
        <f t="shared" si="5"/>
        <v>0</v>
      </c>
      <c r="K41" s="74">
        <f t="shared" si="5"/>
        <v>147331</v>
      </c>
      <c r="L41" s="64">
        <f>IFERROR(F41/G41-1,"n/a")</f>
        <v>0.2072604985654134</v>
      </c>
      <c r="M41" s="64">
        <f>IFERROR(F41/H41-1,"n/a")</f>
        <v>1.1468186260705351</v>
      </c>
      <c r="N41" s="64">
        <f>IFERROR(F41/I41-1,"n/a")</f>
        <v>20.592302565811398</v>
      </c>
      <c r="O41" s="64" t="str">
        <f>IFERROR(F41/J41-1,"n/a")</f>
        <v>n/a</v>
      </c>
      <c r="P41" s="60">
        <f>IFERROR(F41/K41-1,"n/a")</f>
        <v>-0.1203684221243323</v>
      </c>
      <c r="Q41" s="74">
        <f t="shared" si="6"/>
        <v>129597</v>
      </c>
      <c r="R41" s="74">
        <f t="shared" si="6"/>
        <v>107348</v>
      </c>
      <c r="S41" s="74">
        <f t="shared" si="6"/>
        <v>60367</v>
      </c>
      <c r="T41" s="74">
        <f t="shared" si="6"/>
        <v>6002</v>
      </c>
      <c r="U41" s="74">
        <f t="shared" si="6"/>
        <v>0</v>
      </c>
      <c r="V41" s="74">
        <f t="shared" si="6"/>
        <v>147331</v>
      </c>
      <c r="W41" s="119">
        <f>IFERROR(Q41/R41-1,"n/a")</f>
        <v>0.2072604985654134</v>
      </c>
      <c r="X41" s="119">
        <f>IFERROR(R41/S41-1,"n/a")</f>
        <v>0.7782563321019762</v>
      </c>
      <c r="Y41" s="119">
        <f>IFERROR(R41/T41-1,"n/a")</f>
        <v>16.885371542819062</v>
      </c>
      <c r="Z41" s="119" t="str">
        <f>IFERROR(R41/U41-1,"n/a")</f>
        <v>n/a</v>
      </c>
      <c r="AA41" s="120">
        <f>IFERROR(R41/V41-1,"n/a")</f>
        <v>-0.27138212596127087</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K44" si="7">F19</f>
        <v>52</v>
      </c>
      <c r="G43" s="74">
        <f t="shared" si="7"/>
        <v>47</v>
      </c>
      <c r="H43" s="74">
        <f t="shared" si="7"/>
        <v>35</v>
      </c>
      <c r="I43" s="74">
        <f t="shared" si="7"/>
        <v>2</v>
      </c>
      <c r="J43" s="74">
        <f t="shared" si="7"/>
        <v>0</v>
      </c>
      <c r="K43" s="74">
        <f t="shared" si="7"/>
        <v>21</v>
      </c>
      <c r="L43" s="64">
        <f>IFERROR(F43/G43-1,"n/a")</f>
        <v>0.1063829787234043</v>
      </c>
      <c r="M43" s="64">
        <f>IFERROR(F43/H43-1,"n/a")</f>
        <v>0.48571428571428577</v>
      </c>
      <c r="N43" s="64">
        <f>IFERROR(F43/I43-1,"n/a")</f>
        <v>25</v>
      </c>
      <c r="O43" s="64" t="str">
        <f>IFERROR(F43/J43-1,"n/a")</f>
        <v>n/a</v>
      </c>
      <c r="P43" s="60">
        <f>IFERROR(F43/K43-1,"n/a")</f>
        <v>1.4761904761904763</v>
      </c>
      <c r="Q43" s="74">
        <f t="shared" ref="Q43:V44" si="8">F43</f>
        <v>52</v>
      </c>
      <c r="R43" s="74">
        <f t="shared" si="8"/>
        <v>47</v>
      </c>
      <c r="S43" s="74">
        <f t="shared" si="8"/>
        <v>35</v>
      </c>
      <c r="T43" s="74">
        <f t="shared" si="8"/>
        <v>2</v>
      </c>
      <c r="U43" s="74">
        <f t="shared" si="8"/>
        <v>0</v>
      </c>
      <c r="V43" s="74">
        <f t="shared" si="8"/>
        <v>21</v>
      </c>
      <c r="W43" s="119">
        <f>IFERROR(Q43/R43-1,"n/a")</f>
        <v>0.1063829787234043</v>
      </c>
      <c r="X43" s="119">
        <f>IFERROR(R43/S43-1,"n/a")</f>
        <v>0.34285714285714275</v>
      </c>
      <c r="Y43" s="119">
        <f>IFERROR(R43/T43-1,"n/a")</f>
        <v>22.5</v>
      </c>
      <c r="Z43" s="119" t="str">
        <f>IFERROR(R43/U43-1,"n/a")</f>
        <v>n/a</v>
      </c>
      <c r="AA43" s="120">
        <f>IFERROR(R43/V43-1,"n/a")</f>
        <v>1.2380952380952381</v>
      </c>
      <c r="AB43" s="147"/>
      <c r="AC43" s="89">
        <v>669</v>
      </c>
      <c r="AD43" s="89">
        <v>59</v>
      </c>
      <c r="AE43" s="70">
        <v>9</v>
      </c>
      <c r="AF43" s="78">
        <v>287</v>
      </c>
      <c r="AH43" s="122"/>
    </row>
    <row r="44" spans="1:34" s="123" customFormat="1" ht="11.25">
      <c r="A44" s="122"/>
      <c r="B44" s="122"/>
      <c r="C44" s="33"/>
      <c r="D44" s="26" t="s">
        <v>11</v>
      </c>
      <c r="E44" s="32"/>
      <c r="F44" s="74">
        <f t="shared" si="7"/>
        <v>75571.399999999994</v>
      </c>
      <c r="G44" s="74">
        <f t="shared" si="7"/>
        <v>66302</v>
      </c>
      <c r="H44" s="74">
        <f t="shared" si="7"/>
        <v>32576</v>
      </c>
      <c r="I44" s="74">
        <f t="shared" si="7"/>
        <v>0</v>
      </c>
      <c r="J44" s="74">
        <f t="shared" si="7"/>
        <v>0</v>
      </c>
      <c r="K44" s="74">
        <f t="shared" si="7"/>
        <v>36063</v>
      </c>
      <c r="L44" s="64">
        <f>IFERROR(F44/G44-1,"n/a")</f>
        <v>0.13980573738348756</v>
      </c>
      <c r="M44" s="64">
        <f>IFERROR(F44/H44-1,"n/a")</f>
        <v>1.319848968565815</v>
      </c>
      <c r="N44" s="64" t="str">
        <f>IFERROR(F44/I44-1,"n/a")</f>
        <v>n/a</v>
      </c>
      <c r="O44" s="64" t="str">
        <f>IFERROR(F44/J44-1,"n/a")</f>
        <v>n/a</v>
      </c>
      <c r="P44" s="60">
        <f>IFERROR(F44/K44-1,"n/a")</f>
        <v>1.0955383634195712</v>
      </c>
      <c r="Q44" s="74">
        <f t="shared" si="8"/>
        <v>75571.399999999994</v>
      </c>
      <c r="R44" s="74">
        <f t="shared" si="8"/>
        <v>66302</v>
      </c>
      <c r="S44" s="74">
        <f t="shared" si="8"/>
        <v>32576</v>
      </c>
      <c r="T44" s="74">
        <f t="shared" si="8"/>
        <v>0</v>
      </c>
      <c r="U44" s="74">
        <f t="shared" si="8"/>
        <v>0</v>
      </c>
      <c r="V44" s="74">
        <f t="shared" si="8"/>
        <v>36063</v>
      </c>
      <c r="W44" s="119">
        <f>IFERROR(Q44/R44-1,"n/a")</f>
        <v>0.13980573738348756</v>
      </c>
      <c r="X44" s="119">
        <f>IFERROR(R44/S44-1,"n/a")</f>
        <v>1.0353020628683693</v>
      </c>
      <c r="Y44" s="119" t="str">
        <f>IFERROR(R44/T44-1,"n/a")</f>
        <v>n/a</v>
      </c>
      <c r="Z44" s="119" t="str">
        <f>IFERROR(R44/U44-1,"n/a")</f>
        <v>n/a</v>
      </c>
      <c r="AA44" s="120">
        <f>IFERROR(R44/V44-1,"n/a")</f>
        <v>0.83850483875440207</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9">F22</f>
        <v>194</v>
      </c>
      <c r="G46" s="74">
        <f t="shared" si="9"/>
        <v>162</v>
      </c>
      <c r="H46" s="74">
        <f t="shared" si="9"/>
        <v>100</v>
      </c>
      <c r="I46" s="74">
        <f t="shared" si="9"/>
        <v>0</v>
      </c>
      <c r="J46" s="74">
        <f t="shared" si="9"/>
        <v>0</v>
      </c>
      <c r="K46" s="74">
        <f t="shared" si="9"/>
        <v>90</v>
      </c>
      <c r="L46" s="64">
        <f>IFERROR(F46/G46-1,"n/a")</f>
        <v>0.19753086419753085</v>
      </c>
      <c r="M46" s="64">
        <f>IFERROR(F46/H46-1,"n/a")</f>
        <v>0.94</v>
      </c>
      <c r="N46" s="64" t="str">
        <f>IFERROR(F46/I46-1,"n/a")</f>
        <v>n/a</v>
      </c>
      <c r="O46" s="64" t="str">
        <f>IFERROR(F46/J46-1,"n/a")</f>
        <v>n/a</v>
      </c>
      <c r="P46" s="60">
        <f>IFERROR(F46/K46-1,"n/a")</f>
        <v>1.1555555555555554</v>
      </c>
      <c r="Q46" s="74">
        <f t="shared" ref="Q46:V47" si="10">F46</f>
        <v>194</v>
      </c>
      <c r="R46" s="74">
        <f t="shared" si="10"/>
        <v>162</v>
      </c>
      <c r="S46" s="74">
        <f t="shared" si="10"/>
        <v>100</v>
      </c>
      <c r="T46" s="74">
        <f t="shared" si="10"/>
        <v>0</v>
      </c>
      <c r="U46" s="74">
        <f t="shared" si="10"/>
        <v>0</v>
      </c>
      <c r="V46" s="74">
        <f t="shared" si="10"/>
        <v>90</v>
      </c>
      <c r="W46" s="119">
        <f>IFERROR(Q46/R46-1,"n/a")</f>
        <v>0.19753086419753085</v>
      </c>
      <c r="X46" s="119">
        <f>IFERROR(R46/S46-1,"n/a")</f>
        <v>0.62000000000000011</v>
      </c>
      <c r="Y46" s="119" t="str">
        <f>IFERROR(R46/T46-1,"n/a")</f>
        <v>n/a</v>
      </c>
      <c r="Z46" s="119" t="str">
        <f>IFERROR(R46/U46-1,"n/a")</f>
        <v>n/a</v>
      </c>
      <c r="AA46" s="120">
        <f>IFERROR(R46/V46-1,"n/a")</f>
        <v>0.8</v>
      </c>
      <c r="AB46" s="147"/>
      <c r="AC46" s="89">
        <v>1129</v>
      </c>
      <c r="AD46" s="89">
        <v>336</v>
      </c>
      <c r="AE46" s="84">
        <v>43</v>
      </c>
      <c r="AF46" s="78">
        <v>781</v>
      </c>
      <c r="AH46" s="122"/>
    </row>
    <row r="47" spans="1:34" s="123" customFormat="1" ht="11.25">
      <c r="A47" s="122"/>
      <c r="B47" s="122"/>
      <c r="C47" s="33"/>
      <c r="D47" s="26" t="s">
        <v>11</v>
      </c>
      <c r="E47" s="32"/>
      <c r="F47" s="74">
        <f t="shared" si="9"/>
        <v>433106</v>
      </c>
      <c r="G47" s="74">
        <f t="shared" si="9"/>
        <v>352703</v>
      </c>
      <c r="H47" s="74">
        <f t="shared" si="9"/>
        <v>115809</v>
      </c>
      <c r="I47" s="74">
        <f t="shared" si="9"/>
        <v>0</v>
      </c>
      <c r="J47" s="74">
        <f t="shared" si="9"/>
        <v>0</v>
      </c>
      <c r="K47" s="74">
        <f t="shared" si="9"/>
        <v>212740</v>
      </c>
      <c r="L47" s="64">
        <f>IFERROR(F47/G47-1,"n/a")</f>
        <v>0.22796233658347109</v>
      </c>
      <c r="M47" s="64">
        <f>IFERROR(F47/H47-1,"n/a")</f>
        <v>2.7398302377190027</v>
      </c>
      <c r="N47" s="64" t="str">
        <f>IFERROR(F47/I47-1,"n/a")</f>
        <v>n/a</v>
      </c>
      <c r="O47" s="64" t="str">
        <f>IFERROR(F47/J47-1,"n/a")</f>
        <v>n/a</v>
      </c>
      <c r="P47" s="60">
        <f>IFERROR(F47/K47-1,"n/a")</f>
        <v>1.0358465732819404</v>
      </c>
      <c r="Q47" s="74">
        <f t="shared" si="10"/>
        <v>433106</v>
      </c>
      <c r="R47" s="74">
        <f t="shared" si="10"/>
        <v>352703</v>
      </c>
      <c r="S47" s="74">
        <f t="shared" si="10"/>
        <v>115809</v>
      </c>
      <c r="T47" s="74">
        <f t="shared" si="10"/>
        <v>0</v>
      </c>
      <c r="U47" s="74">
        <f t="shared" si="10"/>
        <v>0</v>
      </c>
      <c r="V47" s="74">
        <f t="shared" si="10"/>
        <v>212740</v>
      </c>
      <c r="W47" s="119">
        <f>IFERROR(Q47/R47-1,"n/a")</f>
        <v>0.22796233658347109</v>
      </c>
      <c r="X47" s="119">
        <f>IFERROR(R47/S47-1,"n/a")</f>
        <v>2.0455577718484745</v>
      </c>
      <c r="Y47" s="119" t="str">
        <f>IFERROR(R47/T47-1,"n/a")</f>
        <v>n/a</v>
      </c>
      <c r="Z47" s="119" t="str">
        <f>IFERROR(R47/U47-1,"n/a")</f>
        <v>n/a</v>
      </c>
      <c r="AA47" s="120">
        <f>IFERROR(R47/V47-1,"n/a")</f>
        <v>0.65790636457647822</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11">F25</f>
        <v>1</v>
      </c>
      <c r="G49" s="74">
        <f t="shared" si="11"/>
        <v>1</v>
      </c>
      <c r="H49" s="74">
        <f t="shared" si="11"/>
        <v>1</v>
      </c>
      <c r="I49" s="74">
        <f t="shared" si="11"/>
        <v>0</v>
      </c>
      <c r="J49" s="74">
        <f t="shared" si="11"/>
        <v>0</v>
      </c>
      <c r="K49" s="74">
        <f t="shared" si="11"/>
        <v>1</v>
      </c>
      <c r="L49" s="64">
        <f>IFERROR(F49/G49-1,"n/a")</f>
        <v>0</v>
      </c>
      <c r="M49" s="64">
        <f>IFERROR(F49/H49-1,"n/a")</f>
        <v>0</v>
      </c>
      <c r="N49" s="64" t="str">
        <f>IFERROR(F49/I49-1,"n/a")</f>
        <v>n/a</v>
      </c>
      <c r="O49" s="64" t="str">
        <f>IFERROR(F49/J49-1,"n/a")</f>
        <v>n/a</v>
      </c>
      <c r="P49" s="60">
        <f>IFERROR(F49/K49-1,"n/a")</f>
        <v>0</v>
      </c>
      <c r="Q49" s="74">
        <f t="shared" ref="Q49:V50" si="12">F49</f>
        <v>1</v>
      </c>
      <c r="R49" s="74">
        <f t="shared" si="12"/>
        <v>1</v>
      </c>
      <c r="S49" s="74">
        <f t="shared" si="12"/>
        <v>1</v>
      </c>
      <c r="T49" s="74">
        <f t="shared" si="12"/>
        <v>0</v>
      </c>
      <c r="U49" s="74">
        <f t="shared" si="12"/>
        <v>0</v>
      </c>
      <c r="V49" s="74">
        <f t="shared" si="12"/>
        <v>1</v>
      </c>
      <c r="W49" s="119">
        <f t="shared" ref="W49:X52" si="13">IFERROR(Q49/R49-1,"n/a")</f>
        <v>0</v>
      </c>
      <c r="X49" s="119">
        <f t="shared" si="13"/>
        <v>0</v>
      </c>
      <c r="Y49" s="119" t="str">
        <f>IFERROR(R49/T49-1,"n/a")</f>
        <v>n/a</v>
      </c>
      <c r="Z49" s="119" t="str">
        <f>IFERROR(R49/U49-1,"n/a")</f>
        <v>n/a</v>
      </c>
      <c r="AA49" s="120">
        <f>IFERROR(R49/V49-1,"n/a")</f>
        <v>0</v>
      </c>
      <c r="AB49" s="147"/>
      <c r="AC49" s="89">
        <v>9</v>
      </c>
      <c r="AD49" s="68">
        <v>0</v>
      </c>
      <c r="AE49" s="68">
        <v>0</v>
      </c>
      <c r="AF49" s="78">
        <v>16</v>
      </c>
      <c r="AH49" s="122"/>
    </row>
    <row r="50" spans="3:34" s="123" customFormat="1" ht="11.25">
      <c r="C50" s="33"/>
      <c r="D50" s="26" t="s">
        <v>11</v>
      </c>
      <c r="E50" s="32"/>
      <c r="F50" s="74">
        <f t="shared" si="11"/>
        <v>4131</v>
      </c>
      <c r="G50" s="74">
        <f t="shared" si="11"/>
        <v>2258</v>
      </c>
      <c r="H50" s="74">
        <f t="shared" si="11"/>
        <v>925</v>
      </c>
      <c r="I50" s="74">
        <f t="shared" si="11"/>
        <v>0</v>
      </c>
      <c r="J50" s="74">
        <f t="shared" si="11"/>
        <v>0</v>
      </c>
      <c r="K50" s="74">
        <f t="shared" si="11"/>
        <v>1059</v>
      </c>
      <c r="L50" s="64">
        <f>IFERROR(F50/G50-1,"n/a")</f>
        <v>0.82949512843224094</v>
      </c>
      <c r="M50" s="64">
        <f>IFERROR(F50/H50-1,"n/a")</f>
        <v>3.4659459459459461</v>
      </c>
      <c r="N50" s="64" t="str">
        <f>IFERROR(F50/I50-1,"n/a")</f>
        <v>n/a</v>
      </c>
      <c r="O50" s="64" t="str">
        <f>IFERROR(F50/J50-1,"n/a")</f>
        <v>n/a</v>
      </c>
      <c r="P50" s="60">
        <f>IFERROR(F50/K50-1,"n/a")</f>
        <v>2.9008498583569406</v>
      </c>
      <c r="Q50" s="74">
        <f t="shared" si="12"/>
        <v>4131</v>
      </c>
      <c r="R50" s="74">
        <f t="shared" si="12"/>
        <v>2258</v>
      </c>
      <c r="S50" s="74">
        <f t="shared" si="12"/>
        <v>925</v>
      </c>
      <c r="T50" s="74">
        <f t="shared" si="12"/>
        <v>0</v>
      </c>
      <c r="U50" s="74">
        <f t="shared" si="12"/>
        <v>0</v>
      </c>
      <c r="V50" s="74">
        <f t="shared" si="12"/>
        <v>1059</v>
      </c>
      <c r="W50" s="119">
        <f t="shared" si="13"/>
        <v>0.82949512843224094</v>
      </c>
      <c r="X50" s="119">
        <f t="shared" si="13"/>
        <v>1.441081081081081</v>
      </c>
      <c r="Y50" s="119" t="str">
        <f>IFERROR(R50/T50-1,"n/a")</f>
        <v>n/a</v>
      </c>
      <c r="Z50" s="119" t="str">
        <f>IFERROR(R50/U50-1,"n/a")</f>
        <v>n/a</v>
      </c>
      <c r="AA50" s="120">
        <f>IFERROR(R50/V50-1,"n/a")</f>
        <v>1.1322001888574125</v>
      </c>
      <c r="AB50" s="147"/>
      <c r="AC50" s="82">
        <v>15637</v>
      </c>
      <c r="AD50" s="68">
        <v>0</v>
      </c>
      <c r="AE50" s="68">
        <v>0</v>
      </c>
      <c r="AF50" s="78">
        <v>20248</v>
      </c>
      <c r="AH50" s="122"/>
    </row>
    <row r="51" spans="3:34" s="123" customFormat="1" ht="12" thickBot="1">
      <c r="C51" s="35" t="s">
        <v>12</v>
      </c>
      <c r="D51" s="36"/>
      <c r="E51" s="37"/>
      <c r="F51" s="75">
        <f>F37+F40+F43+F46+F49</f>
        <v>489</v>
      </c>
      <c r="G51" s="75">
        <f>G37+G40+G43+G46+G49</f>
        <v>385</v>
      </c>
      <c r="H51" s="75">
        <f t="shared" ref="H51:K52" si="14">H37+H40+H43+H46+H49</f>
        <v>328</v>
      </c>
      <c r="I51" s="75">
        <f t="shared" si="14"/>
        <v>7</v>
      </c>
      <c r="J51" s="75">
        <f t="shared" si="14"/>
        <v>42</v>
      </c>
      <c r="K51" s="75">
        <f t="shared" si="14"/>
        <v>292</v>
      </c>
      <c r="L51" s="66">
        <f>IFERROR(F51/G51-1,"n/a")</f>
        <v>0.27012987012987022</v>
      </c>
      <c r="M51" s="66">
        <f>IFERROR(F51/H51-1,"n/a")</f>
        <v>0.49085365853658547</v>
      </c>
      <c r="N51" s="66">
        <f>IFERROR(F51/I51-1,"n/a")</f>
        <v>68.857142857142861</v>
      </c>
      <c r="O51" s="66">
        <f>IFERROR(F51/J51-1,"n/a")</f>
        <v>10.642857142857142</v>
      </c>
      <c r="P51" s="62">
        <f>IFERROR(F51/K51-1,"n/a")</f>
        <v>0.67465753424657526</v>
      </c>
      <c r="Q51" s="75">
        <f t="shared" ref="Q51:V52" si="15">Q37+Q40+Q43+Q46+Q49</f>
        <v>489</v>
      </c>
      <c r="R51" s="75">
        <f t="shared" si="15"/>
        <v>385</v>
      </c>
      <c r="S51" s="75">
        <f>S37+S40+S43+S46+S49</f>
        <v>328</v>
      </c>
      <c r="T51" s="75">
        <f t="shared" si="15"/>
        <v>7</v>
      </c>
      <c r="U51" s="75">
        <f t="shared" si="15"/>
        <v>42</v>
      </c>
      <c r="V51" s="75">
        <f t="shared" si="15"/>
        <v>292</v>
      </c>
      <c r="W51" s="66">
        <f t="shared" si="13"/>
        <v>0.27012987012987022</v>
      </c>
      <c r="X51" s="66">
        <f t="shared" si="13"/>
        <v>0.17378048780487809</v>
      </c>
      <c r="Y51" s="66">
        <f>IFERROR(R51/T51-1,"n/a")</f>
        <v>54</v>
      </c>
      <c r="Z51" s="66">
        <f t="shared" ref="Z51:Z52" si="16">IFERROR(R51/U51-1,"n/a")</f>
        <v>8.1666666666666661</v>
      </c>
      <c r="AA51" s="62">
        <f>IFERROR(R51/V51-1,"n/a")</f>
        <v>0.31849315068493156</v>
      </c>
      <c r="AB51" s="66"/>
      <c r="AC51" s="46">
        <f t="shared" ref="AC51:AE52" si="17">AC37+AC40+AC43+AC46+AC49</f>
        <v>3856</v>
      </c>
      <c r="AD51" s="46">
        <f t="shared" si="17"/>
        <v>1673</v>
      </c>
      <c r="AE51" s="46">
        <f t="shared" si="17"/>
        <v>669</v>
      </c>
      <c r="AF51" s="80">
        <f>AF37+AF40+AF43+AF46+AF49</f>
        <v>3241</v>
      </c>
      <c r="AH51" s="122"/>
    </row>
    <row r="52" spans="3:34" s="123" customFormat="1" ht="12.75" thickTop="1" thickBot="1">
      <c r="C52" s="38" t="s">
        <v>13</v>
      </c>
      <c r="D52" s="39"/>
      <c r="E52" s="40"/>
      <c r="F52" s="76">
        <f>F38+F41+F44+F47+F50</f>
        <v>1302119.3999999999</v>
      </c>
      <c r="G52" s="76">
        <f>G38+G41+G44+G47+G50</f>
        <v>978362</v>
      </c>
      <c r="H52" s="76">
        <f t="shared" si="14"/>
        <v>507465</v>
      </c>
      <c r="I52" s="76">
        <f t="shared" si="14"/>
        <v>6002</v>
      </c>
      <c r="J52" s="76">
        <f t="shared" si="14"/>
        <v>0</v>
      </c>
      <c r="K52" s="76">
        <f t="shared" si="14"/>
        <v>791238</v>
      </c>
      <c r="L52" s="67">
        <f>IFERROR(F52/G52-1,"n/a")</f>
        <v>0.3309177993421657</v>
      </c>
      <c r="M52" s="67">
        <f>IFERROR(F52/H52-1,"n/a")</f>
        <v>1.5659294729685791</v>
      </c>
      <c r="N52" s="67">
        <f>IFERROR(F52/I52-1,"n/a")</f>
        <v>215.94758413862044</v>
      </c>
      <c r="O52" s="67" t="str">
        <f>IFERROR(F52/J52-1,"n/a")</f>
        <v>n/a</v>
      </c>
      <c r="P52" s="63">
        <f>IFERROR(F52/K52-1,"n/a")</f>
        <v>0.64567348888703524</v>
      </c>
      <c r="Q52" s="76">
        <f t="shared" si="15"/>
        <v>1302119.3999999999</v>
      </c>
      <c r="R52" s="76">
        <f t="shared" si="15"/>
        <v>978362</v>
      </c>
      <c r="S52" s="76">
        <f t="shared" si="15"/>
        <v>507465</v>
      </c>
      <c r="T52" s="76">
        <f t="shared" si="15"/>
        <v>6002</v>
      </c>
      <c r="U52" s="76">
        <f t="shared" si="15"/>
        <v>0</v>
      </c>
      <c r="V52" s="76">
        <f t="shared" si="15"/>
        <v>791238</v>
      </c>
      <c r="W52" s="67">
        <f t="shared" si="13"/>
        <v>0.3309177993421657</v>
      </c>
      <c r="X52" s="67">
        <f t="shared" si="13"/>
        <v>0.9279398579212359</v>
      </c>
      <c r="Y52" s="117">
        <f>IFERROR(R52/T52-1,"n/a")</f>
        <v>162.00599800066644</v>
      </c>
      <c r="Z52" s="117" t="str">
        <f t="shared" si="16"/>
        <v>n/a</v>
      </c>
      <c r="AA52" s="118">
        <f>IFERROR(R52/V52-1,"n/a")</f>
        <v>0.23649521382946714</v>
      </c>
      <c r="AB52" s="117"/>
      <c r="AC52" s="47">
        <f t="shared" si="17"/>
        <v>9237323</v>
      </c>
      <c r="AD52" s="47">
        <f t="shared" si="17"/>
        <v>2410085</v>
      </c>
      <c r="AE52" s="47">
        <f t="shared" si="17"/>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05B07-0C90-4A5E-8C1E-A035F9DEBF77}">
  <dimension ref="A1:AH66"/>
  <sheetViews>
    <sheetView showGridLines="0" topLeftCell="U1" zoomScale="90" zoomScaleNormal="90" workbookViewId="0">
      <selection activeCell="F27" sqref="F27:K28"/>
    </sheetView>
  </sheetViews>
  <sheetFormatPr defaultColWidth="0" defaultRowHeight="0" customHeight="1" zeroHeight="1"/>
  <cols>
    <col min="1" max="2" width="4.140625" customWidth="1"/>
    <col min="3" max="3" width="3.85546875" customWidth="1"/>
    <col min="4" max="4" width="8.85546875"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45337</v>
      </c>
      <c r="AG3" s="25"/>
      <c r="AH3" s="9"/>
    </row>
    <row r="4" spans="1:34" ht="15.75">
      <c r="A4" s="9"/>
      <c r="B4" s="11" t="s">
        <v>7</v>
      </c>
      <c r="C4" s="26"/>
      <c r="D4" s="93" t="s">
        <v>41</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7" t="str">
        <f>D4</f>
        <v>March</v>
      </c>
      <c r="G9" s="167"/>
      <c r="H9" s="167"/>
      <c r="I9" s="167"/>
      <c r="J9" s="167"/>
      <c r="K9" s="167"/>
      <c r="L9" s="167"/>
      <c r="M9" s="167"/>
      <c r="N9" s="167"/>
      <c r="O9" s="167"/>
      <c r="P9" s="168"/>
      <c r="Q9" s="169" t="str">
        <f>"January to "&amp; D4</f>
        <v>January to March</v>
      </c>
      <c r="R9" s="170"/>
      <c r="S9" s="170"/>
      <c r="T9" s="170"/>
      <c r="U9" s="170"/>
      <c r="V9" s="170"/>
      <c r="W9" s="170"/>
      <c r="X9" s="170"/>
      <c r="Y9" s="170"/>
      <c r="Z9" s="170"/>
      <c r="AA9" s="171"/>
      <c r="AB9" s="169" t="s">
        <v>57</v>
      </c>
      <c r="AC9" s="170"/>
      <c r="AD9" s="170"/>
      <c r="AE9" s="170"/>
      <c r="AF9" s="172"/>
      <c r="AG9" s="122"/>
      <c r="AH9" s="122"/>
    </row>
    <row r="10" spans="1:34"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281</v>
      </c>
      <c r="G13" s="71">
        <v>181</v>
      </c>
      <c r="H13" s="71">
        <v>204</v>
      </c>
      <c r="I13" s="71">
        <v>0</v>
      </c>
      <c r="J13" s="71">
        <v>147</v>
      </c>
      <c r="K13" s="71">
        <v>170</v>
      </c>
      <c r="L13" s="64">
        <f>IFERROR(F13/G13-1,"n/a")</f>
        <v>0.55248618784530379</v>
      </c>
      <c r="M13" s="64">
        <f>IFERROR(F13/H13-1,"n/a")</f>
        <v>0.37745098039215685</v>
      </c>
      <c r="N13" s="64" t="str">
        <f>IFERROR(F13/I13-1,"n/a")</f>
        <v>n/a</v>
      </c>
      <c r="O13" s="64">
        <f>IFERROR(F13/J13-1,"n/a")</f>
        <v>0.91156462585034004</v>
      </c>
      <c r="P13" s="60">
        <f>IFERROR(F13/K13-1,"n/a")</f>
        <v>0.65294117647058814</v>
      </c>
      <c r="Q13" s="68">
        <f>+F13+'Feb-24'!Q13</f>
        <v>702</v>
      </c>
      <c r="R13" s="68">
        <v>530</v>
      </c>
      <c r="S13" s="68">
        <v>530</v>
      </c>
      <c r="T13" s="68">
        <v>0</v>
      </c>
      <c r="U13" s="68">
        <v>509</v>
      </c>
      <c r="V13" s="68">
        <v>516</v>
      </c>
      <c r="W13" s="64">
        <f>IFERROR(Q13/R13-1,"n/a")</f>
        <v>0.32452830188679238</v>
      </c>
      <c r="X13" s="64">
        <f>IFERROR(Q13/S13-1,"n/a")</f>
        <v>0.32452830188679238</v>
      </c>
      <c r="Y13" s="64" t="str">
        <f>IFERROR(Q13/T13-1,"n/a")</f>
        <v>n/a</v>
      </c>
      <c r="Z13" s="64">
        <f>IFERROR(Q13/U13-1,"n/a")</f>
        <v>0.37917485265225936</v>
      </c>
      <c r="AA13" s="60">
        <f>IFERROR(Q13/V13-1,"n/a")</f>
        <v>0.36046511627906974</v>
      </c>
      <c r="AB13" s="68">
        <v>1630</v>
      </c>
      <c r="AC13" s="68">
        <v>1486</v>
      </c>
      <c r="AD13" s="68">
        <v>522</v>
      </c>
      <c r="AE13" s="68">
        <v>551</v>
      </c>
      <c r="AF13" s="134">
        <v>1591</v>
      </c>
      <c r="AG13" s="122"/>
      <c r="AH13" s="122"/>
    </row>
    <row r="14" spans="1:34" s="123" customFormat="1" ht="12.75">
      <c r="A14" s="122"/>
      <c r="B14" s="127"/>
      <c r="C14" s="33"/>
      <c r="D14" s="26" t="s">
        <v>11</v>
      </c>
      <c r="E14" s="32"/>
      <c r="F14" s="71">
        <v>857821</v>
      </c>
      <c r="G14" s="71">
        <v>565574</v>
      </c>
      <c r="H14" s="71">
        <v>344501</v>
      </c>
      <c r="I14" s="71">
        <v>0</v>
      </c>
      <c r="J14" s="71">
        <v>196286</v>
      </c>
      <c r="K14" s="71">
        <v>500596</v>
      </c>
      <c r="L14" s="64">
        <f>IFERROR(F14/G14-1,"n/a")</f>
        <v>0.51672637002408184</v>
      </c>
      <c r="M14" s="64">
        <f>IFERROR(F14/H14-1,"n/a")</f>
        <v>1.4900392161416076</v>
      </c>
      <c r="N14" s="64" t="str">
        <f>IFERROR(F14/I14-1,"n/a")</f>
        <v>n/a</v>
      </c>
      <c r="O14" s="64">
        <f>IFERROR(F14/J14-1,"n/a")</f>
        <v>3.3702607419785418</v>
      </c>
      <c r="P14" s="60">
        <f>IFERROR(F14/K14-1,"n/a")</f>
        <v>0.71359938952768309</v>
      </c>
      <c r="Q14" s="68">
        <f>+F14+'Feb-24'!Q14</f>
        <v>2153824</v>
      </c>
      <c r="R14" s="68">
        <v>1538184</v>
      </c>
      <c r="S14" s="68">
        <v>759658</v>
      </c>
      <c r="T14" s="68">
        <v>0</v>
      </c>
      <c r="U14" s="68">
        <v>1092884</v>
      </c>
      <c r="V14" s="68">
        <v>1451104</v>
      </c>
      <c r="W14" s="64">
        <f>IFERROR(Q14/R14-1,"n/a")</f>
        <v>0.40023820297181611</v>
      </c>
      <c r="X14" s="64">
        <f>IFERROR(Q14/S14-1,"n/a")</f>
        <v>1.8352548120338361</v>
      </c>
      <c r="Y14" s="64" t="str">
        <f>IFERROR(Q14/T14-1,"n/a")</f>
        <v>n/a</v>
      </c>
      <c r="Z14" s="64">
        <f>IFERROR(Q14/U14-1,"n/a")</f>
        <v>0.97077091438798635</v>
      </c>
      <c r="AA14" s="60">
        <f>IFERROR(Q14/V14-1,"n/a")</f>
        <v>0.48426577281848848</v>
      </c>
      <c r="AB14" s="68">
        <v>5232537</v>
      </c>
      <c r="AC14" s="68">
        <v>3592413</v>
      </c>
      <c r="AD14" s="68">
        <v>768312</v>
      </c>
      <c r="AE14" s="68">
        <v>1092884</v>
      </c>
      <c r="AF14" s="134">
        <v>4592479</v>
      </c>
      <c r="AG14" s="122"/>
      <c r="AH14" s="122"/>
    </row>
    <row r="15" spans="1:34" s="123" customFormat="1" ht="12.75">
      <c r="A15" s="122"/>
      <c r="B15" s="127"/>
      <c r="C15" s="31" t="s">
        <v>108</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17</v>
      </c>
      <c r="G16" s="71">
        <v>16</v>
      </c>
      <c r="H16" s="71">
        <v>26</v>
      </c>
      <c r="I16" s="71">
        <v>5</v>
      </c>
      <c r="J16" s="71">
        <v>1</v>
      </c>
      <c r="K16" s="71">
        <v>10</v>
      </c>
      <c r="L16" s="64">
        <f>IFERROR(F16/G16-1,"n/a")</f>
        <v>6.25E-2</v>
      </c>
      <c r="M16" s="64">
        <f>IFERROR(F16/H16-1,"n/a")</f>
        <v>-0.34615384615384615</v>
      </c>
      <c r="N16" s="64">
        <f>IFERROR(F16/I16-1,"n/a")</f>
        <v>2.4</v>
      </c>
      <c r="O16" s="64">
        <f>IFERROR(F16/J16-1,"n/a")</f>
        <v>16</v>
      </c>
      <c r="P16" s="60">
        <f>IFERROR(F16/K16-1,"n/a")</f>
        <v>0.7</v>
      </c>
      <c r="Q16" s="68">
        <f>+F16+'Feb-24'!Q16</f>
        <v>37</v>
      </c>
      <c r="R16" s="68">
        <v>27</v>
      </c>
      <c r="S16" s="68">
        <v>36</v>
      </c>
      <c r="T16" s="68">
        <v>12</v>
      </c>
      <c r="U16" s="68">
        <v>10</v>
      </c>
      <c r="V16" s="68">
        <v>23</v>
      </c>
      <c r="W16" s="64">
        <f>IFERROR(Q16/R16-1,"n/a")</f>
        <v>0.37037037037037046</v>
      </c>
      <c r="X16" s="64">
        <f>IFERROR(Q16/S16-1,"n/a")</f>
        <v>2.7777777777777679E-2</v>
      </c>
      <c r="Y16" s="64">
        <f>IFERROR(Q16/T16-1,"n/a")</f>
        <v>2.0833333333333335</v>
      </c>
      <c r="Z16" s="64">
        <f>IFERROR(Q16/U16-1,"n/a")</f>
        <v>2.7</v>
      </c>
      <c r="AA16" s="60">
        <f>IFERROR(Q16/V16-1,"n/a")</f>
        <v>0.60869565217391308</v>
      </c>
      <c r="AB16" s="68">
        <v>575</v>
      </c>
      <c r="AC16" s="68">
        <v>572</v>
      </c>
      <c r="AD16" s="68">
        <v>202</v>
      </c>
      <c r="AE16" s="68">
        <v>54</v>
      </c>
      <c r="AF16" s="134">
        <v>586</v>
      </c>
      <c r="AG16" s="122"/>
      <c r="AH16" s="122"/>
    </row>
    <row r="17" spans="1:34" s="123" customFormat="1" ht="12.75">
      <c r="A17" s="122"/>
      <c r="B17" s="127"/>
      <c r="C17" s="33"/>
      <c r="D17" s="26" t="s">
        <v>11</v>
      </c>
      <c r="E17" s="32"/>
      <c r="F17" s="71">
        <v>54338</v>
      </c>
      <c r="G17" s="71">
        <v>43135</v>
      </c>
      <c r="H17" s="71">
        <v>28377</v>
      </c>
      <c r="I17" s="71">
        <v>4146</v>
      </c>
      <c r="J17" s="71">
        <v>565</v>
      </c>
      <c r="K17" s="71">
        <v>32801</v>
      </c>
      <c r="L17" s="64">
        <f>IFERROR(F17/G17-1,"n/a")</f>
        <v>0.2597194853367335</v>
      </c>
      <c r="M17" s="64">
        <f>IFERROR(F17/H17-1,"n/a")</f>
        <v>0.91486062656376643</v>
      </c>
      <c r="N17" s="64">
        <f>IFERROR(F17/I17-1,"n/a")</f>
        <v>12.10612638687892</v>
      </c>
      <c r="O17" s="64">
        <f>IFERROR(F17/J17-1,"n/a")</f>
        <v>95.173451327433625</v>
      </c>
      <c r="P17" s="60">
        <f>IFERROR(F17/K17-1,"n/a")</f>
        <v>0.6565958354928203</v>
      </c>
      <c r="Q17" s="68">
        <f>+F17+'Feb-24'!Q17</f>
        <v>130574</v>
      </c>
      <c r="R17" s="68">
        <v>83055</v>
      </c>
      <c r="S17" s="68">
        <v>36508</v>
      </c>
      <c r="T17" s="68">
        <v>10103</v>
      </c>
      <c r="U17" s="68">
        <v>41113</v>
      </c>
      <c r="V17" s="68">
        <v>80374</v>
      </c>
      <c r="W17" s="64">
        <f>IFERROR(Q17/R17-1,"n/a")</f>
        <v>0.57213894407320454</v>
      </c>
      <c r="X17" s="64">
        <f>IFERROR(Q17/S17-1,"n/a")</f>
        <v>2.5765859537635585</v>
      </c>
      <c r="Y17" s="64">
        <f>IFERROR(Q17/T17-1,"n/a")</f>
        <v>11.92427991685638</v>
      </c>
      <c r="Z17" s="64">
        <f>IFERROR(Q17/U17-1,"n/a")</f>
        <v>2.175978400992387</v>
      </c>
      <c r="AA17" s="60">
        <f>IFERROR(Q17/V17-1,"n/a")</f>
        <v>0.62458008808818777</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21</v>
      </c>
      <c r="G19" s="71">
        <v>17</v>
      </c>
      <c r="H19" s="71">
        <v>6</v>
      </c>
      <c r="I19" s="71">
        <v>0</v>
      </c>
      <c r="J19" s="71">
        <v>2</v>
      </c>
      <c r="K19" s="71">
        <v>5</v>
      </c>
      <c r="L19" s="64">
        <f>IFERROR(F19/G19-1,"n/a")</f>
        <v>0.23529411764705888</v>
      </c>
      <c r="M19" s="64">
        <f>IFERROR(F19/H19-1,"n/a")</f>
        <v>2.5</v>
      </c>
      <c r="N19" s="64" t="str">
        <f>IFERROR(F19/I19-1,"n/a")</f>
        <v>n/a</v>
      </c>
      <c r="O19" s="64">
        <f>IFERROR(F19/J19-1,"n/a")</f>
        <v>9.5</v>
      </c>
      <c r="P19" s="60">
        <f>IFERROR(F19/K19-1,"n/a")</f>
        <v>3.2</v>
      </c>
      <c r="Q19" s="68">
        <f>+F19+'Feb-24'!Q19</f>
        <v>27</v>
      </c>
      <c r="R19" s="68">
        <v>23</v>
      </c>
      <c r="S19" s="68">
        <v>12</v>
      </c>
      <c r="T19" s="68">
        <v>0</v>
      </c>
      <c r="U19" s="68">
        <v>3</v>
      </c>
      <c r="V19" s="68">
        <v>6</v>
      </c>
      <c r="W19" s="64">
        <f>IFERROR(Q19/R19-1,"n/a")</f>
        <v>0.17391304347826098</v>
      </c>
      <c r="X19" s="64">
        <f>IFERROR(Q19/S19-1,"n/a")</f>
        <v>1.25</v>
      </c>
      <c r="Y19" s="64" t="str">
        <f>IFERROR(Q19/T19-1,"n/a")</f>
        <v>n/a</v>
      </c>
      <c r="Z19" s="64">
        <f>IFERROR(Q19/U19-1,"n/a")</f>
        <v>8</v>
      </c>
      <c r="AA19" s="60">
        <f>IFERROR(Q19/V19-1,"n/a")</f>
        <v>3.5</v>
      </c>
      <c r="AB19" s="68">
        <v>708</v>
      </c>
      <c r="AC19" s="68">
        <v>658</v>
      </c>
      <c r="AD19" s="68">
        <v>47</v>
      </c>
      <c r="AE19" s="68">
        <v>9</v>
      </c>
      <c r="AF19" s="134">
        <v>290</v>
      </c>
      <c r="AG19" s="122"/>
      <c r="AH19" s="122"/>
    </row>
    <row r="20" spans="1:34" s="123" customFormat="1" ht="12.75">
      <c r="A20" s="122"/>
      <c r="B20" s="127"/>
      <c r="C20" s="33"/>
      <c r="D20" s="26" t="s">
        <v>11</v>
      </c>
      <c r="E20" s="32"/>
      <c r="F20" s="71">
        <v>31321</v>
      </c>
      <c r="G20" s="71">
        <v>14734</v>
      </c>
      <c r="H20" s="71">
        <v>1346</v>
      </c>
      <c r="I20" s="71">
        <v>0</v>
      </c>
      <c r="J20" s="71">
        <v>887</v>
      </c>
      <c r="K20" s="71">
        <v>4876</v>
      </c>
      <c r="L20" s="64">
        <f>IFERROR(F20/G20-1,"n/a")</f>
        <v>1.1257635401113073</v>
      </c>
      <c r="M20" s="64">
        <f>IFERROR(F20/H20-1,"n/a")</f>
        <v>22.269687964338782</v>
      </c>
      <c r="N20" s="64" t="str">
        <f>IFERROR(F20/I20-1,"n/a")</f>
        <v>n/a</v>
      </c>
      <c r="O20" s="64">
        <f>IFERROR(F20/J20-1,"n/a")</f>
        <v>34.311161217587376</v>
      </c>
      <c r="P20" s="60">
        <f>IFERROR(F20/K20-1,"n/a")</f>
        <v>5.4235028712059066</v>
      </c>
      <c r="Q20" s="68">
        <f>+F20+'Feb-24'!Q20</f>
        <v>39741</v>
      </c>
      <c r="R20" s="68">
        <v>20846</v>
      </c>
      <c r="S20" s="68">
        <v>3085</v>
      </c>
      <c r="T20" s="68">
        <v>0</v>
      </c>
      <c r="U20" s="68">
        <v>1753</v>
      </c>
      <c r="V20" s="68">
        <v>6484</v>
      </c>
      <c r="W20" s="64">
        <f>IFERROR(Q20/R20-1,"n/a")</f>
        <v>0.90640890338674085</v>
      </c>
      <c r="X20" s="64">
        <f>IFERROR(Q20/S20-1,"n/a")</f>
        <v>11.882009724473258</v>
      </c>
      <c r="Y20" s="64" t="str">
        <f>IFERROR(Q20/T20-1,"n/a")</f>
        <v>n/a</v>
      </c>
      <c r="Z20" s="64">
        <f>IFERROR(Q20/U20-1,"n/a")</f>
        <v>21.670279520821449</v>
      </c>
      <c r="AA20" s="60">
        <f>IFERROR(Q20/V20-1,"n/a")</f>
        <v>5.1290869833436155</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87</v>
      </c>
      <c r="G22" s="71">
        <v>108</v>
      </c>
      <c r="H22" s="71">
        <v>24</v>
      </c>
      <c r="I22" s="71">
        <v>0</v>
      </c>
      <c r="J22" s="71">
        <v>10</v>
      </c>
      <c r="K22" s="71">
        <v>44</v>
      </c>
      <c r="L22" s="64">
        <f>IFERROR(F22/G22-1,"n/a")</f>
        <v>-0.19444444444444442</v>
      </c>
      <c r="M22" s="64">
        <f>IFERROR(F22/H22-1,"n/a")</f>
        <v>2.625</v>
      </c>
      <c r="N22" s="64" t="str">
        <f>IFERROR(F22/I22-1,"n/a")</f>
        <v>n/a</v>
      </c>
      <c r="O22" s="64">
        <f>IFERROR(F22/J22-1,"n/a")</f>
        <v>7.6999999999999993</v>
      </c>
      <c r="P22" s="60">
        <f>IFERROR(F22/K22-1,"n/a")</f>
        <v>0.97727272727272729</v>
      </c>
      <c r="Q22" s="68">
        <f>+F22+'Feb-24'!Q22</f>
        <v>259</v>
      </c>
      <c r="R22" s="68">
        <v>287</v>
      </c>
      <c r="S22" s="68">
        <v>53</v>
      </c>
      <c r="T22" s="68">
        <v>0</v>
      </c>
      <c r="U22" s="68">
        <v>43</v>
      </c>
      <c r="V22" s="68">
        <v>89</v>
      </c>
      <c r="W22" s="64">
        <f>IFERROR(Q22/R22-1,"n/a")</f>
        <v>-9.7560975609756073E-2</v>
      </c>
      <c r="X22" s="64">
        <f>IFERROR(Q22/S22-1,"n/a")</f>
        <v>3.8867924528301883</v>
      </c>
      <c r="Y22" s="64" t="str">
        <f>IFERROR(Q22/T22-1,"n/a")</f>
        <v>n/a</v>
      </c>
      <c r="Z22" s="64">
        <f>IFERROR(Q22/U22-1,"n/a")</f>
        <v>5.0232558139534884</v>
      </c>
      <c r="AA22" s="60">
        <f>IFERROR(Q22/V22-1,"n/a")</f>
        <v>1.9101123595505616</v>
      </c>
      <c r="AB22" s="68">
        <v>1500</v>
      </c>
      <c r="AC22" s="68">
        <v>895</v>
      </c>
      <c r="AD22" s="68">
        <v>283</v>
      </c>
      <c r="AE22" s="68">
        <v>43</v>
      </c>
      <c r="AF22" s="134">
        <v>827</v>
      </c>
      <c r="AG22" s="122"/>
      <c r="AH22" s="122"/>
    </row>
    <row r="23" spans="1:34" s="123" customFormat="1" ht="12.75">
      <c r="A23" s="122"/>
      <c r="B23" s="127"/>
      <c r="C23" s="33"/>
      <c r="D23" s="26" t="s">
        <v>11</v>
      </c>
      <c r="E23" s="32"/>
      <c r="F23" s="71">
        <v>316617</v>
      </c>
      <c r="G23" s="71">
        <v>297870</v>
      </c>
      <c r="H23" s="71">
        <v>32594</v>
      </c>
      <c r="I23" s="71">
        <v>0</v>
      </c>
      <c r="J23" s="71">
        <v>28535</v>
      </c>
      <c r="K23" s="71">
        <v>117674</v>
      </c>
      <c r="L23" s="64">
        <f>IFERROR(F23/G23-1,"n/a")</f>
        <v>6.2936851646691494E-2</v>
      </c>
      <c r="M23" s="64">
        <f>IFERROR(F23/H23-1,"n/a")</f>
        <v>8.7139657605694296</v>
      </c>
      <c r="N23" s="64" t="str">
        <f>IFERROR(F23/I23-1,"n/a")</f>
        <v>n/a</v>
      </c>
      <c r="O23" s="64">
        <f>IFERROR(F23/J23-1,"n/a")</f>
        <v>10.095742071140704</v>
      </c>
      <c r="P23" s="60">
        <f>IFERROR(F23/K23-1,"n/a")</f>
        <v>1.690628346108741</v>
      </c>
      <c r="Q23" s="68">
        <f>+F23+'Feb-24'!Q23</f>
        <v>913055</v>
      </c>
      <c r="R23" s="68">
        <v>836274</v>
      </c>
      <c r="S23" s="68">
        <v>68454</v>
      </c>
      <c r="T23" s="68">
        <v>0</v>
      </c>
      <c r="U23" s="68">
        <v>140552</v>
      </c>
      <c r="V23" s="68">
        <v>251900</v>
      </c>
      <c r="W23" s="64">
        <f>IFERROR(Q23/R23-1,"n/a")</f>
        <v>9.1813209546153463E-2</v>
      </c>
      <c r="X23" s="64">
        <f>IFERROR(Q23/S23-1,"n/a")</f>
        <v>12.338227130627867</v>
      </c>
      <c r="Y23" s="64" t="str">
        <f>IFERROR(Q23/T23-1,"n/a")</f>
        <v>n/a</v>
      </c>
      <c r="Z23" s="64">
        <f>IFERROR(Q23/U23-1,"n/a")</f>
        <v>5.4962078092094027</v>
      </c>
      <c r="AA23" s="60">
        <f>IFERROR(Q23/V23-1,"n/a")</f>
        <v>2.6246724890829696</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0</v>
      </c>
      <c r="G25" s="71">
        <v>0</v>
      </c>
      <c r="H25" s="71">
        <v>0</v>
      </c>
      <c r="I25" s="71">
        <v>0</v>
      </c>
      <c r="J25" s="71">
        <v>0</v>
      </c>
      <c r="K25" s="71">
        <v>0</v>
      </c>
      <c r="L25" s="64" t="str">
        <f>IFERROR(F25/G25-1,"n/a")</f>
        <v>n/a</v>
      </c>
      <c r="M25" s="64" t="str">
        <f>IFERROR(F25/H25-1,"n/a")</f>
        <v>n/a</v>
      </c>
      <c r="N25" s="64" t="str">
        <f>IFERROR(F25/I25-1,"n/a")</f>
        <v>n/a</v>
      </c>
      <c r="O25" s="64" t="str">
        <f>IFERROR(F25/J25-1,"n/a")</f>
        <v>n/a</v>
      </c>
      <c r="P25" s="60" t="str">
        <f>IFERROR(F25/K25-1,"n/a")</f>
        <v>n/a</v>
      </c>
      <c r="Q25" s="68">
        <f>+F25+'Feb-24'!Q25</f>
        <v>0</v>
      </c>
      <c r="R25" s="68">
        <v>0</v>
      </c>
      <c r="S25" s="68">
        <v>0</v>
      </c>
      <c r="T25" s="68">
        <v>0</v>
      </c>
      <c r="U25" s="68">
        <v>0</v>
      </c>
      <c r="V25" s="68">
        <v>0</v>
      </c>
      <c r="W25" s="64" t="str">
        <f>IFERROR(Q25/R25-1,"n/a")</f>
        <v>n/a</v>
      </c>
      <c r="X25" s="64" t="str">
        <f>IFERROR(Q25/S25-1,"n/a")</f>
        <v>n/a</v>
      </c>
      <c r="Y25" s="64" t="str">
        <f>IFERROR(Q25/T25-1,"n/a")</f>
        <v>n/a</v>
      </c>
      <c r="Z25" s="64" t="str">
        <f>IFERROR(Q25/U25-1,"n/a")</f>
        <v>n/a</v>
      </c>
      <c r="AA25" s="60" t="str">
        <f>IFERROR(Q25/V25-1,"n/a")</f>
        <v>n/a</v>
      </c>
      <c r="AB25" s="68">
        <v>21</v>
      </c>
      <c r="AC25" s="68">
        <v>9</v>
      </c>
      <c r="AD25" s="68">
        <v>0</v>
      </c>
      <c r="AE25" s="68">
        <v>0</v>
      </c>
      <c r="AF25" s="134">
        <v>16</v>
      </c>
      <c r="AG25" s="122"/>
      <c r="AH25" s="122"/>
    </row>
    <row r="26" spans="1:34" s="123" customFormat="1" ht="12.75">
      <c r="A26" s="122"/>
      <c r="B26" s="127"/>
      <c r="C26" s="33"/>
      <c r="D26" s="26" t="s">
        <v>11</v>
      </c>
      <c r="E26" s="32"/>
      <c r="F26" s="71">
        <v>0</v>
      </c>
      <c r="G26" s="71">
        <v>0</v>
      </c>
      <c r="H26" s="71">
        <v>0</v>
      </c>
      <c r="I26" s="71">
        <v>0</v>
      </c>
      <c r="J26" s="71">
        <v>0</v>
      </c>
      <c r="K26" s="71">
        <v>0</v>
      </c>
      <c r="L26" s="64" t="str">
        <f>IFERROR(F26/G26-1,"n/a")</f>
        <v>n/a</v>
      </c>
      <c r="M26" s="64" t="str">
        <f>IFERROR(F26/H26-1,"n/a")</f>
        <v>n/a</v>
      </c>
      <c r="N26" s="64" t="str">
        <f>IFERROR(F26/I26-1,"n/a")</f>
        <v>n/a</v>
      </c>
      <c r="O26" s="64" t="str">
        <f>IFERROR(F26/J26-1,"n/a")</f>
        <v>n/a</v>
      </c>
      <c r="P26" s="60" t="str">
        <f>IFERROR(F26/K26-1,"n/a")</f>
        <v>n/a</v>
      </c>
      <c r="Q26" s="68">
        <f>+F26+'Feb-24'!Q26</f>
        <v>0</v>
      </c>
      <c r="R26" s="68">
        <v>0</v>
      </c>
      <c r="S26" s="68">
        <v>0</v>
      </c>
      <c r="T26" s="68">
        <v>0</v>
      </c>
      <c r="U26" s="68">
        <v>0</v>
      </c>
      <c r="V26" s="68">
        <v>0</v>
      </c>
      <c r="W26" s="64" t="str">
        <f>IFERROR(Q26/R26-1,"n/a")</f>
        <v>n/a</v>
      </c>
      <c r="X26" s="64" t="str">
        <f>IFERROR(Q26/S26-1,"n/a")</f>
        <v>n/a</v>
      </c>
      <c r="Y26" s="64" t="str">
        <f>IFERROR(Q26/T26-1,"n/a")</f>
        <v>n/a</v>
      </c>
      <c r="Z26" s="64" t="str">
        <f>IFERROR(Q26/U26-1,"n/a")</f>
        <v>n/a</v>
      </c>
      <c r="AA26" s="60" t="str">
        <f>IFERROR(Q26/V26-1,"n/a")</f>
        <v>n/a</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406</v>
      </c>
      <c r="G27" s="75">
        <f t="shared" si="0"/>
        <v>322</v>
      </c>
      <c r="H27" s="75">
        <f t="shared" si="0"/>
        <v>260</v>
      </c>
      <c r="I27" s="75">
        <f t="shared" si="0"/>
        <v>5</v>
      </c>
      <c r="J27" s="75">
        <f t="shared" si="0"/>
        <v>160</v>
      </c>
      <c r="K27" s="75">
        <f t="shared" si="0"/>
        <v>229</v>
      </c>
      <c r="L27" s="66">
        <f>IFERROR(F27/G27-1,"n/a")</f>
        <v>0.26086956521739135</v>
      </c>
      <c r="M27" s="66">
        <f>IFERROR(F27/H27-1,"n/a")</f>
        <v>0.56153846153846154</v>
      </c>
      <c r="N27" s="66">
        <f>IFERROR(F27/I27-1,"n/a")</f>
        <v>80.2</v>
      </c>
      <c r="O27" s="66">
        <f>IFERROR(F27/J27-1,"n/a")</f>
        <v>1.5375000000000001</v>
      </c>
      <c r="P27" s="62">
        <f>IFERROR(F27/K27-1,"n/a")</f>
        <v>0.77292576419213965</v>
      </c>
      <c r="Q27" s="75">
        <f t="shared" ref="Q27:V28" si="1">Q13+Q16+Q19+Q22+Q25</f>
        <v>1025</v>
      </c>
      <c r="R27" s="75">
        <f t="shared" si="1"/>
        <v>867</v>
      </c>
      <c r="S27" s="75">
        <f t="shared" si="1"/>
        <v>631</v>
      </c>
      <c r="T27" s="75">
        <f t="shared" si="1"/>
        <v>12</v>
      </c>
      <c r="U27" s="75">
        <f t="shared" si="1"/>
        <v>565</v>
      </c>
      <c r="V27" s="75">
        <f t="shared" si="1"/>
        <v>634</v>
      </c>
      <c r="W27" s="66">
        <f>IFERROR(Q27/R27-1,"n/a")</f>
        <v>0.18223760092272201</v>
      </c>
      <c r="X27" s="66">
        <f>IFERROR(Q27/S27-1,"n/a")</f>
        <v>0.62440570522979399</v>
      </c>
      <c r="Y27" s="66">
        <f>IFERROR(Q27/T27-1,"n/a")</f>
        <v>84.416666666666671</v>
      </c>
      <c r="Z27" s="66">
        <f>IFERROR(Q27/U27-1,"n/a")</f>
        <v>0.81415929203539816</v>
      </c>
      <c r="AA27" s="62">
        <f>IFERROR(Q27/V27-1,"n/a")</f>
        <v>0.61671924290220814</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1260097</v>
      </c>
      <c r="G28" s="76">
        <f t="shared" si="0"/>
        <v>921313</v>
      </c>
      <c r="H28" s="76">
        <f t="shared" si="0"/>
        <v>406818</v>
      </c>
      <c r="I28" s="76">
        <f t="shared" si="0"/>
        <v>4146</v>
      </c>
      <c r="J28" s="76">
        <f t="shared" si="0"/>
        <v>226273</v>
      </c>
      <c r="K28" s="76">
        <f t="shared" si="0"/>
        <v>655947</v>
      </c>
      <c r="L28" s="67">
        <f>IFERROR(F28/G28-1,"n/a")</f>
        <v>0.36771867975378614</v>
      </c>
      <c r="M28" s="67">
        <f>IFERROR(F28/H28-1,"n/a")</f>
        <v>2.0974465239984466</v>
      </c>
      <c r="N28" s="67">
        <f>IFERROR(F28/I28-1,"n/a")</f>
        <v>302.93077665219488</v>
      </c>
      <c r="O28" s="67">
        <f>IFERROR(F28/J28-1,"n/a")</f>
        <v>4.5689233801646685</v>
      </c>
      <c r="P28" s="63">
        <f>IFERROR(F28/K28-1,"n/a")</f>
        <v>0.92103477872450057</v>
      </c>
      <c r="Q28" s="76">
        <f t="shared" si="1"/>
        <v>3237194</v>
      </c>
      <c r="R28" s="76">
        <f t="shared" si="1"/>
        <v>2478359</v>
      </c>
      <c r="S28" s="76">
        <f t="shared" si="1"/>
        <v>867705</v>
      </c>
      <c r="T28" s="76">
        <f t="shared" si="1"/>
        <v>10103</v>
      </c>
      <c r="U28" s="76">
        <f t="shared" si="1"/>
        <v>1276302</v>
      </c>
      <c r="V28" s="76">
        <f t="shared" si="1"/>
        <v>1789862</v>
      </c>
      <c r="W28" s="67">
        <f>IFERROR(Q28/R28-1,"n/a")</f>
        <v>0.30618445511727721</v>
      </c>
      <c r="X28" s="67">
        <f>IFERROR(Q28/S28-1,"n/a")</f>
        <v>2.7307541157421014</v>
      </c>
      <c r="Y28" s="67">
        <f>IFERROR(Q28/T28-1,"n/a")</f>
        <v>319.41908344056219</v>
      </c>
      <c r="Z28" s="67">
        <f>IFERROR(Q28/U28-1,"n/a")</f>
        <v>1.5363855889906932</v>
      </c>
      <c r="AA28" s="63">
        <f>IFERROR(Q28/V28-1,"n/a")</f>
        <v>0.80862770425876418</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March</v>
      </c>
      <c r="G33" s="170"/>
      <c r="H33" s="170"/>
      <c r="I33" s="170"/>
      <c r="J33" s="170"/>
      <c r="K33" s="170"/>
      <c r="L33" s="170"/>
      <c r="M33" s="170"/>
      <c r="N33" s="170"/>
      <c r="O33" s="170"/>
      <c r="P33" s="171"/>
      <c r="Q33" s="176" t="str">
        <f>"April to "&amp;D4&amp;" (YTD)"</f>
        <v>April to March (YTD)</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c r="R35" s="53" t="s">
        <v>114</v>
      </c>
      <c r="S35" s="53" t="s">
        <v>53</v>
      </c>
      <c r="T35" s="52" t="s">
        <v>54</v>
      </c>
      <c r="U35" s="52" t="s">
        <v>59</v>
      </c>
      <c r="V35" s="52" t="s">
        <v>64</v>
      </c>
      <c r="W35" s="53"/>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281</v>
      </c>
      <c r="G37" s="74">
        <f t="shared" si="3"/>
        <v>181</v>
      </c>
      <c r="H37" s="74">
        <f t="shared" si="3"/>
        <v>204</v>
      </c>
      <c r="I37" s="74">
        <f t="shared" si="3"/>
        <v>0</v>
      </c>
      <c r="J37" s="74">
        <f t="shared" si="3"/>
        <v>147</v>
      </c>
      <c r="K37" s="74">
        <f t="shared" si="3"/>
        <v>170</v>
      </c>
      <c r="L37" s="64">
        <f>IFERROR(F37/G37-1,"n/a")</f>
        <v>0.55248618784530379</v>
      </c>
      <c r="M37" s="64">
        <f>IFERROR(F37/H37-1,"n/a")</f>
        <v>0.37745098039215685</v>
      </c>
      <c r="N37" s="64" t="str">
        <f>IFERROR(F37/I37-1,"n/a")</f>
        <v>n/a</v>
      </c>
      <c r="O37" s="64">
        <f>IFERROR(F37/J37-1,"n/a")</f>
        <v>0.91156462585034004</v>
      </c>
      <c r="P37" s="60">
        <f>IFERROR(F37/K37-1,"n/a")</f>
        <v>0.65294117647058814</v>
      </c>
      <c r="Q37" s="64"/>
      <c r="R37" s="74">
        <f>'Feb-24'!R37+F37</f>
        <v>1802</v>
      </c>
      <c r="S37" s="74">
        <f>'Feb-24'!S37+'Mar-24'!G37</f>
        <v>1486</v>
      </c>
      <c r="T37" s="74">
        <f>'Feb-24'!T37+'Mar-24'!H37</f>
        <v>1045</v>
      </c>
      <c r="U37" s="74">
        <f>'Feb-24'!U37+'Mar-24'!I37</f>
        <v>42</v>
      </c>
      <c r="V37" s="74">
        <f>'Feb-24'!V37+'Mar-24'!J37</f>
        <v>1577</v>
      </c>
      <c r="W37" s="64"/>
      <c r="X37" s="119">
        <f>IFERROR(R37/S37-1,"n/a")</f>
        <v>0.21265141318977121</v>
      </c>
      <c r="Y37" s="119">
        <f>IFERROR(R37/T37-1,"n/a")</f>
        <v>0.72440191387559816</v>
      </c>
      <c r="Z37" s="119">
        <f>IFERROR(R37/U37-1,"n/a")</f>
        <v>41.904761904761905</v>
      </c>
      <c r="AA37" s="120">
        <f>IFERROR(R37/V37-1,"n/a")</f>
        <v>0.14267596702599872</v>
      </c>
      <c r="AB37" s="147"/>
      <c r="AC37" s="89">
        <v>1486</v>
      </c>
      <c r="AD37" s="89">
        <v>1052</v>
      </c>
      <c r="AE37" s="70">
        <v>551</v>
      </c>
      <c r="AF37" s="78">
        <v>1584</v>
      </c>
      <c r="AH37" s="122"/>
    </row>
    <row r="38" spans="1:34" s="123" customFormat="1" ht="11.25">
      <c r="A38" s="122"/>
      <c r="B38" s="122"/>
      <c r="C38" s="33"/>
      <c r="D38" s="26" t="s">
        <v>11</v>
      </c>
      <c r="E38" s="32"/>
      <c r="F38" s="74">
        <f t="shared" si="3"/>
        <v>857821</v>
      </c>
      <c r="G38" s="74">
        <f t="shared" si="3"/>
        <v>565574</v>
      </c>
      <c r="H38" s="74">
        <f t="shared" si="3"/>
        <v>344501</v>
      </c>
      <c r="I38" s="74">
        <f t="shared" si="3"/>
        <v>0</v>
      </c>
      <c r="J38" s="74">
        <f t="shared" si="3"/>
        <v>196286</v>
      </c>
      <c r="K38" s="74">
        <f t="shared" si="3"/>
        <v>500596</v>
      </c>
      <c r="L38" s="64">
        <f>IFERROR(F38/G38-1,"n/a")</f>
        <v>0.51672637002408184</v>
      </c>
      <c r="M38" s="64">
        <f>IFERROR(F38/H38-1,"n/a")</f>
        <v>1.4900392161416076</v>
      </c>
      <c r="N38" s="64" t="str">
        <f>IFERROR(F38/I38-1,"n/a")</f>
        <v>n/a</v>
      </c>
      <c r="O38" s="64">
        <f>IFERROR(F38/J38-1,"n/a")</f>
        <v>3.3702607419785418</v>
      </c>
      <c r="P38" s="60">
        <f>IFERROR(F38/K38-1,"n/a")</f>
        <v>0.71359938952768309</v>
      </c>
      <c r="Q38" s="64"/>
      <c r="R38" s="74">
        <f>'Feb-24'!R38+F38</f>
        <v>5848177</v>
      </c>
      <c r="S38" s="74">
        <f>'Feb-24'!S38+'Mar-24'!G38</f>
        <v>4370939</v>
      </c>
      <c r="T38" s="74">
        <f>'Feb-24'!T38+'Mar-24'!H38</f>
        <v>1522859</v>
      </c>
      <c r="U38" s="74">
        <f>'Feb-24'!U38+'Mar-24'!I38</f>
        <v>0</v>
      </c>
      <c r="V38" s="74">
        <f>'Feb-24'!V38+'Mar-24'!J38</f>
        <v>4212856</v>
      </c>
      <c r="W38" s="64"/>
      <c r="X38" s="119">
        <f>IFERROR(R38/S38-1,"n/a")</f>
        <v>0.3379681116574722</v>
      </c>
      <c r="Y38" s="119">
        <f>IFERROR(R38/T38-1,"n/a")</f>
        <v>2.8402616394557869</v>
      </c>
      <c r="Z38" s="119" t="str">
        <f>IFERROR(R38/U38-1,"n/a")</f>
        <v>n/a</v>
      </c>
      <c r="AA38" s="120">
        <f>IFERROR(R38/V38-1,"n/a")</f>
        <v>0.38817396084746303</v>
      </c>
      <c r="AB38" s="147"/>
      <c r="AC38" s="89">
        <v>4370939</v>
      </c>
      <c r="AD38" s="89">
        <v>1527970</v>
      </c>
      <c r="AE38" s="84">
        <v>1092884</v>
      </c>
      <c r="AF38" s="78">
        <v>4234259</v>
      </c>
      <c r="AH38" s="122"/>
    </row>
    <row r="39" spans="1:34" s="123" customFormat="1" ht="11.25">
      <c r="A39" s="122"/>
      <c r="B39" s="122"/>
      <c r="C39" s="31" t="s">
        <v>108</v>
      </c>
      <c r="D39" s="26"/>
      <c r="E39" s="32"/>
      <c r="F39" s="26"/>
      <c r="G39" s="26"/>
      <c r="H39" s="26"/>
      <c r="I39" s="26"/>
      <c r="J39" s="26"/>
      <c r="K39" s="26"/>
      <c r="L39" s="64"/>
      <c r="M39" s="64"/>
      <c r="N39" s="64"/>
      <c r="O39" s="64"/>
      <c r="P39" s="61"/>
      <c r="Q39" s="65"/>
      <c r="R39" s="26"/>
      <c r="S39" s="26"/>
      <c r="T39" s="26"/>
      <c r="U39" s="26"/>
      <c r="V39" s="26"/>
      <c r="W39" s="64"/>
      <c r="X39" s="65"/>
      <c r="Y39" s="65"/>
      <c r="Z39" s="65"/>
      <c r="AA39" s="61"/>
      <c r="AB39" s="148"/>
      <c r="AC39" s="90"/>
      <c r="AD39" s="90"/>
      <c r="AE39" s="44"/>
      <c r="AF39" s="79"/>
      <c r="AH39" s="122"/>
    </row>
    <row r="40" spans="1:34" s="123" customFormat="1" ht="11.25">
      <c r="A40" s="122"/>
      <c r="B40" s="122"/>
      <c r="C40" s="33"/>
      <c r="D40" s="26" t="s">
        <v>5</v>
      </c>
      <c r="E40" s="32"/>
      <c r="F40" s="74">
        <f t="shared" ref="F40:K41" si="4">F16</f>
        <v>17</v>
      </c>
      <c r="G40" s="74">
        <f t="shared" si="4"/>
        <v>16</v>
      </c>
      <c r="H40" s="74">
        <f t="shared" si="4"/>
        <v>26</v>
      </c>
      <c r="I40" s="74">
        <f t="shared" si="4"/>
        <v>5</v>
      </c>
      <c r="J40" s="74">
        <f t="shared" si="4"/>
        <v>1</v>
      </c>
      <c r="K40" s="74">
        <f t="shared" si="4"/>
        <v>10</v>
      </c>
      <c r="L40" s="64">
        <f>IFERROR(F40/G40-1,"n/a")</f>
        <v>6.25E-2</v>
      </c>
      <c r="M40" s="64">
        <f>IFERROR(F40/H40-1,"n/a")</f>
        <v>-0.34615384615384615</v>
      </c>
      <c r="N40" s="64">
        <f>IFERROR(F40/I40-1,"n/a")</f>
        <v>2.4</v>
      </c>
      <c r="O40" s="64">
        <f>IFERROR(F40/J40-1,"n/a")</f>
        <v>16</v>
      </c>
      <c r="P40" s="60">
        <f>IFERROR(F40/K40-1,"n/a")</f>
        <v>0.7</v>
      </c>
      <c r="Q40" s="64"/>
      <c r="R40" s="74">
        <f>'Feb-24'!R40+F40</f>
        <v>583</v>
      </c>
      <c r="S40" s="74">
        <f>'Feb-24'!S40+'Mar-24'!G40</f>
        <v>563</v>
      </c>
      <c r="T40" s="74">
        <f>'Feb-24'!T40+'Mar-24'!H40</f>
        <v>228</v>
      </c>
      <c r="U40" s="74">
        <f>'Feb-24'!U40+'Mar-24'!I40</f>
        <v>56</v>
      </c>
      <c r="V40" s="74">
        <f>'Feb-24'!V40+'Mar-24'!J40</f>
        <v>580</v>
      </c>
      <c r="W40" s="64"/>
      <c r="X40" s="119">
        <f>IFERROR(R40/S40-1,"n/a")</f>
        <v>3.5523978685612745E-2</v>
      </c>
      <c r="Y40" s="119">
        <f>IFERROR(R40/T40-1,"n/a")</f>
        <v>1.557017543859649</v>
      </c>
      <c r="Z40" s="119">
        <f>IFERROR(R40/U40-1,"n/a")</f>
        <v>9.4107142857142865</v>
      </c>
      <c r="AA40" s="120">
        <f>IFERROR(R40/V40-1,"n/a")</f>
        <v>5.1724137931035141E-3</v>
      </c>
      <c r="AB40" s="147"/>
      <c r="AC40" s="89">
        <v>563</v>
      </c>
      <c r="AD40" s="89">
        <v>226</v>
      </c>
      <c r="AE40" s="70">
        <v>66</v>
      </c>
      <c r="AF40" s="78">
        <v>573</v>
      </c>
      <c r="AH40" s="122"/>
    </row>
    <row r="41" spans="1:34" s="123" customFormat="1" ht="11.25">
      <c r="A41" s="122"/>
      <c r="B41" s="122"/>
      <c r="C41" s="33"/>
      <c r="D41" s="26" t="s">
        <v>11</v>
      </c>
      <c r="E41" s="32"/>
      <c r="F41" s="74">
        <f t="shared" si="4"/>
        <v>54338</v>
      </c>
      <c r="G41" s="74">
        <f t="shared" si="4"/>
        <v>43135</v>
      </c>
      <c r="H41" s="74">
        <f t="shared" si="4"/>
        <v>28377</v>
      </c>
      <c r="I41" s="74">
        <f t="shared" si="4"/>
        <v>4146</v>
      </c>
      <c r="J41" s="74">
        <f t="shared" si="4"/>
        <v>565</v>
      </c>
      <c r="K41" s="74">
        <f t="shared" si="4"/>
        <v>32801</v>
      </c>
      <c r="L41" s="64">
        <f>IFERROR(F41/G41-1,"n/a")</f>
        <v>0.2597194853367335</v>
      </c>
      <c r="M41" s="64">
        <f>IFERROR(F41/H41-1,"n/a")</f>
        <v>0.91486062656376643</v>
      </c>
      <c r="N41" s="64">
        <f>IFERROR(F41/I41-1,"n/a")</f>
        <v>12.10612638687892</v>
      </c>
      <c r="O41" s="64">
        <f>IFERROR(F41/J41-1,"n/a")</f>
        <v>95.173451327433625</v>
      </c>
      <c r="P41" s="60">
        <f>IFERROR(F41/K41-1,"n/a")</f>
        <v>0.6565958354928203</v>
      </c>
      <c r="Q41" s="64"/>
      <c r="R41" s="74">
        <f>'Feb-24'!R41+F41</f>
        <v>1708204</v>
      </c>
      <c r="S41" s="74">
        <f>'Feb-24'!S41+'Mar-24'!G41</f>
        <v>1012510</v>
      </c>
      <c r="T41" s="74">
        <f>'Feb-24'!T41+'Mar-24'!H41</f>
        <v>328940</v>
      </c>
      <c r="U41" s="74">
        <f>'Feb-24'!U41+'Mar-24'!I41</f>
        <v>39665</v>
      </c>
      <c r="V41" s="74">
        <f>'Feb-24'!V41+'Mar-24'!J41</f>
        <v>1359272</v>
      </c>
      <c r="W41" s="64"/>
      <c r="X41" s="119">
        <f>IFERROR(R41/S41-1,"n/a")</f>
        <v>0.68709839902815784</v>
      </c>
      <c r="Y41" s="119">
        <f>IFERROR(R41/T41-1,"n/a")</f>
        <v>4.1930564844652523</v>
      </c>
      <c r="Z41" s="119">
        <f>IFERROR(R41/U41-1,"n/a")</f>
        <v>42.065775872935838</v>
      </c>
      <c r="AA41" s="120">
        <f>IFERROR(R41/V41-1,"n/a")</f>
        <v>0.2567050597672873</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64"/>
      <c r="R42" s="87"/>
      <c r="S42" s="87"/>
      <c r="T42" s="87"/>
      <c r="U42" s="87"/>
      <c r="V42" s="87"/>
      <c r="W42" s="64"/>
      <c r="X42" s="64"/>
      <c r="Y42" s="64"/>
      <c r="Z42" s="64"/>
      <c r="AA42" s="60"/>
      <c r="AB42" s="147"/>
      <c r="AC42" s="90"/>
      <c r="AD42" s="90"/>
      <c r="AE42" s="44"/>
      <c r="AF42" s="79"/>
      <c r="AH42" s="122"/>
    </row>
    <row r="43" spans="1:34" s="123" customFormat="1" ht="11.25">
      <c r="A43" s="122"/>
      <c r="B43" s="122"/>
      <c r="C43" s="33"/>
      <c r="D43" s="26" t="s">
        <v>5</v>
      </c>
      <c r="E43" s="32"/>
      <c r="F43" s="74">
        <f t="shared" ref="F43:K44" si="5">F19</f>
        <v>21</v>
      </c>
      <c r="G43" s="74">
        <f t="shared" si="5"/>
        <v>17</v>
      </c>
      <c r="H43" s="74">
        <f t="shared" si="5"/>
        <v>6</v>
      </c>
      <c r="I43" s="74">
        <f t="shared" si="5"/>
        <v>0</v>
      </c>
      <c r="J43" s="74">
        <f t="shared" si="5"/>
        <v>2</v>
      </c>
      <c r="K43" s="74">
        <f t="shared" si="5"/>
        <v>5</v>
      </c>
      <c r="L43" s="64">
        <f>IFERROR(F43/G43-1,"n/a")</f>
        <v>0.23529411764705888</v>
      </c>
      <c r="M43" s="64">
        <f>IFERROR(F43/H43-1,"n/a")</f>
        <v>2.5</v>
      </c>
      <c r="N43" s="64" t="str">
        <f>IFERROR(F43/I43-1,"n/a")</f>
        <v>n/a</v>
      </c>
      <c r="O43" s="64">
        <f>IFERROR(F43/J43-1,"n/a")</f>
        <v>9.5</v>
      </c>
      <c r="P43" s="60">
        <f>IFERROR(F43/K43-1,"n/a")</f>
        <v>3.2</v>
      </c>
      <c r="Q43" s="64"/>
      <c r="R43" s="74">
        <f>'Feb-24'!R43+F43</f>
        <v>712</v>
      </c>
      <c r="S43" s="74">
        <f>'Feb-24'!S43+'Mar-24'!G43</f>
        <v>669</v>
      </c>
      <c r="T43" s="74">
        <f>'Feb-24'!T43+'Mar-24'!H43</f>
        <v>59</v>
      </c>
      <c r="U43" s="74">
        <f>'Feb-24'!U43+'Mar-24'!I43</f>
        <v>7</v>
      </c>
      <c r="V43" s="74">
        <f>'Feb-24'!V43+'Mar-24'!J43</f>
        <v>287</v>
      </c>
      <c r="W43" s="64"/>
      <c r="X43" s="119">
        <f>IFERROR(R43/S43-1,"n/a")</f>
        <v>6.427503736920781E-2</v>
      </c>
      <c r="Y43" s="119">
        <f>IFERROR(R43/T43-1,"n/a")</f>
        <v>11.067796610169491</v>
      </c>
      <c r="Z43" s="119">
        <f>IFERROR(R43/U43-1,"n/a")</f>
        <v>100.71428571428571</v>
      </c>
      <c r="AA43" s="120">
        <f>IFERROR(R43/V43-1,"n/a")</f>
        <v>1.480836236933798</v>
      </c>
      <c r="AB43" s="147"/>
      <c r="AC43" s="89">
        <v>669</v>
      </c>
      <c r="AD43" s="89">
        <v>59</v>
      </c>
      <c r="AE43" s="70">
        <v>9</v>
      </c>
      <c r="AF43" s="78">
        <v>287</v>
      </c>
      <c r="AH43" s="122"/>
    </row>
    <row r="44" spans="1:34" s="123" customFormat="1" ht="11.25">
      <c r="A44" s="122"/>
      <c r="B44" s="122"/>
      <c r="C44" s="33"/>
      <c r="D44" s="26" t="s">
        <v>11</v>
      </c>
      <c r="E44" s="32"/>
      <c r="F44" s="74">
        <f t="shared" si="5"/>
        <v>31321</v>
      </c>
      <c r="G44" s="74">
        <f t="shared" si="5"/>
        <v>14734</v>
      </c>
      <c r="H44" s="74">
        <f t="shared" si="5"/>
        <v>1346</v>
      </c>
      <c r="I44" s="74">
        <f t="shared" si="5"/>
        <v>0</v>
      </c>
      <c r="J44" s="74">
        <f t="shared" si="5"/>
        <v>887</v>
      </c>
      <c r="K44" s="74">
        <f t="shared" si="5"/>
        <v>4876</v>
      </c>
      <c r="L44" s="64">
        <f>IFERROR(F44/G44-1,"n/a")</f>
        <v>1.1257635401113073</v>
      </c>
      <c r="M44" s="64">
        <f>IFERROR(F44/H44-1,"n/a")</f>
        <v>22.269687964338782</v>
      </c>
      <c r="N44" s="64" t="str">
        <f>IFERROR(F44/I44-1,"n/a")</f>
        <v>n/a</v>
      </c>
      <c r="O44" s="64">
        <f>IFERROR(F44/J44-1,"n/a")</f>
        <v>34.311161217587376</v>
      </c>
      <c r="P44" s="60">
        <f>IFERROR(F44/K44-1,"n/a")</f>
        <v>5.4235028712059066</v>
      </c>
      <c r="Q44" s="64"/>
      <c r="R44" s="74">
        <f>'Feb-24'!R44+F44</f>
        <v>1296421</v>
      </c>
      <c r="S44" s="74">
        <f>'Feb-24'!S44+'Mar-24'!G44</f>
        <v>905256</v>
      </c>
      <c r="T44" s="74">
        <f>'Feb-24'!T44+'Mar-24'!H44</f>
        <v>20626</v>
      </c>
      <c r="U44" s="74">
        <f>'Feb-24'!U44+'Mar-24'!I44</f>
        <v>8294</v>
      </c>
      <c r="V44" s="74">
        <f>'Feb-24'!V44+'Mar-24'!J44</f>
        <v>581199</v>
      </c>
      <c r="W44" s="64"/>
      <c r="X44" s="119">
        <f>IFERROR(R44/S44-1,"n/a")</f>
        <v>0.43210428873158535</v>
      </c>
      <c r="Y44" s="119">
        <f>IFERROR(R44/T44-1,"n/a")</f>
        <v>61.853728304082225</v>
      </c>
      <c r="Z44" s="119">
        <f>IFERROR(R44/U44-1,"n/a")</f>
        <v>155.30829515312274</v>
      </c>
      <c r="AA44" s="120">
        <f>IFERROR(R44/V44-1,"n/a")</f>
        <v>1.2305974373665474</v>
      </c>
      <c r="AB44" s="147"/>
      <c r="AC44" s="82">
        <f>709768+195488</f>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64"/>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6">F22</f>
        <v>87</v>
      </c>
      <c r="G46" s="74">
        <f t="shared" si="6"/>
        <v>108</v>
      </c>
      <c r="H46" s="74">
        <f t="shared" si="6"/>
        <v>24</v>
      </c>
      <c r="I46" s="74">
        <f t="shared" si="6"/>
        <v>0</v>
      </c>
      <c r="J46" s="74">
        <f t="shared" si="6"/>
        <v>10</v>
      </c>
      <c r="K46" s="74">
        <f t="shared" si="6"/>
        <v>44</v>
      </c>
      <c r="L46" s="64">
        <f>IFERROR(F46/G46-1,"n/a")</f>
        <v>-0.19444444444444442</v>
      </c>
      <c r="M46" s="64">
        <f>IFERROR(F46/H46-1,"n/a")</f>
        <v>2.625</v>
      </c>
      <c r="N46" s="64" t="str">
        <f>IFERROR(F46/I46-1,"n/a")</f>
        <v>n/a</v>
      </c>
      <c r="O46" s="64">
        <f>IFERROR(F46/J46-1,"n/a")</f>
        <v>7.6999999999999993</v>
      </c>
      <c r="P46" s="60">
        <f>IFERROR(F46/K46-1,"n/a")</f>
        <v>0.97727272727272729</v>
      </c>
      <c r="Q46" s="64"/>
      <c r="R46" s="74">
        <f>'Feb-24'!R46+F46</f>
        <v>1471</v>
      </c>
      <c r="S46" s="74">
        <f>'Feb-24'!S46+'Mar-24'!G46</f>
        <v>1125</v>
      </c>
      <c r="T46" s="74">
        <f>'Feb-24'!T46+'Mar-24'!H46</f>
        <v>336</v>
      </c>
      <c r="U46" s="74">
        <f>'Feb-24'!U46+'Mar-24'!I46</f>
        <v>0</v>
      </c>
      <c r="V46" s="74">
        <f>'Feb-24'!V46+'Mar-24'!J46</f>
        <v>781</v>
      </c>
      <c r="W46" s="64"/>
      <c r="X46" s="119">
        <f>IFERROR(R46/S46-1,"n/a")</f>
        <v>0.30755555555555558</v>
      </c>
      <c r="Y46" s="119">
        <f>IFERROR(R46/T46-1,"n/a")</f>
        <v>3.3779761904761907</v>
      </c>
      <c r="Z46" s="119" t="str">
        <f>IFERROR(R46/U46-1,"n/a")</f>
        <v>n/a</v>
      </c>
      <c r="AA46" s="120">
        <f>IFERROR(R46/V46-1,"n/a")</f>
        <v>0.88348271446862991</v>
      </c>
      <c r="AB46" s="147"/>
      <c r="AC46" s="89">
        <v>1129</v>
      </c>
      <c r="AD46" s="89">
        <v>336</v>
      </c>
      <c r="AE46" s="84">
        <v>43</v>
      </c>
      <c r="AF46" s="78">
        <v>781</v>
      </c>
      <c r="AH46" s="122"/>
    </row>
    <row r="47" spans="1:34" s="123" customFormat="1" ht="11.25">
      <c r="A47" s="122"/>
      <c r="B47" s="122"/>
      <c r="C47" s="33"/>
      <c r="D47" s="26" t="s">
        <v>11</v>
      </c>
      <c r="E47" s="32"/>
      <c r="F47" s="74">
        <f t="shared" si="6"/>
        <v>316617</v>
      </c>
      <c r="G47" s="74">
        <f t="shared" si="6"/>
        <v>297870</v>
      </c>
      <c r="H47" s="74">
        <f t="shared" si="6"/>
        <v>32594</v>
      </c>
      <c r="I47" s="74">
        <f t="shared" si="6"/>
        <v>0</v>
      </c>
      <c r="J47" s="74">
        <f t="shared" si="6"/>
        <v>28535</v>
      </c>
      <c r="K47" s="74">
        <f t="shared" si="6"/>
        <v>117674</v>
      </c>
      <c r="L47" s="64">
        <f>IFERROR(F47/G47-1,"n/a")</f>
        <v>6.2936851646691494E-2</v>
      </c>
      <c r="M47" s="64">
        <f>IFERROR(F47/H47-1,"n/a")</f>
        <v>8.7139657605694296</v>
      </c>
      <c r="N47" s="64" t="str">
        <f>IFERROR(F47/I47-1,"n/a")</f>
        <v>n/a</v>
      </c>
      <c r="O47" s="64">
        <f>IFERROR(F47/J47-1,"n/a")</f>
        <v>10.095742071140704</v>
      </c>
      <c r="P47" s="60">
        <f>IFERROR(F47/K47-1,"n/a")</f>
        <v>1.690628346108741</v>
      </c>
      <c r="Q47" s="64"/>
      <c r="R47" s="74">
        <f>'Feb-24'!R47+F47</f>
        <v>4517247</v>
      </c>
      <c r="S47" s="74">
        <f>'Feb-24'!S47+'Mar-24'!G47</f>
        <v>2927070</v>
      </c>
      <c r="T47" s="74">
        <f>'Feb-24'!T47+'Mar-24'!H47</f>
        <v>533563</v>
      </c>
      <c r="U47" s="74">
        <f>'Feb-24'!U47+'Mar-24'!I47</f>
        <v>0</v>
      </c>
      <c r="V47" s="74">
        <f>'Feb-24'!V47+'Mar-24'!J47</f>
        <v>2441594</v>
      </c>
      <c r="W47" s="64"/>
      <c r="X47" s="119">
        <f>IFERROR(R47/S47-1,"n/a")</f>
        <v>0.54326579138865827</v>
      </c>
      <c r="Y47" s="119">
        <f>IFERROR(R47/T47-1,"n/a")</f>
        <v>7.4661923709102762</v>
      </c>
      <c r="Z47" s="119" t="str">
        <f>IFERROR(R47/U47-1,"n/a")</f>
        <v>n/a</v>
      </c>
      <c r="AA47" s="120">
        <f>IFERROR(R47/V47-1,"n/a")</f>
        <v>0.85012209237080372</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64"/>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7">F25</f>
        <v>0</v>
      </c>
      <c r="G49" s="74">
        <f t="shared" si="7"/>
        <v>0</v>
      </c>
      <c r="H49" s="74">
        <f t="shared" si="7"/>
        <v>0</v>
      </c>
      <c r="I49" s="74">
        <f t="shared" si="7"/>
        <v>0</v>
      </c>
      <c r="J49" s="74">
        <f t="shared" si="7"/>
        <v>0</v>
      </c>
      <c r="K49" s="74">
        <f t="shared" si="7"/>
        <v>0</v>
      </c>
      <c r="L49" s="64" t="str">
        <f>IFERROR(F49/G49-1,"n/a")</f>
        <v>n/a</v>
      </c>
      <c r="M49" s="64" t="str">
        <f>IFERROR(F49/H49-1,"n/a")</f>
        <v>n/a</v>
      </c>
      <c r="N49" s="64" t="str">
        <f>IFERROR(F49/I49-1,"n/a")</f>
        <v>n/a</v>
      </c>
      <c r="O49" s="64" t="str">
        <f>IFERROR(F49/J49-1,"n/a")</f>
        <v>n/a</v>
      </c>
      <c r="P49" s="60" t="str">
        <f>IFERROR(F49/K49-1,"n/a")</f>
        <v>n/a</v>
      </c>
      <c r="Q49" s="64"/>
      <c r="R49" s="74">
        <f>'Feb-24'!R49+F49</f>
        <v>21</v>
      </c>
      <c r="S49" s="74">
        <f>'Feb-24'!S49+'Mar-24'!G49</f>
        <v>9</v>
      </c>
      <c r="T49" s="74">
        <v>0</v>
      </c>
      <c r="U49" s="74">
        <v>0</v>
      </c>
      <c r="V49" s="74">
        <v>16</v>
      </c>
      <c r="W49" s="64"/>
      <c r="X49" s="119">
        <f>IFERROR(R49/S49-1,"n/a")</f>
        <v>1.3333333333333335</v>
      </c>
      <c r="Y49" s="119" t="str">
        <f>IFERROR(R49/T49-1,"n/a")</f>
        <v>n/a</v>
      </c>
      <c r="Z49" s="119" t="str">
        <f>IFERROR(R49/U49-1,"n/a")</f>
        <v>n/a</v>
      </c>
      <c r="AA49" s="120">
        <f>IFERROR(R49/V49-1,"n/a")</f>
        <v>0.3125</v>
      </c>
      <c r="AB49" s="147"/>
      <c r="AC49" s="89">
        <v>9</v>
      </c>
      <c r="AD49" s="68">
        <v>0</v>
      </c>
      <c r="AE49" s="68">
        <v>0</v>
      </c>
      <c r="AF49" s="78">
        <v>16</v>
      </c>
      <c r="AH49" s="122"/>
    </row>
    <row r="50" spans="3:34" s="123" customFormat="1" ht="11.25">
      <c r="C50" s="33"/>
      <c r="D50" s="26" t="s">
        <v>11</v>
      </c>
      <c r="E50" s="32"/>
      <c r="F50" s="74">
        <f t="shared" si="7"/>
        <v>0</v>
      </c>
      <c r="G50" s="74">
        <f t="shared" si="7"/>
        <v>0</v>
      </c>
      <c r="H50" s="74">
        <f t="shared" si="7"/>
        <v>0</v>
      </c>
      <c r="I50" s="74">
        <f t="shared" si="7"/>
        <v>0</v>
      </c>
      <c r="J50" s="74">
        <f t="shared" si="7"/>
        <v>0</v>
      </c>
      <c r="K50" s="74">
        <f t="shared" si="7"/>
        <v>0</v>
      </c>
      <c r="L50" s="64" t="str">
        <f>IFERROR(F50/G50-1,"n/a")</f>
        <v>n/a</v>
      </c>
      <c r="M50" s="64" t="str">
        <f>IFERROR(F50/H50-1,"n/a")</f>
        <v>n/a</v>
      </c>
      <c r="N50" s="64" t="str">
        <f>IFERROR(F50/I50-1,"n/a")</f>
        <v>n/a</v>
      </c>
      <c r="O50" s="64" t="str">
        <f>IFERROR(F50/J50-1,"n/a")</f>
        <v>n/a</v>
      </c>
      <c r="P50" s="60" t="str">
        <f>IFERROR(F50/K50-1,"n/a")</f>
        <v>n/a</v>
      </c>
      <c r="Q50" s="64"/>
      <c r="R50" s="74">
        <f>'Feb-24'!R50+F50</f>
        <v>38626</v>
      </c>
      <c r="S50" s="74">
        <f>'Feb-24'!S50+'Mar-24'!G50</f>
        <v>15637</v>
      </c>
      <c r="T50" s="74">
        <v>0</v>
      </c>
      <c r="U50" s="74">
        <v>0</v>
      </c>
      <c r="V50" s="74">
        <v>20248</v>
      </c>
      <c r="W50" s="64"/>
      <c r="X50" s="119">
        <f>IFERROR(R50/S50-1,"n/a")</f>
        <v>1.4701669118117286</v>
      </c>
      <c r="Y50" s="119" t="str">
        <f>IFERROR(R50/T50-1,"n/a")</f>
        <v>n/a</v>
      </c>
      <c r="Z50" s="119" t="str">
        <f>IFERROR(R50/U50-1,"n/a")</f>
        <v>n/a</v>
      </c>
      <c r="AA50" s="120">
        <f>IFERROR(R50/V50-1,"n/a")</f>
        <v>0.90764519952587919</v>
      </c>
      <c r="AB50" s="147"/>
      <c r="AC50" s="82">
        <v>15637</v>
      </c>
      <c r="AD50" s="68">
        <v>0</v>
      </c>
      <c r="AE50" s="68">
        <v>0</v>
      </c>
      <c r="AF50" s="78">
        <v>20248</v>
      </c>
      <c r="AH50" s="122"/>
    </row>
    <row r="51" spans="3:34" s="123" customFormat="1" ht="12" thickBot="1">
      <c r="C51" s="35" t="s">
        <v>12</v>
      </c>
      <c r="D51" s="36"/>
      <c r="E51" s="37"/>
      <c r="F51" s="75">
        <f>F37+F40+F43+F46+F49</f>
        <v>406</v>
      </c>
      <c r="G51" s="75">
        <f>G37+G40+G43+G46+G49</f>
        <v>322</v>
      </c>
      <c r="H51" s="75">
        <f t="shared" ref="H51:K52" si="8">H37+H40+H43+H46+H49</f>
        <v>260</v>
      </c>
      <c r="I51" s="75">
        <f t="shared" si="8"/>
        <v>5</v>
      </c>
      <c r="J51" s="75">
        <f t="shared" si="8"/>
        <v>160</v>
      </c>
      <c r="K51" s="75">
        <f t="shared" si="8"/>
        <v>229</v>
      </c>
      <c r="L51" s="66">
        <f>IFERROR(F51/G51-1,"n/a")</f>
        <v>0.26086956521739135</v>
      </c>
      <c r="M51" s="66">
        <f>IFERROR(F51/H51-1,"n/a")</f>
        <v>0.56153846153846154</v>
      </c>
      <c r="N51" s="66">
        <f>IFERROR(F51/I51-1,"n/a")</f>
        <v>80.2</v>
      </c>
      <c r="O51" s="66">
        <f>IFERROR(F51/J51-1,"n/a")</f>
        <v>1.5375000000000001</v>
      </c>
      <c r="P51" s="62">
        <f>IFERROR(F51/K51-1,"n/a")</f>
        <v>0.77292576419213965</v>
      </c>
      <c r="Q51" s="66"/>
      <c r="R51" s="75">
        <f t="shared" ref="R51:V52" si="9">R37+R40+R43+R46+R49</f>
        <v>4589</v>
      </c>
      <c r="S51" s="75">
        <f>S37+S40+S43+S46+S49</f>
        <v>3852</v>
      </c>
      <c r="T51" s="75">
        <f t="shared" si="9"/>
        <v>1668</v>
      </c>
      <c r="U51" s="75">
        <f t="shared" si="9"/>
        <v>105</v>
      </c>
      <c r="V51" s="75">
        <f t="shared" si="9"/>
        <v>3241</v>
      </c>
      <c r="W51" s="66"/>
      <c r="X51" s="66">
        <f>IFERROR(R51/S51-1,"n/a")</f>
        <v>0.19132917964693674</v>
      </c>
      <c r="Y51" s="66">
        <f>IFERROR(R51/T51-1,"n/a")</f>
        <v>1.7511990407673861</v>
      </c>
      <c r="Z51" s="66">
        <f t="shared" ref="Z51:Z52" si="10">IFERROR(R51/U51-1,"n/a")</f>
        <v>42.704761904761902</v>
      </c>
      <c r="AA51" s="62">
        <f>IFERROR(R51/V51-1,"n/a")</f>
        <v>0.41592101203332299</v>
      </c>
      <c r="AB51" s="66"/>
      <c r="AC51" s="46">
        <f t="shared" ref="AC51:AE52" si="11">AC37+AC40+AC43+AC46+AC49</f>
        <v>3856</v>
      </c>
      <c r="AD51" s="46">
        <f t="shared" si="11"/>
        <v>1673</v>
      </c>
      <c r="AE51" s="46">
        <f t="shared" si="11"/>
        <v>669</v>
      </c>
      <c r="AF51" s="80">
        <f>AF37+AF40+AF43+AF46+AF49</f>
        <v>3241</v>
      </c>
      <c r="AH51" s="122"/>
    </row>
    <row r="52" spans="3:34" s="123" customFormat="1" ht="12.75" thickTop="1" thickBot="1">
      <c r="C52" s="38" t="s">
        <v>13</v>
      </c>
      <c r="D52" s="39"/>
      <c r="E52" s="40"/>
      <c r="F52" s="76">
        <f>F38+F41+F44+F47+F50</f>
        <v>1260097</v>
      </c>
      <c r="G52" s="76">
        <f>G38+G41+G44+G47+G50</f>
        <v>921313</v>
      </c>
      <c r="H52" s="76">
        <f t="shared" si="8"/>
        <v>406818</v>
      </c>
      <c r="I52" s="76">
        <f t="shared" si="8"/>
        <v>4146</v>
      </c>
      <c r="J52" s="76">
        <f t="shared" si="8"/>
        <v>226273</v>
      </c>
      <c r="K52" s="76">
        <f t="shared" si="8"/>
        <v>655947</v>
      </c>
      <c r="L52" s="67">
        <f>IFERROR(F52/G52-1,"n/a")</f>
        <v>0.36771867975378614</v>
      </c>
      <c r="M52" s="67">
        <f>IFERROR(F52/H52-1,"n/a")</f>
        <v>2.0974465239984466</v>
      </c>
      <c r="N52" s="67">
        <f>IFERROR(F52/I52-1,"n/a")</f>
        <v>302.93077665219488</v>
      </c>
      <c r="O52" s="67">
        <f>IFERROR(F52/J52-1,"n/a")</f>
        <v>4.5689233801646685</v>
      </c>
      <c r="P52" s="63">
        <f>IFERROR(F52/K52-1,"n/a")</f>
        <v>0.92103477872450057</v>
      </c>
      <c r="Q52" s="67"/>
      <c r="R52" s="76">
        <f t="shared" si="9"/>
        <v>13408675</v>
      </c>
      <c r="S52" s="76">
        <f t="shared" si="9"/>
        <v>9231412</v>
      </c>
      <c r="T52" s="76">
        <f t="shared" si="9"/>
        <v>2405988</v>
      </c>
      <c r="U52" s="76">
        <f t="shared" si="9"/>
        <v>47959</v>
      </c>
      <c r="V52" s="76">
        <f t="shared" si="9"/>
        <v>8615169</v>
      </c>
      <c r="W52" s="67"/>
      <c r="X52" s="67">
        <f>IFERROR(R52/S52-1,"n/a")</f>
        <v>0.45250531554652751</v>
      </c>
      <c r="Y52" s="117">
        <f>IFERROR(R52/T52-1,"n/a")</f>
        <v>4.5730431739476671</v>
      </c>
      <c r="Z52" s="117">
        <f t="shared" si="10"/>
        <v>278.58620905356656</v>
      </c>
      <c r="AA52" s="118">
        <f>IFERROR(R52/V52-1,"n/a")</f>
        <v>0.55640301426472316</v>
      </c>
      <c r="AB52" s="117"/>
      <c r="AC52" s="47">
        <f t="shared" si="11"/>
        <v>9237323</v>
      </c>
      <c r="AD52" s="47">
        <f t="shared" si="11"/>
        <v>2410085</v>
      </c>
      <c r="AE52" s="47">
        <f t="shared" si="11"/>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683F-62EE-4A11-B19E-107D7F4BB5D4}">
  <dimension ref="A1:AH66"/>
  <sheetViews>
    <sheetView showGridLines="0" topLeftCell="A8" zoomScaleNormal="100" workbookViewId="0">
      <selection activeCell="G27" sqref="G27:K28"/>
    </sheetView>
  </sheetViews>
  <sheetFormatPr defaultColWidth="0" defaultRowHeight="0" customHeight="1" zeroHeight="1"/>
  <cols>
    <col min="1" max="2" width="4.140625" customWidth="1"/>
    <col min="3" max="3" width="3.85546875" customWidth="1"/>
    <col min="4" max="4" width="8.85546875"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45337</v>
      </c>
      <c r="AG3" s="25"/>
      <c r="AH3" s="9"/>
    </row>
    <row r="4" spans="1:34" ht="15.75">
      <c r="A4" s="9"/>
      <c r="B4" s="11" t="s">
        <v>7</v>
      </c>
      <c r="C4" s="26"/>
      <c r="D4" s="93" t="s">
        <v>39</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7" t="str">
        <f>D4</f>
        <v>February</v>
      </c>
      <c r="G9" s="167"/>
      <c r="H9" s="167"/>
      <c r="I9" s="167"/>
      <c r="J9" s="167"/>
      <c r="K9" s="167"/>
      <c r="L9" s="167"/>
      <c r="M9" s="167"/>
      <c r="N9" s="167"/>
      <c r="O9" s="167"/>
      <c r="P9" s="168"/>
      <c r="Q9" s="169" t="str">
        <f>"January to "&amp; D4</f>
        <v>January to February</v>
      </c>
      <c r="R9" s="170"/>
      <c r="S9" s="170"/>
      <c r="T9" s="170"/>
      <c r="U9" s="170"/>
      <c r="V9" s="170"/>
      <c r="W9" s="170"/>
      <c r="X9" s="170"/>
      <c r="Y9" s="170"/>
      <c r="Z9" s="170"/>
      <c r="AA9" s="171"/>
      <c r="AB9" s="169" t="s">
        <v>57</v>
      </c>
      <c r="AC9" s="170"/>
      <c r="AD9" s="170"/>
      <c r="AE9" s="170"/>
      <c r="AF9" s="172"/>
      <c r="AG9" s="122"/>
      <c r="AH9" s="122"/>
    </row>
    <row r="10" spans="1:34"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224</v>
      </c>
      <c r="G13" s="71">
        <v>161</v>
      </c>
      <c r="H13" s="71">
        <v>162</v>
      </c>
      <c r="I13" s="71">
        <v>0</v>
      </c>
      <c r="J13" s="71">
        <v>175</v>
      </c>
      <c r="K13" s="71">
        <v>157</v>
      </c>
      <c r="L13" s="64">
        <f>IFERROR(F13/G13-1,"n/a")</f>
        <v>0.39130434782608692</v>
      </c>
      <c r="M13" s="64">
        <f>IFERROR(F13/H13-1,"n/a")</f>
        <v>0.38271604938271597</v>
      </c>
      <c r="N13" s="64" t="str">
        <f>IFERROR(F13/I13-1,"n/a")</f>
        <v>n/a</v>
      </c>
      <c r="O13" s="64">
        <f>IFERROR(F13/J13-1,"n/a")</f>
        <v>0.28000000000000003</v>
      </c>
      <c r="P13" s="60">
        <f>IFERROR(F13/K13-1,"n/a")</f>
        <v>0.4267515923566878</v>
      </c>
      <c r="Q13" s="68">
        <f>'Jan-24'!Q13+F13</f>
        <v>421</v>
      </c>
      <c r="R13" s="68">
        <f>'Jan-24'!R13+G13</f>
        <v>349</v>
      </c>
      <c r="S13" s="68">
        <f>'Jan-24'!S13+H13</f>
        <v>326</v>
      </c>
      <c r="T13" s="68">
        <f>'Jan-24'!T13+I13</f>
        <v>0</v>
      </c>
      <c r="U13" s="68">
        <f>'Jan-24'!U13+J13</f>
        <v>362</v>
      </c>
      <c r="V13" s="68">
        <f>'Jan-24'!V13+K13</f>
        <v>346</v>
      </c>
      <c r="W13" s="64">
        <f>IFERROR(Q13/R13-1,"n/a")</f>
        <v>0.20630372492836679</v>
      </c>
      <c r="X13" s="64">
        <f>IFERROR(Q13/S13-1,"n/a")</f>
        <v>0.29141104294478537</v>
      </c>
      <c r="Y13" s="64" t="str">
        <f>IFERROR(Q13/T13-1,"n/a")</f>
        <v>n/a</v>
      </c>
      <c r="Z13" s="64">
        <f>IFERROR(Q13/U13-1,"n/a")</f>
        <v>0.16298342541436472</v>
      </c>
      <c r="AA13" s="60">
        <f>IFERROR(Q13/V13-1,"n/a")</f>
        <v>0.21676300578034691</v>
      </c>
      <c r="AB13" s="68">
        <v>1630</v>
      </c>
      <c r="AC13" s="68">
        <v>1486</v>
      </c>
      <c r="AD13" s="68">
        <v>522</v>
      </c>
      <c r="AE13" s="68">
        <v>551</v>
      </c>
      <c r="AF13" s="134">
        <v>1591</v>
      </c>
      <c r="AG13" s="122"/>
      <c r="AH13" s="122"/>
    </row>
    <row r="14" spans="1:34" s="123" customFormat="1" ht="12.75">
      <c r="A14" s="122"/>
      <c r="B14" s="127"/>
      <c r="C14" s="33"/>
      <c r="D14" s="26" t="s">
        <v>11</v>
      </c>
      <c r="E14" s="32"/>
      <c r="F14" s="71">
        <v>674695</v>
      </c>
      <c r="G14" s="71">
        <v>449661</v>
      </c>
      <c r="H14" s="71">
        <v>219545</v>
      </c>
      <c r="I14" s="71">
        <v>0</v>
      </c>
      <c r="J14" s="71">
        <v>430518</v>
      </c>
      <c r="K14" s="71">
        <v>425246</v>
      </c>
      <c r="L14" s="64">
        <f>IFERROR(F14/G14-1,"n/a")</f>
        <v>0.50045256315313091</v>
      </c>
      <c r="M14" s="64">
        <f>IFERROR(F14/H14-1,"n/a")</f>
        <v>2.0731512901683025</v>
      </c>
      <c r="N14" s="64" t="str">
        <f>IFERROR(F14/I14-1,"n/a")</f>
        <v>n/a</v>
      </c>
      <c r="O14" s="64">
        <f>IFERROR(F14/J14-1,"n/a")</f>
        <v>0.5671702460756578</v>
      </c>
      <c r="P14" s="60">
        <f>IFERROR(F14/K14-1,"n/a")</f>
        <v>0.58659928606030398</v>
      </c>
      <c r="Q14" s="68">
        <f>'Jan-24'!Q14+F14</f>
        <v>1296003</v>
      </c>
      <c r="R14" s="68">
        <f>'Jan-24'!R14+G14</f>
        <v>972610</v>
      </c>
      <c r="S14" s="68">
        <f>'Jan-24'!S14+H14</f>
        <v>415157</v>
      </c>
      <c r="T14" s="68">
        <f>'Jan-24'!T14+I14</f>
        <v>0</v>
      </c>
      <c r="U14" s="68">
        <f>'Jan-24'!U14+J14</f>
        <v>896598</v>
      </c>
      <c r="V14" s="68">
        <f>'Jan-24'!V14+K14</f>
        <v>950508</v>
      </c>
      <c r="W14" s="64">
        <f>IFERROR(Q14/R14-1,"n/a")</f>
        <v>0.33250017992823433</v>
      </c>
      <c r="X14" s="64">
        <f>IFERROR(Q14/S14-1,"n/a")</f>
        <v>2.1217178079618071</v>
      </c>
      <c r="Y14" s="64" t="str">
        <f>IFERROR(Q14/T14-1,"n/a")</f>
        <v>n/a</v>
      </c>
      <c r="Z14" s="64">
        <f>IFERROR(Q14/U14-1,"n/a")</f>
        <v>0.44546719934686441</v>
      </c>
      <c r="AA14" s="60">
        <f>IFERROR(Q14/V14-1,"n/a")</f>
        <v>0.3634845787726142</v>
      </c>
      <c r="AB14" s="68">
        <v>5232537</v>
      </c>
      <c r="AC14" s="68">
        <v>3592413</v>
      </c>
      <c r="AD14" s="68">
        <v>768312</v>
      </c>
      <c r="AE14" s="68">
        <v>1092884</v>
      </c>
      <c r="AF14" s="134">
        <v>4592479</v>
      </c>
      <c r="AG14" s="122"/>
      <c r="AH14" s="122"/>
    </row>
    <row r="15" spans="1:34" s="123" customFormat="1" ht="12.75">
      <c r="A15" s="122"/>
      <c r="B15" s="127"/>
      <c r="C15" s="31" t="s">
        <v>108</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8</v>
      </c>
      <c r="G16" s="71">
        <v>6</v>
      </c>
      <c r="H16" s="71">
        <v>7</v>
      </c>
      <c r="I16" s="71">
        <v>5</v>
      </c>
      <c r="J16" s="71">
        <v>4</v>
      </c>
      <c r="K16" s="71">
        <v>8</v>
      </c>
      <c r="L16" s="64">
        <f>IFERROR(F16/G16-1,"n/a")</f>
        <v>0.33333333333333326</v>
      </c>
      <c r="M16" s="64">
        <f>IFERROR(F16/H16-1,"n/a")</f>
        <v>0.14285714285714279</v>
      </c>
      <c r="N16" s="64">
        <f>IFERROR(F16/I16-1,"n/a")</f>
        <v>0.60000000000000009</v>
      </c>
      <c r="O16" s="64">
        <f>IFERROR(F16/J16-1,"n/a")</f>
        <v>1</v>
      </c>
      <c r="P16" s="60">
        <f>IFERROR(F16/K16-1,"n/a")</f>
        <v>0</v>
      </c>
      <c r="Q16" s="68">
        <f>'Jan-24'!Q16+F16</f>
        <v>20</v>
      </c>
      <c r="R16" s="68">
        <f>'Jan-24'!R16+G16</f>
        <v>11</v>
      </c>
      <c r="S16" s="68">
        <f>'Jan-24'!S16+H16</f>
        <v>10</v>
      </c>
      <c r="T16" s="68">
        <f>'Jan-24'!T16+I16</f>
        <v>7</v>
      </c>
      <c r="U16" s="68">
        <f>'Jan-24'!U16+J16</f>
        <v>9</v>
      </c>
      <c r="V16" s="68">
        <f>'Jan-24'!V16+K16</f>
        <v>13</v>
      </c>
      <c r="W16" s="64">
        <f>IFERROR(Q16/R16-1,"n/a")</f>
        <v>0.81818181818181812</v>
      </c>
      <c r="X16" s="64">
        <f>IFERROR(Q16/S16-1,"n/a")</f>
        <v>1</v>
      </c>
      <c r="Y16" s="64">
        <f>IFERROR(Q16/T16-1,"n/a")</f>
        <v>1.8571428571428572</v>
      </c>
      <c r="Z16" s="64">
        <f>IFERROR(Q16/U16-1,"n/a")</f>
        <v>1.2222222222222223</v>
      </c>
      <c r="AA16" s="60">
        <f>IFERROR(Q16/V16-1,"n/a")</f>
        <v>0.53846153846153855</v>
      </c>
      <c r="AB16" s="68">
        <v>575</v>
      </c>
      <c r="AC16" s="68">
        <v>572</v>
      </c>
      <c r="AD16" s="68">
        <v>202</v>
      </c>
      <c r="AE16" s="68">
        <v>54</v>
      </c>
      <c r="AF16" s="134">
        <v>586</v>
      </c>
      <c r="AG16" s="122"/>
      <c r="AH16" s="122"/>
    </row>
    <row r="17" spans="1:34" s="123" customFormat="1" ht="12.75">
      <c r="A17" s="122"/>
      <c r="B17" s="127"/>
      <c r="C17" s="33"/>
      <c r="D17" s="26" t="s">
        <v>11</v>
      </c>
      <c r="E17" s="32"/>
      <c r="F17" s="71">
        <v>31100</v>
      </c>
      <c r="G17" s="71">
        <v>24121</v>
      </c>
      <c r="H17" s="71">
        <v>6429</v>
      </c>
      <c r="I17" s="71">
        <v>4669</v>
      </c>
      <c r="J17" s="71">
        <v>17407</v>
      </c>
      <c r="K17" s="71">
        <v>26946</v>
      </c>
      <c r="L17" s="64">
        <f>IFERROR(F17/G17-1,"n/a")</f>
        <v>0.2893329463952572</v>
      </c>
      <c r="M17" s="64">
        <f>IFERROR(F17/H17-1,"n/a")</f>
        <v>3.8374552807590607</v>
      </c>
      <c r="N17" s="64">
        <f>IFERROR(F17/I17-1,"n/a")</f>
        <v>5.6609552366673803</v>
      </c>
      <c r="O17" s="64">
        <f>IFERROR(F17/J17-1,"n/a")</f>
        <v>0.78663755960245885</v>
      </c>
      <c r="P17" s="60">
        <f>IFERROR(F17/K17-1,"n/a")</f>
        <v>0.15416017219624445</v>
      </c>
      <c r="Q17" s="68">
        <f>'Jan-24'!Q17+F17</f>
        <v>76236</v>
      </c>
      <c r="R17" s="68">
        <f>'Jan-24'!R17+G17</f>
        <v>39920</v>
      </c>
      <c r="S17" s="68">
        <f>'Jan-24'!S17+H17</f>
        <v>8131</v>
      </c>
      <c r="T17" s="68">
        <f>'Jan-24'!T17+I17</f>
        <v>5957</v>
      </c>
      <c r="U17" s="68">
        <f>'Jan-24'!U17+J17</f>
        <v>40548</v>
      </c>
      <c r="V17" s="68">
        <f>'Jan-24'!V17+K17</f>
        <v>47573</v>
      </c>
      <c r="W17" s="64">
        <f>IFERROR(Q17/R17-1,"n/a")</f>
        <v>0.90971943887775542</v>
      </c>
      <c r="X17" s="64">
        <f>IFERROR(Q17/S17-1,"n/a")</f>
        <v>8.3759685155577426</v>
      </c>
      <c r="Y17" s="64">
        <f>IFERROR(Q17/T17-1,"n/a")</f>
        <v>11.797716971630015</v>
      </c>
      <c r="Z17" s="64">
        <f>IFERROR(Q17/U17-1,"n/a")</f>
        <v>0.88014205386208944</v>
      </c>
      <c r="AA17" s="60">
        <f>IFERROR(Q17/V17-1,"n/a")</f>
        <v>0.60250562293738041</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4</v>
      </c>
      <c r="G19" s="71">
        <v>2</v>
      </c>
      <c r="H19" s="71">
        <v>3</v>
      </c>
      <c r="I19" s="71">
        <v>0</v>
      </c>
      <c r="J19" s="71">
        <v>0</v>
      </c>
      <c r="K19" s="71">
        <v>1</v>
      </c>
      <c r="L19" s="64">
        <f>IFERROR(F19/G19-1,"n/a")</f>
        <v>1</v>
      </c>
      <c r="M19" s="64">
        <f>IFERROR(F19/H19-1,"n/a")</f>
        <v>0.33333333333333326</v>
      </c>
      <c r="N19" s="64" t="str">
        <f>IFERROR(F19/I19-1,"n/a")</f>
        <v>n/a</v>
      </c>
      <c r="O19" s="64" t="str">
        <f>IFERROR(F19/J19-1,"n/a")</f>
        <v>n/a</v>
      </c>
      <c r="P19" s="60">
        <f>IFERROR(F19/K19-1,"n/a")</f>
        <v>3</v>
      </c>
      <c r="Q19" s="68">
        <f>'Jan-24'!Q19+F19</f>
        <v>6</v>
      </c>
      <c r="R19" s="68">
        <f>'Jan-24'!R19+G19</f>
        <v>6</v>
      </c>
      <c r="S19" s="68">
        <f>'Jan-24'!S19+H19</f>
        <v>6</v>
      </c>
      <c r="T19" s="68">
        <f>'Jan-24'!T19+I19</f>
        <v>0</v>
      </c>
      <c r="U19" s="68">
        <f>'Jan-24'!U19+J19</f>
        <v>1</v>
      </c>
      <c r="V19" s="68">
        <f>'Jan-24'!V19+K19</f>
        <v>1</v>
      </c>
      <c r="W19" s="64">
        <f>IFERROR(Q19/R19-1,"n/a")</f>
        <v>0</v>
      </c>
      <c r="X19" s="64">
        <f>IFERROR(Q19/S19-1,"n/a")</f>
        <v>0</v>
      </c>
      <c r="Y19" s="64" t="str">
        <f>IFERROR(Q19/T19-1,"n/a")</f>
        <v>n/a</v>
      </c>
      <c r="Z19" s="64">
        <f>IFERROR(Q19/U19-1,"n/a")</f>
        <v>5</v>
      </c>
      <c r="AA19" s="60">
        <f>IFERROR(Q19/V19-1,"n/a")</f>
        <v>5</v>
      </c>
      <c r="AB19" s="68">
        <v>708</v>
      </c>
      <c r="AC19" s="68">
        <v>658</v>
      </c>
      <c r="AD19" s="68">
        <v>47</v>
      </c>
      <c r="AE19" s="68">
        <v>9</v>
      </c>
      <c r="AF19" s="134">
        <v>290</v>
      </c>
      <c r="AG19" s="122"/>
      <c r="AH19" s="122"/>
    </row>
    <row r="20" spans="1:34" s="123" customFormat="1" ht="12.75">
      <c r="A20" s="122"/>
      <c r="B20" s="127"/>
      <c r="C20" s="33"/>
      <c r="D20" s="26" t="s">
        <v>11</v>
      </c>
      <c r="E20" s="32"/>
      <c r="F20" s="71">
        <v>5580</v>
      </c>
      <c r="G20" s="71">
        <v>2252</v>
      </c>
      <c r="H20" s="71">
        <v>925</v>
      </c>
      <c r="I20" s="71">
        <v>0</v>
      </c>
      <c r="J20" s="71">
        <v>43</v>
      </c>
      <c r="K20" s="71">
        <v>1168</v>
      </c>
      <c r="L20" s="64">
        <f>IFERROR(F20/G20-1,"n/a")</f>
        <v>1.4777975133214922</v>
      </c>
      <c r="M20" s="64">
        <f>IFERROR(F20/H20-1,"n/a")</f>
        <v>5.0324324324324321</v>
      </c>
      <c r="N20" s="64" t="str">
        <f>IFERROR(F20/I20-1,"n/a")</f>
        <v>n/a</v>
      </c>
      <c r="O20" s="64">
        <f>IFERROR(F20/J20-1,"n/a")</f>
        <v>128.76744186046511</v>
      </c>
      <c r="P20" s="60">
        <f>IFERROR(F20/K20-1,"n/a")</f>
        <v>3.7773972602739727</v>
      </c>
      <c r="Q20" s="68">
        <f>'Jan-24'!Q20+F20</f>
        <v>8420</v>
      </c>
      <c r="R20" s="68">
        <f>'Jan-24'!R20+G20</f>
        <v>6112</v>
      </c>
      <c r="S20" s="68">
        <f>'Jan-24'!S20+H20</f>
        <v>1739</v>
      </c>
      <c r="T20" s="68">
        <f>'Jan-24'!T20+I20</f>
        <v>0</v>
      </c>
      <c r="U20" s="68">
        <f>'Jan-24'!U20+J20</f>
        <v>866</v>
      </c>
      <c r="V20" s="68">
        <f>'Jan-24'!V20+K20</f>
        <v>1608</v>
      </c>
      <c r="W20" s="64">
        <f>IFERROR(Q20/R20-1,"n/a")</f>
        <v>0.3776178010471205</v>
      </c>
      <c r="X20" s="64">
        <f>IFERROR(Q20/S20-1,"n/a")</f>
        <v>3.8418631397354801</v>
      </c>
      <c r="Y20" s="64" t="str">
        <f>IFERROR(Q20/T20-1,"n/a")</f>
        <v>n/a</v>
      </c>
      <c r="Z20" s="64">
        <f>IFERROR(Q20/U20-1,"n/a")</f>
        <v>8.7228637413394914</v>
      </c>
      <c r="AA20" s="60">
        <f>IFERROR(Q20/V20-1,"n/a")</f>
        <v>4.2363184079601988</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77</v>
      </c>
      <c r="G22" s="71">
        <v>73</v>
      </c>
      <c r="H22" s="71">
        <v>13</v>
      </c>
      <c r="I22" s="71">
        <v>0</v>
      </c>
      <c r="J22" s="71">
        <v>14</v>
      </c>
      <c r="K22" s="71">
        <v>21</v>
      </c>
      <c r="L22" s="64">
        <f>IFERROR(F22/G22-1,"n/a")</f>
        <v>5.4794520547945202E-2</v>
      </c>
      <c r="M22" s="64">
        <f>IFERROR(F22/H22-1,"n/a")</f>
        <v>4.9230769230769234</v>
      </c>
      <c r="N22" s="64" t="str">
        <f>IFERROR(F22/I22-1,"n/a")</f>
        <v>n/a</v>
      </c>
      <c r="O22" s="64">
        <f>IFERROR(F22/J22-1,"n/a")</f>
        <v>4.5</v>
      </c>
      <c r="P22" s="60">
        <f>IFERROR(F22/K22-1,"n/a")</f>
        <v>2.6666666666666665</v>
      </c>
      <c r="Q22" s="68">
        <f>'Jan-24'!Q22+F22</f>
        <v>172</v>
      </c>
      <c r="R22" s="68">
        <f>'Jan-24'!R22+G22</f>
        <v>179</v>
      </c>
      <c r="S22" s="68">
        <f>'Jan-24'!S22+H22</f>
        <v>29</v>
      </c>
      <c r="T22" s="68">
        <f>'Jan-24'!T22+I22</f>
        <v>0</v>
      </c>
      <c r="U22" s="68">
        <f>'Jan-24'!U22+J22</f>
        <v>33</v>
      </c>
      <c r="V22" s="68">
        <f>'Jan-24'!V22+K22</f>
        <v>45</v>
      </c>
      <c r="W22" s="64">
        <f>IFERROR(Q22/R22-1,"n/a")</f>
        <v>-3.9106145251396662E-2</v>
      </c>
      <c r="X22" s="64">
        <f>IFERROR(Q22/S22-1,"n/a")</f>
        <v>4.931034482758621</v>
      </c>
      <c r="Y22" s="64" t="str">
        <f>IFERROR(Q22/T22-1,"n/a")</f>
        <v>n/a</v>
      </c>
      <c r="Z22" s="64">
        <f>IFERROR(Q22/U22-1,"n/a")</f>
        <v>4.2121212121212119</v>
      </c>
      <c r="AA22" s="60">
        <f>IFERROR(Q22/V22-1,"n/a")</f>
        <v>2.8222222222222224</v>
      </c>
      <c r="AB22" s="68">
        <v>1500</v>
      </c>
      <c r="AC22" s="68">
        <v>895</v>
      </c>
      <c r="AD22" s="68">
        <v>283</v>
      </c>
      <c r="AE22" s="68">
        <v>43</v>
      </c>
      <c r="AF22" s="134">
        <v>827</v>
      </c>
      <c r="AG22" s="122"/>
      <c r="AH22" s="122"/>
    </row>
    <row r="23" spans="1:34" s="123" customFormat="1" ht="12.75">
      <c r="A23" s="122"/>
      <c r="B23" s="127"/>
      <c r="C23" s="33"/>
      <c r="D23" s="26" t="s">
        <v>11</v>
      </c>
      <c r="E23" s="32"/>
      <c r="F23" s="71">
        <v>282857</v>
      </c>
      <c r="G23" s="71">
        <v>247607</v>
      </c>
      <c r="H23" s="71">
        <v>14032</v>
      </c>
      <c r="I23" s="71">
        <v>0</v>
      </c>
      <c r="J23" s="71">
        <v>47023</v>
      </c>
      <c r="K23" s="71">
        <v>59703</v>
      </c>
      <c r="L23" s="64">
        <f>IFERROR(F23/G23-1,"n/a")</f>
        <v>0.14236269572346494</v>
      </c>
      <c r="M23" s="64">
        <f>IFERROR(F23/H23-1,"n/a")</f>
        <v>19.157996009122005</v>
      </c>
      <c r="N23" s="64" t="str">
        <f>IFERROR(F23/I23-1,"n/a")</f>
        <v>n/a</v>
      </c>
      <c r="O23" s="64">
        <f>IFERROR(F23/J23-1,"n/a")</f>
        <v>5.015290389809242</v>
      </c>
      <c r="P23" s="60">
        <f>IFERROR(F23/K23-1,"n/a")</f>
        <v>3.7377351221881652</v>
      </c>
      <c r="Q23" s="68">
        <f>'Jan-24'!Q23+F23</f>
        <v>596438</v>
      </c>
      <c r="R23" s="68">
        <f>'Jan-24'!R23+G23</f>
        <v>538404</v>
      </c>
      <c r="S23" s="68">
        <f>'Jan-24'!S23+H23</f>
        <v>35860</v>
      </c>
      <c r="T23" s="68">
        <f>'Jan-24'!T23+I23</f>
        <v>0</v>
      </c>
      <c r="U23" s="68">
        <f>'Jan-24'!U23+J23</f>
        <v>112017</v>
      </c>
      <c r="V23" s="68">
        <f>'Jan-24'!V23+K23</f>
        <v>134226</v>
      </c>
      <c r="W23" s="64">
        <f>IFERROR(Q23/R23-1,"n/a")</f>
        <v>0.10778894659029281</v>
      </c>
      <c r="X23" s="64">
        <f>IFERROR(Q23/S23-1,"n/a")</f>
        <v>15.632403792526492</v>
      </c>
      <c r="Y23" s="64" t="str">
        <f>IFERROR(Q23/T23-1,"n/a")</f>
        <v>n/a</v>
      </c>
      <c r="Z23" s="64">
        <f>IFERROR(Q23/U23-1,"n/a")</f>
        <v>4.3245310979583458</v>
      </c>
      <c r="AA23" s="60">
        <f>IFERROR(Q23/V23-1,"n/a")</f>
        <v>3.4435355296291332</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0</v>
      </c>
      <c r="G25" s="71">
        <v>0</v>
      </c>
      <c r="H25" s="71">
        <v>0</v>
      </c>
      <c r="I25" s="71">
        <v>0</v>
      </c>
      <c r="J25" s="71">
        <v>0</v>
      </c>
      <c r="K25" s="71">
        <v>0</v>
      </c>
      <c r="L25" s="64" t="str">
        <f>IFERROR(F25/G25-1,"n/a")</f>
        <v>n/a</v>
      </c>
      <c r="M25" s="64" t="str">
        <f>IFERROR(F25/H25-1,"n/a")</f>
        <v>n/a</v>
      </c>
      <c r="N25" s="64" t="str">
        <f>IFERROR(F25/I25-1,"n/a")</f>
        <v>n/a</v>
      </c>
      <c r="O25" s="64" t="str">
        <f>IFERROR(F25/J25-1,"n/a")</f>
        <v>n/a</v>
      </c>
      <c r="P25" s="60" t="str">
        <f>IFERROR(F25/K25-1,"n/a")</f>
        <v>n/a</v>
      </c>
      <c r="Q25" s="68">
        <f>'Jan-24'!Q25+F25</f>
        <v>0</v>
      </c>
      <c r="R25" s="68">
        <f>'Jan-24'!R25+G25</f>
        <v>0</v>
      </c>
      <c r="S25" s="68">
        <f>'Jan-24'!S25+H25</f>
        <v>0</v>
      </c>
      <c r="T25" s="68">
        <f>'Jan-24'!T25+I25</f>
        <v>0</v>
      </c>
      <c r="U25" s="68">
        <f>'Jan-24'!U25+J25</f>
        <v>0</v>
      </c>
      <c r="V25" s="68">
        <f>'Jan-24'!V25+K25</f>
        <v>0</v>
      </c>
      <c r="W25" s="64" t="str">
        <f>IFERROR(Q25/R25-1,"n/a")</f>
        <v>n/a</v>
      </c>
      <c r="X25" s="64" t="str">
        <f>IFERROR(Q25/S25-1,"n/a")</f>
        <v>n/a</v>
      </c>
      <c r="Y25" s="64" t="str">
        <f>IFERROR(Q25/T25-1,"n/a")</f>
        <v>n/a</v>
      </c>
      <c r="Z25" s="64" t="str">
        <f>IFERROR(Q25/U25-1,"n/a")</f>
        <v>n/a</v>
      </c>
      <c r="AA25" s="60" t="str">
        <f>IFERROR(Q25/V25-1,"n/a")</f>
        <v>n/a</v>
      </c>
      <c r="AB25" s="68">
        <v>21</v>
      </c>
      <c r="AC25" s="68">
        <v>9</v>
      </c>
      <c r="AD25" s="68">
        <v>0</v>
      </c>
      <c r="AE25" s="68">
        <v>0</v>
      </c>
      <c r="AF25" s="134">
        <v>16</v>
      </c>
      <c r="AG25" s="122"/>
      <c r="AH25" s="122"/>
    </row>
    <row r="26" spans="1:34" s="123" customFormat="1" ht="12.75">
      <c r="A26" s="122"/>
      <c r="B26" s="127"/>
      <c r="C26" s="33"/>
      <c r="D26" s="26" t="s">
        <v>11</v>
      </c>
      <c r="E26" s="32"/>
      <c r="F26" s="71">
        <v>0</v>
      </c>
      <c r="G26" s="71">
        <v>0</v>
      </c>
      <c r="H26" s="71">
        <v>0</v>
      </c>
      <c r="I26" s="71">
        <v>0</v>
      </c>
      <c r="J26" s="71">
        <v>0</v>
      </c>
      <c r="K26" s="71">
        <v>0</v>
      </c>
      <c r="L26" s="64" t="str">
        <f>IFERROR(F26/G26-1,"n/a")</f>
        <v>n/a</v>
      </c>
      <c r="M26" s="64" t="str">
        <f>IFERROR(F26/H26-1,"n/a")</f>
        <v>n/a</v>
      </c>
      <c r="N26" s="64" t="str">
        <f>IFERROR(F26/I26-1,"n/a")</f>
        <v>n/a</v>
      </c>
      <c r="O26" s="64" t="str">
        <f>IFERROR(F26/J26-1,"n/a")</f>
        <v>n/a</v>
      </c>
      <c r="P26" s="60" t="str">
        <f>IFERROR(F26/K26-1,"n/a")</f>
        <v>n/a</v>
      </c>
      <c r="Q26" s="68">
        <f>'Jan-24'!Q26+F26</f>
        <v>0</v>
      </c>
      <c r="R26" s="68">
        <f>'Jan-24'!R26+G26</f>
        <v>0</v>
      </c>
      <c r="S26" s="68">
        <f>'Jan-24'!S26+H26</f>
        <v>0</v>
      </c>
      <c r="T26" s="68">
        <f>'Jan-24'!T26+I26</f>
        <v>0</v>
      </c>
      <c r="U26" s="68">
        <f>'Jan-24'!U26+J26</f>
        <v>0</v>
      </c>
      <c r="V26" s="68">
        <f>'Jan-24'!V26+K26</f>
        <v>0</v>
      </c>
      <c r="W26" s="64" t="str">
        <f>IFERROR(Q26/R26-1,"n/a")</f>
        <v>n/a</v>
      </c>
      <c r="X26" s="64" t="str">
        <f>IFERROR(Q26/S26-1,"n/a")</f>
        <v>n/a</v>
      </c>
      <c r="Y26" s="64" t="str">
        <f>IFERROR(Q26/T26-1,"n/a")</f>
        <v>n/a</v>
      </c>
      <c r="Z26" s="64" t="str">
        <f>IFERROR(Q26/U26-1,"n/a")</f>
        <v>n/a</v>
      </c>
      <c r="AA26" s="60" t="str">
        <f>IFERROR(Q26/V26-1,"n/a")</f>
        <v>n/a</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313</v>
      </c>
      <c r="G27" s="75">
        <f t="shared" si="0"/>
        <v>242</v>
      </c>
      <c r="H27" s="75">
        <f t="shared" si="0"/>
        <v>185</v>
      </c>
      <c r="I27" s="75">
        <f t="shared" si="0"/>
        <v>5</v>
      </c>
      <c r="J27" s="75">
        <f t="shared" si="0"/>
        <v>193</v>
      </c>
      <c r="K27" s="75">
        <f t="shared" si="0"/>
        <v>187</v>
      </c>
      <c r="L27" s="66">
        <f>IFERROR(F27/G27-1,"n/a")</f>
        <v>0.29338842975206614</v>
      </c>
      <c r="M27" s="66">
        <f>IFERROR(F27/H27-1,"n/a")</f>
        <v>0.69189189189189193</v>
      </c>
      <c r="N27" s="66">
        <f>IFERROR(F27/I27-1,"n/a")</f>
        <v>61.6</v>
      </c>
      <c r="O27" s="66">
        <f>IFERROR(F27/J27-1,"n/a")</f>
        <v>0.62176165803108807</v>
      </c>
      <c r="P27" s="62">
        <f>IFERROR(F27/K27-1,"n/a")</f>
        <v>0.6737967914438503</v>
      </c>
      <c r="Q27" s="75">
        <f t="shared" ref="Q27:V28" si="1">Q13+Q16+Q19+Q22+Q25</f>
        <v>619</v>
      </c>
      <c r="R27" s="75">
        <f t="shared" si="1"/>
        <v>545</v>
      </c>
      <c r="S27" s="75">
        <f t="shared" si="1"/>
        <v>371</v>
      </c>
      <c r="T27" s="75">
        <f t="shared" si="1"/>
        <v>7</v>
      </c>
      <c r="U27" s="75">
        <f t="shared" si="1"/>
        <v>405</v>
      </c>
      <c r="V27" s="75">
        <f t="shared" si="1"/>
        <v>405</v>
      </c>
      <c r="W27" s="66">
        <f>IFERROR(Q27/R27-1,"n/a")</f>
        <v>0.13577981651376136</v>
      </c>
      <c r="X27" s="66">
        <f>IFERROR(Q27/S27-1,"n/a")</f>
        <v>0.66846361185983838</v>
      </c>
      <c r="Y27" s="66">
        <f>IFERROR(Q27/T27-1,"n/a")</f>
        <v>87.428571428571431</v>
      </c>
      <c r="Z27" s="66">
        <f>IFERROR(Q27/U27-1,"n/a")</f>
        <v>0.52839506172839501</v>
      </c>
      <c r="AA27" s="62">
        <f>IFERROR(Q27/V27-1,"n/a")</f>
        <v>0.52839506172839501</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994232</v>
      </c>
      <c r="G28" s="76">
        <f t="shared" si="0"/>
        <v>723641</v>
      </c>
      <c r="H28" s="76">
        <f t="shared" si="0"/>
        <v>240931</v>
      </c>
      <c r="I28" s="76">
        <f t="shared" si="0"/>
        <v>4669</v>
      </c>
      <c r="J28" s="76">
        <f t="shared" si="0"/>
        <v>494991</v>
      </c>
      <c r="K28" s="76">
        <f t="shared" si="0"/>
        <v>513063</v>
      </c>
      <c r="L28" s="67">
        <f>IFERROR(F28/G28-1,"n/a")</f>
        <v>0.37392989065019799</v>
      </c>
      <c r="M28" s="67">
        <f>IFERROR(F28/H28-1,"n/a")</f>
        <v>3.1266254653822045</v>
      </c>
      <c r="N28" s="67">
        <f>IFERROR(F28/I28-1,"n/a")</f>
        <v>211.9432426643821</v>
      </c>
      <c r="O28" s="67">
        <f>IFERROR(F28/J28-1,"n/a")</f>
        <v>1.0085860146952168</v>
      </c>
      <c r="P28" s="63">
        <f>IFERROR(F28/K28-1,"n/a")</f>
        <v>0.93783609420285607</v>
      </c>
      <c r="Q28" s="76">
        <f t="shared" si="1"/>
        <v>1977097</v>
      </c>
      <c r="R28" s="76">
        <f t="shared" si="1"/>
        <v>1557046</v>
      </c>
      <c r="S28" s="76">
        <f t="shared" si="1"/>
        <v>460887</v>
      </c>
      <c r="T28" s="76">
        <f t="shared" si="1"/>
        <v>5957</v>
      </c>
      <c r="U28" s="76">
        <f t="shared" si="1"/>
        <v>1050029</v>
      </c>
      <c r="V28" s="76">
        <f t="shared" si="1"/>
        <v>1133915</v>
      </c>
      <c r="W28" s="67">
        <f>IFERROR(Q28/R28-1,"n/a")</f>
        <v>0.26977430339244957</v>
      </c>
      <c r="X28" s="67">
        <f>IFERROR(Q28/S28-1,"n/a")</f>
        <v>3.2897651702044106</v>
      </c>
      <c r="Y28" s="67">
        <f>IFERROR(Q28/T28-1,"n/a")</f>
        <v>330.89474567735436</v>
      </c>
      <c r="Z28" s="67">
        <f>IFERROR(Q28/U28-1,"n/a")</f>
        <v>0.88289751997325783</v>
      </c>
      <c r="AA28" s="63">
        <f>IFERROR(Q28/V28-1,"n/a")</f>
        <v>0.74360247461229467</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February</v>
      </c>
      <c r="G33" s="170"/>
      <c r="H33" s="170"/>
      <c r="I33" s="170"/>
      <c r="J33" s="170"/>
      <c r="K33" s="170"/>
      <c r="L33" s="170"/>
      <c r="M33" s="170"/>
      <c r="N33" s="170"/>
      <c r="O33" s="170"/>
      <c r="P33" s="171"/>
      <c r="Q33" s="176" t="str">
        <f>"April to "&amp;D4&amp;" (YTD)"</f>
        <v>April to February (YTD)</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c r="R35" s="53" t="s">
        <v>114</v>
      </c>
      <c r="S35" s="53" t="s">
        <v>53</v>
      </c>
      <c r="T35" s="52" t="s">
        <v>54</v>
      </c>
      <c r="U35" s="52" t="s">
        <v>59</v>
      </c>
      <c r="V35" s="52" t="s">
        <v>64</v>
      </c>
      <c r="W35" s="53"/>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224</v>
      </c>
      <c r="G37" s="74">
        <f t="shared" si="3"/>
        <v>161</v>
      </c>
      <c r="H37" s="74">
        <f t="shared" si="3"/>
        <v>162</v>
      </c>
      <c r="I37" s="74">
        <f t="shared" si="3"/>
        <v>0</v>
      </c>
      <c r="J37" s="74">
        <f t="shared" si="3"/>
        <v>175</v>
      </c>
      <c r="K37" s="74">
        <f t="shared" si="3"/>
        <v>157</v>
      </c>
      <c r="L37" s="64">
        <f>IFERROR(F37/G37-1,"n/a")</f>
        <v>0.39130434782608692</v>
      </c>
      <c r="M37" s="64">
        <f>IFERROR(F37/H37-1,"n/a")</f>
        <v>0.38271604938271597</v>
      </c>
      <c r="N37" s="64" t="str">
        <f>IFERROR(F37/I37-1,"n/a")</f>
        <v>n/a</v>
      </c>
      <c r="O37" s="64">
        <f>IFERROR(F37/J37-1,"n/a")</f>
        <v>0.28000000000000003</v>
      </c>
      <c r="P37" s="60">
        <f>IFERROR(F37/K37-1,"n/a")</f>
        <v>0.4267515923566878</v>
      </c>
      <c r="Q37" s="64"/>
      <c r="R37" s="74">
        <f>'Jan-24'!R37+'Feb-24'!F37</f>
        <v>1521</v>
      </c>
      <c r="S37" s="74">
        <f>'Jan-24'!S37+'Feb-24'!G37</f>
        <v>1305</v>
      </c>
      <c r="T37" s="74">
        <f>'Jan-24'!T37+'Feb-24'!H37</f>
        <v>841</v>
      </c>
      <c r="U37" s="74">
        <f>'Jan-24'!U37+'Feb-24'!I37</f>
        <v>42</v>
      </c>
      <c r="V37" s="74">
        <f>'Jan-24'!V37+'Feb-24'!J37</f>
        <v>1430</v>
      </c>
      <c r="W37" s="64"/>
      <c r="X37" s="119">
        <f>IFERROR(R37/S37-1,"n/a")</f>
        <v>0.16551724137931045</v>
      </c>
      <c r="Y37" s="119">
        <f>IFERROR(R37/T37-1,"n/a")</f>
        <v>0.80856123662306767</v>
      </c>
      <c r="Z37" s="119">
        <f>IFERROR(R37/U37-1,"n/a")</f>
        <v>35.214285714285715</v>
      </c>
      <c r="AA37" s="120">
        <f>IFERROR(R37/V37-1,"n/a")</f>
        <v>6.3636363636363713E-2</v>
      </c>
      <c r="AB37" s="147"/>
      <c r="AC37" s="89">
        <v>1486</v>
      </c>
      <c r="AD37" s="89">
        <v>1052</v>
      </c>
      <c r="AE37" s="70">
        <v>551</v>
      </c>
      <c r="AF37" s="78">
        <v>1584</v>
      </c>
      <c r="AH37" s="122"/>
    </row>
    <row r="38" spans="1:34" s="123" customFormat="1" ht="11.25">
      <c r="A38" s="122"/>
      <c r="B38" s="122"/>
      <c r="C38" s="33"/>
      <c r="D38" s="26" t="s">
        <v>11</v>
      </c>
      <c r="E38" s="32"/>
      <c r="F38" s="74">
        <f t="shared" si="3"/>
        <v>674695</v>
      </c>
      <c r="G38" s="74">
        <f t="shared" si="3"/>
        <v>449661</v>
      </c>
      <c r="H38" s="74">
        <f t="shared" si="3"/>
        <v>219545</v>
      </c>
      <c r="I38" s="74">
        <f t="shared" si="3"/>
        <v>0</v>
      </c>
      <c r="J38" s="74">
        <f t="shared" si="3"/>
        <v>430518</v>
      </c>
      <c r="K38" s="74">
        <f t="shared" si="3"/>
        <v>425246</v>
      </c>
      <c r="L38" s="64">
        <f>IFERROR(F38/G38-1,"n/a")</f>
        <v>0.50045256315313091</v>
      </c>
      <c r="M38" s="64">
        <f>IFERROR(F38/H38-1,"n/a")</f>
        <v>2.0731512901683025</v>
      </c>
      <c r="N38" s="64" t="str">
        <f>IFERROR(F38/I38-1,"n/a")</f>
        <v>n/a</v>
      </c>
      <c r="O38" s="64">
        <f>IFERROR(F38/J38-1,"n/a")</f>
        <v>0.5671702460756578</v>
      </c>
      <c r="P38" s="60">
        <f>IFERROR(F38/K38-1,"n/a")</f>
        <v>0.58659928606030398</v>
      </c>
      <c r="Q38" s="64"/>
      <c r="R38" s="74">
        <f>'Jan-24'!R38+'Feb-24'!F38</f>
        <v>4990356</v>
      </c>
      <c r="S38" s="74">
        <f>'Jan-24'!S38+'Feb-24'!G38</f>
        <v>3805365</v>
      </c>
      <c r="T38" s="74">
        <f>'Jan-24'!T38+'Feb-24'!H38</f>
        <v>1178358</v>
      </c>
      <c r="U38" s="74">
        <f>'Jan-24'!U38+'Feb-24'!I38</f>
        <v>0</v>
      </c>
      <c r="V38" s="74">
        <f>'Jan-24'!V38+'Feb-24'!J38</f>
        <v>4016570</v>
      </c>
      <c r="W38" s="64"/>
      <c r="X38" s="119">
        <f>IFERROR(R38/S38-1,"n/a")</f>
        <v>0.31140008908475281</v>
      </c>
      <c r="Y38" s="119">
        <f>IFERROR(R38/T38-1,"n/a")</f>
        <v>3.2350083760622832</v>
      </c>
      <c r="Z38" s="119" t="str">
        <f>IFERROR(R38/U38-1,"n/a")</f>
        <v>n/a</v>
      </c>
      <c r="AA38" s="120">
        <f>IFERROR(R38/V38-1,"n/a")</f>
        <v>0.24244218325586253</v>
      </c>
      <c r="AB38" s="147"/>
      <c r="AC38" s="89">
        <v>4370939</v>
      </c>
      <c r="AD38" s="89">
        <v>1527970</v>
      </c>
      <c r="AE38" s="84">
        <v>1092884</v>
      </c>
      <c r="AF38" s="78">
        <v>4234259</v>
      </c>
      <c r="AH38" s="122"/>
    </row>
    <row r="39" spans="1:34" s="123" customFormat="1" ht="11.25">
      <c r="A39" s="122"/>
      <c r="B39" s="122"/>
      <c r="C39" s="31" t="s">
        <v>108</v>
      </c>
      <c r="D39" s="26"/>
      <c r="E39" s="32"/>
      <c r="F39" s="26"/>
      <c r="G39" s="26"/>
      <c r="H39" s="26"/>
      <c r="I39" s="26"/>
      <c r="J39" s="26"/>
      <c r="K39" s="26"/>
      <c r="L39" s="64"/>
      <c r="M39" s="64"/>
      <c r="N39" s="64"/>
      <c r="O39" s="64"/>
      <c r="P39" s="61"/>
      <c r="Q39" s="65"/>
      <c r="R39" s="26"/>
      <c r="S39" s="26"/>
      <c r="T39" s="26"/>
      <c r="U39" s="26"/>
      <c r="V39" s="26"/>
      <c r="W39" s="64"/>
      <c r="X39" s="65"/>
      <c r="Y39" s="65"/>
      <c r="Z39" s="65"/>
      <c r="AA39" s="61"/>
      <c r="AB39" s="148"/>
      <c r="AC39" s="90"/>
      <c r="AD39" s="90"/>
      <c r="AE39" s="44"/>
      <c r="AF39" s="79"/>
      <c r="AH39" s="122"/>
    </row>
    <row r="40" spans="1:34" s="123" customFormat="1" ht="11.25">
      <c r="A40" s="122"/>
      <c r="B40" s="122"/>
      <c r="C40" s="33"/>
      <c r="D40" s="26" t="s">
        <v>5</v>
      </c>
      <c r="E40" s="32"/>
      <c r="F40" s="74">
        <f t="shared" ref="F40:K41" si="4">F16</f>
        <v>8</v>
      </c>
      <c r="G40" s="74">
        <f t="shared" si="4"/>
        <v>6</v>
      </c>
      <c r="H40" s="74">
        <f t="shared" si="4"/>
        <v>7</v>
      </c>
      <c r="I40" s="74">
        <f t="shared" si="4"/>
        <v>5</v>
      </c>
      <c r="J40" s="74">
        <f t="shared" si="4"/>
        <v>4</v>
      </c>
      <c r="K40" s="74">
        <f t="shared" si="4"/>
        <v>8</v>
      </c>
      <c r="L40" s="64">
        <f>IFERROR(F40/G40-1,"n/a")</f>
        <v>0.33333333333333326</v>
      </c>
      <c r="M40" s="64">
        <f>IFERROR(F40/H40-1,"n/a")</f>
        <v>0.14285714285714279</v>
      </c>
      <c r="N40" s="64">
        <f>IFERROR(F40/I40-1,"n/a")</f>
        <v>0.60000000000000009</v>
      </c>
      <c r="O40" s="64">
        <f>IFERROR(F40/J40-1,"n/a")</f>
        <v>1</v>
      </c>
      <c r="P40" s="60">
        <f>IFERROR(F40/K40-1,"n/a")</f>
        <v>0</v>
      </c>
      <c r="Q40" s="64"/>
      <c r="R40" s="74">
        <f>'Jan-24'!R40+'Feb-24'!F40</f>
        <v>566</v>
      </c>
      <c r="S40" s="74">
        <f>'Jan-24'!S40+'Feb-24'!G40</f>
        <v>547</v>
      </c>
      <c r="T40" s="74">
        <f>'Jan-24'!T40+'Feb-24'!H40</f>
        <v>202</v>
      </c>
      <c r="U40" s="74">
        <f>'Jan-24'!U40+'Feb-24'!I40</f>
        <v>51</v>
      </c>
      <c r="V40" s="74">
        <f>'Jan-24'!V40+'Feb-24'!J40</f>
        <v>579</v>
      </c>
      <c r="W40" s="64"/>
      <c r="X40" s="119">
        <f>IFERROR(R40/S40-1,"n/a")</f>
        <v>3.4734917733089565E-2</v>
      </c>
      <c r="Y40" s="119">
        <f>IFERROR(R40/T40-1,"n/a")</f>
        <v>1.8019801980198018</v>
      </c>
      <c r="Z40" s="119">
        <f>IFERROR(R40/U40-1,"n/a")</f>
        <v>10.098039215686274</v>
      </c>
      <c r="AA40" s="120">
        <f>IFERROR(R40/V40-1,"n/a")</f>
        <v>-2.2452504317789335E-2</v>
      </c>
      <c r="AB40" s="147"/>
      <c r="AC40" s="89">
        <v>563</v>
      </c>
      <c r="AD40" s="89">
        <v>226</v>
      </c>
      <c r="AE40" s="70">
        <v>66</v>
      </c>
      <c r="AF40" s="78">
        <v>573</v>
      </c>
      <c r="AH40" s="122"/>
    </row>
    <row r="41" spans="1:34" s="123" customFormat="1" ht="11.25">
      <c r="A41" s="122"/>
      <c r="B41" s="122"/>
      <c r="C41" s="33"/>
      <c r="D41" s="26" t="s">
        <v>11</v>
      </c>
      <c r="E41" s="32"/>
      <c r="F41" s="74">
        <f t="shared" si="4"/>
        <v>31100</v>
      </c>
      <c r="G41" s="74">
        <f t="shared" si="4"/>
        <v>24121</v>
      </c>
      <c r="H41" s="74">
        <f t="shared" si="4"/>
        <v>6429</v>
      </c>
      <c r="I41" s="74">
        <f t="shared" si="4"/>
        <v>4669</v>
      </c>
      <c r="J41" s="74">
        <f t="shared" si="4"/>
        <v>17407</v>
      </c>
      <c r="K41" s="74">
        <f t="shared" si="4"/>
        <v>26946</v>
      </c>
      <c r="L41" s="64">
        <f>IFERROR(F41/G41-1,"n/a")</f>
        <v>0.2893329463952572</v>
      </c>
      <c r="M41" s="64">
        <f>IFERROR(F41/H41-1,"n/a")</f>
        <v>3.8374552807590607</v>
      </c>
      <c r="N41" s="64">
        <f>IFERROR(F41/I41-1,"n/a")</f>
        <v>5.6609552366673803</v>
      </c>
      <c r="O41" s="64">
        <f>IFERROR(F41/J41-1,"n/a")</f>
        <v>0.78663755960245885</v>
      </c>
      <c r="P41" s="60">
        <f>IFERROR(F41/K41-1,"n/a")</f>
        <v>0.15416017219624445</v>
      </c>
      <c r="Q41" s="64"/>
      <c r="R41" s="74">
        <f>'Jan-24'!R41+'Feb-24'!F41</f>
        <v>1653866</v>
      </c>
      <c r="S41" s="74">
        <f>'Jan-24'!S41+'Feb-24'!G41</f>
        <v>969375</v>
      </c>
      <c r="T41" s="74">
        <f>'Jan-24'!T41+'Feb-24'!H41</f>
        <v>300563</v>
      </c>
      <c r="U41" s="74">
        <f>'Jan-24'!U41+'Feb-24'!I41</f>
        <v>35519</v>
      </c>
      <c r="V41" s="74">
        <f>'Jan-24'!V41+'Feb-24'!J41</f>
        <v>1358707</v>
      </c>
      <c r="W41" s="64"/>
      <c r="X41" s="119">
        <f>IFERROR(R41/S41-1,"n/a")</f>
        <v>0.70611579626047716</v>
      </c>
      <c r="Y41" s="119">
        <f>IFERROR(R41/T41-1,"n/a")</f>
        <v>4.5025601953666952</v>
      </c>
      <c r="Z41" s="119">
        <f>IFERROR(R41/U41-1,"n/a")</f>
        <v>45.562853683943807</v>
      </c>
      <c r="AA41" s="120">
        <f>IFERROR(R41/V41-1,"n/a")</f>
        <v>0.21723520965152909</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64"/>
      <c r="R42" s="87"/>
      <c r="S42" s="87"/>
      <c r="T42" s="87"/>
      <c r="U42" s="87"/>
      <c r="V42" s="87"/>
      <c r="W42" s="64"/>
      <c r="X42" s="64"/>
      <c r="Y42" s="64"/>
      <c r="Z42" s="64"/>
      <c r="AA42" s="60"/>
      <c r="AB42" s="147"/>
      <c r="AC42" s="90"/>
      <c r="AD42" s="90"/>
      <c r="AE42" s="44"/>
      <c r="AF42" s="79"/>
      <c r="AH42" s="122"/>
    </row>
    <row r="43" spans="1:34" s="123" customFormat="1" ht="11.25">
      <c r="A43" s="122"/>
      <c r="B43" s="122"/>
      <c r="C43" s="33"/>
      <c r="D43" s="26" t="s">
        <v>5</v>
      </c>
      <c r="E43" s="32"/>
      <c r="F43" s="74">
        <f t="shared" ref="F43:K44" si="5">F19</f>
        <v>4</v>
      </c>
      <c r="G43" s="74">
        <f t="shared" si="5"/>
        <v>2</v>
      </c>
      <c r="H43" s="74">
        <f t="shared" si="5"/>
        <v>3</v>
      </c>
      <c r="I43" s="74">
        <f t="shared" si="5"/>
        <v>0</v>
      </c>
      <c r="J43" s="74">
        <f t="shared" si="5"/>
        <v>0</v>
      </c>
      <c r="K43" s="74">
        <f t="shared" si="5"/>
        <v>1</v>
      </c>
      <c r="L43" s="64">
        <f>IFERROR(F43/G43-1,"n/a")</f>
        <v>1</v>
      </c>
      <c r="M43" s="64">
        <f>IFERROR(F43/H43-1,"n/a")</f>
        <v>0.33333333333333326</v>
      </c>
      <c r="N43" s="64" t="str">
        <f>IFERROR(F43/I43-1,"n/a")</f>
        <v>n/a</v>
      </c>
      <c r="O43" s="64" t="str">
        <f>IFERROR(F43/J43-1,"n/a")</f>
        <v>n/a</v>
      </c>
      <c r="P43" s="60">
        <f>IFERROR(F43/K43-1,"n/a")</f>
        <v>3</v>
      </c>
      <c r="Q43" s="64"/>
      <c r="R43" s="74">
        <f>'Jan-24'!R43+'Feb-24'!F43</f>
        <v>691</v>
      </c>
      <c r="S43" s="74">
        <f>'Jan-24'!S43+'Feb-24'!G43</f>
        <v>652</v>
      </c>
      <c r="T43" s="74">
        <f>'Jan-24'!T43+'Feb-24'!H43</f>
        <v>53</v>
      </c>
      <c r="U43" s="74">
        <f>'Jan-24'!U43+'Feb-24'!I43</f>
        <v>7</v>
      </c>
      <c r="V43" s="74">
        <f>'Jan-24'!V43+'Feb-24'!J43</f>
        <v>285</v>
      </c>
      <c r="W43" s="64"/>
      <c r="X43" s="119">
        <f>IFERROR(R43/S43-1,"n/a")</f>
        <v>5.9815950920245387E-2</v>
      </c>
      <c r="Y43" s="119">
        <f>IFERROR(R43/T43-1,"n/a")</f>
        <v>12.037735849056604</v>
      </c>
      <c r="Z43" s="119">
        <f>IFERROR(R43/U43-1,"n/a")</f>
        <v>97.714285714285708</v>
      </c>
      <c r="AA43" s="120">
        <f>IFERROR(R43/V43-1,"n/a")</f>
        <v>1.4245614035087719</v>
      </c>
      <c r="AB43" s="147"/>
      <c r="AC43" s="89">
        <v>669</v>
      </c>
      <c r="AD43" s="89">
        <v>59</v>
      </c>
      <c r="AE43" s="70">
        <v>9</v>
      </c>
      <c r="AF43" s="78">
        <v>287</v>
      </c>
      <c r="AH43" s="122"/>
    </row>
    <row r="44" spans="1:34" s="123" customFormat="1" ht="11.25">
      <c r="A44" s="122"/>
      <c r="B44" s="122"/>
      <c r="C44" s="33"/>
      <c r="D44" s="26" t="s">
        <v>11</v>
      </c>
      <c r="E44" s="32"/>
      <c r="F44" s="74">
        <f t="shared" si="5"/>
        <v>5580</v>
      </c>
      <c r="G44" s="74">
        <f t="shared" si="5"/>
        <v>2252</v>
      </c>
      <c r="H44" s="74">
        <f t="shared" si="5"/>
        <v>925</v>
      </c>
      <c r="I44" s="74">
        <f t="shared" si="5"/>
        <v>0</v>
      </c>
      <c r="J44" s="74">
        <f t="shared" si="5"/>
        <v>43</v>
      </c>
      <c r="K44" s="74">
        <f t="shared" si="5"/>
        <v>1168</v>
      </c>
      <c r="L44" s="64">
        <f>IFERROR(F44/G44-1,"n/a")</f>
        <v>1.4777975133214922</v>
      </c>
      <c r="M44" s="64">
        <f>IFERROR(F44/H44-1,"n/a")</f>
        <v>5.0324324324324321</v>
      </c>
      <c r="N44" s="64" t="str">
        <f>IFERROR(F44/I44-1,"n/a")</f>
        <v>n/a</v>
      </c>
      <c r="O44" s="64">
        <f>IFERROR(F44/J44-1,"n/a")</f>
        <v>128.76744186046511</v>
      </c>
      <c r="P44" s="60">
        <f>IFERROR(F44/K44-1,"n/a")</f>
        <v>3.7773972602739727</v>
      </c>
      <c r="Q44" s="64"/>
      <c r="R44" s="74">
        <f>'Jan-24'!R44+'Feb-24'!F44</f>
        <v>1265100</v>
      </c>
      <c r="S44" s="74">
        <f>'Jan-24'!S44+'Feb-24'!G44</f>
        <v>890522</v>
      </c>
      <c r="T44" s="74">
        <f>'Jan-24'!T44+'Feb-24'!H44</f>
        <v>19280</v>
      </c>
      <c r="U44" s="74">
        <f>'Jan-24'!U44+'Feb-24'!I44</f>
        <v>8294</v>
      </c>
      <c r="V44" s="74">
        <f>'Jan-24'!V44+'Feb-24'!J44</f>
        <v>580312</v>
      </c>
      <c r="W44" s="64"/>
      <c r="X44" s="119">
        <f>IFERROR(R44/S44-1,"n/a")</f>
        <v>0.42062745221342079</v>
      </c>
      <c r="Y44" s="119">
        <f>IFERROR(R44/T44-1,"n/a")</f>
        <v>64.617219917012449</v>
      </c>
      <c r="Z44" s="119">
        <f>IFERROR(R44/U44-1,"n/a")</f>
        <v>151.53195080781288</v>
      </c>
      <c r="AA44" s="120">
        <f>IFERROR(R44/V44-1,"n/a")</f>
        <v>1.1800341885054935</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64"/>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6">F22</f>
        <v>77</v>
      </c>
      <c r="G46" s="74">
        <f t="shared" si="6"/>
        <v>73</v>
      </c>
      <c r="H46" s="74">
        <f t="shared" si="6"/>
        <v>13</v>
      </c>
      <c r="I46" s="74">
        <f t="shared" si="6"/>
        <v>0</v>
      </c>
      <c r="J46" s="74">
        <f t="shared" si="6"/>
        <v>14</v>
      </c>
      <c r="K46" s="74">
        <f t="shared" si="6"/>
        <v>21</v>
      </c>
      <c r="L46" s="64">
        <f>IFERROR(F46/G46-1,"n/a")</f>
        <v>5.4794520547945202E-2</v>
      </c>
      <c r="M46" s="64">
        <f>IFERROR(F46/H46-1,"n/a")</f>
        <v>4.9230769230769234</v>
      </c>
      <c r="N46" s="64" t="str">
        <f>IFERROR(F46/I46-1,"n/a")</f>
        <v>n/a</v>
      </c>
      <c r="O46" s="64">
        <f>IFERROR(F46/J46-1,"n/a")</f>
        <v>4.5</v>
      </c>
      <c r="P46" s="60">
        <f>IFERROR(F46/K46-1,"n/a")</f>
        <v>2.6666666666666665</v>
      </c>
      <c r="Q46" s="64"/>
      <c r="R46" s="74">
        <f>'Jan-24'!R46+'Feb-24'!F46</f>
        <v>1384</v>
      </c>
      <c r="S46" s="74">
        <f>'Jan-24'!S46+'Feb-24'!G46</f>
        <v>1017</v>
      </c>
      <c r="T46" s="74">
        <f>'Jan-24'!T46+'Feb-24'!H46</f>
        <v>312</v>
      </c>
      <c r="U46" s="74">
        <f>'Jan-24'!U46+'Feb-24'!I46</f>
        <v>0</v>
      </c>
      <c r="V46" s="74">
        <f>'Jan-24'!V46+'Feb-24'!J46</f>
        <v>771</v>
      </c>
      <c r="W46" s="64"/>
      <c r="X46" s="119">
        <f>IFERROR(R46/S46-1,"n/a")</f>
        <v>0.36086529006882984</v>
      </c>
      <c r="Y46" s="119">
        <f>IFERROR(R46/T46-1,"n/a")</f>
        <v>3.4358974358974361</v>
      </c>
      <c r="Z46" s="119" t="str">
        <f>IFERROR(R46/U46-1,"n/a")</f>
        <v>n/a</v>
      </c>
      <c r="AA46" s="120">
        <f>IFERROR(R46/V46-1,"n/a")</f>
        <v>0.79507133592736712</v>
      </c>
      <c r="AB46" s="147"/>
      <c r="AC46" s="89">
        <v>1129</v>
      </c>
      <c r="AD46" s="89">
        <v>336</v>
      </c>
      <c r="AE46" s="84">
        <v>43</v>
      </c>
      <c r="AF46" s="78">
        <v>781</v>
      </c>
      <c r="AH46" s="122"/>
    </row>
    <row r="47" spans="1:34" s="123" customFormat="1" ht="11.25">
      <c r="A47" s="122"/>
      <c r="B47" s="122"/>
      <c r="C47" s="33"/>
      <c r="D47" s="26" t="s">
        <v>11</v>
      </c>
      <c r="E47" s="32"/>
      <c r="F47" s="74">
        <f t="shared" si="6"/>
        <v>282857</v>
      </c>
      <c r="G47" s="74">
        <f t="shared" si="6"/>
        <v>247607</v>
      </c>
      <c r="H47" s="74">
        <f t="shared" si="6"/>
        <v>14032</v>
      </c>
      <c r="I47" s="74">
        <f t="shared" si="6"/>
        <v>0</v>
      </c>
      <c r="J47" s="74">
        <f t="shared" si="6"/>
        <v>47023</v>
      </c>
      <c r="K47" s="74">
        <f t="shared" si="6"/>
        <v>59703</v>
      </c>
      <c r="L47" s="64">
        <f>IFERROR(F47/G47-1,"n/a")</f>
        <v>0.14236269572346494</v>
      </c>
      <c r="M47" s="64">
        <f>IFERROR(F47/H47-1,"n/a")</f>
        <v>19.157996009122005</v>
      </c>
      <c r="N47" s="64" t="str">
        <f>IFERROR(F47/I47-1,"n/a")</f>
        <v>n/a</v>
      </c>
      <c r="O47" s="64">
        <f>IFERROR(F47/J47-1,"n/a")</f>
        <v>5.015290389809242</v>
      </c>
      <c r="P47" s="60">
        <f>IFERROR(F47/K47-1,"n/a")</f>
        <v>3.7377351221881652</v>
      </c>
      <c r="Q47" s="64"/>
      <c r="R47" s="74">
        <f>'Jan-24'!R47+'Feb-24'!F47</f>
        <v>4200630</v>
      </c>
      <c r="S47" s="74">
        <f>'Jan-24'!S47+'Feb-24'!G47</f>
        <v>2629200</v>
      </c>
      <c r="T47" s="74">
        <f>'Jan-24'!T47+'Feb-24'!H47</f>
        <v>500969</v>
      </c>
      <c r="U47" s="74">
        <f>'Jan-24'!U47+'Feb-24'!I47</f>
        <v>0</v>
      </c>
      <c r="V47" s="74">
        <f>'Jan-24'!V47+'Feb-24'!J47</f>
        <v>2413059</v>
      </c>
      <c r="W47" s="64"/>
      <c r="X47" s="119">
        <f>IFERROR(R47/S47-1,"n/a")</f>
        <v>0.59768370607028753</v>
      </c>
      <c r="Y47" s="119">
        <f>IFERROR(R47/T47-1,"n/a")</f>
        <v>7.3850098509089381</v>
      </c>
      <c r="Z47" s="119" t="str">
        <f>IFERROR(R47/U47-1,"n/a")</f>
        <v>n/a</v>
      </c>
      <c r="AA47" s="120">
        <f>IFERROR(R47/V47-1,"n/a")</f>
        <v>0.74079042410483953</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64"/>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7">F25</f>
        <v>0</v>
      </c>
      <c r="G49" s="74">
        <f t="shared" si="7"/>
        <v>0</v>
      </c>
      <c r="H49" s="74">
        <f t="shared" si="7"/>
        <v>0</v>
      </c>
      <c r="I49" s="74">
        <f t="shared" si="7"/>
        <v>0</v>
      </c>
      <c r="J49" s="74">
        <f t="shared" si="7"/>
        <v>0</v>
      </c>
      <c r="K49" s="74">
        <f t="shared" si="7"/>
        <v>0</v>
      </c>
      <c r="L49" s="64" t="str">
        <f>IFERROR(F49/G49-1,"n/a")</f>
        <v>n/a</v>
      </c>
      <c r="M49" s="64" t="str">
        <f>IFERROR(F49/H49-1,"n/a")</f>
        <v>n/a</v>
      </c>
      <c r="N49" s="64" t="str">
        <f>IFERROR(F49/I49-1,"n/a")</f>
        <v>n/a</v>
      </c>
      <c r="O49" s="64" t="str">
        <f>IFERROR(F49/J49-1,"n/a")</f>
        <v>n/a</v>
      </c>
      <c r="P49" s="60" t="str">
        <f>IFERROR(F49/K49-1,"n/a")</f>
        <v>n/a</v>
      </c>
      <c r="Q49" s="64"/>
      <c r="R49" s="74">
        <f>'Jan-24'!R49+'Feb-24'!F49</f>
        <v>21</v>
      </c>
      <c r="S49" s="74">
        <f>'Jan-24'!S49+'Feb-24'!G49</f>
        <v>9</v>
      </c>
      <c r="T49" s="74">
        <f>'Jan-24'!T49+'Feb-24'!H49</f>
        <v>0</v>
      </c>
      <c r="U49" s="74">
        <f>'Jan-24'!U49+'Feb-24'!I49</f>
        <v>0</v>
      </c>
      <c r="V49" s="74">
        <f>'Jan-24'!V49+'Feb-24'!J49</f>
        <v>16</v>
      </c>
      <c r="W49" s="64"/>
      <c r="X49" s="119">
        <f>IFERROR(R49/S49-1,"n/a")</f>
        <v>1.3333333333333335</v>
      </c>
      <c r="Y49" s="119" t="str">
        <f>IFERROR(R49/T49-1,"n/a")</f>
        <v>n/a</v>
      </c>
      <c r="Z49" s="119" t="str">
        <f>IFERROR(R49/U49-1,"n/a")</f>
        <v>n/a</v>
      </c>
      <c r="AA49" s="120">
        <f>IFERROR(R49/V49-1,"n/a")</f>
        <v>0.3125</v>
      </c>
      <c r="AB49" s="147"/>
      <c r="AC49" s="89">
        <v>9</v>
      </c>
      <c r="AD49" s="68">
        <v>0</v>
      </c>
      <c r="AE49" s="68">
        <v>0</v>
      </c>
      <c r="AF49" s="78">
        <v>16</v>
      </c>
      <c r="AH49" s="122"/>
    </row>
    <row r="50" spans="3:34" s="123" customFormat="1" ht="11.25">
      <c r="C50" s="33"/>
      <c r="D50" s="26" t="s">
        <v>11</v>
      </c>
      <c r="E50" s="32"/>
      <c r="F50" s="74">
        <f t="shared" si="7"/>
        <v>0</v>
      </c>
      <c r="G50" s="74">
        <f t="shared" si="7"/>
        <v>0</v>
      </c>
      <c r="H50" s="74">
        <f t="shared" si="7"/>
        <v>0</v>
      </c>
      <c r="I50" s="74">
        <f t="shared" si="7"/>
        <v>0</v>
      </c>
      <c r="J50" s="74">
        <f t="shared" si="7"/>
        <v>0</v>
      </c>
      <c r="K50" s="74">
        <f t="shared" si="7"/>
        <v>0</v>
      </c>
      <c r="L50" s="64" t="str">
        <f>IFERROR(F50/G50-1,"n/a")</f>
        <v>n/a</v>
      </c>
      <c r="M50" s="64" t="str">
        <f>IFERROR(F50/H50-1,"n/a")</f>
        <v>n/a</v>
      </c>
      <c r="N50" s="64" t="str">
        <f>IFERROR(F50/I50-1,"n/a")</f>
        <v>n/a</v>
      </c>
      <c r="O50" s="64" t="str">
        <f>IFERROR(F50/J50-1,"n/a")</f>
        <v>n/a</v>
      </c>
      <c r="P50" s="60" t="str">
        <f>IFERROR(F50/K50-1,"n/a")</f>
        <v>n/a</v>
      </c>
      <c r="Q50" s="64"/>
      <c r="R50" s="74">
        <f>'Jan-24'!R50+'Feb-24'!F50</f>
        <v>38626</v>
      </c>
      <c r="S50" s="74">
        <f>'Jan-24'!S50+'Feb-24'!G50</f>
        <v>15637</v>
      </c>
      <c r="T50" s="74">
        <f>'Jan-24'!T50+'Feb-24'!H50</f>
        <v>0</v>
      </c>
      <c r="U50" s="74">
        <f>'Jan-24'!U50+'Feb-24'!I50</f>
        <v>0</v>
      </c>
      <c r="V50" s="74">
        <f>'Jan-24'!V50+'Feb-24'!J50</f>
        <v>20248</v>
      </c>
      <c r="W50" s="64"/>
      <c r="X50" s="119">
        <f>IFERROR(R50/S50-1,"n/a")</f>
        <v>1.4701669118117286</v>
      </c>
      <c r="Y50" s="119" t="str">
        <f>IFERROR(R50/T50-1,"n/a")</f>
        <v>n/a</v>
      </c>
      <c r="Z50" s="119" t="str">
        <f>IFERROR(R50/U50-1,"n/a")</f>
        <v>n/a</v>
      </c>
      <c r="AA50" s="120">
        <f>IFERROR(R50/V50-1,"n/a")</f>
        <v>0.90764519952587919</v>
      </c>
      <c r="AB50" s="147"/>
      <c r="AC50" s="82">
        <v>15637</v>
      </c>
      <c r="AD50" s="68">
        <v>0</v>
      </c>
      <c r="AE50" s="68">
        <v>0</v>
      </c>
      <c r="AF50" s="78">
        <v>20248</v>
      </c>
      <c r="AH50" s="122"/>
    </row>
    <row r="51" spans="3:34" s="123" customFormat="1" ht="12" thickBot="1">
      <c r="C51" s="35" t="s">
        <v>12</v>
      </c>
      <c r="D51" s="36"/>
      <c r="E51" s="37"/>
      <c r="F51" s="75">
        <f>F37+F40+F43+F46+F49</f>
        <v>313</v>
      </c>
      <c r="G51" s="75">
        <f>G37+G40+G43+G46+G49</f>
        <v>242</v>
      </c>
      <c r="H51" s="75">
        <f t="shared" ref="H51:K52" si="8">H37+H40+H43+H46+H49</f>
        <v>185</v>
      </c>
      <c r="I51" s="75">
        <f t="shared" si="8"/>
        <v>5</v>
      </c>
      <c r="J51" s="75">
        <f t="shared" si="8"/>
        <v>193</v>
      </c>
      <c r="K51" s="75">
        <f t="shared" si="8"/>
        <v>187</v>
      </c>
      <c r="L51" s="66">
        <f>IFERROR(F51/G51-1,"n/a")</f>
        <v>0.29338842975206614</v>
      </c>
      <c r="M51" s="66">
        <f>IFERROR(F51/H51-1,"n/a")</f>
        <v>0.69189189189189193</v>
      </c>
      <c r="N51" s="66">
        <f>IFERROR(F51/I51-1,"n/a")</f>
        <v>61.6</v>
      </c>
      <c r="O51" s="66">
        <f>IFERROR(F51/J51-1,"n/a")</f>
        <v>0.62176165803108807</v>
      </c>
      <c r="P51" s="62">
        <f>IFERROR(F51/K51-1,"n/a")</f>
        <v>0.6737967914438503</v>
      </c>
      <c r="Q51" s="66"/>
      <c r="R51" s="75">
        <f t="shared" ref="R51:V52" si="9">R37+R40+R43+R46+R49</f>
        <v>4183</v>
      </c>
      <c r="S51" s="75">
        <f t="shared" si="9"/>
        <v>3530</v>
      </c>
      <c r="T51" s="75">
        <f t="shared" si="9"/>
        <v>1408</v>
      </c>
      <c r="U51" s="75">
        <f t="shared" si="9"/>
        <v>100</v>
      </c>
      <c r="V51" s="75">
        <f t="shared" si="9"/>
        <v>3081</v>
      </c>
      <c r="W51" s="66"/>
      <c r="X51" s="66">
        <f>IFERROR(R51/S51-1,"n/a")</f>
        <v>0.18498583569405103</v>
      </c>
      <c r="Y51" s="66">
        <f>IFERROR(R51/T51-1,"n/a")</f>
        <v>1.9708806818181817</v>
      </c>
      <c r="Z51" s="66">
        <f t="shared" ref="Z51:Z52" si="10">IFERROR(R51/U51-1,"n/a")</f>
        <v>40.83</v>
      </c>
      <c r="AA51" s="62">
        <f>IFERROR(R51/V51-1,"n/a")</f>
        <v>0.35767607919506661</v>
      </c>
      <c r="AB51" s="66"/>
      <c r="AC51" s="46">
        <f t="shared" ref="AC51:AE52" si="11">AC37+AC40+AC43+AC46+AC49</f>
        <v>3856</v>
      </c>
      <c r="AD51" s="46">
        <f t="shared" si="11"/>
        <v>1673</v>
      </c>
      <c r="AE51" s="46">
        <f t="shared" si="11"/>
        <v>669</v>
      </c>
      <c r="AF51" s="80">
        <f>AF37+AF40+AF43+AF46+AF49</f>
        <v>3241</v>
      </c>
      <c r="AH51" s="122"/>
    </row>
    <row r="52" spans="3:34" s="123" customFormat="1" ht="12.75" thickTop="1" thickBot="1">
      <c r="C52" s="38" t="s">
        <v>13</v>
      </c>
      <c r="D52" s="39"/>
      <c r="E52" s="40"/>
      <c r="F52" s="76">
        <f>F38+F41+F44+F47+F50</f>
        <v>994232</v>
      </c>
      <c r="G52" s="76">
        <f>G38+G41+G44+G47+G50</f>
        <v>723641</v>
      </c>
      <c r="H52" s="76">
        <f t="shared" si="8"/>
        <v>240931</v>
      </c>
      <c r="I52" s="76">
        <f t="shared" si="8"/>
        <v>4669</v>
      </c>
      <c r="J52" s="76">
        <f t="shared" si="8"/>
        <v>494991</v>
      </c>
      <c r="K52" s="76">
        <f t="shared" si="8"/>
        <v>513063</v>
      </c>
      <c r="L52" s="67">
        <f>IFERROR(F52/G52-1,"n/a")</f>
        <v>0.37392989065019799</v>
      </c>
      <c r="M52" s="67">
        <f>IFERROR(F52/H52-1,"n/a")</f>
        <v>3.1266254653822045</v>
      </c>
      <c r="N52" s="67">
        <f>IFERROR(F52/I52-1,"n/a")</f>
        <v>211.9432426643821</v>
      </c>
      <c r="O52" s="67">
        <f>IFERROR(F52/J52-1,"n/a")</f>
        <v>1.0085860146952168</v>
      </c>
      <c r="P52" s="63">
        <f>IFERROR(F52/K52-1,"n/a")</f>
        <v>0.93783609420285607</v>
      </c>
      <c r="Q52" s="67"/>
      <c r="R52" s="76">
        <f t="shared" si="9"/>
        <v>12148578</v>
      </c>
      <c r="S52" s="76">
        <f t="shared" si="9"/>
        <v>8310099</v>
      </c>
      <c r="T52" s="76">
        <f t="shared" si="9"/>
        <v>1999170</v>
      </c>
      <c r="U52" s="76">
        <f t="shared" si="9"/>
        <v>43813</v>
      </c>
      <c r="V52" s="76">
        <f t="shared" si="9"/>
        <v>8388896</v>
      </c>
      <c r="W52" s="67"/>
      <c r="X52" s="67">
        <f>IFERROR(R52/S52-1,"n/a")</f>
        <v>0.46190532748165825</v>
      </c>
      <c r="Y52" s="117">
        <f>IFERROR(R52/T52-1,"n/a")</f>
        <v>5.0768108765137532</v>
      </c>
      <c r="Z52" s="117">
        <f t="shared" si="10"/>
        <v>276.28249606281241</v>
      </c>
      <c r="AA52" s="118">
        <f>IFERROR(R52/V52-1,"n/a")</f>
        <v>0.44817363333625782</v>
      </c>
      <c r="AB52" s="117"/>
      <c r="AC52" s="47">
        <f t="shared" si="11"/>
        <v>9237323</v>
      </c>
      <c r="AD52" s="47">
        <f t="shared" si="11"/>
        <v>2410085</v>
      </c>
      <c r="AE52" s="47">
        <f t="shared" si="11"/>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C35D8-483B-435B-93D5-429104F5F3BB}">
  <dimension ref="A1:AH66"/>
  <sheetViews>
    <sheetView showGridLines="0" topLeftCell="F7" zoomScaleNormal="100" workbookViewId="0">
      <selection activeCell="O7" sqref="O7"/>
    </sheetView>
  </sheetViews>
  <sheetFormatPr defaultColWidth="0" defaultRowHeight="0" customHeight="1" zeroHeight="1"/>
  <cols>
    <col min="1" max="2" width="4.140625" customWidth="1"/>
    <col min="3" max="3" width="3.85546875" customWidth="1"/>
    <col min="4" max="4" width="8.85546875"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45337</v>
      </c>
      <c r="AG3" s="25"/>
      <c r="AH3" s="9"/>
    </row>
    <row r="4" spans="1:34" ht="15.75">
      <c r="A4" s="9"/>
      <c r="B4" s="11" t="s">
        <v>7</v>
      </c>
      <c r="C4" s="26"/>
      <c r="D4" s="93" t="s">
        <v>33</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7" t="str">
        <f>D4</f>
        <v>January</v>
      </c>
      <c r="G9" s="167"/>
      <c r="H9" s="167"/>
      <c r="I9" s="167"/>
      <c r="J9" s="167"/>
      <c r="K9" s="167"/>
      <c r="L9" s="167"/>
      <c r="M9" s="167"/>
      <c r="N9" s="167"/>
      <c r="O9" s="167"/>
      <c r="P9" s="168"/>
      <c r="Q9" s="169" t="str">
        <f>F9</f>
        <v>January</v>
      </c>
      <c r="R9" s="170"/>
      <c r="S9" s="170"/>
      <c r="T9" s="170"/>
      <c r="U9" s="170"/>
      <c r="V9" s="170"/>
      <c r="W9" s="170"/>
      <c r="X9" s="170"/>
      <c r="Y9" s="170"/>
      <c r="Z9" s="170"/>
      <c r="AA9" s="171"/>
      <c r="AB9" s="169" t="s">
        <v>57</v>
      </c>
      <c r="AC9" s="170"/>
      <c r="AD9" s="170"/>
      <c r="AE9" s="170"/>
      <c r="AF9" s="172"/>
      <c r="AG9" s="122"/>
      <c r="AH9" s="122"/>
    </row>
    <row r="10" spans="1:34" s="123" customFormat="1" ht="13.5">
      <c r="A10" s="122"/>
      <c r="B10" s="124"/>
      <c r="C10" s="29"/>
      <c r="D10" s="30"/>
      <c r="E10" s="30"/>
      <c r="F10" s="175"/>
      <c r="G10" s="173"/>
      <c r="H10" s="173"/>
      <c r="I10" s="173"/>
      <c r="J10" s="173"/>
      <c r="K10" s="173"/>
      <c r="L10" s="173"/>
      <c r="M10" s="173"/>
      <c r="N10" s="173"/>
      <c r="O10" s="173"/>
      <c r="P10" s="174"/>
      <c r="Q10" s="175"/>
      <c r="R10" s="173"/>
      <c r="S10" s="173"/>
      <c r="T10" s="173"/>
      <c r="U10" s="173"/>
      <c r="V10" s="173"/>
      <c r="W10" s="173"/>
      <c r="X10" s="173"/>
      <c r="Y10" s="173"/>
      <c r="Z10" s="173"/>
      <c r="AA10" s="174"/>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197</v>
      </c>
      <c r="G13" s="71">
        <v>188</v>
      </c>
      <c r="H13" s="71">
        <v>164</v>
      </c>
      <c r="I13" s="71">
        <v>0</v>
      </c>
      <c r="J13" s="71">
        <v>187</v>
      </c>
      <c r="K13" s="71">
        <v>189</v>
      </c>
      <c r="L13" s="64">
        <f>IFERROR(F13/G13-1,"n/a")</f>
        <v>4.7872340425531901E-2</v>
      </c>
      <c r="M13" s="64">
        <f>IFERROR(F13/H13-1,"n/a")</f>
        <v>0.20121951219512191</v>
      </c>
      <c r="N13" s="64" t="str">
        <f>IFERROR(F13/I13-1,"n/a")</f>
        <v>n/a</v>
      </c>
      <c r="O13" s="64">
        <f>IFERROR(F13/J13-1,"n/a")</f>
        <v>5.3475935828876997E-2</v>
      </c>
      <c r="P13" s="60">
        <f>IFERROR(F13/K13-1,"n/a")</f>
        <v>4.2328042328042326E-2</v>
      </c>
      <c r="Q13" s="68">
        <f>F13</f>
        <v>197</v>
      </c>
      <c r="R13" s="68">
        <f>G13</f>
        <v>188</v>
      </c>
      <c r="S13" s="68">
        <f t="shared" ref="S13:V14" si="0">H13</f>
        <v>164</v>
      </c>
      <c r="T13" s="68">
        <f t="shared" si="0"/>
        <v>0</v>
      </c>
      <c r="U13" s="68">
        <f t="shared" si="0"/>
        <v>187</v>
      </c>
      <c r="V13" s="68">
        <f t="shared" si="0"/>
        <v>189</v>
      </c>
      <c r="W13" s="64">
        <f>IFERROR(Q13/R13-1,"n/a")</f>
        <v>4.7872340425531901E-2</v>
      </c>
      <c r="X13" s="64">
        <f>IFERROR(Q13/S13-1,"n/a")</f>
        <v>0.20121951219512191</v>
      </c>
      <c r="Y13" s="64" t="str">
        <f>IFERROR(Q13/T13-1,"n/a")</f>
        <v>n/a</v>
      </c>
      <c r="Z13" s="64">
        <f>IFERROR(Q13/U13-1,"n/a")</f>
        <v>5.3475935828876997E-2</v>
      </c>
      <c r="AA13" s="60">
        <f>IFERROR(Q13/V13-1,"n/a")</f>
        <v>4.2328042328042326E-2</v>
      </c>
      <c r="AB13" s="68">
        <v>1622</v>
      </c>
      <c r="AC13" s="68">
        <v>1486</v>
      </c>
      <c r="AD13" s="68">
        <v>522</v>
      </c>
      <c r="AE13" s="68">
        <v>551</v>
      </c>
      <c r="AF13" s="134">
        <v>1591</v>
      </c>
      <c r="AG13" s="122"/>
      <c r="AH13" s="122"/>
    </row>
    <row r="14" spans="1:34" s="123" customFormat="1" ht="12.75">
      <c r="A14" s="122"/>
      <c r="B14" s="127"/>
      <c r="C14" s="33"/>
      <c r="D14" s="26" t="s">
        <v>11</v>
      </c>
      <c r="E14" s="32"/>
      <c r="F14" s="71">
        <v>621308</v>
      </c>
      <c r="G14" s="71">
        <v>522949</v>
      </c>
      <c r="H14" s="71">
        <v>195612</v>
      </c>
      <c r="I14" s="71">
        <v>0</v>
      </c>
      <c r="J14" s="71">
        <v>466080</v>
      </c>
      <c r="K14" s="71">
        <v>525262</v>
      </c>
      <c r="L14" s="64">
        <f>IFERROR(F14/G14-1,"n/a")</f>
        <v>0.1880852626164311</v>
      </c>
      <c r="M14" s="64">
        <f>IFERROR(F14/H14-1,"n/a")</f>
        <v>2.1762264073778703</v>
      </c>
      <c r="N14" s="64" t="str">
        <f>IFERROR(F14/I14-1,"n/a")</f>
        <v>n/a</v>
      </c>
      <c r="O14" s="64">
        <f>IFERROR(F14/J14-1,"n/a")</f>
        <v>0.33305012015104696</v>
      </c>
      <c r="P14" s="60">
        <f>IFERROR(F14/K14-1,"n/a")</f>
        <v>0.18285350929631305</v>
      </c>
      <c r="Q14" s="68">
        <f>F14</f>
        <v>621308</v>
      </c>
      <c r="R14" s="68">
        <f>G14</f>
        <v>522949</v>
      </c>
      <c r="S14" s="68">
        <f t="shared" si="0"/>
        <v>195612</v>
      </c>
      <c r="T14" s="68">
        <f t="shared" si="0"/>
        <v>0</v>
      </c>
      <c r="U14" s="68">
        <f t="shared" si="0"/>
        <v>466080</v>
      </c>
      <c r="V14" s="68">
        <f t="shared" si="0"/>
        <v>525262</v>
      </c>
      <c r="W14" s="64">
        <f>IFERROR(Q14/R14-1,"n/a")</f>
        <v>0.1880852626164311</v>
      </c>
      <c r="X14" s="64">
        <f>IFERROR(Q14/S14-1,"n/a")</f>
        <v>2.1762264073778703</v>
      </c>
      <c r="Y14" s="64" t="str">
        <f>IFERROR(Q14/T14-1,"n/a")</f>
        <v>n/a</v>
      </c>
      <c r="Z14" s="64">
        <f>IFERROR(Q14/U14-1,"n/a")</f>
        <v>0.33305012015104696</v>
      </c>
      <c r="AA14" s="60">
        <f>IFERROR(Q14/V14-1,"n/a")</f>
        <v>0.18285350929631305</v>
      </c>
      <c r="AB14" s="68">
        <v>5232537</v>
      </c>
      <c r="AC14" s="68">
        <v>3592413</v>
      </c>
      <c r="AD14" s="68">
        <v>768312</v>
      </c>
      <c r="AE14" s="68">
        <v>1092884</v>
      </c>
      <c r="AF14" s="134">
        <v>4592479</v>
      </c>
      <c r="AG14" s="122"/>
      <c r="AH14" s="122"/>
    </row>
    <row r="15" spans="1:34" s="123" customFormat="1" ht="12.75">
      <c r="A15" s="122"/>
      <c r="B15" s="127"/>
      <c r="C15" s="31" t="s">
        <v>108</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12</v>
      </c>
      <c r="G16" s="71">
        <v>5</v>
      </c>
      <c r="H16" s="71">
        <v>3</v>
      </c>
      <c r="I16" s="71">
        <v>2</v>
      </c>
      <c r="J16" s="71">
        <v>5</v>
      </c>
      <c r="K16" s="71">
        <v>5</v>
      </c>
      <c r="L16" s="64">
        <f>IFERROR(F16/G16-1,"n/a")</f>
        <v>1.4</v>
      </c>
      <c r="M16" s="64">
        <f>IFERROR(F16/H16-1,"n/a")</f>
        <v>3</v>
      </c>
      <c r="N16" s="64">
        <f>IFERROR(F16/I16-1,"n/a")</f>
        <v>5</v>
      </c>
      <c r="O16" s="64">
        <f>IFERROR(F16/J16-1,"n/a")</f>
        <v>1.4</v>
      </c>
      <c r="P16" s="60">
        <f>IFERROR(F16/K16-1,"n/a")</f>
        <v>1.4</v>
      </c>
      <c r="Q16" s="68">
        <f>F16</f>
        <v>12</v>
      </c>
      <c r="R16" s="68">
        <f t="shared" ref="R16:V17" si="1">G16</f>
        <v>5</v>
      </c>
      <c r="S16" s="68">
        <f t="shared" si="1"/>
        <v>3</v>
      </c>
      <c r="T16" s="68">
        <f t="shared" si="1"/>
        <v>2</v>
      </c>
      <c r="U16" s="68">
        <f t="shared" si="1"/>
        <v>5</v>
      </c>
      <c r="V16" s="68">
        <f t="shared" si="1"/>
        <v>5</v>
      </c>
      <c r="W16" s="64">
        <f>IFERROR(Q16/R16-1,"n/a")</f>
        <v>1.4</v>
      </c>
      <c r="X16" s="64">
        <f>IFERROR(Q16/S16-1,"n/a")</f>
        <v>3</v>
      </c>
      <c r="Y16" s="64">
        <f>IFERROR(Q16/T16-1,"n/a")</f>
        <v>5</v>
      </c>
      <c r="Z16" s="64">
        <f>IFERROR(Q16/U16-1,"n/a")</f>
        <v>1.4</v>
      </c>
      <c r="AA16" s="60">
        <f>IFERROR(Q16/V16-1,"n/a")</f>
        <v>1.4</v>
      </c>
      <c r="AB16" s="68">
        <v>575</v>
      </c>
      <c r="AC16" s="68">
        <v>572</v>
      </c>
      <c r="AD16" s="68">
        <v>202</v>
      </c>
      <c r="AE16" s="68">
        <v>54</v>
      </c>
      <c r="AF16" s="134">
        <v>586</v>
      </c>
      <c r="AG16" s="122"/>
      <c r="AH16" s="122"/>
    </row>
    <row r="17" spans="1:34" s="123" customFormat="1" ht="12.75">
      <c r="A17" s="122"/>
      <c r="B17" s="127"/>
      <c r="C17" s="33"/>
      <c r="D17" s="26" t="s">
        <v>11</v>
      </c>
      <c r="E17" s="32"/>
      <c r="F17" s="71">
        <v>45136</v>
      </c>
      <c r="G17" s="71">
        <v>15799</v>
      </c>
      <c r="H17" s="71">
        <v>1702</v>
      </c>
      <c r="I17" s="71">
        <v>1288</v>
      </c>
      <c r="J17" s="71">
        <v>23141</v>
      </c>
      <c r="K17" s="71">
        <v>20627</v>
      </c>
      <c r="L17" s="64">
        <f>IFERROR(F17/G17-1,"n/a")</f>
        <v>1.8568896765618077</v>
      </c>
      <c r="M17" s="64">
        <f>IFERROR(F17/H17-1,"n/a")</f>
        <v>25.519388954171564</v>
      </c>
      <c r="N17" s="64">
        <f>IFERROR(F17/I17-1,"n/a")</f>
        <v>34.043478260869563</v>
      </c>
      <c r="O17" s="64">
        <f>IFERROR(F17/J17-1,"n/a")</f>
        <v>0.95047750745430193</v>
      </c>
      <c r="P17" s="60">
        <f>IFERROR(F17/K17-1,"n/a")</f>
        <v>1.1881999321277936</v>
      </c>
      <c r="Q17" s="68">
        <f>F17</f>
        <v>45136</v>
      </c>
      <c r="R17" s="68">
        <f t="shared" si="1"/>
        <v>15799</v>
      </c>
      <c r="S17" s="68">
        <f t="shared" si="1"/>
        <v>1702</v>
      </c>
      <c r="T17" s="68">
        <f t="shared" si="1"/>
        <v>1288</v>
      </c>
      <c r="U17" s="68">
        <f t="shared" si="1"/>
        <v>23141</v>
      </c>
      <c r="V17" s="68">
        <f t="shared" si="1"/>
        <v>20627</v>
      </c>
      <c r="W17" s="64">
        <f>IFERROR(Q17/R17-1,"n/a")</f>
        <v>1.8568896765618077</v>
      </c>
      <c r="X17" s="64">
        <f>IFERROR(Q17/S17-1,"n/a")</f>
        <v>25.519388954171564</v>
      </c>
      <c r="Y17" s="64">
        <f>IFERROR(Q17/T17-1,"n/a")</f>
        <v>34.043478260869563</v>
      </c>
      <c r="Z17" s="64">
        <f>IFERROR(Q17/U17-1,"n/a")</f>
        <v>0.95047750745430193</v>
      </c>
      <c r="AA17" s="60">
        <f>IFERROR(Q17/V17-1,"n/a")</f>
        <v>1.1881999321277936</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2</v>
      </c>
      <c r="G19" s="71">
        <v>4</v>
      </c>
      <c r="H19" s="71">
        <v>3</v>
      </c>
      <c r="I19" s="71">
        <v>0</v>
      </c>
      <c r="J19" s="71">
        <v>1</v>
      </c>
      <c r="K19" s="71">
        <v>0</v>
      </c>
      <c r="L19" s="64">
        <f>IFERROR(F19/G19-1,"n/a")</f>
        <v>-0.5</v>
      </c>
      <c r="M19" s="64">
        <f>IFERROR(F19/H19-1,"n/a")</f>
        <v>-0.33333333333333337</v>
      </c>
      <c r="N19" s="64" t="str">
        <f>IFERROR(F19/I19-1,"n/a")</f>
        <v>n/a</v>
      </c>
      <c r="O19" s="64">
        <f>IFERROR(F19/J19-1,"n/a")</f>
        <v>1</v>
      </c>
      <c r="P19" s="60" t="str">
        <f>IFERROR(F19/K19-1,"n/a")</f>
        <v>n/a</v>
      </c>
      <c r="Q19" s="68">
        <f>F19</f>
        <v>2</v>
      </c>
      <c r="R19" s="68">
        <f>G19</f>
        <v>4</v>
      </c>
      <c r="S19" s="68">
        <f t="shared" ref="S19:V20" si="2">H19</f>
        <v>3</v>
      </c>
      <c r="T19" s="68">
        <f t="shared" si="2"/>
        <v>0</v>
      </c>
      <c r="U19" s="68">
        <f t="shared" si="2"/>
        <v>1</v>
      </c>
      <c r="V19" s="68">
        <f t="shared" si="2"/>
        <v>0</v>
      </c>
      <c r="W19" s="64">
        <f>IFERROR(Q19/R19-1,"n/a")</f>
        <v>-0.5</v>
      </c>
      <c r="X19" s="64">
        <f>IFERROR(Q19/S19-1,"n/a")</f>
        <v>-0.33333333333333337</v>
      </c>
      <c r="Y19" s="64" t="str">
        <f>IFERROR(Q19/T19-1,"n/a")</f>
        <v>n/a</v>
      </c>
      <c r="Z19" s="64">
        <f>IFERROR(Q19/U19-1,"n/a")</f>
        <v>1</v>
      </c>
      <c r="AA19" s="60" t="str">
        <f>IFERROR(Q19/V19-1,"n/a")</f>
        <v>n/a</v>
      </c>
      <c r="AB19" s="68">
        <v>708</v>
      </c>
      <c r="AC19" s="68">
        <v>658</v>
      </c>
      <c r="AD19" s="68">
        <v>47</v>
      </c>
      <c r="AE19" s="68">
        <v>9</v>
      </c>
      <c r="AF19" s="134">
        <v>290</v>
      </c>
      <c r="AG19" s="122"/>
      <c r="AH19" s="122"/>
    </row>
    <row r="20" spans="1:34" s="123" customFormat="1" ht="12.75">
      <c r="A20" s="122"/>
      <c r="B20" s="127"/>
      <c r="C20" s="33"/>
      <c r="D20" s="26" t="s">
        <v>11</v>
      </c>
      <c r="E20" s="32"/>
      <c r="F20" s="71">
        <v>2840</v>
      </c>
      <c r="G20" s="71">
        <v>3860</v>
      </c>
      <c r="H20" s="71">
        <v>814</v>
      </c>
      <c r="I20" s="71">
        <v>0</v>
      </c>
      <c r="J20" s="71">
        <v>823</v>
      </c>
      <c r="K20" s="71">
        <v>440</v>
      </c>
      <c r="L20" s="64">
        <f>IFERROR(F20/G20-1,"n/a")</f>
        <v>-0.26424870466321249</v>
      </c>
      <c r="M20" s="64">
        <f>IFERROR(F20/H20-1,"n/a")</f>
        <v>2.4889434889434892</v>
      </c>
      <c r="N20" s="64" t="str">
        <f>IFERROR(F20/I20-1,"n/a")</f>
        <v>n/a</v>
      </c>
      <c r="O20" s="64">
        <f>IFERROR(F20/J20-1,"n/a")</f>
        <v>2.4507897934386391</v>
      </c>
      <c r="P20" s="60">
        <f>IFERROR(F20/K20-1,"n/a")</f>
        <v>5.4545454545454541</v>
      </c>
      <c r="Q20" s="68">
        <f>F20</f>
        <v>2840</v>
      </c>
      <c r="R20" s="68">
        <f>G20</f>
        <v>3860</v>
      </c>
      <c r="S20" s="68">
        <f t="shared" si="2"/>
        <v>814</v>
      </c>
      <c r="T20" s="68">
        <f t="shared" si="2"/>
        <v>0</v>
      </c>
      <c r="U20" s="68">
        <f t="shared" si="2"/>
        <v>823</v>
      </c>
      <c r="V20" s="68">
        <f t="shared" si="2"/>
        <v>440</v>
      </c>
      <c r="W20" s="64">
        <f>IFERROR(Q20/R20-1,"n/a")</f>
        <v>-0.26424870466321249</v>
      </c>
      <c r="X20" s="64">
        <f>IFERROR(Q20/S20-1,"n/a")</f>
        <v>2.4889434889434892</v>
      </c>
      <c r="Y20" s="64" t="str">
        <f>IFERROR(Q20/T20-1,"n/a")</f>
        <v>n/a</v>
      </c>
      <c r="Z20" s="64">
        <f>IFERROR(Q20/U20-1,"n/a")</f>
        <v>2.4507897934386391</v>
      </c>
      <c r="AA20" s="60">
        <f>IFERROR(Q20/V20-1,"n/a")</f>
        <v>5.4545454545454541</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95</v>
      </c>
      <c r="G22" s="71">
        <v>106</v>
      </c>
      <c r="H22" s="71">
        <v>16</v>
      </c>
      <c r="I22" s="71">
        <v>0</v>
      </c>
      <c r="J22" s="71">
        <v>19</v>
      </c>
      <c r="K22" s="71">
        <v>24</v>
      </c>
      <c r="L22" s="64">
        <f>IFERROR(F22/G22-1,"n/a")</f>
        <v>-0.10377358490566035</v>
      </c>
      <c r="M22" s="64">
        <f>IFERROR(F22/H22-1,"n/a")</f>
        <v>4.9375</v>
      </c>
      <c r="N22" s="64" t="str">
        <f>IFERROR(F22/I22-1,"n/a")</f>
        <v>n/a</v>
      </c>
      <c r="O22" s="64">
        <f>IFERROR(F22/J22-1,"n/a")</f>
        <v>4</v>
      </c>
      <c r="P22" s="60">
        <f>IFERROR(F22/K22-1,"n/a")</f>
        <v>2.9583333333333335</v>
      </c>
      <c r="Q22" s="68">
        <f>F22</f>
        <v>95</v>
      </c>
      <c r="R22" s="68">
        <f>G22</f>
        <v>106</v>
      </c>
      <c r="S22" s="68">
        <f t="shared" ref="S22:V23" si="3">H22</f>
        <v>16</v>
      </c>
      <c r="T22" s="68">
        <f t="shared" si="3"/>
        <v>0</v>
      </c>
      <c r="U22" s="68">
        <f t="shared" si="3"/>
        <v>19</v>
      </c>
      <c r="V22" s="68">
        <f t="shared" si="3"/>
        <v>24</v>
      </c>
      <c r="W22" s="64">
        <f>IFERROR(Q22/R22-1,"n/a")</f>
        <v>-0.10377358490566035</v>
      </c>
      <c r="X22" s="64">
        <f>IFERROR(Q22/S22-1,"n/a")</f>
        <v>4.9375</v>
      </c>
      <c r="Y22" s="64" t="str">
        <f>IFERROR(Q22/T22-1,"n/a")</f>
        <v>n/a</v>
      </c>
      <c r="Z22" s="64">
        <f>IFERROR(Q22/U22-1,"n/a")</f>
        <v>4</v>
      </c>
      <c r="AA22" s="60">
        <f>IFERROR(Q22/V22-1,"n/a")</f>
        <v>2.9583333333333335</v>
      </c>
      <c r="AB22" s="68">
        <v>1500</v>
      </c>
      <c r="AC22" s="68">
        <v>895</v>
      </c>
      <c r="AD22" s="68">
        <v>283</v>
      </c>
      <c r="AE22" s="68">
        <v>43</v>
      </c>
      <c r="AF22" s="134">
        <v>827</v>
      </c>
      <c r="AG22" s="122"/>
      <c r="AH22" s="122"/>
    </row>
    <row r="23" spans="1:34" s="123" customFormat="1" ht="12.75">
      <c r="A23" s="122"/>
      <c r="B23" s="127"/>
      <c r="C23" s="33"/>
      <c r="D23" s="26" t="s">
        <v>11</v>
      </c>
      <c r="E23" s="32"/>
      <c r="F23" s="71">
        <v>313581</v>
      </c>
      <c r="G23" s="71">
        <v>290797</v>
      </c>
      <c r="H23" s="71">
        <v>21828</v>
      </c>
      <c r="I23" s="71">
        <v>0</v>
      </c>
      <c r="J23" s="71">
        <v>64994</v>
      </c>
      <c r="K23" s="71">
        <v>74523</v>
      </c>
      <c r="L23" s="64">
        <f>IFERROR(F23/G23-1,"n/a")</f>
        <v>7.8350189307317519E-2</v>
      </c>
      <c r="M23" s="64">
        <f>IFERROR(F23/H23-1,"n/a")</f>
        <v>13.365997800989554</v>
      </c>
      <c r="N23" s="64" t="str">
        <f>IFERROR(F23/I23-1,"n/a")</f>
        <v>n/a</v>
      </c>
      <c r="O23" s="64">
        <f>IFERROR(F23/J23-1,"n/a")</f>
        <v>3.824768440163707</v>
      </c>
      <c r="P23" s="60">
        <f>IFERROR(F23/K23-1,"n/a")</f>
        <v>3.2078418743206791</v>
      </c>
      <c r="Q23" s="68">
        <f>F23</f>
        <v>313581</v>
      </c>
      <c r="R23" s="68">
        <f>G23</f>
        <v>290797</v>
      </c>
      <c r="S23" s="68">
        <f t="shared" si="3"/>
        <v>21828</v>
      </c>
      <c r="T23" s="68">
        <f t="shared" si="3"/>
        <v>0</v>
      </c>
      <c r="U23" s="68">
        <f t="shared" si="3"/>
        <v>64994</v>
      </c>
      <c r="V23" s="68">
        <f t="shared" si="3"/>
        <v>74523</v>
      </c>
      <c r="W23" s="64">
        <f>IFERROR(Q23/R23-1,"n/a")</f>
        <v>7.8350189307317519E-2</v>
      </c>
      <c r="X23" s="64">
        <f>IFERROR(Q23/S23-1,"n/a")</f>
        <v>13.365997800989554</v>
      </c>
      <c r="Y23" s="64" t="str">
        <f>IFERROR(Q23/T23-1,"n/a")</f>
        <v>n/a</v>
      </c>
      <c r="Z23" s="64">
        <f>IFERROR(Q23/U23-1,"n/a")</f>
        <v>3.824768440163707</v>
      </c>
      <c r="AA23" s="60">
        <f>IFERROR(Q23/V23-1,"n/a")</f>
        <v>3.2078418743206791</v>
      </c>
      <c r="AB23" s="68">
        <v>4459166</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0</v>
      </c>
      <c r="G25" s="71">
        <v>0</v>
      </c>
      <c r="H25" s="71">
        <v>0</v>
      </c>
      <c r="I25" s="71">
        <v>0</v>
      </c>
      <c r="J25" s="71">
        <v>0</v>
      </c>
      <c r="K25" s="71">
        <v>0</v>
      </c>
      <c r="L25" s="64" t="str">
        <f>IFERROR(F25/G25-1,"n/a")</f>
        <v>n/a</v>
      </c>
      <c r="M25" s="64" t="str">
        <f>IFERROR(F25/H25-1,"n/a")</f>
        <v>n/a</v>
      </c>
      <c r="N25" s="64" t="str">
        <f>IFERROR(F25/I25-1,"n/a")</f>
        <v>n/a</v>
      </c>
      <c r="O25" s="64" t="str">
        <f>IFERROR(F25/J25-1,"n/a")</f>
        <v>n/a</v>
      </c>
      <c r="P25" s="60" t="str">
        <f>IFERROR(F25/K25-1,"n/a")</f>
        <v>n/a</v>
      </c>
      <c r="Q25" s="68">
        <f>F25</f>
        <v>0</v>
      </c>
      <c r="R25" s="68">
        <f>G25</f>
        <v>0</v>
      </c>
      <c r="S25" s="68">
        <f t="shared" ref="S25:V26" si="4">H25</f>
        <v>0</v>
      </c>
      <c r="T25" s="68">
        <f t="shared" si="4"/>
        <v>0</v>
      </c>
      <c r="U25" s="68">
        <f t="shared" si="4"/>
        <v>0</v>
      </c>
      <c r="V25" s="68">
        <f t="shared" si="4"/>
        <v>0</v>
      </c>
      <c r="W25" s="64" t="str">
        <f>IFERROR(Q25/R25-1,"n/a")</f>
        <v>n/a</v>
      </c>
      <c r="X25" s="64" t="str">
        <f>IFERROR(Q25/S25-1,"n/a")</f>
        <v>n/a</v>
      </c>
      <c r="Y25" s="64" t="str">
        <f>IFERROR(Q25/T25-1,"n/a")</f>
        <v>n/a</v>
      </c>
      <c r="Z25" s="64" t="str">
        <f>IFERROR(Q25/U25-1,"n/a")</f>
        <v>n/a</v>
      </c>
      <c r="AA25" s="60" t="str">
        <f>IFERROR(Q25/V25-1,"n/a")</f>
        <v>n/a</v>
      </c>
      <c r="AB25" s="68">
        <v>21</v>
      </c>
      <c r="AC25" s="68">
        <v>9</v>
      </c>
      <c r="AD25" s="68">
        <v>0</v>
      </c>
      <c r="AE25" s="68">
        <v>0</v>
      </c>
      <c r="AF25" s="134">
        <v>16</v>
      </c>
      <c r="AG25" s="122"/>
      <c r="AH25" s="122"/>
    </row>
    <row r="26" spans="1:34" s="123" customFormat="1" ht="12.75">
      <c r="A26" s="122"/>
      <c r="B26" s="127"/>
      <c r="C26" s="33"/>
      <c r="D26" s="26" t="s">
        <v>11</v>
      </c>
      <c r="E26" s="32"/>
      <c r="F26" s="71">
        <v>0</v>
      </c>
      <c r="G26" s="71">
        <v>0</v>
      </c>
      <c r="H26" s="71">
        <v>0</v>
      </c>
      <c r="I26" s="71">
        <v>0</v>
      </c>
      <c r="J26" s="71">
        <v>0</v>
      </c>
      <c r="K26" s="71">
        <v>0</v>
      </c>
      <c r="L26" s="64" t="str">
        <f>IFERROR(F26/G26-1,"n/a")</f>
        <v>n/a</v>
      </c>
      <c r="M26" s="64" t="str">
        <f>IFERROR(F26/H26-1,"n/a")</f>
        <v>n/a</v>
      </c>
      <c r="N26" s="64" t="str">
        <f>IFERROR(F26/I26-1,"n/a")</f>
        <v>n/a</v>
      </c>
      <c r="O26" s="64" t="str">
        <f>IFERROR(F26/J26-1,"n/a")</f>
        <v>n/a</v>
      </c>
      <c r="P26" s="60" t="str">
        <f>IFERROR(F26/K26-1,"n/a")</f>
        <v>n/a</v>
      </c>
      <c r="Q26" s="68">
        <f>F26</f>
        <v>0</v>
      </c>
      <c r="R26" s="68">
        <f>G26</f>
        <v>0</v>
      </c>
      <c r="S26" s="68">
        <f t="shared" si="4"/>
        <v>0</v>
      </c>
      <c r="T26" s="68">
        <f t="shared" si="4"/>
        <v>0</v>
      </c>
      <c r="U26" s="68">
        <f t="shared" si="4"/>
        <v>0</v>
      </c>
      <c r="V26" s="68">
        <f t="shared" si="4"/>
        <v>0</v>
      </c>
      <c r="W26" s="64" t="str">
        <f>IFERROR(Q26/R26-1,"n/a")</f>
        <v>n/a</v>
      </c>
      <c r="X26" s="64" t="str">
        <f>IFERROR(Q26/S26-1,"n/a")</f>
        <v>n/a</v>
      </c>
      <c r="Y26" s="64" t="str">
        <f>IFERROR(Q26/T26-1,"n/a")</f>
        <v>n/a</v>
      </c>
      <c r="Z26" s="64" t="str">
        <f>IFERROR(Q26/U26-1,"n/a")</f>
        <v>n/a</v>
      </c>
      <c r="AA26" s="60" t="str">
        <f>IFERROR(Q26/V26-1,"n/a")</f>
        <v>n/a</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5">F13+F16+F19+F22+F25</f>
        <v>306</v>
      </c>
      <c r="G27" s="75">
        <f t="shared" si="5"/>
        <v>303</v>
      </c>
      <c r="H27" s="75">
        <f t="shared" si="5"/>
        <v>186</v>
      </c>
      <c r="I27" s="75">
        <f t="shared" si="5"/>
        <v>2</v>
      </c>
      <c r="J27" s="75">
        <f t="shared" si="5"/>
        <v>212</v>
      </c>
      <c r="K27" s="75">
        <f t="shared" si="5"/>
        <v>218</v>
      </c>
      <c r="L27" s="66">
        <f>IFERROR(F27/G27-1,"n/a")</f>
        <v>9.9009900990099098E-3</v>
      </c>
      <c r="M27" s="66">
        <f>IFERROR(F27/H27-1,"n/a")</f>
        <v>0.64516129032258074</v>
      </c>
      <c r="N27" s="66">
        <f>IFERROR(F27/I27-1,"n/a")</f>
        <v>152</v>
      </c>
      <c r="O27" s="66">
        <f>IFERROR(F27/J27-1,"n/a")</f>
        <v>0.44339622641509435</v>
      </c>
      <c r="P27" s="62">
        <f>IFERROR(F27/K27-1,"n/a")</f>
        <v>0.40366972477064222</v>
      </c>
      <c r="Q27" s="75">
        <f t="shared" ref="Q27:V28" si="6">Q13+Q16+Q19+Q22+Q25</f>
        <v>306</v>
      </c>
      <c r="R27" s="75">
        <f t="shared" si="6"/>
        <v>303</v>
      </c>
      <c r="S27" s="75">
        <f t="shared" si="6"/>
        <v>186</v>
      </c>
      <c r="T27" s="75">
        <f t="shared" si="6"/>
        <v>2</v>
      </c>
      <c r="U27" s="75">
        <f t="shared" si="6"/>
        <v>212</v>
      </c>
      <c r="V27" s="75">
        <f t="shared" si="6"/>
        <v>218</v>
      </c>
      <c r="W27" s="66">
        <f>IFERROR(Q27/R27-1,"n/a")</f>
        <v>9.9009900990099098E-3</v>
      </c>
      <c r="X27" s="66">
        <f>IFERROR(Q27/S27-1,"n/a")</f>
        <v>0.64516129032258074</v>
      </c>
      <c r="Y27" s="66">
        <f>IFERROR(Q27/T27-1,"n/a")</f>
        <v>152</v>
      </c>
      <c r="Z27" s="66">
        <f>IFERROR(Q27/U27-1,"n/a")</f>
        <v>0.44339622641509435</v>
      </c>
      <c r="AA27" s="62">
        <f>IFERROR(Q27/V27-1,"n/a")</f>
        <v>0.40366972477064222</v>
      </c>
      <c r="AB27" s="75">
        <f>AB13+AB16+AB19+AB22+AB25</f>
        <v>4426</v>
      </c>
      <c r="AC27" s="75">
        <f>AC13+AC16+AC19+AC22+AC25</f>
        <v>3620</v>
      </c>
      <c r="AD27" s="46">
        <f t="shared" ref="AD27:AF28" si="7">AD13+AD16+AD19+AD22+AD25</f>
        <v>1054</v>
      </c>
      <c r="AE27" s="46">
        <f t="shared" si="7"/>
        <v>657</v>
      </c>
      <c r="AF27" s="80">
        <f t="shared" si="7"/>
        <v>3310</v>
      </c>
      <c r="AG27" s="122"/>
      <c r="AH27" s="122"/>
    </row>
    <row r="28" spans="1:34" s="123" customFormat="1" ht="14.25" thickTop="1" thickBot="1">
      <c r="A28" s="122"/>
      <c r="B28" s="127"/>
      <c r="C28" s="38" t="s">
        <v>13</v>
      </c>
      <c r="D28" s="39"/>
      <c r="E28" s="40"/>
      <c r="F28" s="76">
        <f t="shared" si="5"/>
        <v>982865</v>
      </c>
      <c r="G28" s="76">
        <f t="shared" si="5"/>
        <v>833405</v>
      </c>
      <c r="H28" s="76">
        <f t="shared" si="5"/>
        <v>219956</v>
      </c>
      <c r="I28" s="76">
        <f t="shared" si="5"/>
        <v>1288</v>
      </c>
      <c r="J28" s="76">
        <f t="shared" si="5"/>
        <v>555038</v>
      </c>
      <c r="K28" s="76">
        <f t="shared" si="5"/>
        <v>620852</v>
      </c>
      <c r="L28" s="67">
        <f>IFERROR(F28/G28-1,"n/a")</f>
        <v>0.17933657705437334</v>
      </c>
      <c r="M28" s="67">
        <f>IFERROR(F28/H28-1,"n/a")</f>
        <v>3.4684618741930207</v>
      </c>
      <c r="N28" s="67">
        <f>IFERROR(F28/I28-1,"n/a")</f>
        <v>762.09394409937886</v>
      </c>
      <c r="O28" s="67">
        <f>IFERROR(F28/J28-1,"n/a")</f>
        <v>0.77080668350635451</v>
      </c>
      <c r="P28" s="63">
        <f>IFERROR(F28/K28-1,"n/a")</f>
        <v>0.58309065606617994</v>
      </c>
      <c r="Q28" s="76">
        <f t="shared" si="6"/>
        <v>982865</v>
      </c>
      <c r="R28" s="76">
        <f t="shared" si="6"/>
        <v>833405</v>
      </c>
      <c r="S28" s="76">
        <f t="shared" si="6"/>
        <v>219956</v>
      </c>
      <c r="T28" s="76">
        <f t="shared" si="6"/>
        <v>1288</v>
      </c>
      <c r="U28" s="76">
        <f t="shared" si="6"/>
        <v>555038</v>
      </c>
      <c r="V28" s="76">
        <f t="shared" si="6"/>
        <v>620852</v>
      </c>
      <c r="W28" s="67">
        <f>IFERROR(Q28/R28-1,"n/a")</f>
        <v>0.17933657705437334</v>
      </c>
      <c r="X28" s="67">
        <f>IFERROR(Q28/S28-1,"n/a")</f>
        <v>3.4684618741930207</v>
      </c>
      <c r="Y28" s="67">
        <f>IFERROR(Q28/T28-1,"n/a")</f>
        <v>762.09394409937886</v>
      </c>
      <c r="Z28" s="67">
        <f>IFERROR(Q28/U28-1,"n/a")</f>
        <v>0.77080668350635451</v>
      </c>
      <c r="AA28" s="63">
        <f>IFERROR(Q28/V28-1,"n/a")</f>
        <v>0.58309065606617994</v>
      </c>
      <c r="AB28" s="76">
        <f>AB14+AB17+AB20+AB23+AB26</f>
        <v>12668540</v>
      </c>
      <c r="AC28" s="76">
        <f>AC14+AC17+AC20+AC23+AC26</f>
        <v>7626669</v>
      </c>
      <c r="AD28" s="47">
        <f t="shared" si="7"/>
        <v>1552483</v>
      </c>
      <c r="AE28" s="47">
        <f t="shared" si="7"/>
        <v>1314158</v>
      </c>
      <c r="AF28" s="81">
        <f t="shared" si="7"/>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70" t="str">
        <f>F9</f>
        <v>January</v>
      </c>
      <c r="G33" s="170"/>
      <c r="H33" s="170"/>
      <c r="I33" s="170"/>
      <c r="J33" s="170"/>
      <c r="K33" s="170"/>
      <c r="L33" s="170"/>
      <c r="M33" s="170"/>
      <c r="N33" s="170"/>
      <c r="O33" s="170"/>
      <c r="P33" s="171"/>
      <c r="Q33" s="176" t="str">
        <f>"April to "&amp;D4&amp;" (YTD)"</f>
        <v>April to January (YTD)</v>
      </c>
      <c r="R33" s="177"/>
      <c r="S33" s="177"/>
      <c r="T33" s="177"/>
      <c r="U33" s="177"/>
      <c r="V33" s="177"/>
      <c r="W33" s="177"/>
      <c r="X33" s="177"/>
      <c r="Y33" s="177"/>
      <c r="Z33" s="177"/>
      <c r="AA33" s="178"/>
      <c r="AB33" s="176" t="s">
        <v>58</v>
      </c>
      <c r="AC33" s="177"/>
      <c r="AD33" s="177"/>
      <c r="AE33" s="177"/>
      <c r="AF33" s="179"/>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75"/>
      <c r="AC34" s="173"/>
      <c r="AD34" s="173"/>
      <c r="AE34" s="173"/>
      <c r="AF34" s="174"/>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c r="R35" s="53" t="s">
        <v>114</v>
      </c>
      <c r="S35" s="53" t="s">
        <v>53</v>
      </c>
      <c r="T35" s="52" t="s">
        <v>54</v>
      </c>
      <c r="U35" s="52" t="s">
        <v>59</v>
      </c>
      <c r="V35" s="52" t="s">
        <v>64</v>
      </c>
      <c r="W35" s="53"/>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v>197</v>
      </c>
      <c r="G37" s="74">
        <f t="shared" ref="G37:K38" si="8">G13</f>
        <v>188</v>
      </c>
      <c r="H37" s="74">
        <f t="shared" si="8"/>
        <v>164</v>
      </c>
      <c r="I37" s="74">
        <f t="shared" si="8"/>
        <v>0</v>
      </c>
      <c r="J37" s="74">
        <f t="shared" si="8"/>
        <v>187</v>
      </c>
      <c r="K37" s="74">
        <f t="shared" si="8"/>
        <v>189</v>
      </c>
      <c r="L37" s="64">
        <f>IFERROR(F37/G37-1,"n/a")</f>
        <v>4.7872340425531901E-2</v>
      </c>
      <c r="M37" s="64">
        <f>IFERROR(F37/H37-1,"n/a")</f>
        <v>0.20121951219512191</v>
      </c>
      <c r="N37" s="64" t="str">
        <f>IFERROR(F37/I37-1,"n/a")</f>
        <v>n/a</v>
      </c>
      <c r="O37" s="64">
        <f>IFERROR(F37/J37-1,"n/a")</f>
        <v>5.3475935828876997E-2</v>
      </c>
      <c r="P37" s="60">
        <f>IFERROR(F37/K37-1,"n/a")</f>
        <v>4.2328042328042326E-2</v>
      </c>
      <c r="Q37" s="64"/>
      <c r="R37" s="74">
        <f>'Dec-23'!O37+'Jan-24'!F37</f>
        <v>1297</v>
      </c>
      <c r="S37" s="74">
        <f>'Dec-23'!P37+'Jan-24'!G37</f>
        <v>1144</v>
      </c>
      <c r="T37" s="74">
        <f>'Dec-23'!Q37+'Jan-24'!H37</f>
        <v>679</v>
      </c>
      <c r="U37" s="74">
        <f>'Dec-23'!R37+'Jan-24'!I37</f>
        <v>42</v>
      </c>
      <c r="V37" s="74">
        <f>'Dec-23'!S37+'Jan-24'!J37</f>
        <v>1255</v>
      </c>
      <c r="W37" s="64"/>
      <c r="X37" s="119">
        <f>IFERROR(R37/S37-1,"n/a")</f>
        <v>0.13374125874125875</v>
      </c>
      <c r="Y37" s="119">
        <f>IFERROR(R37/T37-1,"n/a")</f>
        <v>0.9101620029455082</v>
      </c>
      <c r="Z37" s="119">
        <f>IFERROR(R37/U37-1,"n/a")</f>
        <v>29.88095238095238</v>
      </c>
      <c r="AA37" s="120">
        <f>IFERROR(R37/V37-1,"n/a")</f>
        <v>3.3466135458167345E-2</v>
      </c>
      <c r="AB37" s="147"/>
      <c r="AC37" s="89">
        <v>1486</v>
      </c>
      <c r="AD37" s="89">
        <v>1052</v>
      </c>
      <c r="AE37" s="70">
        <v>551</v>
      </c>
      <c r="AF37" s="78">
        <v>1584</v>
      </c>
      <c r="AH37" s="122"/>
    </row>
    <row r="38" spans="1:34" s="123" customFormat="1" ht="11.25">
      <c r="A38" s="122"/>
      <c r="B38" s="122"/>
      <c r="C38" s="33"/>
      <c r="D38" s="26" t="s">
        <v>11</v>
      </c>
      <c r="E38" s="32"/>
      <c r="F38" s="74">
        <v>621308</v>
      </c>
      <c r="G38" s="74">
        <f t="shared" si="8"/>
        <v>522949</v>
      </c>
      <c r="H38" s="74">
        <f t="shared" si="8"/>
        <v>195612</v>
      </c>
      <c r="I38" s="74">
        <f t="shared" si="8"/>
        <v>0</v>
      </c>
      <c r="J38" s="74">
        <f t="shared" si="8"/>
        <v>466080</v>
      </c>
      <c r="K38" s="74">
        <f t="shared" si="8"/>
        <v>525262</v>
      </c>
      <c r="L38" s="64">
        <f>IFERROR(F38/G38-1,"n/a")</f>
        <v>0.1880852626164311</v>
      </c>
      <c r="M38" s="64">
        <f>IFERROR(F38/H38-1,"n/a")</f>
        <v>2.1762264073778703</v>
      </c>
      <c r="N38" s="64" t="str">
        <f>IFERROR(F38/I38-1,"n/a")</f>
        <v>n/a</v>
      </c>
      <c r="O38" s="64">
        <f>IFERROR(F38/J38-1,"n/a")</f>
        <v>0.33305012015104696</v>
      </c>
      <c r="P38" s="60">
        <f>IFERROR(F38/K38-1,"n/a")</f>
        <v>0.18285350929631305</v>
      </c>
      <c r="Q38" s="64"/>
      <c r="R38" s="74">
        <f>'Dec-23'!O38+'Jan-24'!F38</f>
        <v>4315661</v>
      </c>
      <c r="S38" s="74">
        <f>'Dec-23'!P38+'Jan-24'!G38</f>
        <v>3355704</v>
      </c>
      <c r="T38" s="74">
        <f>'Dec-23'!Q38+'Jan-24'!H38</f>
        <v>958813</v>
      </c>
      <c r="U38" s="74">
        <f>'Dec-23'!R38+'Jan-24'!I38</f>
        <v>0</v>
      </c>
      <c r="V38" s="74">
        <f>'Dec-23'!S38+'Jan-24'!J38</f>
        <v>3586052</v>
      </c>
      <c r="W38" s="64"/>
      <c r="X38" s="119">
        <f>IFERROR(R38/S38-1,"n/a")</f>
        <v>0.28606724550198703</v>
      </c>
      <c r="Y38" s="119">
        <f>IFERROR(R38/T38-1,"n/a")</f>
        <v>3.5010455636291953</v>
      </c>
      <c r="Z38" s="119" t="str">
        <f>IFERROR(R38/U38-1,"n/a")</f>
        <v>n/a</v>
      </c>
      <c r="AA38" s="120">
        <f>IFERROR(R38/V38-1,"n/a")</f>
        <v>0.20345745125837555</v>
      </c>
      <c r="AB38" s="147"/>
      <c r="AC38" s="89">
        <v>4370939</v>
      </c>
      <c r="AD38" s="89">
        <v>1527970</v>
      </c>
      <c r="AE38" s="84">
        <v>1092884</v>
      </c>
      <c r="AF38" s="78">
        <v>4234259</v>
      </c>
      <c r="AH38" s="122"/>
    </row>
    <row r="39" spans="1:34" s="123" customFormat="1" ht="11.25">
      <c r="A39" s="122"/>
      <c r="B39" s="122"/>
      <c r="C39" s="31" t="s">
        <v>108</v>
      </c>
      <c r="D39" s="26"/>
      <c r="E39" s="32"/>
      <c r="F39" s="26"/>
      <c r="G39" s="26"/>
      <c r="H39" s="26"/>
      <c r="I39" s="26"/>
      <c r="J39" s="26"/>
      <c r="K39" s="26"/>
      <c r="L39" s="64"/>
      <c r="M39" s="64"/>
      <c r="N39" s="64"/>
      <c r="O39" s="64"/>
      <c r="P39" s="61"/>
      <c r="Q39" s="65"/>
      <c r="R39" s="26"/>
      <c r="S39" s="26"/>
      <c r="T39" s="26"/>
      <c r="U39" s="26"/>
      <c r="V39" s="26"/>
      <c r="W39" s="64"/>
      <c r="X39" s="65"/>
      <c r="Y39" s="65"/>
      <c r="Z39" s="65"/>
      <c r="AA39" s="61"/>
      <c r="AB39" s="148"/>
      <c r="AC39" s="90"/>
      <c r="AD39" s="90"/>
      <c r="AE39" s="44"/>
      <c r="AF39" s="79"/>
      <c r="AH39" s="122"/>
    </row>
    <row r="40" spans="1:34" s="123" customFormat="1" ht="11.25">
      <c r="A40" s="122"/>
      <c r="B40" s="122"/>
      <c r="C40" s="33"/>
      <c r="D40" s="26" t="s">
        <v>5</v>
      </c>
      <c r="E40" s="32"/>
      <c r="F40" s="74">
        <v>12</v>
      </c>
      <c r="G40" s="74">
        <f t="shared" ref="G40:K41" si="9">G16</f>
        <v>5</v>
      </c>
      <c r="H40" s="74">
        <f t="shared" si="9"/>
        <v>3</v>
      </c>
      <c r="I40" s="74">
        <f t="shared" si="9"/>
        <v>2</v>
      </c>
      <c r="J40" s="74">
        <f t="shared" si="9"/>
        <v>5</v>
      </c>
      <c r="K40" s="74">
        <f t="shared" si="9"/>
        <v>5</v>
      </c>
      <c r="L40" s="64">
        <f>IFERROR(F40/G40-1,"n/a")</f>
        <v>1.4</v>
      </c>
      <c r="M40" s="64">
        <f>IFERROR(F40/H40-1,"n/a")</f>
        <v>3</v>
      </c>
      <c r="N40" s="64">
        <f>IFERROR(F40/I40-1,"n/a")</f>
        <v>5</v>
      </c>
      <c r="O40" s="64">
        <f>IFERROR(F40/J40-1,"n/a")</f>
        <v>1.4</v>
      </c>
      <c r="P40" s="60">
        <f>IFERROR(F40/K40-1,"n/a")</f>
        <v>1.4</v>
      </c>
      <c r="Q40" s="64"/>
      <c r="R40" s="74">
        <f>'Dec-23'!O40+'Jan-24'!F40</f>
        <v>558</v>
      </c>
      <c r="S40" s="74">
        <f>'Dec-23'!P40+'Jan-24'!G40</f>
        <v>541</v>
      </c>
      <c r="T40" s="74">
        <f>'Dec-23'!Q40+'Jan-24'!H40</f>
        <v>195</v>
      </c>
      <c r="U40" s="74">
        <f>'Dec-23'!R40+'Jan-24'!I40</f>
        <v>46</v>
      </c>
      <c r="V40" s="74">
        <f>'Dec-23'!S40+'Jan-24'!J40</f>
        <v>575</v>
      </c>
      <c r="W40" s="64"/>
      <c r="X40" s="119">
        <f>IFERROR(R40/S40-1,"n/a")</f>
        <v>3.1423290203327126E-2</v>
      </c>
      <c r="Y40" s="119">
        <f>IFERROR(R40/T40-1,"n/a")</f>
        <v>1.8615384615384616</v>
      </c>
      <c r="Z40" s="119">
        <f>IFERROR(R40/U40-1,"n/a")</f>
        <v>11.130434782608695</v>
      </c>
      <c r="AA40" s="120">
        <f>IFERROR(R40/V40-1,"n/a")</f>
        <v>-2.9565217391304355E-2</v>
      </c>
      <c r="AB40" s="147"/>
      <c r="AC40" s="89">
        <v>563</v>
      </c>
      <c r="AD40" s="89">
        <v>226</v>
      </c>
      <c r="AE40" s="70">
        <v>66</v>
      </c>
      <c r="AF40" s="78">
        <v>573</v>
      </c>
      <c r="AH40" s="122"/>
    </row>
    <row r="41" spans="1:34" s="123" customFormat="1" ht="11.25">
      <c r="A41" s="122"/>
      <c r="B41" s="122"/>
      <c r="C41" s="33"/>
      <c r="D41" s="26" t="s">
        <v>11</v>
      </c>
      <c r="E41" s="32"/>
      <c r="F41" s="74">
        <v>45136</v>
      </c>
      <c r="G41" s="74">
        <f t="shared" si="9"/>
        <v>15799</v>
      </c>
      <c r="H41" s="74">
        <f t="shared" si="9"/>
        <v>1702</v>
      </c>
      <c r="I41" s="74">
        <f t="shared" si="9"/>
        <v>1288</v>
      </c>
      <c r="J41" s="74">
        <f t="shared" si="9"/>
        <v>23141</v>
      </c>
      <c r="K41" s="74">
        <f t="shared" si="9"/>
        <v>20627</v>
      </c>
      <c r="L41" s="64">
        <f>IFERROR(F41/G41-1,"n/a")</f>
        <v>1.8568896765618077</v>
      </c>
      <c r="M41" s="64">
        <f>IFERROR(F41/H41-1,"n/a")</f>
        <v>25.519388954171564</v>
      </c>
      <c r="N41" s="64">
        <f>IFERROR(F41/I41-1,"n/a")</f>
        <v>34.043478260869563</v>
      </c>
      <c r="O41" s="64">
        <f>IFERROR(F41/J41-1,"n/a")</f>
        <v>0.95047750745430193</v>
      </c>
      <c r="P41" s="60">
        <f>IFERROR(F41/K41-1,"n/a")</f>
        <v>1.1881999321277936</v>
      </c>
      <c r="Q41" s="64"/>
      <c r="R41" s="74">
        <f>'Dec-23'!O41+'Jan-24'!F41</f>
        <v>1622766</v>
      </c>
      <c r="S41" s="74">
        <f>'Dec-23'!P41+'Jan-24'!G41</f>
        <v>945254</v>
      </c>
      <c r="T41" s="74">
        <f>'Dec-23'!Q41+'Jan-24'!H41</f>
        <v>294134</v>
      </c>
      <c r="U41" s="74">
        <f>'Dec-23'!R41+'Jan-24'!I41</f>
        <v>30850</v>
      </c>
      <c r="V41" s="74">
        <f>'Dec-23'!S41+'Jan-24'!J41</f>
        <v>1341300</v>
      </c>
      <c r="W41" s="64"/>
      <c r="X41" s="119">
        <f>IFERROR(R41/S41-1,"n/a")</f>
        <v>0.71675126473942452</v>
      </c>
      <c r="Y41" s="119">
        <f>IFERROR(R41/T41-1,"n/a")</f>
        <v>4.5170976493706947</v>
      </c>
      <c r="Z41" s="119">
        <f>IFERROR(R41/U41-1,"n/a")</f>
        <v>51.601815235008104</v>
      </c>
      <c r="AA41" s="120">
        <f>IFERROR(R41/V41-1,"n/a")</f>
        <v>0.20984567210914795</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64"/>
      <c r="R42" s="87"/>
      <c r="S42" s="87"/>
      <c r="T42" s="87"/>
      <c r="U42" s="87"/>
      <c r="V42" s="87"/>
      <c r="W42" s="64"/>
      <c r="X42" s="64"/>
      <c r="Y42" s="64"/>
      <c r="Z42" s="64"/>
      <c r="AA42" s="60"/>
      <c r="AB42" s="147"/>
      <c r="AC42" s="90"/>
      <c r="AD42" s="90"/>
      <c r="AE42" s="44"/>
      <c r="AF42" s="79"/>
      <c r="AH42" s="122"/>
    </row>
    <row r="43" spans="1:34" s="123" customFormat="1" ht="11.25">
      <c r="A43" s="122"/>
      <c r="B43" s="122"/>
      <c r="C43" s="33"/>
      <c r="D43" s="26" t="s">
        <v>5</v>
      </c>
      <c r="E43" s="32"/>
      <c r="F43" s="74">
        <v>2</v>
      </c>
      <c r="G43" s="74">
        <f t="shared" ref="G43:K44" si="10">G19</f>
        <v>4</v>
      </c>
      <c r="H43" s="74">
        <f t="shared" si="10"/>
        <v>3</v>
      </c>
      <c r="I43" s="74">
        <f t="shared" si="10"/>
        <v>0</v>
      </c>
      <c r="J43" s="74">
        <f t="shared" si="10"/>
        <v>1</v>
      </c>
      <c r="K43" s="74">
        <f t="shared" si="10"/>
        <v>0</v>
      </c>
      <c r="L43" s="64">
        <f>IFERROR(F43/G43-1,"n/a")</f>
        <v>-0.5</v>
      </c>
      <c r="M43" s="64">
        <f>IFERROR(F43/H43-1,"n/a")</f>
        <v>-0.33333333333333337</v>
      </c>
      <c r="N43" s="64" t="str">
        <f>IFERROR(F43/I43-1,"n/a")</f>
        <v>n/a</v>
      </c>
      <c r="O43" s="64">
        <f>IFERROR(F43/J43-1,"n/a")</f>
        <v>1</v>
      </c>
      <c r="P43" s="60" t="str">
        <f>IFERROR(F43/K43-1,"n/a")</f>
        <v>n/a</v>
      </c>
      <c r="Q43" s="64"/>
      <c r="R43" s="74">
        <f>'Dec-23'!O43+'Jan-24'!F43</f>
        <v>687</v>
      </c>
      <c r="S43" s="74">
        <f>'Dec-23'!P43+'Jan-24'!G43</f>
        <v>650</v>
      </c>
      <c r="T43" s="74">
        <f>'Dec-23'!Q43+'Jan-24'!H43</f>
        <v>50</v>
      </c>
      <c r="U43" s="74">
        <f>'Dec-23'!R43+'Jan-24'!I43</f>
        <v>7</v>
      </c>
      <c r="V43" s="74">
        <f>'Dec-23'!S43+'Jan-24'!J43</f>
        <v>285</v>
      </c>
      <c r="W43" s="64"/>
      <c r="X43" s="119">
        <f>IFERROR(R43/S43-1,"n/a")</f>
        <v>5.6923076923076854E-2</v>
      </c>
      <c r="Y43" s="119">
        <f>IFERROR(R43/T43-1,"n/a")</f>
        <v>12.74</v>
      </c>
      <c r="Z43" s="119">
        <f>IFERROR(R43/U43-1,"n/a")</f>
        <v>97.142857142857139</v>
      </c>
      <c r="AA43" s="120">
        <f>IFERROR(R43/V43-1,"n/a")</f>
        <v>1.4105263157894736</v>
      </c>
      <c r="AB43" s="147"/>
      <c r="AC43" s="89">
        <v>669</v>
      </c>
      <c r="AD43" s="89">
        <v>59</v>
      </c>
      <c r="AE43" s="70">
        <v>9</v>
      </c>
      <c r="AF43" s="78">
        <v>287</v>
      </c>
      <c r="AH43" s="122"/>
    </row>
    <row r="44" spans="1:34" s="123" customFormat="1" ht="11.25">
      <c r="A44" s="122"/>
      <c r="B44" s="122"/>
      <c r="C44" s="33"/>
      <c r="D44" s="26" t="s">
        <v>11</v>
      </c>
      <c r="E44" s="32"/>
      <c r="F44" s="74">
        <v>2840</v>
      </c>
      <c r="G44" s="74">
        <f t="shared" si="10"/>
        <v>3860</v>
      </c>
      <c r="H44" s="74">
        <f t="shared" si="10"/>
        <v>814</v>
      </c>
      <c r="I44" s="74">
        <f t="shared" si="10"/>
        <v>0</v>
      </c>
      <c r="J44" s="74">
        <f t="shared" si="10"/>
        <v>823</v>
      </c>
      <c r="K44" s="74">
        <f t="shared" si="10"/>
        <v>440</v>
      </c>
      <c r="L44" s="64">
        <f>IFERROR(F44/G44-1,"n/a")</f>
        <v>-0.26424870466321249</v>
      </c>
      <c r="M44" s="64">
        <f>IFERROR(F44/H44-1,"n/a")</f>
        <v>2.4889434889434892</v>
      </c>
      <c r="N44" s="64" t="str">
        <f>IFERROR(F44/I44-1,"n/a")</f>
        <v>n/a</v>
      </c>
      <c r="O44" s="64">
        <f>IFERROR(F44/J44-1,"n/a")</f>
        <v>2.4507897934386391</v>
      </c>
      <c r="P44" s="60">
        <f>IFERROR(F44/K44-1,"n/a")</f>
        <v>5.4545454545454541</v>
      </c>
      <c r="Q44" s="64"/>
      <c r="R44" s="74">
        <f>'Dec-23'!O44+'Jan-24'!F44</f>
        <v>1259520</v>
      </c>
      <c r="S44" s="74">
        <f>'Dec-23'!P44+'Jan-24'!G44</f>
        <v>888270</v>
      </c>
      <c r="T44" s="74">
        <f>'Dec-23'!Q44+'Jan-24'!H44</f>
        <v>18355</v>
      </c>
      <c r="U44" s="74">
        <f>'Dec-23'!R44+'Jan-24'!I44</f>
        <v>8294</v>
      </c>
      <c r="V44" s="74">
        <f>'Dec-23'!S44+'Jan-24'!J44</f>
        <v>580269</v>
      </c>
      <c r="W44" s="64"/>
      <c r="X44" s="119">
        <f>IFERROR(R44/S44-1,"n/a")</f>
        <v>0.41794724576986719</v>
      </c>
      <c r="Y44" s="119">
        <f>IFERROR(R44/T44-1,"n/a")</f>
        <v>67.619994551893214</v>
      </c>
      <c r="Z44" s="119">
        <f>IFERROR(R44/U44-1,"n/a")</f>
        <v>150.85917530745118</v>
      </c>
      <c r="AA44" s="120">
        <f>IFERROR(R44/V44-1,"n/a")</f>
        <v>1.170579507090677</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64"/>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v>95</v>
      </c>
      <c r="G46" s="74">
        <f t="shared" ref="G46:K47" si="11">G22</f>
        <v>106</v>
      </c>
      <c r="H46" s="74">
        <f t="shared" si="11"/>
        <v>16</v>
      </c>
      <c r="I46" s="74">
        <f t="shared" si="11"/>
        <v>0</v>
      </c>
      <c r="J46" s="74">
        <f t="shared" si="11"/>
        <v>19</v>
      </c>
      <c r="K46" s="74">
        <f t="shared" si="11"/>
        <v>24</v>
      </c>
      <c r="L46" s="64">
        <f>IFERROR(F46/G46-1,"n/a")</f>
        <v>-0.10377358490566035</v>
      </c>
      <c r="M46" s="64">
        <f>IFERROR(F46/H46-1,"n/a")</f>
        <v>4.9375</v>
      </c>
      <c r="N46" s="64" t="str">
        <f>IFERROR(F46/I46-1,"n/a")</f>
        <v>n/a</v>
      </c>
      <c r="O46" s="64">
        <f>IFERROR(F46/J46-1,"n/a")</f>
        <v>4</v>
      </c>
      <c r="P46" s="60">
        <f>IFERROR(F46/K46-1,"n/a")</f>
        <v>2.9583333333333335</v>
      </c>
      <c r="Q46" s="64"/>
      <c r="R46" s="74">
        <f>'Dec-23'!O46+'Jan-24'!F46</f>
        <v>1307</v>
      </c>
      <c r="S46" s="74">
        <f>'Dec-23'!P46+'Jan-24'!G46</f>
        <v>944</v>
      </c>
      <c r="T46" s="74">
        <f>'Dec-23'!Q46+'Jan-24'!H46</f>
        <v>299</v>
      </c>
      <c r="U46" s="74">
        <f>'Dec-23'!R46+'Jan-24'!I46</f>
        <v>0</v>
      </c>
      <c r="V46" s="74">
        <f>'Dec-23'!S46+'Jan-24'!J46</f>
        <v>757</v>
      </c>
      <c r="W46" s="64"/>
      <c r="X46" s="119">
        <f>IFERROR(R46/S46-1,"n/a")</f>
        <v>0.38453389830508478</v>
      </c>
      <c r="Y46" s="119">
        <f>IFERROR(R46/T46-1,"n/a")</f>
        <v>3.3712374581939804</v>
      </c>
      <c r="Z46" s="119" t="str">
        <f>IFERROR(R46/U46-1,"n/a")</f>
        <v>n/a</v>
      </c>
      <c r="AA46" s="120">
        <f>IFERROR(R46/V46-1,"n/a")</f>
        <v>0.72655217965653907</v>
      </c>
      <c r="AB46" s="147"/>
      <c r="AC46" s="89">
        <v>1129</v>
      </c>
      <c r="AD46" s="89">
        <v>336</v>
      </c>
      <c r="AE46" s="84">
        <v>43</v>
      </c>
      <c r="AF46" s="78">
        <v>781</v>
      </c>
      <c r="AH46" s="122"/>
    </row>
    <row r="47" spans="1:34" s="123" customFormat="1" ht="11.25">
      <c r="A47" s="122"/>
      <c r="B47" s="122"/>
      <c r="C47" s="33"/>
      <c r="D47" s="26" t="s">
        <v>11</v>
      </c>
      <c r="E47" s="32"/>
      <c r="F47" s="74">
        <v>313581</v>
      </c>
      <c r="G47" s="74">
        <f t="shared" si="11"/>
        <v>290797</v>
      </c>
      <c r="H47" s="74">
        <f t="shared" si="11"/>
        <v>21828</v>
      </c>
      <c r="I47" s="74">
        <f t="shared" si="11"/>
        <v>0</v>
      </c>
      <c r="J47" s="74">
        <f t="shared" si="11"/>
        <v>64994</v>
      </c>
      <c r="K47" s="74">
        <f t="shared" si="11"/>
        <v>74523</v>
      </c>
      <c r="L47" s="64">
        <f>IFERROR(F47/G47-1,"n/a")</f>
        <v>7.8350189307317519E-2</v>
      </c>
      <c r="M47" s="64">
        <f>IFERROR(F47/H47-1,"n/a")</f>
        <v>13.365997800989554</v>
      </c>
      <c r="N47" s="64" t="str">
        <f>IFERROR(F47/I47-1,"n/a")</f>
        <v>n/a</v>
      </c>
      <c r="O47" s="64">
        <f>IFERROR(F47/J47-1,"n/a")</f>
        <v>3.824768440163707</v>
      </c>
      <c r="P47" s="60">
        <f>IFERROR(F47/K47-1,"n/a")</f>
        <v>3.2078418743206791</v>
      </c>
      <c r="Q47" s="64"/>
      <c r="R47" s="74">
        <f>'Dec-23'!O47+'Jan-24'!F47</f>
        <v>3917773</v>
      </c>
      <c r="S47" s="74">
        <f>'Dec-23'!P47+'Jan-24'!G47</f>
        <v>2381593</v>
      </c>
      <c r="T47" s="74">
        <f>'Dec-23'!Q47+'Jan-24'!H47</f>
        <v>486937</v>
      </c>
      <c r="U47" s="74">
        <f>'Dec-23'!R47+'Jan-24'!I47</f>
        <v>0</v>
      </c>
      <c r="V47" s="74">
        <f>'Dec-23'!S47+'Jan-24'!J47</f>
        <v>2366036</v>
      </c>
      <c r="W47" s="64"/>
      <c r="X47" s="119">
        <f>IFERROR(R47/S47-1,"n/a")</f>
        <v>0.64502205036712823</v>
      </c>
      <c r="Y47" s="119">
        <f>IFERROR(R47/T47-1,"n/a")</f>
        <v>7.0457492447688299</v>
      </c>
      <c r="Z47" s="119" t="str">
        <f>IFERROR(R47/U47-1,"n/a")</f>
        <v>n/a</v>
      </c>
      <c r="AA47" s="120">
        <f>IFERROR(R47/V47-1,"n/a")</f>
        <v>0.65583828817482059</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64"/>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v>0</v>
      </c>
      <c r="G49" s="74">
        <f t="shared" ref="G49:K50" si="12">G25</f>
        <v>0</v>
      </c>
      <c r="H49" s="74">
        <f t="shared" si="12"/>
        <v>0</v>
      </c>
      <c r="I49" s="74">
        <f t="shared" si="12"/>
        <v>0</v>
      </c>
      <c r="J49" s="74">
        <f t="shared" si="12"/>
        <v>0</v>
      </c>
      <c r="K49" s="74">
        <f t="shared" si="12"/>
        <v>0</v>
      </c>
      <c r="L49" s="64" t="str">
        <f>IFERROR(F49/G49-1,"n/a")</f>
        <v>n/a</v>
      </c>
      <c r="M49" s="64" t="str">
        <f>IFERROR(F49/H49-1,"n/a")</f>
        <v>n/a</v>
      </c>
      <c r="N49" s="64" t="str">
        <f>IFERROR(F49/I49-1,"n/a")</f>
        <v>n/a</v>
      </c>
      <c r="O49" s="64" t="str">
        <f>IFERROR(F49/J49-1,"n/a")</f>
        <v>n/a</v>
      </c>
      <c r="P49" s="60" t="str">
        <f>IFERROR(F49/K49-1,"n/a")</f>
        <v>n/a</v>
      </c>
      <c r="Q49" s="64"/>
      <c r="R49" s="74">
        <f>'Dec-23'!O49+'Jan-24'!F49</f>
        <v>21</v>
      </c>
      <c r="S49" s="74">
        <f>'Dec-23'!P49+'Jan-24'!G49</f>
        <v>9</v>
      </c>
      <c r="T49" s="74">
        <f>'Dec-23'!Q49+'Jan-24'!I49</f>
        <v>0</v>
      </c>
      <c r="U49" s="74">
        <f>'Dec-23'!R49+'Jan-24'!J49</f>
        <v>0</v>
      </c>
      <c r="V49" s="74">
        <f>'Dec-23'!S49+'Jan-24'!K49</f>
        <v>16</v>
      </c>
      <c r="W49" s="64"/>
      <c r="X49" s="119">
        <f>IFERROR(R49/S49-1,"n/a")</f>
        <v>1.3333333333333335</v>
      </c>
      <c r="Y49" s="119" t="str">
        <f>IFERROR(R49/T49-1,"n/a")</f>
        <v>n/a</v>
      </c>
      <c r="Z49" s="119" t="str">
        <f>IFERROR(R49/U49-1,"n/a")</f>
        <v>n/a</v>
      </c>
      <c r="AA49" s="120">
        <f>IFERROR(R49/V49-1,"n/a")</f>
        <v>0.3125</v>
      </c>
      <c r="AB49" s="147"/>
      <c r="AC49" s="89">
        <v>9</v>
      </c>
      <c r="AD49" s="68">
        <v>0</v>
      </c>
      <c r="AE49" s="68">
        <v>0</v>
      </c>
      <c r="AF49" s="78">
        <v>16</v>
      </c>
      <c r="AH49" s="122"/>
    </row>
    <row r="50" spans="3:34" s="123" customFormat="1" ht="11.25">
      <c r="C50" s="33"/>
      <c r="D50" s="26" t="s">
        <v>11</v>
      </c>
      <c r="E50" s="32"/>
      <c r="F50" s="74">
        <v>0</v>
      </c>
      <c r="G50" s="74">
        <f t="shared" si="12"/>
        <v>0</v>
      </c>
      <c r="H50" s="74">
        <f t="shared" si="12"/>
        <v>0</v>
      </c>
      <c r="I50" s="74">
        <f t="shared" si="12"/>
        <v>0</v>
      </c>
      <c r="J50" s="74">
        <f t="shared" si="12"/>
        <v>0</v>
      </c>
      <c r="K50" s="74">
        <f t="shared" si="12"/>
        <v>0</v>
      </c>
      <c r="L50" s="64" t="str">
        <f>IFERROR(F50/G50-1,"n/a")</f>
        <v>n/a</v>
      </c>
      <c r="M50" s="64" t="str">
        <f>IFERROR(F50/H50-1,"n/a")</f>
        <v>n/a</v>
      </c>
      <c r="N50" s="64" t="str">
        <f>IFERROR(F50/I50-1,"n/a")</f>
        <v>n/a</v>
      </c>
      <c r="O50" s="64" t="str">
        <f>IFERROR(F50/J50-1,"n/a")</f>
        <v>n/a</v>
      </c>
      <c r="P50" s="60" t="str">
        <f>IFERROR(F50/K50-1,"n/a")</f>
        <v>n/a</v>
      </c>
      <c r="Q50" s="64"/>
      <c r="R50" s="74">
        <f>'Dec-23'!O50+'Jan-24'!F50</f>
        <v>38626</v>
      </c>
      <c r="S50" s="74">
        <f>'Dec-23'!P50+'Jan-24'!G50</f>
        <v>15637</v>
      </c>
      <c r="T50" s="74">
        <f>'Dec-23'!Q50+'Jan-24'!I50</f>
        <v>0</v>
      </c>
      <c r="U50" s="74">
        <f>'Dec-23'!R50+'Jan-24'!J50</f>
        <v>0</v>
      </c>
      <c r="V50" s="74">
        <f>'Dec-23'!S50+'Jan-24'!K50</f>
        <v>20248</v>
      </c>
      <c r="W50" s="64"/>
      <c r="X50" s="119">
        <f>IFERROR(R50/S50-1,"n/a")</f>
        <v>1.4701669118117286</v>
      </c>
      <c r="Y50" s="119" t="str">
        <f>IFERROR(R50/T50-1,"n/a")</f>
        <v>n/a</v>
      </c>
      <c r="Z50" s="119" t="str">
        <f>IFERROR(R50/U50-1,"n/a")</f>
        <v>n/a</v>
      </c>
      <c r="AA50" s="120">
        <f>IFERROR(R50/V50-1,"n/a")</f>
        <v>0.90764519952587919</v>
      </c>
      <c r="AB50" s="147"/>
      <c r="AC50" s="82">
        <v>15637</v>
      </c>
      <c r="AD50" s="68">
        <v>0</v>
      </c>
      <c r="AE50" s="68">
        <v>0</v>
      </c>
      <c r="AF50" s="78">
        <v>20248</v>
      </c>
      <c r="AH50" s="122"/>
    </row>
    <row r="51" spans="3:34" s="123" customFormat="1" ht="12" thickBot="1">
      <c r="C51" s="35" t="s">
        <v>12</v>
      </c>
      <c r="D51" s="36"/>
      <c r="E51" s="37"/>
      <c r="F51" s="75">
        <f>F37+F40+F43+F46+F49</f>
        <v>306</v>
      </c>
      <c r="G51" s="75">
        <f>G37+G40+G43+G46+G49</f>
        <v>303</v>
      </c>
      <c r="H51" s="75">
        <f t="shared" ref="H51:K52" si="13">H37+H40+H43+H46+H49</f>
        <v>186</v>
      </c>
      <c r="I51" s="75">
        <f t="shared" si="13"/>
        <v>2</v>
      </c>
      <c r="J51" s="75">
        <f t="shared" si="13"/>
        <v>212</v>
      </c>
      <c r="K51" s="75">
        <f t="shared" si="13"/>
        <v>218</v>
      </c>
      <c r="L51" s="66">
        <f>IFERROR(F51/G51-1,"n/a")</f>
        <v>9.9009900990099098E-3</v>
      </c>
      <c r="M51" s="66">
        <f>IFERROR(F51/H51-1,"n/a")</f>
        <v>0.64516129032258074</v>
      </c>
      <c r="N51" s="66">
        <f>IFERROR(F51/I51-1,"n/a")</f>
        <v>152</v>
      </c>
      <c r="O51" s="66">
        <f>IFERROR(F51/J51-1,"n/a")</f>
        <v>0.44339622641509435</v>
      </c>
      <c r="P51" s="62">
        <f>IFERROR(F51/K51-1,"n/a")</f>
        <v>0.40366972477064222</v>
      </c>
      <c r="Q51" s="66"/>
      <c r="R51" s="75">
        <f>R37+R40+R43+R46+R49</f>
        <v>3870</v>
      </c>
      <c r="S51" s="75">
        <f t="shared" ref="R51:V52" si="14">S37+S40+S43+S46+S49</f>
        <v>3288</v>
      </c>
      <c r="T51" s="75">
        <f t="shared" si="14"/>
        <v>1223</v>
      </c>
      <c r="U51" s="75">
        <f t="shared" si="14"/>
        <v>95</v>
      </c>
      <c r="V51" s="75">
        <f t="shared" si="14"/>
        <v>2888</v>
      </c>
      <c r="W51" s="66"/>
      <c r="X51" s="66">
        <f>IFERROR(R51/S51-1,"n/a")</f>
        <v>0.17700729927007308</v>
      </c>
      <c r="Y51" s="66">
        <f>IFERROR(R51/T51-1,"n/a")</f>
        <v>2.1643499591169255</v>
      </c>
      <c r="Z51" s="66">
        <f t="shared" ref="Z51:Z52" si="15">IFERROR(R51/U51-1,"n/a")</f>
        <v>39.736842105263158</v>
      </c>
      <c r="AA51" s="62">
        <f>IFERROR(R51/V51-1,"n/a")</f>
        <v>0.34002770083102485</v>
      </c>
      <c r="AB51" s="66"/>
      <c r="AC51" s="46">
        <f t="shared" ref="AC51:AE52" si="16">AC37+AC40+AC43+AC46+AC49</f>
        <v>3856</v>
      </c>
      <c r="AD51" s="46">
        <f t="shared" si="16"/>
        <v>1673</v>
      </c>
      <c r="AE51" s="46">
        <f t="shared" si="16"/>
        <v>669</v>
      </c>
      <c r="AF51" s="80">
        <f>AF37+AF40+AF43+AF46+AF49</f>
        <v>3241</v>
      </c>
      <c r="AH51" s="122"/>
    </row>
    <row r="52" spans="3:34" s="123" customFormat="1" ht="12.75" thickTop="1" thickBot="1">
      <c r="C52" s="38" t="s">
        <v>13</v>
      </c>
      <c r="D52" s="39"/>
      <c r="E52" s="40"/>
      <c r="F52" s="76">
        <f>F38+F41+F44+F47+F50</f>
        <v>982865</v>
      </c>
      <c r="G52" s="76">
        <f>G38+G41+G44+G47+G50</f>
        <v>833405</v>
      </c>
      <c r="H52" s="76">
        <f t="shared" si="13"/>
        <v>219956</v>
      </c>
      <c r="I52" s="76">
        <f t="shared" si="13"/>
        <v>1288</v>
      </c>
      <c r="J52" s="76">
        <f t="shared" si="13"/>
        <v>555038</v>
      </c>
      <c r="K52" s="76">
        <f t="shared" si="13"/>
        <v>620852</v>
      </c>
      <c r="L52" s="67">
        <f>IFERROR(F52/G52-1,"n/a")</f>
        <v>0.17933657705437334</v>
      </c>
      <c r="M52" s="67">
        <f>IFERROR(F52/H52-1,"n/a")</f>
        <v>3.4684618741930207</v>
      </c>
      <c r="N52" s="67">
        <f>IFERROR(F52/I52-1,"n/a")</f>
        <v>762.09394409937886</v>
      </c>
      <c r="O52" s="67">
        <f>IFERROR(F52/J52-1,"n/a")</f>
        <v>0.77080668350635451</v>
      </c>
      <c r="P52" s="63">
        <f>IFERROR(F52/K52-1,"n/a")</f>
        <v>0.58309065606617994</v>
      </c>
      <c r="Q52" s="67"/>
      <c r="R52" s="76">
        <f t="shared" si="14"/>
        <v>11154346</v>
      </c>
      <c r="S52" s="76">
        <f t="shared" si="14"/>
        <v>7586458</v>
      </c>
      <c r="T52" s="76">
        <f t="shared" si="14"/>
        <v>1758239</v>
      </c>
      <c r="U52" s="76">
        <f t="shared" si="14"/>
        <v>39144</v>
      </c>
      <c r="V52" s="76">
        <f t="shared" si="14"/>
        <v>7893905</v>
      </c>
      <c r="W52" s="67"/>
      <c r="X52" s="67">
        <f>IFERROR(R52/S52-1,"n/a")</f>
        <v>0.47029694226212015</v>
      </c>
      <c r="Y52" s="117">
        <f>IFERROR(R52/T52-1,"n/a")</f>
        <v>5.344044239719401</v>
      </c>
      <c r="Z52" s="117">
        <f t="shared" si="15"/>
        <v>283.95672389127327</v>
      </c>
      <c r="AA52" s="118">
        <f>IFERROR(R52/V52-1,"n/a")</f>
        <v>0.41303271321354895</v>
      </c>
      <c r="AB52" s="117"/>
      <c r="AC52" s="47">
        <f t="shared" si="16"/>
        <v>9237323</v>
      </c>
      <c r="AD52" s="47">
        <f t="shared" si="16"/>
        <v>2410085</v>
      </c>
      <c r="AE52" s="47">
        <f t="shared" si="16"/>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0E97-CD77-46D6-867E-9BA1FB30EB35}">
  <dimension ref="A1:AC66"/>
  <sheetViews>
    <sheetView showGridLines="0" topLeftCell="T4" zoomScaleNormal="100" workbookViewId="0">
      <selection activeCell="K4" sqref="K4"/>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45306</v>
      </c>
      <c r="AB3" s="25"/>
      <c r="AC3" s="9"/>
    </row>
    <row r="4" spans="1:29" ht="15.75">
      <c r="A4" s="9"/>
      <c r="B4" s="11" t="s">
        <v>7</v>
      </c>
      <c r="C4" s="26"/>
      <c r="D4" s="93" t="s">
        <v>31</v>
      </c>
      <c r="E4" s="133">
        <v>2023</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7" t="str">
        <f>D4</f>
        <v>December</v>
      </c>
      <c r="G9" s="170"/>
      <c r="H9" s="170"/>
      <c r="I9" s="170"/>
      <c r="J9" s="170"/>
      <c r="K9" s="170"/>
      <c r="L9" s="170"/>
      <c r="M9" s="170"/>
      <c r="N9" s="171"/>
      <c r="O9" s="169" t="str">
        <f>"January to "&amp; D4</f>
        <v>January to December</v>
      </c>
      <c r="P9" s="170"/>
      <c r="Q9" s="170"/>
      <c r="R9" s="170"/>
      <c r="S9" s="170"/>
      <c r="T9" s="170"/>
      <c r="U9" s="170"/>
      <c r="V9" s="170"/>
      <c r="W9" s="171"/>
      <c r="X9" s="169" t="s">
        <v>57</v>
      </c>
      <c r="Y9" s="170"/>
      <c r="Z9" s="170"/>
      <c r="AA9" s="172"/>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1">
        <v>229</v>
      </c>
      <c r="G13" s="71">
        <v>191</v>
      </c>
      <c r="H13" s="71">
        <v>172</v>
      </c>
      <c r="I13" s="71">
        <v>0</v>
      </c>
      <c r="J13" s="71">
        <v>200</v>
      </c>
      <c r="K13" s="64">
        <f>IFERROR(F13/G13-1,"n/a")</f>
        <v>0.19895287958115193</v>
      </c>
      <c r="L13" s="64">
        <f t="shared" ref="L13:L28" si="0">IFERROR(F13/H13-1,"n/a")</f>
        <v>0.33139534883720922</v>
      </c>
      <c r="M13" s="64" t="str">
        <f>IFERROR(F13/I13-1,"n/a")</f>
        <v>n/a</v>
      </c>
      <c r="N13" s="60">
        <f>IFERROR(F13/J13-1,"n/a")</f>
        <v>0.14500000000000002</v>
      </c>
      <c r="O13" s="68">
        <f>'Nov-23'!O13+'Dec-23'!F13</f>
        <v>1630</v>
      </c>
      <c r="P13" s="68">
        <f>'Nov-23'!$P$13+G13</f>
        <v>1486</v>
      </c>
      <c r="Q13" s="68">
        <f>'Nov-23'!Q13+'Dec-23'!H13</f>
        <v>515</v>
      </c>
      <c r="R13" s="68">
        <f>'Nov-23'!R13+'Dec-23'!I13</f>
        <v>551</v>
      </c>
      <c r="S13" s="68">
        <f>'Nov-23'!S13+'Dec-23'!J13</f>
        <v>1584</v>
      </c>
      <c r="T13" s="64">
        <f>IFERROR(O13/P13-1,"n/a")</f>
        <v>9.6904441453566692E-2</v>
      </c>
      <c r="U13" s="64">
        <f>IFERROR(O13/Q13-1,"n/a")</f>
        <v>2.1650485436893203</v>
      </c>
      <c r="V13" s="64">
        <f>IFERROR(O13/R13-1,"n/a")</f>
        <v>1.958257713248639</v>
      </c>
      <c r="W13" s="60">
        <f>IFERROR(O13/S13-1,"n/a")</f>
        <v>2.9040404040403978E-2</v>
      </c>
      <c r="X13" s="68">
        <v>1486</v>
      </c>
      <c r="Y13" s="68">
        <v>522</v>
      </c>
      <c r="Z13" s="68">
        <v>551</v>
      </c>
      <c r="AA13" s="134">
        <v>1591</v>
      </c>
      <c r="AB13" s="122"/>
      <c r="AC13" s="122"/>
    </row>
    <row r="14" spans="1:29" s="123" customFormat="1" ht="12.75">
      <c r="A14" s="122"/>
      <c r="B14" s="127"/>
      <c r="C14" s="33"/>
      <c r="D14" s="26" t="s">
        <v>11</v>
      </c>
      <c r="E14" s="32"/>
      <c r="F14" s="71">
        <v>666281</v>
      </c>
      <c r="G14" s="71">
        <v>518319</v>
      </c>
      <c r="H14" s="71">
        <v>253217</v>
      </c>
      <c r="I14" s="71">
        <v>0</v>
      </c>
      <c r="J14" s="71">
        <v>506611</v>
      </c>
      <c r="K14" s="64">
        <f>IFERROR(F14/G14-1,"n/a")</f>
        <v>0.28546512861770457</v>
      </c>
      <c r="L14" s="64">
        <f t="shared" si="0"/>
        <v>1.6312648834793873</v>
      </c>
      <c r="M14" s="64" t="str">
        <f>IFERROR(F14/I14-1,"n/a")</f>
        <v>n/a</v>
      </c>
      <c r="N14" s="60">
        <f>IFERROR(F14/J14-1,"n/a")</f>
        <v>0.31517278543103089</v>
      </c>
      <c r="O14" s="68">
        <f>'Nov-23'!$O$14+F14</f>
        <v>5232537</v>
      </c>
      <c r="P14" s="68">
        <f>'Nov-23'!P14+'Dec-23'!G14</f>
        <v>3592413</v>
      </c>
      <c r="Q14" s="68">
        <f>'Nov-23'!Q14+'Dec-23'!H14</f>
        <v>763201</v>
      </c>
      <c r="R14" s="68">
        <f>'Nov-23'!R14+'Dec-23'!I14</f>
        <v>1092884</v>
      </c>
      <c r="S14" s="68">
        <f>'Nov-23'!S14+'Dec-23'!J14</f>
        <v>4571076</v>
      </c>
      <c r="T14" s="64">
        <f>IFERROR(O14/P14-1,"n/a")</f>
        <v>0.45655218372720507</v>
      </c>
      <c r="U14" s="64">
        <f>IFERROR(O14/Q14-1,"n/a")</f>
        <v>5.8560405450202504</v>
      </c>
      <c r="V14" s="64">
        <f>IFERROR(O14/R14-1,"n/a")</f>
        <v>3.7878246913670619</v>
      </c>
      <c r="W14" s="60">
        <f>IFERROR(O14/S14-1,"n/a")</f>
        <v>0.14470575418129128</v>
      </c>
      <c r="X14" s="68">
        <v>3592413</v>
      </c>
      <c r="Y14" s="68">
        <v>768312</v>
      </c>
      <c r="Z14" s="68">
        <v>1092884</v>
      </c>
      <c r="AA14" s="134">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3"/>
      <c r="AA15" s="135"/>
      <c r="AB15" s="122"/>
      <c r="AC15" s="122"/>
    </row>
    <row r="16" spans="1:29" s="123" customFormat="1" ht="12.75">
      <c r="A16" s="122"/>
      <c r="B16" s="127"/>
      <c r="C16" s="33"/>
      <c r="D16" s="26" t="s">
        <v>5</v>
      </c>
      <c r="E16" s="32"/>
      <c r="F16" s="71">
        <v>12</v>
      </c>
      <c r="G16" s="71">
        <v>6</v>
      </c>
      <c r="H16" s="71">
        <v>7</v>
      </c>
      <c r="I16" s="71">
        <v>6</v>
      </c>
      <c r="J16" s="71">
        <v>47</v>
      </c>
      <c r="K16" s="64">
        <f>IFERROR(F16/G16-1,"n/a")</f>
        <v>1</v>
      </c>
      <c r="L16" s="64">
        <f t="shared" si="0"/>
        <v>0.71428571428571419</v>
      </c>
      <c r="M16" s="64">
        <f>IFERROR(F16/I16-1,"n/a")</f>
        <v>1</v>
      </c>
      <c r="N16" s="60">
        <f>IFERROR(F16/J16-1,"n/a")</f>
        <v>-0.74468085106382986</v>
      </c>
      <c r="O16" s="68">
        <f>'Nov-23'!$O$16+F16</f>
        <v>573</v>
      </c>
      <c r="P16" s="68">
        <f>'Nov-23'!P16+'Dec-23'!G16</f>
        <v>572</v>
      </c>
      <c r="Q16" s="68">
        <f>'Nov-23'!Q16+'Dec-23'!H16</f>
        <v>204</v>
      </c>
      <c r="R16" s="68">
        <f>'Nov-23'!R16+'Dec-23'!I16</f>
        <v>54</v>
      </c>
      <c r="S16" s="68">
        <f>'Nov-23'!S16+'Dec-23'!J16</f>
        <v>593</v>
      </c>
      <c r="T16" s="64">
        <f>IFERROR(O16/P16-1,"n/a")</f>
        <v>1.7482517482516613E-3</v>
      </c>
      <c r="U16" s="64">
        <f>IFERROR(O16/Q16-1,"n/a")</f>
        <v>1.8088235294117645</v>
      </c>
      <c r="V16" s="64">
        <f>IFERROR(O16/R16-1,"n/a")</f>
        <v>9.6111111111111107</v>
      </c>
      <c r="W16" s="60">
        <f>IFERROR(O16/S16-1,"n/a")</f>
        <v>-3.3726812816188834E-2</v>
      </c>
      <c r="X16" s="68">
        <v>572</v>
      </c>
      <c r="Y16" s="68">
        <v>202</v>
      </c>
      <c r="Z16" s="68">
        <v>54</v>
      </c>
      <c r="AA16" s="134">
        <v>586</v>
      </c>
      <c r="AB16" s="122"/>
      <c r="AC16" s="122"/>
    </row>
    <row r="17" spans="1:29" s="123" customFormat="1" ht="12.75">
      <c r="A17" s="122"/>
      <c r="B17" s="127"/>
      <c r="C17" s="33"/>
      <c r="D17" s="26" t="s">
        <v>11</v>
      </c>
      <c r="E17" s="32"/>
      <c r="F17" s="71">
        <v>30889</v>
      </c>
      <c r="G17" s="71">
        <v>22360</v>
      </c>
      <c r="H17" s="71">
        <v>13748</v>
      </c>
      <c r="I17" s="71">
        <v>2141</v>
      </c>
      <c r="J17" s="71">
        <v>55736</v>
      </c>
      <c r="K17" s="64">
        <f>IFERROR(F17/G17-1,"n/a")</f>
        <v>0.38144007155635062</v>
      </c>
      <c r="L17" s="64">
        <f t="shared" si="0"/>
        <v>1.2467995344777423</v>
      </c>
      <c r="M17" s="64">
        <f>IFERROR(F17/I17-1,"n/a")</f>
        <v>13.427370387669313</v>
      </c>
      <c r="N17" s="60">
        <f>IFERROR(F17/J17-1,"n/a")</f>
        <v>-0.44579804794028999</v>
      </c>
      <c r="O17" s="68">
        <f>'Nov-23'!O17+'Dec-23'!F17</f>
        <v>1660685</v>
      </c>
      <c r="P17" s="68">
        <f>'Nov-23'!P17+'Dec-23'!G17</f>
        <v>965963</v>
      </c>
      <c r="Q17" s="68">
        <f>'Nov-23'!Q17+'Dec-23'!H17</f>
        <v>302535</v>
      </c>
      <c r="R17" s="68">
        <f>'Nov-23'!R17+'Dec-23'!I17</f>
        <v>70675</v>
      </c>
      <c r="S17" s="68">
        <f>'Nov-23'!S17+'Dec-23'!J17</f>
        <v>1398533</v>
      </c>
      <c r="T17" s="64">
        <f>IFERROR(O17/P17-1,"n/a")</f>
        <v>0.71920146009733288</v>
      </c>
      <c r="U17" s="64">
        <f>IFERROR(O17/Q17-1,"n/a")</f>
        <v>4.4892326507676801</v>
      </c>
      <c r="V17" s="64">
        <f>IFERROR(O17/R17-1,"n/a")</f>
        <v>22.497488503714184</v>
      </c>
      <c r="W17" s="60">
        <f>IFERROR(O17/S17-1,"n/a")</f>
        <v>0.18744784713696427</v>
      </c>
      <c r="X17" s="68">
        <v>965963</v>
      </c>
      <c r="Y17" s="68">
        <v>301521</v>
      </c>
      <c r="Z17" s="68">
        <v>70675</v>
      </c>
      <c r="AA17" s="134">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3"/>
      <c r="AA18" s="135"/>
      <c r="AB18" s="122"/>
      <c r="AC18" s="122"/>
    </row>
    <row r="19" spans="1:29" s="123" customFormat="1" ht="12.75">
      <c r="A19" s="122"/>
      <c r="B19" s="127"/>
      <c r="C19" s="33"/>
      <c r="D19" s="26" t="s">
        <v>5</v>
      </c>
      <c r="E19" s="32"/>
      <c r="F19" s="71">
        <v>8</v>
      </c>
      <c r="G19" s="71">
        <v>9</v>
      </c>
      <c r="H19" s="71">
        <v>3</v>
      </c>
      <c r="I19" s="71">
        <v>0</v>
      </c>
      <c r="J19" s="71">
        <v>10</v>
      </c>
      <c r="K19" s="64">
        <f>IFERROR(F19/G19-1,"n/a")</f>
        <v>-0.11111111111111116</v>
      </c>
      <c r="L19" s="64">
        <f t="shared" si="0"/>
        <v>1.6666666666666665</v>
      </c>
      <c r="M19" s="64" t="str">
        <f>IFERROR(F19/I19-1,"n/a")</f>
        <v>n/a</v>
      </c>
      <c r="N19" s="60">
        <f>IFERROR(F19/J19-1,"n/a")</f>
        <v>-0.19999999999999996</v>
      </c>
      <c r="O19" s="68">
        <f>'Nov-23'!O19+'Dec-23'!F19</f>
        <v>708</v>
      </c>
      <c r="P19" s="68">
        <f>'Nov-23'!P19+'Dec-23'!G19</f>
        <v>658</v>
      </c>
      <c r="Q19" s="68">
        <f>'Nov-23'!Q19+'Dec-23'!H19</f>
        <v>47</v>
      </c>
      <c r="R19" s="68">
        <f>'Nov-23'!R19+'Dec-23'!I19</f>
        <v>10</v>
      </c>
      <c r="S19" s="68">
        <f>'Nov-23'!S19+'Dec-23'!J19</f>
        <v>290</v>
      </c>
      <c r="T19" s="64">
        <f>IFERROR(O19/P19-1,"n/a")</f>
        <v>7.5987841945288848E-2</v>
      </c>
      <c r="U19" s="64">
        <f>IFERROR(O19/Q19-1,"n/a")</f>
        <v>14.063829787234043</v>
      </c>
      <c r="V19" s="64">
        <f>IFERROR(O19/R19-1,"n/a")</f>
        <v>69.8</v>
      </c>
      <c r="W19" s="60">
        <f>IFERROR(O19/S19-1,"n/a")</f>
        <v>1.4413793103448276</v>
      </c>
      <c r="X19" s="68">
        <v>658</v>
      </c>
      <c r="Y19" s="68">
        <v>47</v>
      </c>
      <c r="Z19" s="68">
        <v>9</v>
      </c>
      <c r="AA19" s="134">
        <v>290</v>
      </c>
      <c r="AB19" s="122"/>
      <c r="AC19" s="122"/>
    </row>
    <row r="20" spans="1:29" s="123" customFormat="1" ht="12.75">
      <c r="A20" s="122"/>
      <c r="B20" s="127"/>
      <c r="C20" s="33"/>
      <c r="D20" s="26" t="s">
        <v>11</v>
      </c>
      <c r="E20" s="32"/>
      <c r="F20" s="71">
        <v>7403</v>
      </c>
      <c r="G20" s="71">
        <v>6763</v>
      </c>
      <c r="H20" s="71">
        <v>864</v>
      </c>
      <c r="I20" s="71">
        <v>0</v>
      </c>
      <c r="J20" s="71">
        <v>10787</v>
      </c>
      <c r="K20" s="64">
        <f>IFERROR(F20/G20-1,"n/a")</f>
        <v>9.4632559515008152E-2</v>
      </c>
      <c r="L20" s="64">
        <f t="shared" si="0"/>
        <v>7.5682870370370363</v>
      </c>
      <c r="M20" s="64" t="str">
        <f>IFERROR(F20/I20-1,"n/a")</f>
        <v>n/a</v>
      </c>
      <c r="N20" s="60">
        <f t="shared" ref="N20:N28" si="1">IFERROR(F20/J20-1,"n/a")</f>
        <v>-0.31371094836377122</v>
      </c>
      <c r="O20" s="68">
        <f>'Nov-23'!O20+'Dec-23'!F20</f>
        <v>1277526</v>
      </c>
      <c r="P20" s="68">
        <f>'Nov-23'!P20+'Dec-23'!G20</f>
        <v>887495</v>
      </c>
      <c r="Q20" s="68">
        <f>'Nov-23'!Q20+'Dec-23'!H20</f>
        <v>17541</v>
      </c>
      <c r="R20" s="68">
        <f>'Nov-23'!R20+'Dec-23'!I20</f>
        <v>10047</v>
      </c>
      <c r="S20" s="68">
        <f>'Nov-23'!S20+'Dec-23'!J20</f>
        <v>585930</v>
      </c>
      <c r="T20" s="64">
        <f>IFERROR(O20/P20-1,"n/a")</f>
        <v>0.43947402520577583</v>
      </c>
      <c r="U20" s="64">
        <f>IFERROR(O20/Q20-1,"n/a")</f>
        <v>71.830853429108942</v>
      </c>
      <c r="V20" s="64">
        <f>IFERROR(O20/R20-1,"n/a")</f>
        <v>126.15497163332338</v>
      </c>
      <c r="W20" s="60">
        <f>IFERROR(O20/S20-1,"n/a")</f>
        <v>1.1803389483385387</v>
      </c>
      <c r="X20" s="68">
        <v>887495</v>
      </c>
      <c r="Y20" s="68">
        <v>17541</v>
      </c>
      <c r="Z20" s="68">
        <v>10046.999999999998</v>
      </c>
      <c r="AA20" s="134">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3"/>
      <c r="AA21" s="135"/>
      <c r="AB21" s="122"/>
      <c r="AC21" s="122"/>
    </row>
    <row r="22" spans="1:29" s="123" customFormat="1" ht="12.75">
      <c r="A22" s="122"/>
      <c r="B22" s="127"/>
      <c r="C22" s="33"/>
      <c r="D22" s="26" t="s">
        <v>5</v>
      </c>
      <c r="E22" s="34"/>
      <c r="F22" s="71">
        <v>128</v>
      </c>
      <c r="G22" s="71">
        <v>67</v>
      </c>
      <c r="H22" s="71">
        <v>25</v>
      </c>
      <c r="I22" s="71">
        <v>0</v>
      </c>
      <c r="J22" s="71">
        <v>20</v>
      </c>
      <c r="K22" s="64">
        <f>IFERROR(F22/G22-1,"n/a")</f>
        <v>0.91044776119402981</v>
      </c>
      <c r="L22" s="64">
        <f t="shared" si="0"/>
        <v>4.12</v>
      </c>
      <c r="M22" s="64" t="str">
        <f>IFERROR(F22/I22-1,"n/a")</f>
        <v>n/a</v>
      </c>
      <c r="N22" s="60">
        <f t="shared" si="1"/>
        <v>5.4</v>
      </c>
      <c r="O22" s="68">
        <f>'Nov-23'!O22+'Dec-23'!F22</f>
        <v>1499</v>
      </c>
      <c r="P22" s="68">
        <f>'Nov-23'!P22+'Dec-23'!G22</f>
        <v>891</v>
      </c>
      <c r="Q22" s="68">
        <f>'Nov-23'!Q22+'Dec-23'!H22</f>
        <v>283</v>
      </c>
      <c r="R22" s="68">
        <f>'Nov-23'!R22+'Dec-23'!I22</f>
        <v>205</v>
      </c>
      <c r="S22" s="68">
        <f>'Nov-23'!S22+'Dec-23'!J22</f>
        <v>1061</v>
      </c>
      <c r="T22" s="64">
        <f>IFERROR(O22/P22-1,"n/a")</f>
        <v>0.68237934904601572</v>
      </c>
      <c r="U22" s="64">
        <f>IFERROR(O22/Q22-1,"n/a")</f>
        <v>4.2968197879858661</v>
      </c>
      <c r="V22" s="64">
        <f>IFERROR(O22/R22-1,"n/a")</f>
        <v>6.3121951219512198</v>
      </c>
      <c r="W22" s="60">
        <f>IFERROR(O22/S22-1,"n/a")</f>
        <v>0.41281809613572107</v>
      </c>
      <c r="X22" s="68">
        <v>895</v>
      </c>
      <c r="Y22" s="68">
        <v>283</v>
      </c>
      <c r="Z22" s="68">
        <v>43</v>
      </c>
      <c r="AA22" s="134">
        <v>827</v>
      </c>
      <c r="AB22" s="122"/>
      <c r="AC22" s="122"/>
    </row>
    <row r="23" spans="1:29" s="123" customFormat="1" ht="12.75">
      <c r="A23" s="122"/>
      <c r="B23" s="127"/>
      <c r="C23" s="33"/>
      <c r="D23" s="26" t="s">
        <v>11</v>
      </c>
      <c r="E23" s="32"/>
      <c r="F23" s="71">
        <v>383396</v>
      </c>
      <c r="G23" s="71">
        <v>215490</v>
      </c>
      <c r="H23" s="71">
        <v>39214</v>
      </c>
      <c r="I23" s="71">
        <v>0</v>
      </c>
      <c r="J23" s="71">
        <v>58943</v>
      </c>
      <c r="K23" s="64">
        <f>IFERROR(F23/G23-1,"n/a")</f>
        <v>0.77918232864634085</v>
      </c>
      <c r="L23" s="64">
        <f t="shared" si="0"/>
        <v>8.7770184117917065</v>
      </c>
      <c r="M23" s="64" t="str">
        <f>IFERROR(F23/I23-1,"n/a")</f>
        <v>n/a</v>
      </c>
      <c r="N23" s="60">
        <f t="shared" si="1"/>
        <v>5.5045213172047571</v>
      </c>
      <c r="O23" s="68">
        <f>'Nov-23'!O23+'Dec-23'!F23</f>
        <v>4440466</v>
      </c>
      <c r="P23" s="68">
        <f>'Nov-23'!P23+'Dec-23'!G23</f>
        <v>2159250</v>
      </c>
      <c r="Q23" s="68">
        <f>'Nov-23'!Q23+'Dec-23'!H23</f>
        <v>465109</v>
      </c>
      <c r="R23" s="68">
        <f>'Nov-23'!R23+'Dec-23'!I23</f>
        <v>545974</v>
      </c>
      <c r="S23" s="68">
        <f>'Nov-23'!S23+'Dec-23'!J23</f>
        <v>3220857</v>
      </c>
      <c r="T23" s="64">
        <f>IFERROR(O23/P23-1,"n/a")</f>
        <v>1.0564853537107792</v>
      </c>
      <c r="U23" s="64">
        <f>IFERROR(O23/Q23-1,"n/a")</f>
        <v>8.5471513129180465</v>
      </c>
      <c r="V23" s="64">
        <f>IFERROR(O23/R23-1,"n/a")</f>
        <v>7.1331089026217374</v>
      </c>
      <c r="W23" s="60">
        <f>IFERROR(O23/S23-1,"n/a")</f>
        <v>0.37865977905880333</v>
      </c>
      <c r="X23" s="68">
        <v>2165161</v>
      </c>
      <c r="Y23" s="68">
        <v>465109</v>
      </c>
      <c r="Z23" s="68">
        <v>140552</v>
      </c>
      <c r="AA23" s="134">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0"/>
      <c r="X24" s="43"/>
      <c r="Y24" s="43"/>
      <c r="Z24" s="43"/>
      <c r="AA24" s="135"/>
      <c r="AB24" s="122"/>
      <c r="AC24" s="122"/>
    </row>
    <row r="25" spans="1:29" s="123" customFormat="1" ht="12.75">
      <c r="B25" s="127"/>
      <c r="C25" s="33"/>
      <c r="D25" s="26" t="s">
        <v>5</v>
      </c>
      <c r="E25" s="32"/>
      <c r="F25" s="71">
        <v>0</v>
      </c>
      <c r="G25" s="71">
        <v>0</v>
      </c>
      <c r="H25" s="71">
        <v>0</v>
      </c>
      <c r="I25" s="71">
        <v>0</v>
      </c>
      <c r="J25" s="71">
        <v>0</v>
      </c>
      <c r="K25" s="64" t="str">
        <f>IFERROR(F25/G25-1,"n/a")</f>
        <v>n/a</v>
      </c>
      <c r="L25" s="64" t="str">
        <f t="shared" si="0"/>
        <v>n/a</v>
      </c>
      <c r="M25" s="64" t="str">
        <f>IFERROR(F25/I25-1,"n/a")</f>
        <v>n/a</v>
      </c>
      <c r="N25" s="60" t="str">
        <f t="shared" si="1"/>
        <v>n/a</v>
      </c>
      <c r="O25" s="68">
        <f>'Nov-23'!O25+'Dec-23'!F25</f>
        <v>21</v>
      </c>
      <c r="P25" s="68">
        <f>'Nov-23'!P25+'Dec-23'!G25</f>
        <v>9</v>
      </c>
      <c r="Q25" s="68">
        <f>'Nov-23'!Q25+'Dec-23'!H25</f>
        <v>0</v>
      </c>
      <c r="R25" s="68">
        <f>'Nov-23'!R25+'Dec-23'!I25</f>
        <v>0</v>
      </c>
      <c r="S25" s="68">
        <f>'Nov-23'!S25+'Dec-23'!J25</f>
        <v>16</v>
      </c>
      <c r="T25" s="64">
        <f>IFERROR(O25/P25-1,"n/a")</f>
        <v>1.3333333333333335</v>
      </c>
      <c r="U25" s="64" t="str">
        <f>IFERROR(O25/Q25-1,"n/a")</f>
        <v>n/a</v>
      </c>
      <c r="V25" s="64" t="str">
        <f>IFERROR(O25/R25-1,"n/a")</f>
        <v>n/a</v>
      </c>
      <c r="W25" s="60">
        <f>IFERROR(O25/S25-1,"n/a")</f>
        <v>0.3125</v>
      </c>
      <c r="X25" s="68">
        <v>9</v>
      </c>
      <c r="Y25" s="68">
        <v>0</v>
      </c>
      <c r="Z25" s="68">
        <v>0</v>
      </c>
      <c r="AA25" s="134">
        <v>16</v>
      </c>
      <c r="AB25" s="122"/>
      <c r="AC25" s="122"/>
    </row>
    <row r="26" spans="1:29" s="123" customFormat="1" ht="12.75">
      <c r="A26" s="122"/>
      <c r="B26" s="127"/>
      <c r="C26" s="33"/>
      <c r="D26" s="26" t="s">
        <v>11</v>
      </c>
      <c r="E26" s="32"/>
      <c r="F26" s="71">
        <v>0</v>
      </c>
      <c r="G26" s="71">
        <v>0</v>
      </c>
      <c r="H26" s="71">
        <v>0</v>
      </c>
      <c r="I26" s="71">
        <v>0</v>
      </c>
      <c r="J26" s="71">
        <v>0</v>
      </c>
      <c r="K26" s="64" t="str">
        <f>IFERROR(F26/G26-1,"n/a")</f>
        <v>n/a</v>
      </c>
      <c r="L26" s="64" t="str">
        <f t="shared" si="0"/>
        <v>n/a</v>
      </c>
      <c r="M26" s="64" t="str">
        <f>IFERROR(F26/I26-1,"n/a")</f>
        <v>n/a</v>
      </c>
      <c r="N26" s="60" t="str">
        <f t="shared" si="1"/>
        <v>n/a</v>
      </c>
      <c r="O26" s="68">
        <f>'Nov-23'!O26+'Dec-23'!F26</f>
        <v>38626</v>
      </c>
      <c r="P26" s="68">
        <f>'Nov-23'!P26+'Dec-23'!G26</f>
        <v>15637</v>
      </c>
      <c r="Q26" s="68">
        <f>'Nov-23'!Q26+'Dec-23'!H26</f>
        <v>0</v>
      </c>
      <c r="R26" s="68">
        <f>'Nov-23'!R26+'Dec-23'!I26</f>
        <v>0</v>
      </c>
      <c r="S26" s="68">
        <f>'Nov-23'!S26+'Dec-23'!J26</f>
        <v>20248</v>
      </c>
      <c r="T26" s="64">
        <f>IFERROR(O26/P26-1,"n/a")</f>
        <v>1.4701669118117286</v>
      </c>
      <c r="U26" s="64" t="str">
        <f>IFERROR(O26/Q26-1,"n/a")</f>
        <v>n/a</v>
      </c>
      <c r="V26" s="64" t="str">
        <f>IFERROR(O26/R26-1,"n/a")</f>
        <v>n/a</v>
      </c>
      <c r="W26" s="60">
        <f>IFERROR(O26/S26-1,"n/a")</f>
        <v>0.90764519952587919</v>
      </c>
      <c r="X26" s="68">
        <v>15637</v>
      </c>
      <c r="Y26" s="68">
        <v>0</v>
      </c>
      <c r="Z26" s="68">
        <v>0</v>
      </c>
      <c r="AA26" s="136">
        <v>20248</v>
      </c>
      <c r="AB26" s="122"/>
      <c r="AC26" s="122"/>
    </row>
    <row r="27" spans="1:29" s="123" customFormat="1" ht="13.5" thickBot="1">
      <c r="A27" s="122"/>
      <c r="B27" s="127"/>
      <c r="C27" s="35" t="s">
        <v>12</v>
      </c>
      <c r="D27" s="36"/>
      <c r="E27" s="37"/>
      <c r="F27" s="75">
        <f t="shared" ref="F27:J28" si="2">F13+F16+F19+F22+F25</f>
        <v>377</v>
      </c>
      <c r="G27" s="75">
        <f t="shared" si="2"/>
        <v>273</v>
      </c>
      <c r="H27" s="75">
        <f t="shared" si="2"/>
        <v>207</v>
      </c>
      <c r="I27" s="75">
        <f t="shared" si="2"/>
        <v>6</v>
      </c>
      <c r="J27" s="75">
        <f t="shared" si="2"/>
        <v>277</v>
      </c>
      <c r="K27" s="66">
        <f>IFERROR(F27/G27-1,"n/a")</f>
        <v>0.38095238095238093</v>
      </c>
      <c r="L27" s="66">
        <f t="shared" si="0"/>
        <v>0.82125603864734309</v>
      </c>
      <c r="M27" s="66">
        <f>IFERROR(F27/I27-1,"n/a")</f>
        <v>61.833333333333336</v>
      </c>
      <c r="N27" s="62">
        <f t="shared" si="1"/>
        <v>0.36101083032490977</v>
      </c>
      <c r="O27" s="75">
        <f t="shared" ref="O27:S28" si="3">O13+O16+O19+O22+O25</f>
        <v>4431</v>
      </c>
      <c r="P27" s="75">
        <f t="shared" si="3"/>
        <v>3616</v>
      </c>
      <c r="Q27" s="75">
        <f t="shared" si="3"/>
        <v>1049</v>
      </c>
      <c r="R27" s="75">
        <f t="shared" si="3"/>
        <v>820</v>
      </c>
      <c r="S27" s="75">
        <f t="shared" si="3"/>
        <v>3544</v>
      </c>
      <c r="T27" s="66">
        <f>IFERROR(O27/P27-1,"n/a")</f>
        <v>0.22538716814159288</v>
      </c>
      <c r="U27" s="66">
        <f>IFERROR(O27/Q27-1,"n/a")</f>
        <v>3.2240228789323169</v>
      </c>
      <c r="V27" s="66">
        <f>IFERROR(O27/R27-1,"n/a")</f>
        <v>4.4036585365853655</v>
      </c>
      <c r="W27" s="62">
        <f>IFERROR(O27/S27-1,"n/a")</f>
        <v>0.25028216704288941</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1087969</v>
      </c>
      <c r="G28" s="76">
        <f t="shared" si="2"/>
        <v>762932</v>
      </c>
      <c r="H28" s="76">
        <f t="shared" si="2"/>
        <v>307043</v>
      </c>
      <c r="I28" s="76">
        <f t="shared" si="2"/>
        <v>2141</v>
      </c>
      <c r="J28" s="76">
        <f t="shared" si="2"/>
        <v>632077</v>
      </c>
      <c r="K28" s="67">
        <f>IFERROR(F28/G28-1,"n/a")</f>
        <v>0.42603665857507611</v>
      </c>
      <c r="L28" s="67">
        <f t="shared" si="0"/>
        <v>2.5433766605980268</v>
      </c>
      <c r="M28" s="67">
        <f>IFERROR(F28/I28-1,"n/a")</f>
        <v>507.1592713685194</v>
      </c>
      <c r="N28" s="63">
        <f t="shared" si="1"/>
        <v>0.72126022620661723</v>
      </c>
      <c r="O28" s="76">
        <f t="shared" si="3"/>
        <v>12649840</v>
      </c>
      <c r="P28" s="76">
        <f t="shared" si="3"/>
        <v>7620758</v>
      </c>
      <c r="Q28" s="76">
        <f t="shared" si="3"/>
        <v>1548386</v>
      </c>
      <c r="R28" s="76">
        <f t="shared" si="3"/>
        <v>1719580</v>
      </c>
      <c r="S28" s="76">
        <f t="shared" si="3"/>
        <v>9796644</v>
      </c>
      <c r="T28" s="67">
        <f>IFERROR(O28/P28-1,"n/a")</f>
        <v>0.65991886896290364</v>
      </c>
      <c r="U28" s="67">
        <f>IFERROR(O28/Q28-1,"n/a")</f>
        <v>7.1696941202000026</v>
      </c>
      <c r="V28" s="67">
        <f>IFERROR(O28/R28-1,"n/a")</f>
        <v>6.3563544586468792</v>
      </c>
      <c r="W28" s="63">
        <f>IFERROR(O28/S28-1,"n/a")</f>
        <v>0.29124218456851136</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70" t="str">
        <f>F9</f>
        <v>December</v>
      </c>
      <c r="G33" s="170"/>
      <c r="H33" s="170"/>
      <c r="I33" s="170"/>
      <c r="J33" s="170"/>
      <c r="K33" s="170"/>
      <c r="L33" s="170"/>
      <c r="M33" s="170"/>
      <c r="N33" s="171"/>
      <c r="O33" s="176" t="str">
        <f>"April to "&amp;D4&amp;" (YTD)"</f>
        <v>April to December (YTD)</v>
      </c>
      <c r="P33" s="177"/>
      <c r="Q33" s="177"/>
      <c r="R33" s="177"/>
      <c r="S33" s="177"/>
      <c r="T33" s="177"/>
      <c r="U33" s="177"/>
      <c r="V33" s="177"/>
      <c r="W33" s="178"/>
      <c r="X33" s="169" t="s">
        <v>58</v>
      </c>
      <c r="Y33" s="170"/>
      <c r="Z33" s="170"/>
      <c r="AA33" s="172"/>
    </row>
    <row r="34" spans="1:29" s="123" customFormat="1" ht="11.25">
      <c r="A34" s="122"/>
      <c r="B34" s="122"/>
      <c r="C34" s="29"/>
      <c r="D34" s="30"/>
      <c r="E34" s="30"/>
      <c r="F34" s="175"/>
      <c r="G34" s="173"/>
      <c r="H34" s="173"/>
      <c r="I34" s="173"/>
      <c r="J34" s="173"/>
      <c r="K34" s="173"/>
      <c r="L34" s="173"/>
      <c r="M34" s="173"/>
      <c r="N34" s="174"/>
      <c r="O34" s="175"/>
      <c r="P34" s="173"/>
      <c r="Q34" s="173"/>
      <c r="R34" s="173"/>
      <c r="S34" s="173"/>
      <c r="T34" s="173"/>
      <c r="U34" s="173"/>
      <c r="V34" s="173"/>
      <c r="W34" s="174"/>
      <c r="X34" s="175"/>
      <c r="Y34" s="173"/>
      <c r="Z34" s="173"/>
      <c r="AA34" s="174"/>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229</v>
      </c>
      <c r="G37" s="74">
        <f t="shared" si="5"/>
        <v>191</v>
      </c>
      <c r="H37" s="74">
        <f t="shared" si="5"/>
        <v>172</v>
      </c>
      <c r="I37" s="74">
        <f t="shared" si="5"/>
        <v>0</v>
      </c>
      <c r="J37" s="74">
        <f t="shared" si="5"/>
        <v>200</v>
      </c>
      <c r="K37" s="64">
        <f>IFERROR(F37/G37-1,"n/a")</f>
        <v>0.19895287958115193</v>
      </c>
      <c r="L37" s="64">
        <f>IFERROR(F37/H37-1,"n/a")</f>
        <v>0.33139534883720922</v>
      </c>
      <c r="M37" s="64" t="str">
        <f>IFERROR(F37/I37-1,"n/a")</f>
        <v>n/a</v>
      </c>
      <c r="N37" s="60">
        <f>IFERROR(F37/J37-1,"n/a")</f>
        <v>0.14500000000000002</v>
      </c>
      <c r="O37" s="74">
        <f>'Nov-23'!O37+'Dec-23'!F37</f>
        <v>1100</v>
      </c>
      <c r="P37" s="74">
        <f>'Nov-23'!P37+'Dec-23'!G37</f>
        <v>956</v>
      </c>
      <c r="Q37" s="74">
        <f>'Nov-23'!Q37+'Dec-23'!H37</f>
        <v>515</v>
      </c>
      <c r="R37" s="74">
        <f>'Nov-23'!R37+'Dec-23'!I37</f>
        <v>42</v>
      </c>
      <c r="S37" s="74">
        <f>'Nov-23'!S37+'Dec-23'!J37</f>
        <v>1068</v>
      </c>
      <c r="T37" s="119">
        <f>IFERROR(O37/P37-1,"n/a")</f>
        <v>0.15062761506276146</v>
      </c>
      <c r="U37" s="119">
        <f>IFERROR(O37/Q37-1,"n/a")</f>
        <v>1.1359223300970873</v>
      </c>
      <c r="V37" s="119">
        <f>IFERROR(O37/R37-1,"n/a")</f>
        <v>25.19047619047619</v>
      </c>
      <c r="W37" s="120">
        <f>IFERROR(O37/S37-1,"n/a")</f>
        <v>2.9962546816479474E-2</v>
      </c>
      <c r="X37" s="89">
        <v>1486</v>
      </c>
      <c r="Y37" s="89">
        <v>1052</v>
      </c>
      <c r="Z37" s="70">
        <v>551</v>
      </c>
      <c r="AA37" s="78">
        <v>1584</v>
      </c>
      <c r="AC37" s="122"/>
    </row>
    <row r="38" spans="1:29" s="123" customFormat="1" ht="11.25">
      <c r="A38" s="122"/>
      <c r="B38" s="122"/>
      <c r="C38" s="33"/>
      <c r="D38" s="26" t="s">
        <v>11</v>
      </c>
      <c r="E38" s="32"/>
      <c r="F38" s="74">
        <f t="shared" si="5"/>
        <v>666281</v>
      </c>
      <c r="G38" s="74">
        <f t="shared" si="5"/>
        <v>518319</v>
      </c>
      <c r="H38" s="74">
        <f t="shared" si="5"/>
        <v>253217</v>
      </c>
      <c r="I38" s="74">
        <f t="shared" si="5"/>
        <v>0</v>
      </c>
      <c r="J38" s="74">
        <f t="shared" si="5"/>
        <v>506611</v>
      </c>
      <c r="K38" s="64">
        <f>IFERROR(F38/G38-1,"n/a")</f>
        <v>0.28546512861770457</v>
      </c>
      <c r="L38" s="64">
        <f>IFERROR(F38/H38-1,"n/a")</f>
        <v>1.6312648834793873</v>
      </c>
      <c r="M38" s="64" t="str">
        <f>IFERROR(F38/I38-1,"n/a")</f>
        <v>n/a</v>
      </c>
      <c r="N38" s="60">
        <f>IFERROR(F38/J38-1,"n/a")</f>
        <v>0.31517278543103089</v>
      </c>
      <c r="O38" s="74">
        <f>'Nov-23'!O38+'Dec-23'!F38</f>
        <v>3694353</v>
      </c>
      <c r="P38" s="74">
        <f>'Nov-23'!P38+'Dec-23'!G38</f>
        <v>2832755</v>
      </c>
      <c r="Q38" s="74">
        <f>'Nov-23'!Q38+'Dec-23'!H38</f>
        <v>763201</v>
      </c>
      <c r="R38" s="74">
        <f>'Nov-23'!R38+'Dec-23'!I38</f>
        <v>0</v>
      </c>
      <c r="S38" s="74">
        <f>'Nov-23'!S38+'Dec-23'!J38</f>
        <v>3119972</v>
      </c>
      <c r="T38" s="119">
        <f>IFERROR(O38/P38-1,"n/a")</f>
        <v>0.30415549526874019</v>
      </c>
      <c r="U38" s="119">
        <f>IFERROR(O38/Q38-1,"n/a")</f>
        <v>3.8406029342204739</v>
      </c>
      <c r="V38" s="119" t="str">
        <f>IFERROR(O38/R38-1,"n/a")</f>
        <v>n/a</v>
      </c>
      <c r="W38" s="120">
        <f>IFERROR(O38/S38-1,"n/a")</f>
        <v>0.18409812652164836</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12</v>
      </c>
      <c r="G40" s="74">
        <f t="shared" si="6"/>
        <v>6</v>
      </c>
      <c r="H40" s="74">
        <f t="shared" si="6"/>
        <v>7</v>
      </c>
      <c r="I40" s="74">
        <f t="shared" si="6"/>
        <v>6</v>
      </c>
      <c r="J40" s="74">
        <f t="shared" si="6"/>
        <v>47</v>
      </c>
      <c r="K40" s="64">
        <f>IFERROR(F40/G40-1,"n/a")</f>
        <v>1</v>
      </c>
      <c r="L40" s="64">
        <f>IFERROR(F40/H40-1,"n/a")</f>
        <v>0.71428571428571419</v>
      </c>
      <c r="M40" s="64">
        <f>IFERROR(F40/I40-1,"n/a")</f>
        <v>1</v>
      </c>
      <c r="N40" s="60">
        <f>IFERROR(F40/J40-1,"n/a")</f>
        <v>-0.74468085106382986</v>
      </c>
      <c r="O40" s="74">
        <f>'Nov-23'!O40+'Dec-23'!F40</f>
        <v>546</v>
      </c>
      <c r="P40" s="74">
        <f>'Nov-23'!P40+'Dec-23'!G40</f>
        <v>536</v>
      </c>
      <c r="Q40" s="74">
        <f>'Nov-23'!Q40+'Dec-23'!H40</f>
        <v>192</v>
      </c>
      <c r="R40" s="74">
        <f>'Nov-23'!R40+'Dec-23'!I40</f>
        <v>44</v>
      </c>
      <c r="S40" s="74">
        <f>'Nov-23'!S40+'Dec-23'!J40</f>
        <v>570</v>
      </c>
      <c r="T40" s="119">
        <f>IFERROR(O40/P40-1,"n/a")</f>
        <v>1.8656716417910557E-2</v>
      </c>
      <c r="U40" s="119">
        <f>IFERROR(O40/Q40-1,"n/a")</f>
        <v>1.84375</v>
      </c>
      <c r="V40" s="119">
        <f>IFERROR(O40/R40-1,"n/a")</f>
        <v>11.409090909090908</v>
      </c>
      <c r="W40" s="120">
        <f>IFERROR(O40/S40-1,"n/a")</f>
        <v>-4.2105263157894757E-2</v>
      </c>
      <c r="X40" s="89">
        <v>563</v>
      </c>
      <c r="Y40" s="89">
        <v>226</v>
      </c>
      <c r="Z40" s="70">
        <v>66</v>
      </c>
      <c r="AA40" s="78">
        <v>573</v>
      </c>
      <c r="AC40" s="122"/>
    </row>
    <row r="41" spans="1:29" s="123" customFormat="1" ht="11.25">
      <c r="A41" s="122"/>
      <c r="B41" s="122"/>
      <c r="C41" s="33"/>
      <c r="D41" s="26" t="s">
        <v>11</v>
      </c>
      <c r="E41" s="32"/>
      <c r="F41" s="74">
        <f t="shared" si="6"/>
        <v>30889</v>
      </c>
      <c r="G41" s="74">
        <f t="shared" si="6"/>
        <v>22360</v>
      </c>
      <c r="H41" s="74">
        <f t="shared" si="6"/>
        <v>13748</v>
      </c>
      <c r="I41" s="74">
        <f t="shared" si="6"/>
        <v>2141</v>
      </c>
      <c r="J41" s="74">
        <f t="shared" si="6"/>
        <v>55736</v>
      </c>
      <c r="K41" s="64">
        <f>IFERROR(F41/G41-1,"n/a")</f>
        <v>0.38144007155635062</v>
      </c>
      <c r="L41" s="64">
        <f>IFERROR(F41/H41-1,"n/a")</f>
        <v>1.2467995344777423</v>
      </c>
      <c r="M41" s="64">
        <f>IFERROR(F41/I41-1,"n/a")</f>
        <v>13.427370387669313</v>
      </c>
      <c r="N41" s="60">
        <f>IFERROR(F41/J41-1,"n/a")</f>
        <v>-0.44579804794028999</v>
      </c>
      <c r="O41" s="74">
        <f>'Nov-23'!O41+'Dec-23'!F41</f>
        <v>1577630</v>
      </c>
      <c r="P41" s="74">
        <f>'Nov-23'!P41+'Dec-23'!G41</f>
        <v>929455</v>
      </c>
      <c r="Q41" s="74">
        <f>'Nov-23'!Q41+'Dec-23'!H41</f>
        <v>292432</v>
      </c>
      <c r="R41" s="74">
        <f>'Nov-23'!R41+'Dec-23'!I41</f>
        <v>29562</v>
      </c>
      <c r="S41" s="74">
        <f>'Nov-23'!S41+'Dec-23'!J41</f>
        <v>1318159</v>
      </c>
      <c r="T41" s="119">
        <f>IFERROR(O41/P41-1,"n/a")</f>
        <v>0.69737104001807504</v>
      </c>
      <c r="U41" s="119">
        <f>IFERROR(O41/Q41-1,"n/a")</f>
        <v>4.3948610275209283</v>
      </c>
      <c r="V41" s="119">
        <f>IFERROR(O41/R41-1,"n/a")</f>
        <v>52.366822271835467</v>
      </c>
      <c r="W41" s="120">
        <f>IFERROR(O41/S41-1,"n/a")</f>
        <v>0.1968434763939706</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8</v>
      </c>
      <c r="G43" s="74">
        <f t="shared" si="7"/>
        <v>9</v>
      </c>
      <c r="H43" s="74">
        <f t="shared" si="7"/>
        <v>3</v>
      </c>
      <c r="I43" s="74">
        <f t="shared" si="7"/>
        <v>0</v>
      </c>
      <c r="J43" s="74">
        <f t="shared" si="7"/>
        <v>10</v>
      </c>
      <c r="K43" s="64">
        <f>IFERROR(F43/G43-1,"n/a")</f>
        <v>-0.11111111111111116</v>
      </c>
      <c r="L43" s="64">
        <f>IFERROR(F43/H43-1,"n/a")</f>
        <v>1.6666666666666665</v>
      </c>
      <c r="M43" s="64" t="str">
        <f>IFERROR(F43/I43-1,"n/a")</f>
        <v>n/a</v>
      </c>
      <c r="N43" s="60">
        <f>IFERROR(F43/J43-1,"n/a")</f>
        <v>-0.19999999999999996</v>
      </c>
      <c r="O43" s="74">
        <f>'Nov-23'!O43+'Dec-23'!F43</f>
        <v>685</v>
      </c>
      <c r="P43" s="74">
        <f>'Nov-23'!P43+'Dec-23'!G43</f>
        <v>646</v>
      </c>
      <c r="Q43" s="74">
        <f>'Nov-23'!Q43+'Dec-23'!H43</f>
        <v>47</v>
      </c>
      <c r="R43" s="74">
        <f>'Nov-23'!R43+'Dec-23'!I43</f>
        <v>7</v>
      </c>
      <c r="S43" s="74">
        <f>'Nov-23'!S43+'Dec-23'!J43</f>
        <v>284</v>
      </c>
      <c r="T43" s="119">
        <f>IFERROR(O43/P43-1,"n/a")</f>
        <v>6.0371517027863808E-2</v>
      </c>
      <c r="U43" s="119">
        <f>IFERROR(O43/Q43-1,"n/a")</f>
        <v>13.574468085106384</v>
      </c>
      <c r="V43" s="119">
        <f>IFERROR(O43/R43-1,"n/a")</f>
        <v>96.857142857142861</v>
      </c>
      <c r="W43" s="120">
        <f>IFERROR(O43/S43-1,"n/a")</f>
        <v>1.4119718309859155</v>
      </c>
      <c r="X43" s="89">
        <v>669</v>
      </c>
      <c r="Y43" s="89">
        <v>59</v>
      </c>
      <c r="Z43" s="70">
        <v>9</v>
      </c>
      <c r="AA43" s="78">
        <v>287</v>
      </c>
      <c r="AC43" s="122"/>
    </row>
    <row r="44" spans="1:29" s="123" customFormat="1" ht="11.25">
      <c r="A44" s="122"/>
      <c r="B44" s="122"/>
      <c r="C44" s="33"/>
      <c r="D44" s="26" t="s">
        <v>11</v>
      </c>
      <c r="E44" s="32"/>
      <c r="F44" s="74">
        <f t="shared" si="7"/>
        <v>7403</v>
      </c>
      <c r="G44" s="74">
        <f t="shared" si="7"/>
        <v>6763</v>
      </c>
      <c r="H44" s="74">
        <f t="shared" si="7"/>
        <v>864</v>
      </c>
      <c r="I44" s="74">
        <f t="shared" si="7"/>
        <v>0</v>
      </c>
      <c r="J44" s="74">
        <f t="shared" si="7"/>
        <v>10787</v>
      </c>
      <c r="K44" s="64">
        <f>IFERROR(F44/G44-1,"n/a")</f>
        <v>9.4632559515008152E-2</v>
      </c>
      <c r="L44" s="64">
        <f>IFERROR(F44/H44-1,"n/a")</f>
        <v>7.5682870370370363</v>
      </c>
      <c r="M44" s="64" t="str">
        <f>IFERROR(F44/I44-1,"n/a")</f>
        <v>n/a</v>
      </c>
      <c r="N44" s="60">
        <f>IFERROR(F44/J44-1,"n/a")</f>
        <v>-0.31371094836377122</v>
      </c>
      <c r="O44" s="74">
        <f>'Nov-23'!O44+'Dec-23'!F44</f>
        <v>1256680</v>
      </c>
      <c r="P44" s="74">
        <f>'Nov-23'!P44+'Dec-23'!G44</f>
        <v>884410</v>
      </c>
      <c r="Q44" s="74">
        <f>'Nov-23'!Q44+'Dec-23'!H44</f>
        <v>17541</v>
      </c>
      <c r="R44" s="74">
        <f>'Nov-23'!R44+'Dec-23'!I44</f>
        <v>8294</v>
      </c>
      <c r="S44" s="74">
        <f>'Nov-23'!S44+'Dec-23'!J44</f>
        <v>579446</v>
      </c>
      <c r="T44" s="119">
        <f>IFERROR(O44/P44-1,"n/a")</f>
        <v>0.42092468425277874</v>
      </c>
      <c r="U44" s="119">
        <f>IFERROR(O44/Q44-1,"n/a")</f>
        <v>70.642437717347931</v>
      </c>
      <c r="V44" s="119">
        <f>IFERROR(O44/R44-1,"n/a")</f>
        <v>150.51675910296601</v>
      </c>
      <c r="W44" s="120">
        <f>IFERROR(O44/S44-1,"n/a")</f>
        <v>1.1687611960389752</v>
      </c>
      <c r="X44" s="82">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128</v>
      </c>
      <c r="G46" s="74">
        <f t="shared" si="8"/>
        <v>67</v>
      </c>
      <c r="H46" s="74">
        <f t="shared" si="8"/>
        <v>25</v>
      </c>
      <c r="I46" s="74">
        <f t="shared" si="8"/>
        <v>0</v>
      </c>
      <c r="J46" s="74">
        <f t="shared" si="8"/>
        <v>20</v>
      </c>
      <c r="K46" s="64">
        <f>IFERROR(F46/G46-1,"n/a")</f>
        <v>0.91044776119402981</v>
      </c>
      <c r="L46" s="64">
        <f>IFERROR(F46/H46-1,"n/a")</f>
        <v>4.12</v>
      </c>
      <c r="M46" s="64" t="str">
        <f>IFERROR(F46/I46-1,"n/a")</f>
        <v>n/a</v>
      </c>
      <c r="N46" s="60">
        <f>IFERROR(F46/J46-1,"n/a")</f>
        <v>5.4</v>
      </c>
      <c r="O46" s="74">
        <f>'Nov-23'!O46+'Dec-23'!F46</f>
        <v>1212</v>
      </c>
      <c r="P46" s="74">
        <f>'Nov-23'!P46+'Dec-23'!G46</f>
        <v>838</v>
      </c>
      <c r="Q46" s="74">
        <f>'Nov-23'!Q46+'Dec-23'!H46</f>
        <v>283</v>
      </c>
      <c r="R46" s="74">
        <f>'Nov-23'!R46+'Dec-23'!I46</f>
        <v>0</v>
      </c>
      <c r="S46" s="74">
        <f>'Nov-23'!S46+'Dec-23'!J46</f>
        <v>738</v>
      </c>
      <c r="T46" s="119">
        <f>IFERROR(O46/P46-1,"n/a")</f>
        <v>0.44630071599045351</v>
      </c>
      <c r="U46" s="119">
        <f>IFERROR(O46/Q46-1,"n/a")</f>
        <v>3.2826855123674914</v>
      </c>
      <c r="V46" s="119" t="str">
        <f>IFERROR(O46/R46-1,"n/a")</f>
        <v>n/a</v>
      </c>
      <c r="W46" s="120">
        <f>IFERROR(O46/S46-1,"n/a")</f>
        <v>0.64227642276422769</v>
      </c>
      <c r="X46" s="89">
        <v>1129</v>
      </c>
      <c r="Y46" s="89">
        <v>336</v>
      </c>
      <c r="Z46" s="84">
        <v>43</v>
      </c>
      <c r="AA46" s="78">
        <v>781</v>
      </c>
      <c r="AC46" s="122"/>
    </row>
    <row r="47" spans="1:29" s="123" customFormat="1" ht="11.25">
      <c r="A47" s="122"/>
      <c r="B47" s="122"/>
      <c r="C47" s="33"/>
      <c r="D47" s="26" t="s">
        <v>11</v>
      </c>
      <c r="E47" s="32"/>
      <c r="F47" s="74">
        <f t="shared" si="8"/>
        <v>383396</v>
      </c>
      <c r="G47" s="74">
        <f t="shared" si="8"/>
        <v>215490</v>
      </c>
      <c r="H47" s="74">
        <f t="shared" si="8"/>
        <v>39214</v>
      </c>
      <c r="I47" s="74">
        <f t="shared" si="8"/>
        <v>0</v>
      </c>
      <c r="J47" s="74">
        <f t="shared" si="8"/>
        <v>58943</v>
      </c>
      <c r="K47" s="64">
        <f>IFERROR(F47/G47-1,"n/a")</f>
        <v>0.77918232864634085</v>
      </c>
      <c r="L47" s="64">
        <f>IFERROR(F47/H47-1,"n/a")</f>
        <v>8.7770184117917065</v>
      </c>
      <c r="M47" s="64" t="str">
        <f>IFERROR(F47/I47-1,"n/a")</f>
        <v>n/a</v>
      </c>
      <c r="N47" s="60">
        <f>IFERROR(F47/J47-1,"n/a")</f>
        <v>5.5045213172047571</v>
      </c>
      <c r="O47" s="74">
        <f>'Nov-23'!O47+'Dec-23'!F47</f>
        <v>3604192</v>
      </c>
      <c r="P47" s="74">
        <f>'Nov-23'!P47+'Dec-23'!G47</f>
        <v>2090796</v>
      </c>
      <c r="Q47" s="74">
        <f>'Nov-23'!Q47+'Dec-23'!H47</f>
        <v>465109</v>
      </c>
      <c r="R47" s="74">
        <f>'Nov-23'!R47+'Dec-23'!I47</f>
        <v>0</v>
      </c>
      <c r="S47" s="74">
        <f>'Nov-23'!S47+'Dec-23'!J47</f>
        <v>2301042</v>
      </c>
      <c r="T47" s="119">
        <f>IFERROR(O47/P47-1,"n/a")</f>
        <v>0.72383723710969416</v>
      </c>
      <c r="U47" s="119">
        <f>IFERROR(O47/Q47-1,"n/a")</f>
        <v>6.749134073948257</v>
      </c>
      <c r="V47" s="119" t="str">
        <f>IFERROR(O47/R47-1,"n/a")</f>
        <v>n/a</v>
      </c>
      <c r="W47" s="120">
        <f>IFERROR(O47/S47-1,"n/a")</f>
        <v>0.56633038423462057</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0</v>
      </c>
      <c r="G49" s="74">
        <f t="shared" si="9"/>
        <v>0</v>
      </c>
      <c r="H49" s="74">
        <f t="shared" si="9"/>
        <v>0</v>
      </c>
      <c r="I49" s="74">
        <f t="shared" si="9"/>
        <v>0</v>
      </c>
      <c r="J49" s="74">
        <f t="shared" si="9"/>
        <v>0</v>
      </c>
      <c r="K49" s="64" t="str">
        <f>IFERROR(F49/G49-1,"n/a")</f>
        <v>n/a</v>
      </c>
      <c r="L49" s="64" t="str">
        <f>IFERROR(F49/H49-1,"n/a")</f>
        <v>n/a</v>
      </c>
      <c r="M49" s="64" t="str">
        <f>IFERROR(F49/I49-1,"n/a")</f>
        <v>n/a</v>
      </c>
      <c r="N49" s="60" t="str">
        <f>IFERROR(F49/J49-1,"n/a")</f>
        <v>n/a</v>
      </c>
      <c r="O49" s="74">
        <f>'Nov-23'!O49+'Dec-23'!F49</f>
        <v>21</v>
      </c>
      <c r="P49" s="74">
        <f>'Nov-23'!P49+'Dec-23'!G49</f>
        <v>9</v>
      </c>
      <c r="Q49" s="74">
        <f>'Nov-23'!Q49+'Dec-23'!H49</f>
        <v>0</v>
      </c>
      <c r="R49" s="74">
        <f>'Nov-23'!R49+'Dec-23'!I49</f>
        <v>0</v>
      </c>
      <c r="S49" s="74">
        <f>'Nov-23'!S49+'Dec-23'!J49</f>
        <v>16</v>
      </c>
      <c r="T49" s="119">
        <f>IFERROR(O49/P49-1,"n/a")</f>
        <v>1.3333333333333335</v>
      </c>
      <c r="U49" s="119" t="str">
        <f>IFERROR(O49/Q49-1,"n/a")</f>
        <v>n/a</v>
      </c>
      <c r="V49" s="119" t="str">
        <f>IFERROR(O49/R49-1,"n/a")</f>
        <v>n/a</v>
      </c>
      <c r="W49" s="120">
        <f>IFERROR(O49/S49-1,"n/a")</f>
        <v>0.3125</v>
      </c>
      <c r="X49" s="89">
        <v>9</v>
      </c>
      <c r="Y49" s="68">
        <v>0</v>
      </c>
      <c r="Z49" s="68">
        <v>0</v>
      </c>
      <c r="AA49" s="78">
        <v>16</v>
      </c>
      <c r="AC49" s="122"/>
    </row>
    <row r="50" spans="3:29" s="123" customFormat="1" ht="11.25">
      <c r="C50" s="33"/>
      <c r="D50" s="26" t="s">
        <v>11</v>
      </c>
      <c r="E50" s="32"/>
      <c r="F50" s="74">
        <f t="shared" si="9"/>
        <v>0</v>
      </c>
      <c r="G50" s="74">
        <f t="shared" si="9"/>
        <v>0</v>
      </c>
      <c r="H50" s="74">
        <f t="shared" si="9"/>
        <v>0</v>
      </c>
      <c r="I50" s="74">
        <f t="shared" si="9"/>
        <v>0</v>
      </c>
      <c r="J50" s="74">
        <f t="shared" si="9"/>
        <v>0</v>
      </c>
      <c r="K50" s="64" t="str">
        <f>IFERROR(F50/G50-1,"n/a")</f>
        <v>n/a</v>
      </c>
      <c r="L50" s="64" t="str">
        <f>IFERROR(F50/H50-1,"n/a")</f>
        <v>n/a</v>
      </c>
      <c r="M50" s="64" t="str">
        <f>IFERROR(F50/I50-1,"n/a")</f>
        <v>n/a</v>
      </c>
      <c r="N50" s="60" t="str">
        <f>IFERROR(F50/J50-1,"n/a")</f>
        <v>n/a</v>
      </c>
      <c r="O50" s="74">
        <f>'Nov-23'!O50+'Dec-23'!F50</f>
        <v>38626</v>
      </c>
      <c r="P50" s="74">
        <f>'Nov-23'!P50+'Dec-23'!G50</f>
        <v>15637</v>
      </c>
      <c r="Q50" s="74">
        <f>'Nov-23'!Q50+'Dec-23'!H50</f>
        <v>0</v>
      </c>
      <c r="R50" s="74">
        <f>'Nov-23'!R50+'Dec-23'!I50</f>
        <v>0</v>
      </c>
      <c r="S50" s="74">
        <f>'Nov-23'!S50+'Dec-23'!J50</f>
        <v>20248</v>
      </c>
      <c r="T50" s="119">
        <f>IFERROR(O50/P50-1,"n/a")</f>
        <v>1.4701669118117286</v>
      </c>
      <c r="U50" s="119" t="str">
        <f>IFERROR(O50/Q50-1,"n/a")</f>
        <v>n/a</v>
      </c>
      <c r="V50" s="119" t="str">
        <f>IFERROR(O50/R50-1,"n/a")</f>
        <v>n/a</v>
      </c>
      <c r="W50" s="120">
        <f>IFERROR(O50/S50-1,"n/a")</f>
        <v>0.90764519952587919</v>
      </c>
      <c r="X50" s="82">
        <v>15637</v>
      </c>
      <c r="Y50" s="68">
        <v>0</v>
      </c>
      <c r="Z50" s="68">
        <v>0</v>
      </c>
      <c r="AA50" s="78">
        <v>20248</v>
      </c>
      <c r="AC50" s="122"/>
    </row>
    <row r="51" spans="3:29" s="123" customFormat="1" ht="12" thickBot="1">
      <c r="C51" s="35" t="s">
        <v>12</v>
      </c>
      <c r="D51" s="36"/>
      <c r="E51" s="37"/>
      <c r="F51" s="75">
        <f>F37+F40+F43+F46+F49</f>
        <v>377</v>
      </c>
      <c r="G51" s="75">
        <f t="shared" ref="G51:J52" si="10">G37+G40+G43+G46+G49</f>
        <v>273</v>
      </c>
      <c r="H51" s="75">
        <f t="shared" si="10"/>
        <v>207</v>
      </c>
      <c r="I51" s="75">
        <f t="shared" si="10"/>
        <v>6</v>
      </c>
      <c r="J51" s="75">
        <f t="shared" si="10"/>
        <v>277</v>
      </c>
      <c r="K51" s="66">
        <f>IFERROR(F51/G51-1,"n/a")</f>
        <v>0.38095238095238093</v>
      </c>
      <c r="L51" s="66">
        <f>IFERROR(F51/H51-1,"n/a")</f>
        <v>0.82125603864734309</v>
      </c>
      <c r="M51" s="66">
        <f>IFERROR(F51/I51-1,"n/a")</f>
        <v>61.833333333333336</v>
      </c>
      <c r="N51" s="62">
        <f>IFERROR(F51/J51-1,"n/a")</f>
        <v>0.36101083032490977</v>
      </c>
      <c r="O51" s="75">
        <f t="shared" ref="O51:S52" si="11">O37+O40+O43+O46+O49</f>
        <v>3564</v>
      </c>
      <c r="P51" s="75">
        <f t="shared" si="11"/>
        <v>2985</v>
      </c>
      <c r="Q51" s="75">
        <f t="shared" si="11"/>
        <v>1037</v>
      </c>
      <c r="R51" s="75">
        <f t="shared" si="11"/>
        <v>93</v>
      </c>
      <c r="S51" s="75">
        <f t="shared" si="11"/>
        <v>2676</v>
      </c>
      <c r="T51" s="66">
        <f>IFERROR(O51/P51-1,"n/a")</f>
        <v>0.19396984924623117</v>
      </c>
      <c r="U51" s="66">
        <f>IFERROR(O51/Q51-1,"n/a")</f>
        <v>2.4368370298939248</v>
      </c>
      <c r="V51" s="66">
        <f>IFERROR(O51/R51-1,"n/a")</f>
        <v>37.322580645161288</v>
      </c>
      <c r="W51" s="62">
        <f>IFERROR(O51/S51-1,"n/a")</f>
        <v>0.33183856502242159</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1087969</v>
      </c>
      <c r="G52" s="76">
        <f t="shared" si="10"/>
        <v>762932</v>
      </c>
      <c r="H52" s="76">
        <f t="shared" si="10"/>
        <v>307043</v>
      </c>
      <c r="I52" s="76">
        <f t="shared" si="10"/>
        <v>2141</v>
      </c>
      <c r="J52" s="76">
        <f t="shared" si="10"/>
        <v>632077</v>
      </c>
      <c r="K52" s="67">
        <f>IFERROR(F52/G52-1,"n/a")</f>
        <v>0.42603665857507611</v>
      </c>
      <c r="L52" s="67">
        <f>IFERROR(F52/H52-1,"n/a")</f>
        <v>2.5433766605980268</v>
      </c>
      <c r="M52" s="67">
        <f>IFERROR(F52/I52-1,"n/a")</f>
        <v>507.1592713685194</v>
      </c>
      <c r="N52" s="63">
        <f>IFERROR(F52/J52-1,"n/a")</f>
        <v>0.72126022620661723</v>
      </c>
      <c r="O52" s="76">
        <f t="shared" si="11"/>
        <v>10171481</v>
      </c>
      <c r="P52" s="76">
        <f t="shared" si="11"/>
        <v>6753053</v>
      </c>
      <c r="Q52" s="76">
        <f t="shared" si="11"/>
        <v>1538283</v>
      </c>
      <c r="R52" s="76">
        <f t="shared" si="11"/>
        <v>37856</v>
      </c>
      <c r="S52" s="76">
        <f t="shared" si="11"/>
        <v>7338867</v>
      </c>
      <c r="T52" s="67">
        <f>IFERROR(O52/P52-1,"n/a")</f>
        <v>0.50620482321107207</v>
      </c>
      <c r="U52" s="117">
        <f>IFERROR(O52/Q52-1,"n/a")</f>
        <v>5.6122299992914177</v>
      </c>
      <c r="V52" s="117">
        <f>IFERROR(O52/R52-1,"n/a")</f>
        <v>267.68874154691463</v>
      </c>
      <c r="W52" s="118">
        <f>IFERROR(O52/S52-1,"n/a")</f>
        <v>0.38597429276208439</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62566-5A57-4807-8BB9-3113484102BE}">
  <dimension ref="A1:AC66"/>
  <sheetViews>
    <sheetView showGridLines="0" topLeftCell="A7" zoomScaleNormal="100" workbookViewId="0">
      <selection activeCell="F13" sqref="F13:J26"/>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45275</v>
      </c>
      <c r="AB3" s="25"/>
      <c r="AC3" s="9"/>
    </row>
    <row r="4" spans="1:29" ht="15.75">
      <c r="A4" s="9"/>
      <c r="B4" s="11" t="s">
        <v>7</v>
      </c>
      <c r="C4" s="26"/>
      <c r="D4" s="93" t="s">
        <v>27</v>
      </c>
      <c r="E4" s="133">
        <v>2023</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7" t="str">
        <f>D4</f>
        <v>November</v>
      </c>
      <c r="G9" s="170"/>
      <c r="H9" s="170"/>
      <c r="I9" s="170"/>
      <c r="J9" s="170"/>
      <c r="K9" s="170"/>
      <c r="L9" s="170"/>
      <c r="M9" s="170"/>
      <c r="N9" s="171"/>
      <c r="O9" s="169" t="str">
        <f>"January to "&amp; D4</f>
        <v>January to November</v>
      </c>
      <c r="P9" s="170"/>
      <c r="Q9" s="170"/>
      <c r="R9" s="170"/>
      <c r="S9" s="170"/>
      <c r="T9" s="170"/>
      <c r="U9" s="170"/>
      <c r="V9" s="170"/>
      <c r="W9" s="170"/>
      <c r="X9" s="180" t="s">
        <v>57</v>
      </c>
      <c r="Y9" s="170"/>
      <c r="Z9" s="170"/>
      <c r="AA9" s="172"/>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30"/>
      <c r="X10" s="29"/>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3" t="s">
        <v>100</v>
      </c>
      <c r="X11" s="137">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26"/>
      <c r="X12" s="33"/>
      <c r="Y12" s="26"/>
      <c r="Z12" s="26"/>
      <c r="AA12" s="32"/>
      <c r="AB12" s="122"/>
      <c r="AC12" s="122"/>
    </row>
    <row r="13" spans="1:29" s="123" customFormat="1" ht="12.75">
      <c r="A13" s="122"/>
      <c r="B13" s="127"/>
      <c r="C13" s="33"/>
      <c r="D13" s="26" t="s">
        <v>5</v>
      </c>
      <c r="E13" s="32"/>
      <c r="F13" s="71">
        <v>165</v>
      </c>
      <c r="G13" s="71">
        <v>144</v>
      </c>
      <c r="H13" s="71">
        <v>115</v>
      </c>
      <c r="I13" s="71">
        <v>0</v>
      </c>
      <c r="J13" s="71">
        <v>172</v>
      </c>
      <c r="K13" s="64">
        <f>IFERROR(F13/G13-1,"n/a")</f>
        <v>0.14583333333333326</v>
      </c>
      <c r="L13" s="64">
        <f t="shared" ref="L13:L28" si="0">IFERROR(F13/H13-1,"n/a")</f>
        <v>0.43478260869565211</v>
      </c>
      <c r="M13" s="64" t="str">
        <f>IFERROR(F13/I13-1,"n/a")</f>
        <v>n/a</v>
      </c>
      <c r="N13" s="60">
        <f>IFERROR(F13/J13-1,"n/a")</f>
        <v>-4.0697674418604612E-2</v>
      </c>
      <c r="O13" s="68">
        <f>'Oct-23'!O13+'Nov-23'!F13</f>
        <v>1401</v>
      </c>
      <c r="P13" s="68">
        <f>'Oct-23'!$P$13+G13</f>
        <v>1295</v>
      </c>
      <c r="Q13" s="68">
        <f>'Oct-23'!Q13+'Nov-23'!H13</f>
        <v>343</v>
      </c>
      <c r="R13" s="68">
        <f>'Oct-23'!R13+'Nov-23'!I13</f>
        <v>551</v>
      </c>
      <c r="S13" s="68">
        <f>'Oct-23'!S13+'Nov-23'!J13</f>
        <v>1384</v>
      </c>
      <c r="T13" s="64">
        <f>IFERROR(O13/P13-1,"n/a")</f>
        <v>8.1853281853281779E-2</v>
      </c>
      <c r="U13" s="64">
        <f>IFERROR(O13/Q13-1,"n/a")</f>
        <v>3.0845481049562684</v>
      </c>
      <c r="V13" s="64">
        <f>IFERROR(O13/R13-1,"n/a")</f>
        <v>1.5426497277676949</v>
      </c>
      <c r="W13" s="64">
        <f>IFERROR(O13/S13-1,"n/a")</f>
        <v>1.2283236994219626E-2</v>
      </c>
      <c r="X13" s="138">
        <v>1486</v>
      </c>
      <c r="Y13" s="68">
        <v>522</v>
      </c>
      <c r="Z13" s="68">
        <v>551</v>
      </c>
      <c r="AA13" s="134">
        <v>1591</v>
      </c>
      <c r="AB13" s="122"/>
      <c r="AC13" s="122"/>
    </row>
    <row r="14" spans="1:29" s="123" customFormat="1" ht="12.75">
      <c r="A14" s="122"/>
      <c r="B14" s="127"/>
      <c r="C14" s="33"/>
      <c r="D14" s="26" t="s">
        <v>11</v>
      </c>
      <c r="E14" s="32"/>
      <c r="F14" s="71">
        <v>497550</v>
      </c>
      <c r="G14" s="71">
        <v>410205</v>
      </c>
      <c r="H14" s="71">
        <v>185964</v>
      </c>
      <c r="I14" s="71">
        <v>0</v>
      </c>
      <c r="J14" s="71">
        <v>421184</v>
      </c>
      <c r="K14" s="64">
        <f>IFERROR(F14/G14-1,"n/a")</f>
        <v>0.2129301203057008</v>
      </c>
      <c r="L14" s="64">
        <f t="shared" si="0"/>
        <v>1.6755178421629995</v>
      </c>
      <c r="M14" s="64" t="str">
        <f>IFERROR(F14/I14-1,"n/a")</f>
        <v>n/a</v>
      </c>
      <c r="N14" s="60">
        <f>IFERROR(F14/J14-1,"n/a")</f>
        <v>0.18131268044370152</v>
      </c>
      <c r="O14" s="68">
        <f>'Oct-23'!$O$14+F14</f>
        <v>4566256</v>
      </c>
      <c r="P14" s="68">
        <f>'Oct-23'!P14+'Nov-23'!G14</f>
        <v>3074094</v>
      </c>
      <c r="Q14" s="68">
        <f>'Oct-23'!Q14+'Nov-23'!H14</f>
        <v>509984</v>
      </c>
      <c r="R14" s="68">
        <f>'Oct-23'!R14+'Nov-23'!I14</f>
        <v>1092884</v>
      </c>
      <c r="S14" s="68">
        <f>'Oct-23'!S14+'Nov-23'!J14</f>
        <v>4064465</v>
      </c>
      <c r="T14" s="64">
        <f>IFERROR(O14/P14-1,"n/a")</f>
        <v>0.48539895006463696</v>
      </c>
      <c r="U14" s="64">
        <f>IFERROR(O14/Q14-1,"n/a")</f>
        <v>7.9537240384012051</v>
      </c>
      <c r="V14" s="64">
        <f>IFERROR(O14/R14-1,"n/a")</f>
        <v>3.1781707848225427</v>
      </c>
      <c r="W14" s="64">
        <f>IFERROR(O14/S14-1,"n/a")</f>
        <v>0.12345806889713651</v>
      </c>
      <c r="X14" s="138">
        <v>3592413</v>
      </c>
      <c r="Y14" s="68">
        <v>768312</v>
      </c>
      <c r="Z14" s="68">
        <v>1092884</v>
      </c>
      <c r="AA14" s="134">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5"/>
      <c r="X15" s="139"/>
      <c r="Y15" s="43"/>
      <c r="Z15" s="43"/>
      <c r="AA15" s="135"/>
      <c r="AB15" s="122"/>
      <c r="AC15" s="122"/>
    </row>
    <row r="16" spans="1:29" s="123" customFormat="1" ht="12.75">
      <c r="A16" s="122"/>
      <c r="B16" s="127"/>
      <c r="C16" s="33"/>
      <c r="D16" s="26" t="s">
        <v>5</v>
      </c>
      <c r="E16" s="32"/>
      <c r="F16" s="71">
        <v>49</v>
      </c>
      <c r="G16" s="71">
        <v>27</v>
      </c>
      <c r="H16" s="71">
        <v>28</v>
      </c>
      <c r="I16" s="71">
        <v>10</v>
      </c>
      <c r="J16" s="71">
        <v>29</v>
      </c>
      <c r="K16" s="64">
        <f>IFERROR(F16/G16-1,"n/a")</f>
        <v>0.81481481481481488</v>
      </c>
      <c r="L16" s="64">
        <f t="shared" si="0"/>
        <v>0.75</v>
      </c>
      <c r="M16" s="64">
        <f>IFERROR(F16/I16-1,"n/a")</f>
        <v>3.9000000000000004</v>
      </c>
      <c r="N16" s="60">
        <f>IFERROR(F16/J16-1,"n/a")</f>
        <v>0.68965517241379315</v>
      </c>
      <c r="O16" s="68">
        <f>'Oct-23'!$O$16+F16</f>
        <v>561</v>
      </c>
      <c r="P16" s="68">
        <f>'Oct-23'!P16+'Nov-23'!G16</f>
        <v>566</v>
      </c>
      <c r="Q16" s="68">
        <f>'Oct-23'!Q16+'Nov-23'!H16</f>
        <v>197</v>
      </c>
      <c r="R16" s="68">
        <f>'Oct-23'!R16+'Nov-23'!I16</f>
        <v>48</v>
      </c>
      <c r="S16" s="68">
        <f>'Oct-23'!S16+'Nov-23'!J16</f>
        <v>546</v>
      </c>
      <c r="T16" s="64">
        <f>IFERROR(O16/P16-1,"n/a")</f>
        <v>-8.8339222614840507E-3</v>
      </c>
      <c r="U16" s="64">
        <f>IFERROR(O16/Q16-1,"n/a")</f>
        <v>1.8477157360406093</v>
      </c>
      <c r="V16" s="64">
        <f>IFERROR(O16/R16-1,"n/a")</f>
        <v>10.6875</v>
      </c>
      <c r="W16" s="64">
        <f>IFERROR(O16/S16-1,"n/a")</f>
        <v>2.7472527472527375E-2</v>
      </c>
      <c r="X16" s="138">
        <v>572</v>
      </c>
      <c r="Y16" s="68">
        <v>202</v>
      </c>
      <c r="Z16" s="68">
        <v>54</v>
      </c>
      <c r="AA16" s="134">
        <v>586</v>
      </c>
      <c r="AB16" s="122"/>
      <c r="AC16" s="122"/>
    </row>
    <row r="17" spans="1:29" s="123" customFormat="1" ht="12.75">
      <c r="A17" s="122"/>
      <c r="B17" s="127"/>
      <c r="C17" s="33"/>
      <c r="D17" s="26" t="s">
        <v>11</v>
      </c>
      <c r="E17" s="32"/>
      <c r="F17" s="71">
        <v>98994</v>
      </c>
      <c r="G17" s="71">
        <v>51003</v>
      </c>
      <c r="H17" s="71">
        <v>29456</v>
      </c>
      <c r="I17" s="71">
        <v>4854</v>
      </c>
      <c r="J17" s="71">
        <v>37844</v>
      </c>
      <c r="K17" s="64">
        <f>IFERROR(F17/G17-1,"n/a")</f>
        <v>0.94094465031468744</v>
      </c>
      <c r="L17" s="64">
        <f t="shared" si="0"/>
        <v>2.3607414448669202</v>
      </c>
      <c r="M17" s="64">
        <f>IFERROR(F17/I17-1,"n/a")</f>
        <v>19.394313967861557</v>
      </c>
      <c r="N17" s="60">
        <f>IFERROR(F17/J17-1,"n/a")</f>
        <v>1.6158439911214457</v>
      </c>
      <c r="O17" s="68">
        <f>'Oct-23'!O17+'Nov-23'!F17</f>
        <v>1629796</v>
      </c>
      <c r="P17" s="68">
        <f>'Oct-23'!P17+'Nov-23'!G17</f>
        <v>943603</v>
      </c>
      <c r="Q17" s="68">
        <f>'Oct-23'!Q17+'Nov-23'!H17</f>
        <v>288787</v>
      </c>
      <c r="R17" s="68">
        <f>'Oct-23'!R17+'Nov-23'!I17</f>
        <v>68534</v>
      </c>
      <c r="S17" s="68">
        <f>'Oct-23'!S17+'Nov-23'!J17</f>
        <v>1342797</v>
      </c>
      <c r="T17" s="64">
        <f>IFERROR(O17/P17-1,"n/a")</f>
        <v>0.72720519116620008</v>
      </c>
      <c r="U17" s="64">
        <f>IFERROR(O17/Q17-1,"n/a")</f>
        <v>4.643591989944146</v>
      </c>
      <c r="V17" s="64">
        <f>IFERROR(O17/R17-1,"n/a")</f>
        <v>22.780838707794672</v>
      </c>
      <c r="W17" s="64">
        <f>IFERROR(O17/S17-1,"n/a")</f>
        <v>0.21373223204996727</v>
      </c>
      <c r="X17" s="138">
        <v>965963</v>
      </c>
      <c r="Y17" s="68">
        <v>301521</v>
      </c>
      <c r="Z17" s="68">
        <v>70675</v>
      </c>
      <c r="AA17" s="134">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4"/>
      <c r="X18" s="139"/>
      <c r="Y18" s="43"/>
      <c r="Z18" s="43"/>
      <c r="AA18" s="135"/>
      <c r="AB18" s="122"/>
      <c r="AC18" s="122"/>
    </row>
    <row r="19" spans="1:29" s="123" customFormat="1" ht="12.75">
      <c r="A19" s="122"/>
      <c r="B19" s="127"/>
      <c r="C19" s="33"/>
      <c r="D19" s="26" t="s">
        <v>5</v>
      </c>
      <c r="E19" s="32"/>
      <c r="F19" s="71">
        <v>39</v>
      </c>
      <c r="G19" s="71">
        <v>39</v>
      </c>
      <c r="H19" s="71">
        <v>13</v>
      </c>
      <c r="I19" s="71">
        <v>1</v>
      </c>
      <c r="J19" s="71">
        <v>15</v>
      </c>
      <c r="K19" s="64">
        <f>IFERROR(F19/G19-1,"n/a")</f>
        <v>0</v>
      </c>
      <c r="L19" s="64">
        <f t="shared" si="0"/>
        <v>2</v>
      </c>
      <c r="M19" s="64">
        <f>IFERROR(F19/I19-1,"n/a")</f>
        <v>38</v>
      </c>
      <c r="N19" s="60">
        <f>IFERROR(F19/J19-1,"n/a")</f>
        <v>1.6</v>
      </c>
      <c r="O19" s="68">
        <f>'Oct-23'!O19+'Nov-23'!F19</f>
        <v>700</v>
      </c>
      <c r="P19" s="68">
        <f>'Oct-23'!P19+'Nov-23'!G19</f>
        <v>649</v>
      </c>
      <c r="Q19" s="68">
        <f>'Oct-23'!Q19+'Nov-23'!H19</f>
        <v>44</v>
      </c>
      <c r="R19" s="68">
        <f>'Oct-23'!R19+'Nov-23'!I19</f>
        <v>10</v>
      </c>
      <c r="S19" s="68">
        <f>'Oct-23'!S19+'Nov-23'!J19</f>
        <v>280</v>
      </c>
      <c r="T19" s="64">
        <f>IFERROR(O19/P19-1,"n/a")</f>
        <v>7.8582434514637978E-2</v>
      </c>
      <c r="U19" s="64">
        <f>IFERROR(O19/Q19-1,"n/a")</f>
        <v>14.909090909090908</v>
      </c>
      <c r="V19" s="64">
        <f>IFERROR(O19/R19-1,"n/a")</f>
        <v>69</v>
      </c>
      <c r="W19" s="64">
        <f>IFERROR(O19/S19-1,"n/a")</f>
        <v>1.5</v>
      </c>
      <c r="X19" s="138">
        <v>658</v>
      </c>
      <c r="Y19" s="68">
        <v>47</v>
      </c>
      <c r="Z19" s="68">
        <v>9</v>
      </c>
      <c r="AA19" s="134">
        <v>290</v>
      </c>
      <c r="AB19" s="122"/>
      <c r="AC19" s="122"/>
    </row>
    <row r="20" spans="1:29" s="123" customFormat="1" ht="12.75">
      <c r="A20" s="122"/>
      <c r="B20" s="127"/>
      <c r="C20" s="33"/>
      <c r="D20" s="26" t="s">
        <v>11</v>
      </c>
      <c r="E20" s="32"/>
      <c r="F20" s="71">
        <v>44881</v>
      </c>
      <c r="G20" s="71">
        <v>43590</v>
      </c>
      <c r="H20" s="71">
        <v>5685</v>
      </c>
      <c r="I20" s="71">
        <v>0</v>
      </c>
      <c r="J20" s="71">
        <v>20135</v>
      </c>
      <c r="K20" s="64">
        <f>IFERROR(F20/G20-1,"n/a")</f>
        <v>2.96168846065612E-2</v>
      </c>
      <c r="L20" s="64">
        <f t="shared" si="0"/>
        <v>6.8946350043975375</v>
      </c>
      <c r="M20" s="64" t="str">
        <f>IFERROR(F20/I20-1,"n/a")</f>
        <v>n/a</v>
      </c>
      <c r="N20" s="60">
        <f t="shared" ref="N20:N28" si="1">IFERROR(F20/J20-1,"n/a")</f>
        <v>1.2290042215048422</v>
      </c>
      <c r="O20" s="68">
        <f>'Oct-23'!O20+'Nov-23'!F20</f>
        <v>1270123</v>
      </c>
      <c r="P20" s="68">
        <f>'Oct-23'!P20+'Nov-23'!G20</f>
        <v>880732</v>
      </c>
      <c r="Q20" s="68">
        <f>'Oct-23'!Q20+'Nov-23'!H20</f>
        <v>16677</v>
      </c>
      <c r="R20" s="68">
        <f>'Oct-23'!R20+'Nov-23'!I20</f>
        <v>10047</v>
      </c>
      <c r="S20" s="68">
        <f>'Oct-23'!S20+'Nov-23'!J20</f>
        <v>575143</v>
      </c>
      <c r="T20" s="64">
        <f>IFERROR(O20/P20-1,"n/a")</f>
        <v>0.44212200760276676</v>
      </c>
      <c r="U20" s="64">
        <f>IFERROR(O20/Q20-1,"n/a")</f>
        <v>75.160160700365779</v>
      </c>
      <c r="V20" s="64">
        <f>IFERROR(O20/R20-1,"n/a")</f>
        <v>125.41813476659699</v>
      </c>
      <c r="W20" s="64">
        <f>IFERROR(O20/S20-1,"n/a")</f>
        <v>1.2083603555985207</v>
      </c>
      <c r="X20" s="138">
        <v>887495</v>
      </c>
      <c r="Y20" s="68">
        <v>17541</v>
      </c>
      <c r="Z20" s="68">
        <v>10046.999999999998</v>
      </c>
      <c r="AA20" s="134">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4"/>
      <c r="X21" s="139"/>
      <c r="Y21" s="43"/>
      <c r="Z21" s="43"/>
      <c r="AA21" s="135"/>
      <c r="AB21" s="122"/>
      <c r="AC21" s="122"/>
    </row>
    <row r="22" spans="1:29" s="123" customFormat="1" ht="12.75">
      <c r="A22" s="122"/>
      <c r="B22" s="127"/>
      <c r="C22" s="33"/>
      <c r="D22" s="26" t="s">
        <v>5</v>
      </c>
      <c r="E22" s="34"/>
      <c r="F22" s="71">
        <v>210</v>
      </c>
      <c r="G22" s="71">
        <v>130</v>
      </c>
      <c r="H22" s="71">
        <v>67</v>
      </c>
      <c r="I22" s="71">
        <v>0</v>
      </c>
      <c r="J22" s="71">
        <v>95</v>
      </c>
      <c r="K22" s="64">
        <f>IFERROR(F22/G22-1,"n/a")</f>
        <v>0.61538461538461542</v>
      </c>
      <c r="L22" s="64">
        <f t="shared" si="0"/>
        <v>2.1343283582089554</v>
      </c>
      <c r="M22" s="64" t="str">
        <f>IFERROR(F22/I22-1,"n/a")</f>
        <v>n/a</v>
      </c>
      <c r="N22" s="60">
        <f t="shared" si="1"/>
        <v>1.2105263157894739</v>
      </c>
      <c r="O22" s="68">
        <f>'Oct-23'!O22+'Nov-23'!F22</f>
        <v>1371</v>
      </c>
      <c r="P22" s="68">
        <f>'Oct-23'!P22+'Nov-23'!G22</f>
        <v>824</v>
      </c>
      <c r="Q22" s="68">
        <f>'Oct-23'!Q22+'Nov-23'!H22</f>
        <v>258</v>
      </c>
      <c r="R22" s="68">
        <f>'Oct-23'!R22+'Nov-23'!I22</f>
        <v>205</v>
      </c>
      <c r="S22" s="68">
        <f>'Oct-23'!S22+'Nov-23'!J22</f>
        <v>1041</v>
      </c>
      <c r="T22" s="64">
        <f>IFERROR(O22/P22-1,"n/a")</f>
        <v>0.66383495145631066</v>
      </c>
      <c r="U22" s="64">
        <f>IFERROR(O22/Q22-1,"n/a")</f>
        <v>4.3139534883720927</v>
      </c>
      <c r="V22" s="64">
        <f>IFERROR(O22/R22-1,"n/a")</f>
        <v>5.6878048780487802</v>
      </c>
      <c r="W22" s="64">
        <f>IFERROR(O22/S22-1,"n/a")</f>
        <v>0.31700288184438041</v>
      </c>
      <c r="X22" s="138">
        <v>895</v>
      </c>
      <c r="Y22" s="68">
        <v>283</v>
      </c>
      <c r="Z22" s="68">
        <v>43</v>
      </c>
      <c r="AA22" s="134">
        <v>827</v>
      </c>
      <c r="AB22" s="122"/>
      <c r="AC22" s="122"/>
    </row>
    <row r="23" spans="1:29" s="123" customFormat="1" ht="12.75">
      <c r="A23" s="122"/>
      <c r="B23" s="127"/>
      <c r="C23" s="33"/>
      <c r="D23" s="26" t="s">
        <v>11</v>
      </c>
      <c r="E23" s="32"/>
      <c r="F23" s="71">
        <v>507202</v>
      </c>
      <c r="G23" s="71">
        <v>274849</v>
      </c>
      <c r="H23" s="71">
        <v>83507</v>
      </c>
      <c r="I23" s="71">
        <v>0</v>
      </c>
      <c r="J23" s="71">
        <v>263747</v>
      </c>
      <c r="K23" s="64">
        <f>IFERROR(F23/G23-1,"n/a")</f>
        <v>0.84538419277494192</v>
      </c>
      <c r="L23" s="64">
        <f t="shared" si="0"/>
        <v>5.0737662710910465</v>
      </c>
      <c r="M23" s="64" t="str">
        <f>IFERROR(F23/I23-1,"n/a")</f>
        <v>n/a</v>
      </c>
      <c r="N23" s="60">
        <f t="shared" si="1"/>
        <v>0.92306263199202276</v>
      </c>
      <c r="O23" s="68">
        <f>'Oct-23'!O23+'Nov-23'!F23</f>
        <v>4057070</v>
      </c>
      <c r="P23" s="68">
        <f>'Oct-23'!P23+'Nov-23'!G23</f>
        <v>1943760</v>
      </c>
      <c r="Q23" s="68">
        <f>'Oct-23'!Q23+'Nov-23'!H23</f>
        <v>425895</v>
      </c>
      <c r="R23" s="68">
        <f>'Oct-23'!R23+'Nov-23'!I23</f>
        <v>545974</v>
      </c>
      <c r="S23" s="68">
        <f>'Oct-23'!S23+'Nov-23'!J23</f>
        <v>3161914</v>
      </c>
      <c r="T23" s="64">
        <f>IFERROR(O23/P23-1,"n/a")</f>
        <v>1.0872278470593075</v>
      </c>
      <c r="U23" s="64">
        <f>IFERROR(O23/Q23-1,"n/a")</f>
        <v>8.5259864520597795</v>
      </c>
      <c r="V23" s="64">
        <f>IFERROR(O23/R23-1,"n/a")</f>
        <v>6.4308849871971923</v>
      </c>
      <c r="W23" s="64">
        <f>IFERROR(O23/S23-1,"n/a")</f>
        <v>0.28310573911877435</v>
      </c>
      <c r="X23" s="138">
        <v>2165161</v>
      </c>
      <c r="Y23" s="68">
        <v>465109</v>
      </c>
      <c r="Z23" s="68">
        <v>140552</v>
      </c>
      <c r="AA23" s="134">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4"/>
      <c r="X24" s="139"/>
      <c r="Y24" s="43"/>
      <c r="Z24" s="43"/>
      <c r="AA24" s="135"/>
      <c r="AB24" s="122"/>
      <c r="AC24" s="122"/>
    </row>
    <row r="25" spans="1:29" s="123" customFormat="1" ht="12.75">
      <c r="B25" s="127"/>
      <c r="C25" s="33"/>
      <c r="D25" s="26" t="s">
        <v>5</v>
      </c>
      <c r="E25" s="32"/>
      <c r="F25" s="71">
        <v>0</v>
      </c>
      <c r="G25" s="71">
        <v>0</v>
      </c>
      <c r="H25" s="71">
        <v>0</v>
      </c>
      <c r="I25" s="71">
        <v>0</v>
      </c>
      <c r="J25" s="71">
        <v>0</v>
      </c>
      <c r="K25" s="64" t="str">
        <f>IFERROR(F25/G25-1,"n/a")</f>
        <v>n/a</v>
      </c>
      <c r="L25" s="64" t="str">
        <f t="shared" si="0"/>
        <v>n/a</v>
      </c>
      <c r="M25" s="64" t="str">
        <f>IFERROR(F25/I25-1,"n/a")</f>
        <v>n/a</v>
      </c>
      <c r="N25" s="60" t="str">
        <f t="shared" si="1"/>
        <v>n/a</v>
      </c>
      <c r="O25" s="68">
        <f>'Oct-23'!O25+'Nov-23'!F25</f>
        <v>21</v>
      </c>
      <c r="P25" s="68">
        <f>'Oct-23'!P25+'Nov-23'!G25</f>
        <v>9</v>
      </c>
      <c r="Q25" s="68">
        <f>'Oct-23'!Q25+'Nov-23'!H25</f>
        <v>0</v>
      </c>
      <c r="R25" s="68">
        <f>'Oct-23'!R25+'Nov-23'!I25</f>
        <v>0</v>
      </c>
      <c r="S25" s="68">
        <f>'Oct-23'!S25+'Nov-23'!J25</f>
        <v>16</v>
      </c>
      <c r="T25" s="64">
        <f>IFERROR(O25/P25-1,"n/a")</f>
        <v>1.3333333333333335</v>
      </c>
      <c r="U25" s="64" t="str">
        <f>IFERROR(O25/Q25-1,"n/a")</f>
        <v>n/a</v>
      </c>
      <c r="V25" s="64" t="str">
        <f>IFERROR(O25/R25-1,"n/a")</f>
        <v>n/a</v>
      </c>
      <c r="W25" s="64">
        <f>IFERROR(O25/S25-1,"n/a")</f>
        <v>0.3125</v>
      </c>
      <c r="X25" s="138">
        <v>9</v>
      </c>
      <c r="Y25" s="68">
        <v>0</v>
      </c>
      <c r="Z25" s="68">
        <v>0</v>
      </c>
      <c r="AA25" s="134">
        <v>16</v>
      </c>
      <c r="AB25" s="122"/>
      <c r="AC25" s="122"/>
    </row>
    <row r="26" spans="1:29" s="123" customFormat="1" ht="12.75">
      <c r="A26" s="122"/>
      <c r="B26" s="127"/>
      <c r="C26" s="33"/>
      <c r="D26" s="26" t="s">
        <v>11</v>
      </c>
      <c r="E26" s="32"/>
      <c r="F26" s="71">
        <v>0</v>
      </c>
      <c r="G26" s="71">
        <v>0</v>
      </c>
      <c r="H26" s="71">
        <v>0</v>
      </c>
      <c r="I26" s="71">
        <v>0</v>
      </c>
      <c r="J26" s="71">
        <v>0</v>
      </c>
      <c r="K26" s="64" t="str">
        <f>IFERROR(F26/G26-1,"n/a")</f>
        <v>n/a</v>
      </c>
      <c r="L26" s="64" t="str">
        <f t="shared" si="0"/>
        <v>n/a</v>
      </c>
      <c r="M26" s="64" t="str">
        <f>IFERROR(F26/I26-1,"n/a")</f>
        <v>n/a</v>
      </c>
      <c r="N26" s="60" t="str">
        <f t="shared" si="1"/>
        <v>n/a</v>
      </c>
      <c r="O26" s="68">
        <f>'Oct-23'!O26+'Nov-23'!F26</f>
        <v>38626</v>
      </c>
      <c r="P26" s="68">
        <f>'Oct-23'!P26+'Nov-23'!G26</f>
        <v>15637</v>
      </c>
      <c r="Q26" s="68">
        <f>'Oct-23'!Q26+'Nov-23'!H26</f>
        <v>0</v>
      </c>
      <c r="R26" s="68">
        <f>'Oct-23'!R26+'Nov-23'!I26</f>
        <v>0</v>
      </c>
      <c r="S26" s="68">
        <f>'Oct-23'!S26+'Nov-23'!J26</f>
        <v>20248</v>
      </c>
      <c r="T26" s="64">
        <f>IFERROR(O26/P26-1,"n/a")</f>
        <v>1.4701669118117286</v>
      </c>
      <c r="U26" s="64" t="str">
        <f>IFERROR(O26/Q26-1,"n/a")</f>
        <v>n/a</v>
      </c>
      <c r="V26" s="64" t="str">
        <f>IFERROR(O26/R26-1,"n/a")</f>
        <v>n/a</v>
      </c>
      <c r="W26" s="64">
        <f>IFERROR(O26/S26-1,"n/a")</f>
        <v>0.90764519952587919</v>
      </c>
      <c r="X26" s="140">
        <v>15637</v>
      </c>
      <c r="Y26" s="141">
        <v>0</v>
      </c>
      <c r="Z26" s="141">
        <v>0</v>
      </c>
      <c r="AA26" s="136">
        <v>20248</v>
      </c>
      <c r="AB26" s="122"/>
      <c r="AC26" s="122"/>
    </row>
    <row r="27" spans="1:29" s="123" customFormat="1" ht="13.5" thickBot="1">
      <c r="A27" s="122"/>
      <c r="B27" s="127"/>
      <c r="C27" s="35" t="s">
        <v>12</v>
      </c>
      <c r="D27" s="36"/>
      <c r="E27" s="37"/>
      <c r="F27" s="75">
        <f t="shared" ref="F27:J28" si="2">F13+F16+F19+F22+F25</f>
        <v>463</v>
      </c>
      <c r="G27" s="75">
        <f t="shared" si="2"/>
        <v>340</v>
      </c>
      <c r="H27" s="75">
        <f t="shared" si="2"/>
        <v>223</v>
      </c>
      <c r="I27" s="75">
        <f t="shared" si="2"/>
        <v>11</v>
      </c>
      <c r="J27" s="75">
        <f t="shared" si="2"/>
        <v>311</v>
      </c>
      <c r="K27" s="66">
        <f>IFERROR(F27/G27-1,"n/a")</f>
        <v>0.36176470588235299</v>
      </c>
      <c r="L27" s="66">
        <f t="shared" si="0"/>
        <v>1.0762331838565022</v>
      </c>
      <c r="M27" s="66">
        <f>IFERROR(F27/I27-1,"n/a")</f>
        <v>41.090909090909093</v>
      </c>
      <c r="N27" s="62">
        <f t="shared" si="1"/>
        <v>0.4887459807073955</v>
      </c>
      <c r="O27" s="75">
        <f t="shared" ref="O27:S28" si="3">O13+O16+O19+O22+O25</f>
        <v>4054</v>
      </c>
      <c r="P27" s="75">
        <f t="shared" si="3"/>
        <v>3343</v>
      </c>
      <c r="Q27" s="75">
        <f t="shared" si="3"/>
        <v>842</v>
      </c>
      <c r="R27" s="75">
        <f t="shared" si="3"/>
        <v>814</v>
      </c>
      <c r="S27" s="75">
        <f t="shared" si="3"/>
        <v>3267</v>
      </c>
      <c r="T27" s="66">
        <f>IFERROR(O27/P27-1,"n/a")</f>
        <v>0.21268321866586892</v>
      </c>
      <c r="U27" s="66">
        <f>IFERROR(O27/Q27-1,"n/a")</f>
        <v>3.8147268408551067</v>
      </c>
      <c r="V27" s="66">
        <f>IFERROR(O27/R27-1,"n/a")</f>
        <v>3.9803439803439806</v>
      </c>
      <c r="W27" s="62">
        <f>IFERROR(O27/S27-1,"n/a")</f>
        <v>0.24089378634833181</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1148627</v>
      </c>
      <c r="G28" s="76">
        <f t="shared" si="2"/>
        <v>779647</v>
      </c>
      <c r="H28" s="76">
        <f t="shared" si="2"/>
        <v>304612</v>
      </c>
      <c r="I28" s="76">
        <f t="shared" si="2"/>
        <v>4854</v>
      </c>
      <c r="J28" s="76">
        <f t="shared" si="2"/>
        <v>742910</v>
      </c>
      <c r="K28" s="67">
        <f>IFERROR(F28/G28-1,"n/a")</f>
        <v>0.47326546501172961</v>
      </c>
      <c r="L28" s="67">
        <f t="shared" si="0"/>
        <v>2.7707870996546426</v>
      </c>
      <c r="M28" s="67">
        <f>IFERROR(F28/I28-1,"n/a")</f>
        <v>235.63514627111661</v>
      </c>
      <c r="N28" s="63">
        <f t="shared" si="1"/>
        <v>0.54611864155819689</v>
      </c>
      <c r="O28" s="76">
        <f t="shared" si="3"/>
        <v>11561871</v>
      </c>
      <c r="P28" s="76">
        <f t="shared" si="3"/>
        <v>6857826</v>
      </c>
      <c r="Q28" s="76">
        <f t="shared" si="3"/>
        <v>1241343</v>
      </c>
      <c r="R28" s="76">
        <f t="shared" si="3"/>
        <v>1717439</v>
      </c>
      <c r="S28" s="76">
        <f t="shared" si="3"/>
        <v>9164567</v>
      </c>
      <c r="T28" s="67">
        <f>IFERROR(O28/P28-1,"n/a")</f>
        <v>0.68593822590424436</v>
      </c>
      <c r="U28" s="67">
        <f>IFERROR(O28/Q28-1,"n/a")</f>
        <v>8.314001851220814</v>
      </c>
      <c r="V28" s="67">
        <f>IFERROR(O28/R28-1,"n/a")</f>
        <v>5.7320417202590601</v>
      </c>
      <c r="W28" s="63">
        <f>IFERROR(O28/S28-1,"n/a")</f>
        <v>0.26158398972913832</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70" t="str">
        <f>F9</f>
        <v>November</v>
      </c>
      <c r="G33" s="170"/>
      <c r="H33" s="170"/>
      <c r="I33" s="170"/>
      <c r="J33" s="170"/>
      <c r="K33" s="170"/>
      <c r="L33" s="170"/>
      <c r="M33" s="170"/>
      <c r="N33" s="171"/>
      <c r="O33" s="176" t="str">
        <f>"April to "&amp;D4&amp;" (YTD)"</f>
        <v>April to November (YTD)</v>
      </c>
      <c r="P33" s="177"/>
      <c r="Q33" s="177"/>
      <c r="R33" s="177"/>
      <c r="S33" s="177"/>
      <c r="T33" s="177"/>
      <c r="U33" s="177"/>
      <c r="V33" s="177"/>
      <c r="W33" s="178"/>
      <c r="X33" s="169" t="s">
        <v>58</v>
      </c>
      <c r="Y33" s="170"/>
      <c r="Z33" s="170"/>
      <c r="AA33" s="172"/>
    </row>
    <row r="34" spans="1:29" s="123" customFormat="1" ht="11.25">
      <c r="A34" s="122"/>
      <c r="B34" s="122"/>
      <c r="C34" s="29"/>
      <c r="D34" s="30"/>
      <c r="E34" s="30"/>
      <c r="F34" s="175"/>
      <c r="G34" s="173"/>
      <c r="H34" s="173"/>
      <c r="I34" s="173"/>
      <c r="J34" s="173"/>
      <c r="K34" s="173"/>
      <c r="L34" s="173"/>
      <c r="M34" s="173"/>
      <c r="N34" s="174"/>
      <c r="O34" s="175"/>
      <c r="P34" s="173"/>
      <c r="Q34" s="173"/>
      <c r="R34" s="173"/>
      <c r="S34" s="173"/>
      <c r="T34" s="173"/>
      <c r="U34" s="173"/>
      <c r="V34" s="173"/>
      <c r="W34" s="174"/>
      <c r="X34" s="175"/>
      <c r="Y34" s="173"/>
      <c r="Z34" s="173"/>
      <c r="AA34" s="174"/>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165</v>
      </c>
      <c r="G37" s="74">
        <f t="shared" si="5"/>
        <v>144</v>
      </c>
      <c r="H37" s="74">
        <f t="shared" si="5"/>
        <v>115</v>
      </c>
      <c r="I37" s="74">
        <f t="shared" si="5"/>
        <v>0</v>
      </c>
      <c r="J37" s="74">
        <f t="shared" si="5"/>
        <v>172</v>
      </c>
      <c r="K37" s="64">
        <f>IFERROR(F37/G37-1,"n/a")</f>
        <v>0.14583333333333326</v>
      </c>
      <c r="L37" s="64">
        <f>IFERROR(F37/H37-1,"n/a")</f>
        <v>0.43478260869565211</v>
      </c>
      <c r="M37" s="64" t="str">
        <f>IFERROR(F37/I37-1,"n/a")</f>
        <v>n/a</v>
      </c>
      <c r="N37" s="60">
        <f>IFERROR(F37/J37-1,"n/a")</f>
        <v>-4.0697674418604612E-2</v>
      </c>
      <c r="O37" s="74">
        <f>'Oct-23'!O37+'Nov-23'!F37</f>
        <v>871</v>
      </c>
      <c r="P37" s="74">
        <f>'Oct-23'!P37+'Nov-23'!G37</f>
        <v>765</v>
      </c>
      <c r="Q37" s="74">
        <f>'Oct-23'!Q37+'Nov-23'!H37</f>
        <v>343</v>
      </c>
      <c r="R37" s="74">
        <f>'Oct-23'!R37+'Nov-23'!I37</f>
        <v>42</v>
      </c>
      <c r="S37" s="74">
        <f>'Oct-23'!S37+'Nov-23'!J37</f>
        <v>868</v>
      </c>
      <c r="T37" s="119">
        <f>IFERROR(O37/P37-1,"n/a")</f>
        <v>0.13856209150326793</v>
      </c>
      <c r="U37" s="119">
        <f>IFERROR(O37/Q37-1,"n/a")</f>
        <v>1.5393586005830904</v>
      </c>
      <c r="V37" s="119">
        <f>IFERROR(O37/R37-1,"n/a")</f>
        <v>19.738095238095237</v>
      </c>
      <c r="W37" s="120">
        <f>IFERROR(O37/S37-1,"n/a")</f>
        <v>3.4562211981565838E-3</v>
      </c>
      <c r="X37" s="89">
        <v>1486</v>
      </c>
      <c r="Y37" s="89">
        <v>1052</v>
      </c>
      <c r="Z37" s="70">
        <v>551</v>
      </c>
      <c r="AA37" s="78">
        <v>1584</v>
      </c>
      <c r="AC37" s="122"/>
    </row>
    <row r="38" spans="1:29" s="123" customFormat="1" ht="11.25">
      <c r="A38" s="122"/>
      <c r="B38" s="122"/>
      <c r="C38" s="33"/>
      <c r="D38" s="26" t="s">
        <v>11</v>
      </c>
      <c r="E38" s="32"/>
      <c r="F38" s="74">
        <f t="shared" si="5"/>
        <v>497550</v>
      </c>
      <c r="G38" s="74">
        <f t="shared" si="5"/>
        <v>410205</v>
      </c>
      <c r="H38" s="74">
        <f t="shared" si="5"/>
        <v>185964</v>
      </c>
      <c r="I38" s="74">
        <f t="shared" si="5"/>
        <v>0</v>
      </c>
      <c r="J38" s="74">
        <f t="shared" si="5"/>
        <v>421184</v>
      </c>
      <c r="K38" s="64">
        <f>IFERROR(F38/G38-1,"n/a")</f>
        <v>0.2129301203057008</v>
      </c>
      <c r="L38" s="64">
        <f>IFERROR(F38/H38-1,"n/a")</f>
        <v>1.6755178421629995</v>
      </c>
      <c r="M38" s="64" t="str">
        <f>IFERROR(F38/I38-1,"n/a")</f>
        <v>n/a</v>
      </c>
      <c r="N38" s="60">
        <f>IFERROR(F38/J38-1,"n/a")</f>
        <v>0.18131268044370152</v>
      </c>
      <c r="O38" s="74">
        <f>'Oct-23'!O38+'Nov-23'!F38</f>
        <v>3028072</v>
      </c>
      <c r="P38" s="74">
        <f>'Oct-23'!P38+'Nov-23'!G38</f>
        <v>2314436</v>
      </c>
      <c r="Q38" s="74">
        <f>'Oct-23'!Q38+'Nov-23'!H38</f>
        <v>509984</v>
      </c>
      <c r="R38" s="74">
        <f>'Oct-23'!R38+'Nov-23'!I38</f>
        <v>0</v>
      </c>
      <c r="S38" s="74">
        <f>'Oct-23'!S38+'Nov-23'!J38</f>
        <v>2613361</v>
      </c>
      <c r="T38" s="119">
        <f>IFERROR(O38/P38-1,"n/a")</f>
        <v>0.30834121142256699</v>
      </c>
      <c r="U38" s="119">
        <f>IFERROR(O38/Q38-1,"n/a")</f>
        <v>4.9375823555248788</v>
      </c>
      <c r="V38" s="119" t="str">
        <f>IFERROR(O38/R38-1,"n/a")</f>
        <v>n/a</v>
      </c>
      <c r="W38" s="120">
        <f>IFERROR(O38/S38-1,"n/a")</f>
        <v>0.15868875367773527</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49</v>
      </c>
      <c r="G40" s="74">
        <f t="shared" si="6"/>
        <v>27</v>
      </c>
      <c r="H40" s="74">
        <f t="shared" si="6"/>
        <v>28</v>
      </c>
      <c r="I40" s="74">
        <f t="shared" si="6"/>
        <v>10</v>
      </c>
      <c r="J40" s="74">
        <f t="shared" si="6"/>
        <v>29</v>
      </c>
      <c r="K40" s="64">
        <f>IFERROR(F40/G40-1,"n/a")</f>
        <v>0.81481481481481488</v>
      </c>
      <c r="L40" s="64">
        <f>IFERROR(F40/H40-1,"n/a")</f>
        <v>0.75</v>
      </c>
      <c r="M40" s="64">
        <f>IFERROR(F40/I40-1,"n/a")</f>
        <v>3.9000000000000004</v>
      </c>
      <c r="N40" s="60">
        <f>IFERROR(F40/J40-1,"n/a")</f>
        <v>0.68965517241379315</v>
      </c>
      <c r="O40" s="74">
        <f>'Oct-23'!O40+'Nov-23'!F40</f>
        <v>534</v>
      </c>
      <c r="P40" s="74">
        <f>'Oct-23'!P40+'Nov-23'!G40</f>
        <v>530</v>
      </c>
      <c r="Q40" s="74">
        <f>'Oct-23'!Q40+'Nov-23'!H40</f>
        <v>185</v>
      </c>
      <c r="R40" s="74">
        <f>'Oct-23'!R40+'Nov-23'!I40</f>
        <v>38</v>
      </c>
      <c r="S40" s="74">
        <f>'Oct-23'!S40+'Nov-23'!J40</f>
        <v>523</v>
      </c>
      <c r="T40" s="119">
        <f>IFERROR(O40/P40-1,"n/a")</f>
        <v>7.547169811320753E-3</v>
      </c>
      <c r="U40" s="119">
        <f>IFERROR(O40/Q40-1,"n/a")</f>
        <v>1.8864864864864863</v>
      </c>
      <c r="V40" s="119">
        <f>IFERROR(O40/R40-1,"n/a")</f>
        <v>13.052631578947368</v>
      </c>
      <c r="W40" s="120">
        <f>IFERROR(O40/S40-1,"n/a")</f>
        <v>2.1032504780114758E-2</v>
      </c>
      <c r="X40" s="89">
        <v>563</v>
      </c>
      <c r="Y40" s="89">
        <v>226</v>
      </c>
      <c r="Z40" s="70">
        <v>66</v>
      </c>
      <c r="AA40" s="78">
        <v>573</v>
      </c>
      <c r="AC40" s="122"/>
    </row>
    <row r="41" spans="1:29" s="123" customFormat="1" ht="11.25">
      <c r="A41" s="122"/>
      <c r="B41" s="122"/>
      <c r="C41" s="33"/>
      <c r="D41" s="26" t="s">
        <v>11</v>
      </c>
      <c r="E41" s="32"/>
      <c r="F41" s="74">
        <f t="shared" si="6"/>
        <v>98994</v>
      </c>
      <c r="G41" s="74">
        <f t="shared" si="6"/>
        <v>51003</v>
      </c>
      <c r="H41" s="74">
        <f t="shared" si="6"/>
        <v>29456</v>
      </c>
      <c r="I41" s="74">
        <f t="shared" si="6"/>
        <v>4854</v>
      </c>
      <c r="J41" s="74">
        <f t="shared" si="6"/>
        <v>37844</v>
      </c>
      <c r="K41" s="64">
        <f>IFERROR(F41/G41-1,"n/a")</f>
        <v>0.94094465031468744</v>
      </c>
      <c r="L41" s="64">
        <f>IFERROR(F41/H41-1,"n/a")</f>
        <v>2.3607414448669202</v>
      </c>
      <c r="M41" s="64">
        <f>IFERROR(F41/I41-1,"n/a")</f>
        <v>19.394313967861557</v>
      </c>
      <c r="N41" s="60">
        <f>IFERROR(F41/J41-1,"n/a")</f>
        <v>1.6158439911214457</v>
      </c>
      <c r="O41" s="74">
        <f>'Oct-23'!O41+'Nov-23'!F41</f>
        <v>1546741</v>
      </c>
      <c r="P41" s="74">
        <f>'Oct-23'!P41+'Nov-23'!G41</f>
        <v>907095</v>
      </c>
      <c r="Q41" s="74">
        <f>'Oct-23'!Q41+'Nov-23'!H41</f>
        <v>278684</v>
      </c>
      <c r="R41" s="74">
        <f>'Oct-23'!R41+'Nov-23'!I41</f>
        <v>27421</v>
      </c>
      <c r="S41" s="74">
        <f>'Oct-23'!S41+'Nov-23'!J41</f>
        <v>1262423</v>
      </c>
      <c r="T41" s="119">
        <f>IFERROR(O41/P41-1,"n/a")</f>
        <v>0.70515877609291189</v>
      </c>
      <c r="U41" s="119">
        <f>IFERROR(O41/Q41-1,"n/a")</f>
        <v>4.5501607555510901</v>
      </c>
      <c r="V41" s="119">
        <f>IFERROR(O41/R41-1,"n/a")</f>
        <v>55.40716968746581</v>
      </c>
      <c r="W41" s="120">
        <f>IFERROR(O41/S41-1,"n/a")</f>
        <v>0.22521611219060489</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39</v>
      </c>
      <c r="G43" s="74">
        <f t="shared" si="7"/>
        <v>39</v>
      </c>
      <c r="H43" s="74">
        <f t="shared" si="7"/>
        <v>13</v>
      </c>
      <c r="I43" s="74">
        <f t="shared" si="7"/>
        <v>1</v>
      </c>
      <c r="J43" s="74">
        <f t="shared" si="7"/>
        <v>15</v>
      </c>
      <c r="K43" s="64">
        <f>IFERROR(F43/G43-1,"n/a")</f>
        <v>0</v>
      </c>
      <c r="L43" s="64">
        <f>IFERROR(F43/H43-1,"n/a")</f>
        <v>2</v>
      </c>
      <c r="M43" s="64">
        <f>IFERROR(F43/I43-1,"n/a")</f>
        <v>38</v>
      </c>
      <c r="N43" s="60">
        <f>IFERROR(F43/J43-1,"n/a")</f>
        <v>1.6</v>
      </c>
      <c r="O43" s="74">
        <f>'Oct-23'!O43+'Nov-23'!F43</f>
        <v>677</v>
      </c>
      <c r="P43" s="74">
        <f>'Oct-23'!P43+'Nov-23'!G43</f>
        <v>637</v>
      </c>
      <c r="Q43" s="74">
        <f>'Oct-23'!Q43+'Nov-23'!H43</f>
        <v>44</v>
      </c>
      <c r="R43" s="74">
        <f>'Oct-23'!R43+'Nov-23'!I43</f>
        <v>7</v>
      </c>
      <c r="S43" s="74">
        <f>'Oct-23'!S43+'Nov-23'!J43</f>
        <v>274</v>
      </c>
      <c r="T43" s="119">
        <f>IFERROR(O43/P43-1,"n/a")</f>
        <v>6.279434850863419E-2</v>
      </c>
      <c r="U43" s="119">
        <f>IFERROR(O43/Q43-1,"n/a")</f>
        <v>14.386363636363637</v>
      </c>
      <c r="V43" s="119">
        <f>IFERROR(O43/R43-1,"n/a")</f>
        <v>95.714285714285708</v>
      </c>
      <c r="W43" s="120">
        <f>IFERROR(O43/S43-1,"n/a")</f>
        <v>1.4708029197080292</v>
      </c>
      <c r="X43" s="89">
        <v>669</v>
      </c>
      <c r="Y43" s="89">
        <v>59</v>
      </c>
      <c r="Z43" s="70">
        <v>9</v>
      </c>
      <c r="AA43" s="78">
        <v>287</v>
      </c>
      <c r="AC43" s="122"/>
    </row>
    <row r="44" spans="1:29" s="123" customFormat="1" ht="11.25">
      <c r="A44" s="122"/>
      <c r="B44" s="122"/>
      <c r="C44" s="33"/>
      <c r="D44" s="26" t="s">
        <v>11</v>
      </c>
      <c r="E44" s="32"/>
      <c r="F44" s="74">
        <f t="shared" si="7"/>
        <v>44881</v>
      </c>
      <c r="G44" s="74">
        <f t="shared" si="7"/>
        <v>43590</v>
      </c>
      <c r="H44" s="74">
        <f t="shared" si="7"/>
        <v>5685</v>
      </c>
      <c r="I44" s="74">
        <f t="shared" si="7"/>
        <v>0</v>
      </c>
      <c r="J44" s="74">
        <f t="shared" si="7"/>
        <v>20135</v>
      </c>
      <c r="K44" s="64">
        <f>IFERROR(F44/G44-1,"n/a")</f>
        <v>2.96168846065612E-2</v>
      </c>
      <c r="L44" s="64">
        <f>IFERROR(F44/H44-1,"n/a")</f>
        <v>6.8946350043975375</v>
      </c>
      <c r="M44" s="64" t="str">
        <f>IFERROR(F44/I44-1,"n/a")</f>
        <v>n/a</v>
      </c>
      <c r="N44" s="60">
        <f>IFERROR(F44/J44-1,"n/a")</f>
        <v>1.2290042215048422</v>
      </c>
      <c r="O44" s="74">
        <f>'Oct-23'!O44+'Nov-23'!F44</f>
        <v>1249277</v>
      </c>
      <c r="P44" s="74">
        <f>'Oct-23'!P44+'Nov-23'!G44</f>
        <v>877647</v>
      </c>
      <c r="Q44" s="74">
        <f>'Oct-23'!Q44+'Nov-23'!H44</f>
        <v>16677</v>
      </c>
      <c r="R44" s="74">
        <f>'Oct-23'!R44+'Nov-23'!I44</f>
        <v>8294</v>
      </c>
      <c r="S44" s="74">
        <f>'Oct-23'!S44+'Nov-23'!J44</f>
        <v>568659</v>
      </c>
      <c r="T44" s="119">
        <f>IFERROR(O44/P44-1,"n/a")</f>
        <v>0.42343903642352787</v>
      </c>
      <c r="U44" s="119">
        <f>IFERROR(O44/Q44-1,"n/a")</f>
        <v>73.91017569107153</v>
      </c>
      <c r="V44" s="119">
        <f>IFERROR(O44/R44-1,"n/a")</f>
        <v>149.62418615866892</v>
      </c>
      <c r="W44" s="120">
        <f>IFERROR(O44/S44-1,"n/a")</f>
        <v>1.1968824902094224</v>
      </c>
      <c r="X44" s="82">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210</v>
      </c>
      <c r="G46" s="74">
        <f t="shared" si="8"/>
        <v>130</v>
      </c>
      <c r="H46" s="74">
        <f t="shared" si="8"/>
        <v>67</v>
      </c>
      <c r="I46" s="74">
        <f t="shared" si="8"/>
        <v>0</v>
      </c>
      <c r="J46" s="74">
        <f t="shared" si="8"/>
        <v>95</v>
      </c>
      <c r="K46" s="64">
        <f>IFERROR(F46/G46-1,"n/a")</f>
        <v>0.61538461538461542</v>
      </c>
      <c r="L46" s="64">
        <f>IFERROR(F46/H46-1,"n/a")</f>
        <v>2.1343283582089554</v>
      </c>
      <c r="M46" s="64" t="str">
        <f>IFERROR(F46/I46-1,"n/a")</f>
        <v>n/a</v>
      </c>
      <c r="N46" s="60">
        <f>IFERROR(F46/J46-1,"n/a")</f>
        <v>1.2105263157894739</v>
      </c>
      <c r="O46" s="74">
        <f>'Oct-23'!O46+'Nov-23'!F46</f>
        <v>1084</v>
      </c>
      <c r="P46" s="74">
        <f>'Oct-23'!P46+'Nov-23'!G46</f>
        <v>771</v>
      </c>
      <c r="Q46" s="74">
        <f>'Oct-23'!Q46+'Nov-23'!H46</f>
        <v>258</v>
      </c>
      <c r="R46" s="74">
        <f>'Oct-23'!R46+'Nov-23'!I46</f>
        <v>0</v>
      </c>
      <c r="S46" s="74">
        <f>'Oct-23'!S46+'Nov-23'!J46</f>
        <v>718</v>
      </c>
      <c r="T46" s="119">
        <f>IFERROR(O46/P46-1,"n/a")</f>
        <v>0.40596627756160819</v>
      </c>
      <c r="U46" s="119">
        <f>IFERROR(O46/Q46-1,"n/a")</f>
        <v>3.2015503875968996</v>
      </c>
      <c r="V46" s="119" t="str">
        <f>IFERROR(O46/R46-1,"n/a")</f>
        <v>n/a</v>
      </c>
      <c r="W46" s="120">
        <f>IFERROR(O46/S46-1,"n/a")</f>
        <v>0.50974930362116999</v>
      </c>
      <c r="X46" s="89">
        <v>1129</v>
      </c>
      <c r="Y46" s="89">
        <v>336</v>
      </c>
      <c r="Z46" s="84">
        <v>43</v>
      </c>
      <c r="AA46" s="78">
        <v>781</v>
      </c>
      <c r="AC46" s="122"/>
    </row>
    <row r="47" spans="1:29" s="123" customFormat="1" ht="11.25">
      <c r="A47" s="122"/>
      <c r="B47" s="122"/>
      <c r="C47" s="33"/>
      <c r="D47" s="26" t="s">
        <v>11</v>
      </c>
      <c r="E47" s="32"/>
      <c r="F47" s="74">
        <f t="shared" si="8"/>
        <v>507202</v>
      </c>
      <c r="G47" s="74">
        <f t="shared" si="8"/>
        <v>274849</v>
      </c>
      <c r="H47" s="74">
        <f t="shared" si="8"/>
        <v>83507</v>
      </c>
      <c r="I47" s="74">
        <f t="shared" si="8"/>
        <v>0</v>
      </c>
      <c r="J47" s="74">
        <f t="shared" si="8"/>
        <v>263747</v>
      </c>
      <c r="K47" s="64">
        <f>IFERROR(F47/G47-1,"n/a")</f>
        <v>0.84538419277494192</v>
      </c>
      <c r="L47" s="64">
        <f>IFERROR(F47/H47-1,"n/a")</f>
        <v>5.0737662710910465</v>
      </c>
      <c r="M47" s="64" t="str">
        <f>IFERROR(F47/I47-1,"n/a")</f>
        <v>n/a</v>
      </c>
      <c r="N47" s="60">
        <f>IFERROR(F47/J47-1,"n/a")</f>
        <v>0.92306263199202276</v>
      </c>
      <c r="O47" s="74">
        <f>'Oct-23'!O47+'Nov-23'!F47</f>
        <v>3220796</v>
      </c>
      <c r="P47" s="74">
        <f>'Oct-23'!P47+'Nov-23'!G47</f>
        <v>1875306</v>
      </c>
      <c r="Q47" s="74">
        <f>'Oct-23'!Q47+'Nov-23'!H47</f>
        <v>425895</v>
      </c>
      <c r="R47" s="74">
        <f>'Oct-23'!R47+'Nov-23'!I47</f>
        <v>0</v>
      </c>
      <c r="S47" s="74">
        <f>'Oct-23'!S47+'Nov-23'!J47</f>
        <v>2242099</v>
      </c>
      <c r="T47" s="119">
        <f>IFERROR(O47/P47-1,"n/a")</f>
        <v>0.71747757432653647</v>
      </c>
      <c r="U47" s="119">
        <f>IFERROR(O47/Q47-1,"n/a")</f>
        <v>6.5624179668697682</v>
      </c>
      <c r="V47" s="119" t="str">
        <f>IFERROR(O47/R47-1,"n/a")</f>
        <v>n/a</v>
      </c>
      <c r="W47" s="120">
        <f>IFERROR(O47/S47-1,"n/a")</f>
        <v>0.43650927100007619</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0</v>
      </c>
      <c r="G49" s="74">
        <f t="shared" si="9"/>
        <v>0</v>
      </c>
      <c r="H49" s="74">
        <f t="shared" si="9"/>
        <v>0</v>
      </c>
      <c r="I49" s="74">
        <f t="shared" si="9"/>
        <v>0</v>
      </c>
      <c r="J49" s="74">
        <f t="shared" si="9"/>
        <v>0</v>
      </c>
      <c r="K49" s="64" t="str">
        <f>IFERROR(F49/G49-1,"n/a")</f>
        <v>n/a</v>
      </c>
      <c r="L49" s="64" t="str">
        <f>IFERROR(F49/H49-1,"n/a")</f>
        <v>n/a</v>
      </c>
      <c r="M49" s="64" t="str">
        <f>IFERROR(F49/I49-1,"n/a")</f>
        <v>n/a</v>
      </c>
      <c r="N49" s="60" t="str">
        <f>IFERROR(F49/J49-1,"n/a")</f>
        <v>n/a</v>
      </c>
      <c r="O49" s="74">
        <f>'Oct-23'!O49+'Nov-23'!F49</f>
        <v>21</v>
      </c>
      <c r="P49" s="74">
        <f>'Oct-23'!P49+'Nov-23'!G49</f>
        <v>9</v>
      </c>
      <c r="Q49" s="74">
        <f>'Oct-23'!Q49+'Nov-23'!H49</f>
        <v>0</v>
      </c>
      <c r="R49" s="74">
        <f>'Oct-23'!R49+'Nov-23'!I49</f>
        <v>0</v>
      </c>
      <c r="S49" s="74">
        <f>'Oct-23'!S49+'Nov-23'!J49</f>
        <v>16</v>
      </c>
      <c r="T49" s="119">
        <f>IFERROR(O49/P49-1,"n/a")</f>
        <v>1.3333333333333335</v>
      </c>
      <c r="U49" s="119" t="str">
        <f>IFERROR(O49/Q49-1,"n/a")</f>
        <v>n/a</v>
      </c>
      <c r="V49" s="119" t="str">
        <f>IFERROR(O49/R49-1,"n/a")</f>
        <v>n/a</v>
      </c>
      <c r="W49" s="120">
        <f>IFERROR(O49/S49-1,"n/a")</f>
        <v>0.3125</v>
      </c>
      <c r="X49" s="89">
        <v>9</v>
      </c>
      <c r="Y49" s="68">
        <v>0</v>
      </c>
      <c r="Z49" s="68">
        <v>0</v>
      </c>
      <c r="AA49" s="78">
        <v>16</v>
      </c>
      <c r="AC49" s="122"/>
    </row>
    <row r="50" spans="3:29" s="123" customFormat="1" ht="11.25">
      <c r="C50" s="33"/>
      <c r="D50" s="26" t="s">
        <v>11</v>
      </c>
      <c r="E50" s="32"/>
      <c r="F50" s="74">
        <f t="shared" si="9"/>
        <v>0</v>
      </c>
      <c r="G50" s="74">
        <f t="shared" si="9"/>
        <v>0</v>
      </c>
      <c r="H50" s="74">
        <f t="shared" si="9"/>
        <v>0</v>
      </c>
      <c r="I50" s="74">
        <f t="shared" si="9"/>
        <v>0</v>
      </c>
      <c r="J50" s="74">
        <f t="shared" si="9"/>
        <v>0</v>
      </c>
      <c r="K50" s="64" t="str">
        <f>IFERROR(F50/G50-1,"n/a")</f>
        <v>n/a</v>
      </c>
      <c r="L50" s="64" t="str">
        <f>IFERROR(F50/H50-1,"n/a")</f>
        <v>n/a</v>
      </c>
      <c r="M50" s="64" t="str">
        <f>IFERROR(F50/I50-1,"n/a")</f>
        <v>n/a</v>
      </c>
      <c r="N50" s="60" t="str">
        <f>IFERROR(F50/J50-1,"n/a")</f>
        <v>n/a</v>
      </c>
      <c r="O50" s="74">
        <f>'Oct-23'!O50+'Nov-23'!F50</f>
        <v>38626</v>
      </c>
      <c r="P50" s="74">
        <f>'Oct-23'!P50+'Nov-23'!G50</f>
        <v>15637</v>
      </c>
      <c r="Q50" s="74">
        <f>'Oct-23'!Q50+'Nov-23'!H50</f>
        <v>0</v>
      </c>
      <c r="R50" s="74">
        <f>'Oct-23'!R50+'Nov-23'!I50</f>
        <v>0</v>
      </c>
      <c r="S50" s="74">
        <f>'Oct-23'!S50+'Nov-23'!J50</f>
        <v>20248</v>
      </c>
      <c r="T50" s="119">
        <f>IFERROR(O50/P50-1,"n/a")</f>
        <v>1.4701669118117286</v>
      </c>
      <c r="U50" s="119" t="str">
        <f>IFERROR(O50/Q50-1,"n/a")</f>
        <v>n/a</v>
      </c>
      <c r="V50" s="119" t="str">
        <f>IFERROR(O50/R50-1,"n/a")</f>
        <v>n/a</v>
      </c>
      <c r="W50" s="120">
        <f>IFERROR(O50/S50-1,"n/a")</f>
        <v>0.90764519952587919</v>
      </c>
      <c r="X50" s="82">
        <v>15637</v>
      </c>
      <c r="Y50" s="68">
        <v>0</v>
      </c>
      <c r="Z50" s="68">
        <v>0</v>
      </c>
      <c r="AA50" s="78">
        <v>20248</v>
      </c>
      <c r="AC50" s="122"/>
    </row>
    <row r="51" spans="3:29" s="123" customFormat="1" ht="12" thickBot="1">
      <c r="C51" s="35" t="s">
        <v>12</v>
      </c>
      <c r="D51" s="36"/>
      <c r="E51" s="37"/>
      <c r="F51" s="75">
        <f>F37+F40+F43+F46+F49</f>
        <v>463</v>
      </c>
      <c r="G51" s="75">
        <f t="shared" ref="G51:J52" si="10">G37+G40+G43+G46+G49</f>
        <v>340</v>
      </c>
      <c r="H51" s="75">
        <f t="shared" si="10"/>
        <v>223</v>
      </c>
      <c r="I51" s="75">
        <f t="shared" si="10"/>
        <v>11</v>
      </c>
      <c r="J51" s="75">
        <f t="shared" si="10"/>
        <v>311</v>
      </c>
      <c r="K51" s="66">
        <f>IFERROR(F51/G51-1,"n/a")</f>
        <v>0.36176470588235299</v>
      </c>
      <c r="L51" s="66">
        <f>IFERROR(F51/H51-1,"n/a")</f>
        <v>1.0762331838565022</v>
      </c>
      <c r="M51" s="66">
        <f>IFERROR(F51/I51-1,"n/a")</f>
        <v>41.090909090909093</v>
      </c>
      <c r="N51" s="62">
        <f>IFERROR(F51/J51-1,"n/a")</f>
        <v>0.4887459807073955</v>
      </c>
      <c r="O51" s="75">
        <f t="shared" ref="O51:S52" si="11">O37+O40+O43+O46+O49</f>
        <v>3187</v>
      </c>
      <c r="P51" s="75">
        <f t="shared" si="11"/>
        <v>2712</v>
      </c>
      <c r="Q51" s="75">
        <f t="shared" si="11"/>
        <v>830</v>
      </c>
      <c r="R51" s="75">
        <f t="shared" si="11"/>
        <v>87</v>
      </c>
      <c r="S51" s="75">
        <f t="shared" si="11"/>
        <v>2399</v>
      </c>
      <c r="T51" s="66">
        <f>IFERROR(O51/P51-1,"n/a")</f>
        <v>0.17514749262536866</v>
      </c>
      <c r="U51" s="66">
        <f>IFERROR(O51/Q51-1,"n/a")</f>
        <v>2.8397590361445784</v>
      </c>
      <c r="V51" s="66">
        <f>IFERROR(O51/R51-1,"n/a")</f>
        <v>35.632183908045974</v>
      </c>
      <c r="W51" s="62">
        <f>IFERROR(O51/S51-1,"n/a")</f>
        <v>0.32847019591496451</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1148627</v>
      </c>
      <c r="G52" s="76">
        <f t="shared" si="10"/>
        <v>779647</v>
      </c>
      <c r="H52" s="76">
        <f t="shared" si="10"/>
        <v>304612</v>
      </c>
      <c r="I52" s="76">
        <f t="shared" si="10"/>
        <v>4854</v>
      </c>
      <c r="J52" s="76">
        <f t="shared" si="10"/>
        <v>742910</v>
      </c>
      <c r="K52" s="67">
        <f>IFERROR(F52/G52-1,"n/a")</f>
        <v>0.47326546501172961</v>
      </c>
      <c r="L52" s="67">
        <f>IFERROR(F52/H52-1,"n/a")</f>
        <v>2.7707870996546426</v>
      </c>
      <c r="M52" s="67">
        <f>IFERROR(F52/I52-1,"n/a")</f>
        <v>235.63514627111661</v>
      </c>
      <c r="N52" s="63">
        <f>IFERROR(F52/J52-1,"n/a")</f>
        <v>0.54611864155819689</v>
      </c>
      <c r="O52" s="76">
        <f t="shared" si="11"/>
        <v>9083512</v>
      </c>
      <c r="P52" s="76">
        <f t="shared" si="11"/>
        <v>5990121</v>
      </c>
      <c r="Q52" s="76">
        <f t="shared" si="11"/>
        <v>1231240</v>
      </c>
      <c r="R52" s="76">
        <f t="shared" si="11"/>
        <v>35715</v>
      </c>
      <c r="S52" s="76">
        <f t="shared" si="11"/>
        <v>6706790</v>
      </c>
      <c r="T52" s="67">
        <f>IFERROR(O52/P52-1,"n/a")</f>
        <v>0.51641544469635914</v>
      </c>
      <c r="U52" s="117">
        <f>IFERROR(O52/Q52-1,"n/a")</f>
        <v>6.377531594165232</v>
      </c>
      <c r="V52" s="117">
        <f>IFERROR(O52/R52-1,"n/a")</f>
        <v>253.33324933501331</v>
      </c>
      <c r="W52" s="118">
        <f>IFERROR(O52/S52-1,"n/a")</f>
        <v>0.3543754911067738</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38A6-CE2A-402A-800B-FA87C6295727}">
  <dimension ref="A1:AC66"/>
  <sheetViews>
    <sheetView showGridLines="0" topLeftCell="A6" zoomScaleNormal="100" workbookViewId="0">
      <selection activeCell="O27" sqref="O27"/>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45214</v>
      </c>
      <c r="AB3" s="25"/>
      <c r="AC3" s="9"/>
    </row>
    <row r="4" spans="1:29" ht="15.75">
      <c r="A4" s="9"/>
      <c r="B4" s="11" t="s">
        <v>7</v>
      </c>
      <c r="C4" s="26"/>
      <c r="D4" s="93" t="s">
        <v>24</v>
      </c>
      <c r="E4" s="133">
        <v>2023</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7" t="str">
        <f>D4</f>
        <v>October</v>
      </c>
      <c r="G9" s="170"/>
      <c r="H9" s="170"/>
      <c r="I9" s="170"/>
      <c r="J9" s="170"/>
      <c r="K9" s="170"/>
      <c r="L9" s="170"/>
      <c r="M9" s="170"/>
      <c r="N9" s="171"/>
      <c r="O9" s="169" t="str">
        <f>"January to "&amp; D4</f>
        <v>January to October</v>
      </c>
      <c r="P9" s="170"/>
      <c r="Q9" s="170"/>
      <c r="R9" s="170"/>
      <c r="S9" s="170"/>
      <c r="T9" s="170"/>
      <c r="U9" s="170"/>
      <c r="V9" s="170"/>
      <c r="W9" s="171"/>
      <c r="X9" s="169" t="s">
        <v>57</v>
      </c>
      <c r="Y9" s="170"/>
      <c r="Z9" s="170"/>
      <c r="AA9" s="172"/>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1">
        <v>81</v>
      </c>
      <c r="G13" s="71">
        <v>78</v>
      </c>
      <c r="H13" s="71">
        <v>89</v>
      </c>
      <c r="I13" s="71">
        <v>0</v>
      </c>
      <c r="J13" s="71">
        <v>110</v>
      </c>
      <c r="K13" s="64">
        <f>IFERROR(F13/G13-1,"n/a")</f>
        <v>3.8461538461538547E-2</v>
      </c>
      <c r="L13" s="64">
        <f t="shared" ref="L13:L28" si="0">IFERROR(F13/H13-1,"n/a")</f>
        <v>-8.98876404494382E-2</v>
      </c>
      <c r="M13" s="64" t="str">
        <f>IFERROR(F13/I13-1,"n/a")</f>
        <v>n/a</v>
      </c>
      <c r="N13" s="60">
        <f>IFERROR(F13/J13-1,"n/a")</f>
        <v>-0.26363636363636367</v>
      </c>
      <c r="O13" s="68">
        <f>'Sep-23'!O13+'Oct-23'!F13</f>
        <v>1236</v>
      </c>
      <c r="P13" s="68">
        <f>'Sep-23'!$P$13+G13</f>
        <v>1151</v>
      </c>
      <c r="Q13" s="68">
        <f>'Sep-23'!Q13+'Oct-23'!H13</f>
        <v>228</v>
      </c>
      <c r="R13" s="68">
        <f>'Sep-23'!R13+'Oct-23'!I13</f>
        <v>551</v>
      </c>
      <c r="S13" s="68">
        <f>'Sep-23'!S13+'Oct-23'!J13</f>
        <v>1212</v>
      </c>
      <c r="T13" s="64">
        <f>IFERROR(O13/P13-1,"n/a")</f>
        <v>7.3848827106863579E-2</v>
      </c>
      <c r="U13" s="64">
        <f>IFERROR(O13/Q13-1,"n/a")</f>
        <v>4.4210526315789478</v>
      </c>
      <c r="V13" s="64">
        <f>IFERROR(O13/R13-1,"n/a")</f>
        <v>1.2431941923774956</v>
      </c>
      <c r="W13" s="60">
        <f>IFERROR(O13/S13-1,"n/a")</f>
        <v>1.980198019801982E-2</v>
      </c>
      <c r="X13" s="68">
        <v>1486</v>
      </c>
      <c r="Y13" s="68">
        <v>522</v>
      </c>
      <c r="Z13" s="68">
        <v>551</v>
      </c>
      <c r="AA13" s="68">
        <v>1591</v>
      </c>
      <c r="AB13" s="122"/>
      <c r="AC13" s="122"/>
    </row>
    <row r="14" spans="1:29" s="123" customFormat="1" ht="12.75">
      <c r="A14" s="122"/>
      <c r="B14" s="127"/>
      <c r="C14" s="33"/>
      <c r="D14" s="26" t="s">
        <v>11</v>
      </c>
      <c r="E14" s="32"/>
      <c r="F14" s="71">
        <v>282162</v>
      </c>
      <c r="G14" s="71">
        <v>268578</v>
      </c>
      <c r="H14" s="71">
        <v>143120</v>
      </c>
      <c r="I14" s="71">
        <v>0</v>
      </c>
      <c r="J14" s="71">
        <v>299863</v>
      </c>
      <c r="K14" s="64">
        <f>IFERROR(F14/G14-1,"n/a")</f>
        <v>5.0577485870026528E-2</v>
      </c>
      <c r="L14" s="64">
        <f t="shared" si="0"/>
        <v>0.97150642817216326</v>
      </c>
      <c r="M14" s="64" t="str">
        <f>IFERROR(F14/I14-1,"n/a")</f>
        <v>n/a</v>
      </c>
      <c r="N14" s="60">
        <f>IFERROR(F14/J14-1,"n/a")</f>
        <v>-5.9030290499328064E-2</v>
      </c>
      <c r="O14" s="68">
        <f>'Sep-23'!$O$14+F14</f>
        <v>4068706</v>
      </c>
      <c r="P14" s="68">
        <f>'Sep-23'!P14+'Oct-23'!G14</f>
        <v>2663889</v>
      </c>
      <c r="Q14" s="68">
        <f>'Sep-23'!Q14+'Oct-23'!H14</f>
        <v>324020</v>
      </c>
      <c r="R14" s="68">
        <f>'Sep-23'!R14+'Oct-23'!I14</f>
        <v>1092884</v>
      </c>
      <c r="S14" s="68">
        <f>'Sep-23'!S14+'Oct-23'!J14</f>
        <v>3643281</v>
      </c>
      <c r="T14" s="64">
        <f>IFERROR(O14/P14-1,"n/a")</f>
        <v>0.52735568186211967</v>
      </c>
      <c r="U14" s="64">
        <f>IFERROR(O14/Q14-1,"n/a")</f>
        <v>11.556959446947719</v>
      </c>
      <c r="V14" s="64">
        <f>IFERROR(O14/R14-1,"n/a")</f>
        <v>2.7229074631891401</v>
      </c>
      <c r="W14" s="60">
        <f>IFERROR(O14/S14-1,"n/a")</f>
        <v>0.1167697468298492</v>
      </c>
      <c r="X14" s="68">
        <v>3592413</v>
      </c>
      <c r="Y14" s="68">
        <v>768312</v>
      </c>
      <c r="Z14" s="68">
        <v>1092884</v>
      </c>
      <c r="AA14" s="68">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3"/>
      <c r="AA15" s="43"/>
      <c r="AB15" s="122"/>
      <c r="AC15" s="122"/>
    </row>
    <row r="16" spans="1:29" s="123" customFormat="1" ht="12.75">
      <c r="A16" s="122"/>
      <c r="B16" s="127"/>
      <c r="C16" s="33"/>
      <c r="D16" s="26" t="s">
        <v>5</v>
      </c>
      <c r="E16" s="32"/>
      <c r="F16" s="71">
        <v>87</v>
      </c>
      <c r="G16" s="71">
        <v>89</v>
      </c>
      <c r="H16" s="71">
        <v>33</v>
      </c>
      <c r="I16" s="71">
        <v>17</v>
      </c>
      <c r="J16" s="71">
        <v>114</v>
      </c>
      <c r="K16" s="64">
        <f>IFERROR(F16/G16-1,"n/a")</f>
        <v>-2.2471910112359605E-2</v>
      </c>
      <c r="L16" s="64">
        <f t="shared" si="0"/>
        <v>1.6363636363636362</v>
      </c>
      <c r="M16" s="64">
        <f>IFERROR(F16/I16-1,"n/a")</f>
        <v>4.117647058823529</v>
      </c>
      <c r="N16" s="60">
        <f>IFERROR(F16/J16-1,"n/a")</f>
        <v>-0.23684210526315785</v>
      </c>
      <c r="O16" s="68">
        <f>'Sep-23'!$O$16+F16</f>
        <v>512</v>
      </c>
      <c r="P16" s="68">
        <f>'Sep-23'!P16+'Oct-23'!G16</f>
        <v>539</v>
      </c>
      <c r="Q16" s="68">
        <f>'Sep-23'!Q16+'Oct-23'!H16</f>
        <v>169</v>
      </c>
      <c r="R16" s="68">
        <f>'Sep-23'!R16+'Oct-23'!I16</f>
        <v>38</v>
      </c>
      <c r="S16" s="68">
        <f>'Sep-23'!S16+'Oct-23'!J16</f>
        <v>517</v>
      </c>
      <c r="T16" s="64">
        <f>IFERROR(O16/P16-1,"n/a")</f>
        <v>-5.0092764378478649E-2</v>
      </c>
      <c r="U16" s="64">
        <f>IFERROR(O16/Q16-1,"n/a")</f>
        <v>2.029585798816568</v>
      </c>
      <c r="V16" s="64">
        <f>IFERROR(O16/R16-1,"n/a")</f>
        <v>12.473684210526315</v>
      </c>
      <c r="W16" s="60">
        <f>IFERROR(O16/S16-1,"n/a")</f>
        <v>-9.6711798839458352E-3</v>
      </c>
      <c r="X16" s="68">
        <v>572</v>
      </c>
      <c r="Y16" s="68">
        <v>202</v>
      </c>
      <c r="Z16" s="68">
        <v>54</v>
      </c>
      <c r="AA16" s="68">
        <v>586</v>
      </c>
      <c r="AB16" s="122"/>
      <c r="AC16" s="122"/>
    </row>
    <row r="17" spans="1:29" s="123" customFormat="1" ht="12.75">
      <c r="A17" s="122"/>
      <c r="B17" s="127"/>
      <c r="C17" s="33"/>
      <c r="D17" s="26" t="s">
        <v>11</v>
      </c>
      <c r="E17" s="32"/>
      <c r="F17" s="71">
        <v>199183</v>
      </c>
      <c r="G17" s="71">
        <v>124605</v>
      </c>
      <c r="H17" s="71">
        <v>44045</v>
      </c>
      <c r="I17" s="71">
        <v>13954</v>
      </c>
      <c r="J17" s="71">
        <v>223063</v>
      </c>
      <c r="K17" s="64">
        <f>IFERROR(F17/G17-1,"n/a")</f>
        <v>0.59851530837446321</v>
      </c>
      <c r="L17" s="64">
        <f t="shared" si="0"/>
        <v>3.522261323646271</v>
      </c>
      <c r="M17" s="64">
        <f>IFERROR(F17/I17-1,"n/a")</f>
        <v>13.274258277196504</v>
      </c>
      <c r="N17" s="60">
        <f>IFERROR(F17/J17-1,"n/a")</f>
        <v>-0.10705495756804129</v>
      </c>
      <c r="O17" s="68">
        <f>'Sep-23'!O17+'Oct-23'!F17</f>
        <v>1530802</v>
      </c>
      <c r="P17" s="68">
        <f>'Sep-23'!P17+'Oct-23'!G17</f>
        <v>892600</v>
      </c>
      <c r="Q17" s="68">
        <f>'Sep-23'!Q17+'Oct-23'!H17</f>
        <v>259331</v>
      </c>
      <c r="R17" s="68">
        <f>'Sep-23'!R17+'Oct-23'!I17</f>
        <v>63680</v>
      </c>
      <c r="S17" s="68">
        <f>'Sep-23'!S17+'Oct-23'!J17</f>
        <v>1304953</v>
      </c>
      <c r="T17" s="64">
        <f>IFERROR(O17/P17-1,"n/a")</f>
        <v>0.71499215774142955</v>
      </c>
      <c r="U17" s="64">
        <f>IFERROR(O17/Q17-1,"n/a")</f>
        <v>4.9028885864011631</v>
      </c>
      <c r="V17" s="64">
        <f>IFERROR(O17/R17-1,"n/a")</f>
        <v>23.038976130653268</v>
      </c>
      <c r="W17" s="60">
        <f>IFERROR(O17/S17-1,"n/a")</f>
        <v>0.17307060101015126</v>
      </c>
      <c r="X17" s="68">
        <v>965963</v>
      </c>
      <c r="Y17" s="68">
        <v>301521</v>
      </c>
      <c r="Z17" s="68">
        <v>70675</v>
      </c>
      <c r="AA17" s="68">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3"/>
      <c r="AA18" s="43"/>
      <c r="AB18" s="122"/>
      <c r="AC18" s="122"/>
    </row>
    <row r="19" spans="1:29" s="123" customFormat="1" ht="12.75">
      <c r="A19" s="122"/>
      <c r="B19" s="127"/>
      <c r="C19" s="33"/>
      <c r="D19" s="26" t="s">
        <v>5</v>
      </c>
      <c r="E19" s="32"/>
      <c r="F19" s="71">
        <v>117</v>
      </c>
      <c r="G19" s="71">
        <v>97</v>
      </c>
      <c r="H19" s="71">
        <v>15</v>
      </c>
      <c r="I19" s="71">
        <v>1</v>
      </c>
      <c r="J19" s="71">
        <v>34</v>
      </c>
      <c r="K19" s="64">
        <f>IFERROR(F19/G19-1,"n/a")</f>
        <v>0.20618556701030921</v>
      </c>
      <c r="L19" s="64">
        <f t="shared" si="0"/>
        <v>6.8</v>
      </c>
      <c r="M19" s="64">
        <f>IFERROR(F19/I19-1,"n/a")</f>
        <v>116</v>
      </c>
      <c r="N19" s="60">
        <f>IFERROR(F19/J19-1,"n/a")</f>
        <v>2.4411764705882355</v>
      </c>
      <c r="O19" s="68">
        <f>'Sep-23'!O19+'Oct-23'!F19</f>
        <v>661</v>
      </c>
      <c r="P19" s="68">
        <f>'Sep-23'!P19+'Oct-23'!G19</f>
        <v>610</v>
      </c>
      <c r="Q19" s="68">
        <f>'Sep-23'!Q19+'Oct-23'!H19</f>
        <v>31</v>
      </c>
      <c r="R19" s="68">
        <f>'Sep-23'!R19+'Oct-23'!I19</f>
        <v>9</v>
      </c>
      <c r="S19" s="68">
        <f>'Sep-23'!S19+'Oct-23'!J19</f>
        <v>265</v>
      </c>
      <c r="T19" s="64">
        <f>IFERROR(O19/P19-1,"n/a")</f>
        <v>8.3606557377049251E-2</v>
      </c>
      <c r="U19" s="64">
        <f>IFERROR(O19/Q19-1,"n/a")</f>
        <v>20.322580645161292</v>
      </c>
      <c r="V19" s="64">
        <f>IFERROR(O19/R19-1,"n/a")</f>
        <v>72.444444444444443</v>
      </c>
      <c r="W19" s="60">
        <f>IFERROR(O19/S19-1,"n/a")</f>
        <v>1.4943396226415095</v>
      </c>
      <c r="X19" s="68">
        <v>658</v>
      </c>
      <c r="Y19" s="68">
        <v>47</v>
      </c>
      <c r="Z19" s="68">
        <v>9</v>
      </c>
      <c r="AA19" s="68">
        <v>290</v>
      </c>
      <c r="AB19" s="122"/>
      <c r="AC19" s="122"/>
    </row>
    <row r="20" spans="1:29" s="123" customFormat="1" ht="12.75">
      <c r="A20" s="122"/>
      <c r="B20" s="127"/>
      <c r="C20" s="33"/>
      <c r="D20" s="26" t="s">
        <v>11</v>
      </c>
      <c r="E20" s="32"/>
      <c r="F20" s="71">
        <v>211817</v>
      </c>
      <c r="G20" s="71">
        <v>133084</v>
      </c>
      <c r="H20" s="71">
        <v>6450</v>
      </c>
      <c r="I20" s="71">
        <v>0</v>
      </c>
      <c r="J20" s="71">
        <v>67246</v>
      </c>
      <c r="K20" s="64">
        <f>IFERROR(F20/G20-1,"n/a")</f>
        <v>0.59160379910432503</v>
      </c>
      <c r="L20" s="64">
        <f t="shared" si="0"/>
        <v>31.83984496124031</v>
      </c>
      <c r="M20" s="64" t="str">
        <f>IFERROR(F20/I20-1,"n/a")</f>
        <v>n/a</v>
      </c>
      <c r="N20" s="60">
        <f t="shared" ref="N20:N28" si="1">IFERROR(F20/J20-1,"n/a")</f>
        <v>2.1498825208934362</v>
      </c>
      <c r="O20" s="68">
        <f>'Sep-23'!O20+'Oct-23'!F20</f>
        <v>1225242</v>
      </c>
      <c r="P20" s="68">
        <f>'Sep-23'!P20+'Oct-23'!G20</f>
        <v>837142</v>
      </c>
      <c r="Q20" s="68">
        <f>'Sep-23'!Q20+'Oct-23'!H20</f>
        <v>10992</v>
      </c>
      <c r="R20" s="68">
        <f>'Sep-23'!R20+'Oct-23'!I20</f>
        <v>10047</v>
      </c>
      <c r="S20" s="68">
        <f>'Sep-23'!S20+'Oct-23'!J20</f>
        <v>555008</v>
      </c>
      <c r="T20" s="64">
        <f>IFERROR(O20/P20-1,"n/a")</f>
        <v>0.46360115727080942</v>
      </c>
      <c r="U20" s="64">
        <f>IFERROR(O20/Q20-1,"n/a")</f>
        <v>110.46670305676857</v>
      </c>
      <c r="V20" s="64">
        <f>IFERROR(O20/R20-1,"n/a")</f>
        <v>120.9510301582562</v>
      </c>
      <c r="W20" s="60">
        <f>IFERROR(O20/S20-1,"n/a")</f>
        <v>1.2076114218173433</v>
      </c>
      <c r="X20" s="68">
        <v>887495</v>
      </c>
      <c r="Y20" s="68">
        <v>17541</v>
      </c>
      <c r="Z20" s="68">
        <v>10046.999999999998</v>
      </c>
      <c r="AA20" s="68">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3"/>
      <c r="AA21" s="43"/>
      <c r="AB21" s="122"/>
      <c r="AC21" s="122"/>
    </row>
    <row r="22" spans="1:29" s="123" customFormat="1" ht="12.75">
      <c r="A22" s="122"/>
      <c r="B22" s="127"/>
      <c r="C22" s="33"/>
      <c r="D22" s="26" t="s">
        <v>5</v>
      </c>
      <c r="E22" s="34"/>
      <c r="F22" s="71">
        <v>185</v>
      </c>
      <c r="G22" s="71">
        <v>149</v>
      </c>
      <c r="H22" s="71">
        <v>107</v>
      </c>
      <c r="I22" s="71">
        <v>0</v>
      </c>
      <c r="J22" s="71">
        <v>127</v>
      </c>
      <c r="K22" s="64">
        <f>IFERROR(F22/G22-1,"n/a")</f>
        <v>0.24161073825503365</v>
      </c>
      <c r="L22" s="64">
        <f t="shared" si="0"/>
        <v>0.72897196261682251</v>
      </c>
      <c r="M22" s="64" t="str">
        <f>IFERROR(F22/I22-1,"n/a")</f>
        <v>n/a</v>
      </c>
      <c r="N22" s="60">
        <f t="shared" si="1"/>
        <v>0.45669291338582685</v>
      </c>
      <c r="O22" s="68">
        <f>'Sep-23'!O22+'Oct-23'!F22</f>
        <v>1161</v>
      </c>
      <c r="P22" s="68">
        <f>'Sep-23'!P22+'Oct-23'!G22</f>
        <v>694</v>
      </c>
      <c r="Q22" s="68">
        <f>'Sep-23'!Q22+'Oct-23'!H22</f>
        <v>191</v>
      </c>
      <c r="R22" s="68">
        <f>'Sep-23'!R22+'Oct-23'!I22</f>
        <v>205</v>
      </c>
      <c r="S22" s="68">
        <f>'Sep-23'!S22+'Oct-23'!J22</f>
        <v>946</v>
      </c>
      <c r="T22" s="64">
        <f>IFERROR(O22/P22-1,"n/a")</f>
        <v>0.67291066282420742</v>
      </c>
      <c r="U22" s="64">
        <f>IFERROR(O22/Q22-1,"n/a")</f>
        <v>5.0785340314136125</v>
      </c>
      <c r="V22" s="64">
        <f>IFERROR(O22/R22-1,"n/a")</f>
        <v>4.6634146341463412</v>
      </c>
      <c r="W22" s="60">
        <f>IFERROR(O22/S22-1,"n/a")</f>
        <v>0.22727272727272729</v>
      </c>
      <c r="X22" s="68">
        <v>895</v>
      </c>
      <c r="Y22" s="68">
        <v>283</v>
      </c>
      <c r="Z22" s="68">
        <v>43</v>
      </c>
      <c r="AA22" s="68">
        <v>827</v>
      </c>
      <c r="AB22" s="122"/>
      <c r="AC22" s="122"/>
    </row>
    <row r="23" spans="1:29" s="123" customFormat="1" ht="12.75">
      <c r="A23" s="122"/>
      <c r="B23" s="127"/>
      <c r="C23" s="33"/>
      <c r="D23" s="26" t="s">
        <v>11</v>
      </c>
      <c r="E23" s="32"/>
      <c r="F23" s="71">
        <v>513716</v>
      </c>
      <c r="G23" s="71">
        <v>338461</v>
      </c>
      <c r="H23" s="71">
        <v>174505</v>
      </c>
      <c r="I23" s="71">
        <v>0</v>
      </c>
      <c r="J23" s="71">
        <v>332808</v>
      </c>
      <c r="K23" s="64">
        <f>IFERROR(F23/G23-1,"n/a")</f>
        <v>0.5177996874085935</v>
      </c>
      <c r="L23" s="64">
        <f t="shared" si="0"/>
        <v>1.9438468811781897</v>
      </c>
      <c r="M23" s="64" t="str">
        <f>IFERROR(F23/I23-1,"n/a")</f>
        <v>n/a</v>
      </c>
      <c r="N23" s="60">
        <f t="shared" si="1"/>
        <v>0.54358068315665498</v>
      </c>
      <c r="O23" s="68">
        <f>'Sep-23'!O23+'Oct-23'!F23</f>
        <v>3549868</v>
      </c>
      <c r="P23" s="68">
        <f>'Sep-23'!P23+'Oct-23'!G23</f>
        <v>1668911</v>
      </c>
      <c r="Q23" s="68">
        <f>'Sep-23'!Q23+'Oct-23'!H23</f>
        <v>342388</v>
      </c>
      <c r="R23" s="68">
        <f>'Sep-23'!R23+'Oct-23'!I23</f>
        <v>545974</v>
      </c>
      <c r="S23" s="68">
        <f>'Sep-23'!S23+'Oct-23'!J23</f>
        <v>2898167</v>
      </c>
      <c r="T23" s="64">
        <f>IFERROR(O23/P23-1,"n/a")</f>
        <v>1.1270565057094117</v>
      </c>
      <c r="U23" s="64">
        <f>IFERROR(O23/Q23-1,"n/a")</f>
        <v>9.3679685035690508</v>
      </c>
      <c r="V23" s="64">
        <f>IFERROR(O23/R23-1,"n/a")</f>
        <v>5.5018993578448789</v>
      </c>
      <c r="W23" s="60">
        <f>IFERROR(O23/S23-1,"n/a")</f>
        <v>0.22486661396668994</v>
      </c>
      <c r="X23" s="68">
        <v>2165161</v>
      </c>
      <c r="Y23" s="68">
        <v>465109</v>
      </c>
      <c r="Z23" s="68">
        <v>140552</v>
      </c>
      <c r="AA23" s="68">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0"/>
      <c r="X24" s="43"/>
      <c r="Y24" s="43"/>
      <c r="Z24" s="43"/>
      <c r="AA24" s="43"/>
      <c r="AB24" s="122"/>
      <c r="AC24" s="122"/>
    </row>
    <row r="25" spans="1:29" s="123" customFormat="1" ht="12.75">
      <c r="B25" s="127"/>
      <c r="C25" s="33"/>
      <c r="D25" s="26" t="s">
        <v>5</v>
      </c>
      <c r="E25" s="32"/>
      <c r="F25" s="71">
        <v>2</v>
      </c>
      <c r="G25" s="71">
        <v>1</v>
      </c>
      <c r="H25" s="71">
        <v>0</v>
      </c>
      <c r="I25" s="71">
        <v>0</v>
      </c>
      <c r="J25" s="71">
        <v>3</v>
      </c>
      <c r="K25" s="64">
        <f>IFERROR(F25/G25-1,"n/a")</f>
        <v>1</v>
      </c>
      <c r="L25" s="64" t="str">
        <f t="shared" si="0"/>
        <v>n/a</v>
      </c>
      <c r="M25" s="64" t="str">
        <f>IFERROR(F25/I25-1,"n/a")</f>
        <v>n/a</v>
      </c>
      <c r="N25" s="60">
        <f t="shared" si="1"/>
        <v>-0.33333333333333337</v>
      </c>
      <c r="O25" s="68">
        <f>'Sep-23'!O25+'Oct-23'!F25</f>
        <v>21</v>
      </c>
      <c r="P25" s="68">
        <f>'Sep-23'!P25+'Oct-23'!G25</f>
        <v>9</v>
      </c>
      <c r="Q25" s="68">
        <f>'Sep-23'!Q25+'Oct-23'!H25</f>
        <v>0</v>
      </c>
      <c r="R25" s="68">
        <f>'Sep-23'!R25+'Oct-23'!I25</f>
        <v>0</v>
      </c>
      <c r="S25" s="68">
        <f>'Sep-23'!S25+'Oct-23'!J25</f>
        <v>16</v>
      </c>
      <c r="T25" s="64">
        <f>IFERROR(O25/P25-1,"n/a")</f>
        <v>1.3333333333333335</v>
      </c>
      <c r="U25" s="64" t="str">
        <f>IFERROR(O25/Q25-1,"n/a")</f>
        <v>n/a</v>
      </c>
      <c r="V25" s="64" t="str">
        <f>IFERROR(O25/R25-1,"n/a")</f>
        <v>n/a</v>
      </c>
      <c r="W25" s="60">
        <f>IFERROR(O25/S25-1,"n/a")</f>
        <v>0.3125</v>
      </c>
      <c r="X25" s="68">
        <v>9</v>
      </c>
      <c r="Y25" s="68">
        <v>0</v>
      </c>
      <c r="Z25" s="68">
        <v>0</v>
      </c>
      <c r="AA25" s="68">
        <v>16</v>
      </c>
      <c r="AB25" s="122"/>
      <c r="AC25" s="122"/>
    </row>
    <row r="26" spans="1:29" s="123" customFormat="1" ht="12.75">
      <c r="A26" s="122"/>
      <c r="B26" s="127"/>
      <c r="C26" s="33"/>
      <c r="D26" s="26" t="s">
        <v>11</v>
      </c>
      <c r="E26" s="32"/>
      <c r="F26" s="71">
        <v>4312</v>
      </c>
      <c r="G26" s="71">
        <v>2358</v>
      </c>
      <c r="H26" s="71">
        <v>0</v>
      </c>
      <c r="I26" s="71">
        <v>0</v>
      </c>
      <c r="J26" s="71">
        <v>3957</v>
      </c>
      <c r="K26" s="64">
        <f>IFERROR(F26/G26-1,"n/a")</f>
        <v>0.82866836301950797</v>
      </c>
      <c r="L26" s="64" t="str">
        <f t="shared" si="0"/>
        <v>n/a</v>
      </c>
      <c r="M26" s="64" t="str">
        <f>IFERROR(F26/I26-1,"n/a")</f>
        <v>n/a</v>
      </c>
      <c r="N26" s="60">
        <f t="shared" si="1"/>
        <v>8.971443012383129E-2</v>
      </c>
      <c r="O26" s="68">
        <f>'Sep-23'!O26+'Oct-23'!F26</f>
        <v>38626</v>
      </c>
      <c r="P26" s="68">
        <f>'Sep-23'!P26+'Oct-23'!G26</f>
        <v>15637</v>
      </c>
      <c r="Q26" s="68">
        <f>'Sep-23'!Q26+'Oct-23'!H26</f>
        <v>0</v>
      </c>
      <c r="R26" s="68">
        <f>'Sep-23'!R26+'Oct-23'!I26</f>
        <v>0</v>
      </c>
      <c r="S26" s="68">
        <f>'Sep-23'!S26+'Oct-23'!J26</f>
        <v>20248</v>
      </c>
      <c r="T26" s="64">
        <f>IFERROR(O26/P26-1,"n/a")</f>
        <v>1.4701669118117286</v>
      </c>
      <c r="U26" s="64" t="str">
        <f>IFERROR(O26/Q26-1,"n/a")</f>
        <v>n/a</v>
      </c>
      <c r="V26" s="64" t="str">
        <f>IFERROR(O26/R26-1,"n/a")</f>
        <v>n/a</v>
      </c>
      <c r="W26" s="60">
        <f>IFERROR(O26/S26-1,"n/a")</f>
        <v>0.90764519952587919</v>
      </c>
      <c r="X26" s="68">
        <v>15637</v>
      </c>
      <c r="Y26" s="68">
        <v>0</v>
      </c>
      <c r="Z26" s="68">
        <v>0</v>
      </c>
      <c r="AA26" s="68">
        <v>20248</v>
      </c>
      <c r="AB26" s="122"/>
      <c r="AC26" s="122"/>
    </row>
    <row r="27" spans="1:29" s="123" customFormat="1" ht="13.5" thickBot="1">
      <c r="A27" s="122"/>
      <c r="B27" s="127"/>
      <c r="C27" s="35" t="s">
        <v>12</v>
      </c>
      <c r="D27" s="36"/>
      <c r="E27" s="37"/>
      <c r="F27" s="75">
        <f t="shared" ref="F27:J28" si="2">F13+F16+F19+F22+F25</f>
        <v>472</v>
      </c>
      <c r="G27" s="75">
        <f t="shared" si="2"/>
        <v>414</v>
      </c>
      <c r="H27" s="75">
        <f t="shared" si="2"/>
        <v>244</v>
      </c>
      <c r="I27" s="75">
        <f t="shared" si="2"/>
        <v>18</v>
      </c>
      <c r="J27" s="75">
        <f t="shared" si="2"/>
        <v>388</v>
      </c>
      <c r="K27" s="66">
        <f>IFERROR(F27/G27-1,"n/a")</f>
        <v>0.14009661835748788</v>
      </c>
      <c r="L27" s="66">
        <f t="shared" si="0"/>
        <v>0.93442622950819665</v>
      </c>
      <c r="M27" s="66">
        <f>IFERROR(F27/I27-1,"n/a")</f>
        <v>25.222222222222221</v>
      </c>
      <c r="N27" s="62">
        <f t="shared" si="1"/>
        <v>0.21649484536082464</v>
      </c>
      <c r="O27" s="75">
        <f t="shared" ref="O27:S28" si="3">O13+O16+O19+O22+O25</f>
        <v>3591</v>
      </c>
      <c r="P27" s="75">
        <f t="shared" si="3"/>
        <v>3003</v>
      </c>
      <c r="Q27" s="75">
        <f t="shared" si="3"/>
        <v>619</v>
      </c>
      <c r="R27" s="75">
        <f t="shared" si="3"/>
        <v>803</v>
      </c>
      <c r="S27" s="75">
        <f t="shared" si="3"/>
        <v>2956</v>
      </c>
      <c r="T27" s="66">
        <f>IFERROR(O27/P27-1,"n/a")</f>
        <v>0.19580419580419584</v>
      </c>
      <c r="U27" s="66">
        <f>IFERROR(O27/Q27-1,"n/a")</f>
        <v>4.8012924071082388</v>
      </c>
      <c r="V27" s="66">
        <f>IFERROR(O27/R27-1,"n/a")</f>
        <v>3.4719800747198004</v>
      </c>
      <c r="W27" s="62">
        <f>IFERROR(O27/S27-1,"n/a")</f>
        <v>0.21481732070365367</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1211190</v>
      </c>
      <c r="G28" s="76">
        <f t="shared" si="2"/>
        <v>867086</v>
      </c>
      <c r="H28" s="76">
        <f t="shared" si="2"/>
        <v>368120</v>
      </c>
      <c r="I28" s="76">
        <f t="shared" si="2"/>
        <v>13954</v>
      </c>
      <c r="J28" s="76">
        <f t="shared" si="2"/>
        <v>926937</v>
      </c>
      <c r="K28" s="67">
        <f>IFERROR(F28/G28-1,"n/a")</f>
        <v>0.39685106206304788</v>
      </c>
      <c r="L28" s="67">
        <f t="shared" si="0"/>
        <v>2.290204281212648</v>
      </c>
      <c r="M28" s="67">
        <f>IFERROR(F28/I28-1,"n/a")</f>
        <v>85.798767378529448</v>
      </c>
      <c r="N28" s="63">
        <f t="shared" si="1"/>
        <v>0.30665838131394052</v>
      </c>
      <c r="O28" s="76">
        <f t="shared" si="3"/>
        <v>10413244</v>
      </c>
      <c r="P28" s="76">
        <f t="shared" si="3"/>
        <v>6078179</v>
      </c>
      <c r="Q28" s="76">
        <f t="shared" si="3"/>
        <v>936731</v>
      </c>
      <c r="R28" s="76">
        <f t="shared" si="3"/>
        <v>1712585</v>
      </c>
      <c r="S28" s="76">
        <f t="shared" si="3"/>
        <v>8421657</v>
      </c>
      <c r="T28" s="67">
        <f>IFERROR(O28/P28-1,"n/a")</f>
        <v>0.71321772524303739</v>
      </c>
      <c r="U28" s="67">
        <f>IFERROR(O28/Q28-1,"n/a")</f>
        <v>10.116578825724782</v>
      </c>
      <c r="V28" s="67">
        <f>IFERROR(O28/R28-1,"n/a")</f>
        <v>5.0804246212596746</v>
      </c>
      <c r="W28" s="63">
        <f>IFERROR(O28/S28-1,"n/a")</f>
        <v>0.23648398409006677</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70" t="str">
        <f>F9</f>
        <v>October</v>
      </c>
      <c r="G33" s="170"/>
      <c r="H33" s="170"/>
      <c r="I33" s="170"/>
      <c r="J33" s="170"/>
      <c r="K33" s="170"/>
      <c r="L33" s="170"/>
      <c r="M33" s="170"/>
      <c r="N33" s="171"/>
      <c r="O33" s="176" t="str">
        <f>"April to "&amp;D4&amp;" (YTD)"</f>
        <v>April to October (YTD)</v>
      </c>
      <c r="P33" s="177"/>
      <c r="Q33" s="177"/>
      <c r="R33" s="177"/>
      <c r="S33" s="177"/>
      <c r="T33" s="177"/>
      <c r="U33" s="177"/>
      <c r="V33" s="177"/>
      <c r="W33" s="178"/>
      <c r="X33" s="169" t="s">
        <v>58</v>
      </c>
      <c r="Y33" s="170"/>
      <c r="Z33" s="170"/>
      <c r="AA33" s="172"/>
    </row>
    <row r="34" spans="1:29" s="123" customFormat="1" ht="11.25">
      <c r="A34" s="122"/>
      <c r="B34" s="122"/>
      <c r="C34" s="29"/>
      <c r="D34" s="30"/>
      <c r="E34" s="30"/>
      <c r="F34" s="175"/>
      <c r="G34" s="173"/>
      <c r="H34" s="173"/>
      <c r="I34" s="173"/>
      <c r="J34" s="173"/>
      <c r="K34" s="173"/>
      <c r="L34" s="173"/>
      <c r="M34" s="173"/>
      <c r="N34" s="174"/>
      <c r="O34" s="175"/>
      <c r="P34" s="173"/>
      <c r="Q34" s="173"/>
      <c r="R34" s="173"/>
      <c r="S34" s="173"/>
      <c r="T34" s="173"/>
      <c r="U34" s="173"/>
      <c r="V34" s="173"/>
      <c r="W34" s="174"/>
      <c r="X34" s="175"/>
      <c r="Y34" s="173"/>
      <c r="Z34" s="173"/>
      <c r="AA34" s="174"/>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81</v>
      </c>
      <c r="G37" s="74">
        <f t="shared" si="5"/>
        <v>78</v>
      </c>
      <c r="H37" s="74">
        <f t="shared" si="5"/>
        <v>89</v>
      </c>
      <c r="I37" s="74">
        <f t="shared" si="5"/>
        <v>0</v>
      </c>
      <c r="J37" s="74">
        <f t="shared" si="5"/>
        <v>110</v>
      </c>
      <c r="K37" s="64">
        <f>IFERROR(F37/G37-1,"n/a")</f>
        <v>3.8461538461538547E-2</v>
      </c>
      <c r="L37" s="64">
        <f>IFERROR(F37/H37-1,"n/a")</f>
        <v>-8.98876404494382E-2</v>
      </c>
      <c r="M37" s="64" t="str">
        <f>IFERROR(F37/I37-1,"n/a")</f>
        <v>n/a</v>
      </c>
      <c r="N37" s="60">
        <f>IFERROR(F37/J37-1,"n/a")</f>
        <v>-0.26363636363636367</v>
      </c>
      <c r="O37" s="74">
        <f>'Sep-23'!O37+'Oct-23'!F37</f>
        <v>706</v>
      </c>
      <c r="P37" s="74">
        <f>'Sep-23'!P37+'Oct-23'!G37</f>
        <v>621</v>
      </c>
      <c r="Q37" s="74">
        <f>'Sep-23'!Q37+'Oct-23'!H37</f>
        <v>228</v>
      </c>
      <c r="R37" s="74">
        <f>'Sep-23'!R37+'Oct-23'!I37</f>
        <v>42</v>
      </c>
      <c r="S37" s="74">
        <f>'Sep-23'!S37+'Oct-23'!J37</f>
        <v>696</v>
      </c>
      <c r="T37" s="119">
        <f>IFERROR(O37/P37-1,"n/a")</f>
        <v>0.13687600644122377</v>
      </c>
      <c r="U37" s="119">
        <f>IFERROR(O37/Q37-1,"n/a")</f>
        <v>2.0964912280701755</v>
      </c>
      <c r="V37" s="119">
        <f>IFERROR(O37/R37-1,"n/a")</f>
        <v>15.80952380952381</v>
      </c>
      <c r="W37" s="120">
        <f>IFERROR(O37/S37-1,"n/a")</f>
        <v>1.4367816091954033E-2</v>
      </c>
      <c r="X37" s="89">
        <v>1486</v>
      </c>
      <c r="Y37" s="89">
        <v>1052</v>
      </c>
      <c r="Z37" s="70">
        <v>551</v>
      </c>
      <c r="AA37" s="78">
        <v>1584</v>
      </c>
      <c r="AC37" s="122"/>
    </row>
    <row r="38" spans="1:29" s="123" customFormat="1" ht="11.25">
      <c r="A38" s="122"/>
      <c r="B38" s="122"/>
      <c r="C38" s="33"/>
      <c r="D38" s="26" t="s">
        <v>11</v>
      </c>
      <c r="E38" s="32"/>
      <c r="F38" s="74">
        <f t="shared" si="5"/>
        <v>282162</v>
      </c>
      <c r="G38" s="74">
        <f t="shared" si="5"/>
        <v>268578</v>
      </c>
      <c r="H38" s="74">
        <f t="shared" si="5"/>
        <v>143120</v>
      </c>
      <c r="I38" s="74">
        <f t="shared" si="5"/>
        <v>0</v>
      </c>
      <c r="J38" s="74">
        <f t="shared" si="5"/>
        <v>299863</v>
      </c>
      <c r="K38" s="64">
        <f>IFERROR(F38/G38-1,"n/a")</f>
        <v>5.0577485870026528E-2</v>
      </c>
      <c r="L38" s="64">
        <f>IFERROR(F38/H38-1,"n/a")</f>
        <v>0.97150642817216326</v>
      </c>
      <c r="M38" s="64" t="str">
        <f>IFERROR(F38/I38-1,"n/a")</f>
        <v>n/a</v>
      </c>
      <c r="N38" s="60">
        <f>IFERROR(F38/J38-1,"n/a")</f>
        <v>-5.9030290499328064E-2</v>
      </c>
      <c r="O38" s="74">
        <f>'Sep-23'!O38+'Oct-23'!F38</f>
        <v>2530522</v>
      </c>
      <c r="P38" s="74">
        <f>'Sep-23'!P38+'Oct-23'!G38</f>
        <v>1904231</v>
      </c>
      <c r="Q38" s="74">
        <f>'Sep-23'!Q38+'Oct-23'!H38</f>
        <v>324020</v>
      </c>
      <c r="R38" s="74">
        <f>'Sep-23'!R38+'Oct-23'!I38</f>
        <v>0</v>
      </c>
      <c r="S38" s="74">
        <f>'Sep-23'!S38+'Oct-23'!J38</f>
        <v>2192177</v>
      </c>
      <c r="T38" s="119">
        <f>IFERROR(O38/P38-1,"n/a")</f>
        <v>0.32889444610449048</v>
      </c>
      <c r="U38" s="119">
        <f>IFERROR(O38/Q38-1,"n/a")</f>
        <v>6.809771001790013</v>
      </c>
      <c r="V38" s="119" t="str">
        <f>IFERROR(O38/R38-1,"n/a")</f>
        <v>n/a</v>
      </c>
      <c r="W38" s="120">
        <f>IFERROR(O38/S38-1,"n/a")</f>
        <v>0.15434200796742226</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87</v>
      </c>
      <c r="G40" s="74">
        <f t="shared" si="6"/>
        <v>89</v>
      </c>
      <c r="H40" s="74">
        <f t="shared" si="6"/>
        <v>33</v>
      </c>
      <c r="I40" s="74">
        <f t="shared" si="6"/>
        <v>17</v>
      </c>
      <c r="J40" s="74">
        <f t="shared" si="6"/>
        <v>114</v>
      </c>
      <c r="K40" s="64">
        <f>IFERROR(F40/G40-1,"n/a")</f>
        <v>-2.2471910112359605E-2</v>
      </c>
      <c r="L40" s="64">
        <f>IFERROR(F40/H40-1,"n/a")</f>
        <v>1.6363636363636362</v>
      </c>
      <c r="M40" s="64">
        <f>IFERROR(F40/I40-1,"n/a")</f>
        <v>4.117647058823529</v>
      </c>
      <c r="N40" s="60">
        <f>IFERROR(F40/J40-1,"n/a")</f>
        <v>-0.23684210526315785</v>
      </c>
      <c r="O40" s="74">
        <f>'Sep-23'!O40+'Oct-23'!F40</f>
        <v>485</v>
      </c>
      <c r="P40" s="74">
        <f>'Sep-23'!P40+'Oct-23'!G40</f>
        <v>503</v>
      </c>
      <c r="Q40" s="74">
        <f>'Sep-23'!Q40+'Oct-23'!H40</f>
        <v>157</v>
      </c>
      <c r="R40" s="74">
        <f>'Sep-23'!R40+'Oct-23'!I40</f>
        <v>28</v>
      </c>
      <c r="S40" s="74">
        <f>'Sep-23'!S40+'Oct-23'!J40</f>
        <v>494</v>
      </c>
      <c r="T40" s="119">
        <f>IFERROR(O40/P40-1,"n/a")</f>
        <v>-3.5785288270377746E-2</v>
      </c>
      <c r="U40" s="119">
        <f>IFERROR(O40/Q40-1,"n/a")</f>
        <v>2.089171974522293</v>
      </c>
      <c r="V40" s="119">
        <f>IFERROR(O40/R40-1,"n/a")</f>
        <v>16.321428571428573</v>
      </c>
      <c r="W40" s="120">
        <f>IFERROR(O40/S40-1,"n/a")</f>
        <v>-1.8218623481781382E-2</v>
      </c>
      <c r="X40" s="89">
        <v>563</v>
      </c>
      <c r="Y40" s="89">
        <v>226</v>
      </c>
      <c r="Z40" s="70">
        <v>66</v>
      </c>
      <c r="AA40" s="78">
        <v>573</v>
      </c>
      <c r="AC40" s="122"/>
    </row>
    <row r="41" spans="1:29" s="123" customFormat="1" ht="11.25">
      <c r="A41" s="122"/>
      <c r="B41" s="122"/>
      <c r="C41" s="33"/>
      <c r="D41" s="26" t="s">
        <v>11</v>
      </c>
      <c r="E41" s="32"/>
      <c r="F41" s="74">
        <f t="shared" si="6"/>
        <v>199183</v>
      </c>
      <c r="G41" s="74">
        <f t="shared" si="6"/>
        <v>124605</v>
      </c>
      <c r="H41" s="74">
        <f t="shared" si="6"/>
        <v>44045</v>
      </c>
      <c r="I41" s="74">
        <f t="shared" si="6"/>
        <v>13954</v>
      </c>
      <c r="J41" s="74">
        <f t="shared" si="6"/>
        <v>223063</v>
      </c>
      <c r="K41" s="64">
        <f>IFERROR(F41/G41-1,"n/a")</f>
        <v>0.59851530837446321</v>
      </c>
      <c r="L41" s="64">
        <f>IFERROR(F41/H41-1,"n/a")</f>
        <v>3.522261323646271</v>
      </c>
      <c r="M41" s="64">
        <f>IFERROR(F41/I41-1,"n/a")</f>
        <v>13.274258277196504</v>
      </c>
      <c r="N41" s="60">
        <f>IFERROR(F41/J41-1,"n/a")</f>
        <v>-0.10705495756804129</v>
      </c>
      <c r="O41" s="74">
        <f>'Sep-23'!O41+'Oct-23'!F41</f>
        <v>1447747</v>
      </c>
      <c r="P41" s="74">
        <f>'Sep-23'!P41+'Oct-23'!G41</f>
        <v>856092</v>
      </c>
      <c r="Q41" s="74">
        <f>'Sep-23'!Q41+'Oct-23'!H41</f>
        <v>249228</v>
      </c>
      <c r="R41" s="74">
        <f>'Sep-23'!R41+'Oct-23'!I41</f>
        <v>22567</v>
      </c>
      <c r="S41" s="74">
        <f>'Sep-23'!S41+'Oct-23'!J41</f>
        <v>1224579</v>
      </c>
      <c r="T41" s="119">
        <f>IFERROR(O41/P41-1,"n/a")</f>
        <v>0.69111146932806289</v>
      </c>
      <c r="U41" s="119">
        <f>IFERROR(O41/Q41-1,"n/a")</f>
        <v>4.808925963374902</v>
      </c>
      <c r="V41" s="119">
        <f>IFERROR(O41/R41-1,"n/a")</f>
        <v>63.153276908760574</v>
      </c>
      <c r="W41" s="120">
        <f>IFERROR(O41/S41-1,"n/a")</f>
        <v>0.18224059043965313</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117</v>
      </c>
      <c r="G43" s="74">
        <f t="shared" si="7"/>
        <v>97</v>
      </c>
      <c r="H43" s="74">
        <f t="shared" si="7"/>
        <v>15</v>
      </c>
      <c r="I43" s="74">
        <f t="shared" si="7"/>
        <v>1</v>
      </c>
      <c r="J43" s="74">
        <f t="shared" si="7"/>
        <v>34</v>
      </c>
      <c r="K43" s="64">
        <f>IFERROR(F43/G43-1,"n/a")</f>
        <v>0.20618556701030921</v>
      </c>
      <c r="L43" s="64">
        <f>IFERROR(F43/H43-1,"n/a")</f>
        <v>6.8</v>
      </c>
      <c r="M43" s="64">
        <f>IFERROR(F43/I43-1,"n/a")</f>
        <v>116</v>
      </c>
      <c r="N43" s="60">
        <f>IFERROR(F43/J43-1,"n/a")</f>
        <v>2.4411764705882355</v>
      </c>
      <c r="O43" s="74">
        <f>'Sep-23'!O43+'Oct-23'!F43</f>
        <v>638</v>
      </c>
      <c r="P43" s="74">
        <f>'Sep-23'!P43+'Oct-23'!G43</f>
        <v>598</v>
      </c>
      <c r="Q43" s="74">
        <f>'Sep-23'!Q43+'Oct-23'!H43</f>
        <v>31</v>
      </c>
      <c r="R43" s="74">
        <f>'Sep-23'!R43+'Oct-23'!I43</f>
        <v>6</v>
      </c>
      <c r="S43" s="74">
        <f>'Sep-23'!S43+'Oct-23'!J43</f>
        <v>259</v>
      </c>
      <c r="T43" s="119">
        <f>IFERROR(O43/P43-1,"n/a")</f>
        <v>6.6889632107023367E-2</v>
      </c>
      <c r="U43" s="119">
        <f>IFERROR(O43/Q43-1,"n/a")</f>
        <v>19.580645161290324</v>
      </c>
      <c r="V43" s="119">
        <f>IFERROR(O43/R43-1,"n/a")</f>
        <v>105.33333333333333</v>
      </c>
      <c r="W43" s="120">
        <f>IFERROR(O43/S43-1,"n/a")</f>
        <v>1.4633204633204633</v>
      </c>
      <c r="X43" s="89">
        <v>669</v>
      </c>
      <c r="Y43" s="89">
        <v>59</v>
      </c>
      <c r="Z43" s="70">
        <v>9</v>
      </c>
      <c r="AA43" s="78">
        <v>287</v>
      </c>
      <c r="AC43" s="122"/>
    </row>
    <row r="44" spans="1:29" s="123" customFormat="1" ht="11.25">
      <c r="A44" s="122"/>
      <c r="B44" s="122"/>
      <c r="C44" s="33"/>
      <c r="D44" s="26" t="s">
        <v>11</v>
      </c>
      <c r="E44" s="32"/>
      <c r="F44" s="74">
        <f t="shared" si="7"/>
        <v>211817</v>
      </c>
      <c r="G44" s="74">
        <f t="shared" si="7"/>
        <v>133084</v>
      </c>
      <c r="H44" s="74">
        <f t="shared" si="7"/>
        <v>6450</v>
      </c>
      <c r="I44" s="74">
        <f t="shared" si="7"/>
        <v>0</v>
      </c>
      <c r="J44" s="74">
        <f t="shared" si="7"/>
        <v>67246</v>
      </c>
      <c r="K44" s="64">
        <f>IFERROR(F44/G44-1,"n/a")</f>
        <v>0.59160379910432503</v>
      </c>
      <c r="L44" s="64">
        <f>IFERROR(F44/H44-1,"n/a")</f>
        <v>31.83984496124031</v>
      </c>
      <c r="M44" s="64" t="str">
        <f>IFERROR(F44/I44-1,"n/a")</f>
        <v>n/a</v>
      </c>
      <c r="N44" s="60">
        <f>IFERROR(F44/J44-1,"n/a")</f>
        <v>2.1498825208934362</v>
      </c>
      <c r="O44" s="74">
        <f>'Sep-23'!O44+'Oct-23'!F44</f>
        <v>1204396</v>
      </c>
      <c r="P44" s="74">
        <f>'Sep-23'!P44+'Oct-23'!G44</f>
        <v>834057</v>
      </c>
      <c r="Q44" s="74">
        <f>'Sep-23'!Q44+'Oct-23'!H44</f>
        <v>10992</v>
      </c>
      <c r="R44" s="74">
        <f>'Sep-23'!R44+'Oct-23'!I44</f>
        <v>8294</v>
      </c>
      <c r="S44" s="74">
        <f>'Sep-23'!S44+'Oct-23'!J44</f>
        <v>548524</v>
      </c>
      <c r="T44" s="119">
        <f>IFERROR(O44/P44-1,"n/a")</f>
        <v>0.44402121197951705</v>
      </c>
      <c r="U44" s="119">
        <f>IFERROR(O44/Q44-1,"n/a")</f>
        <v>108.57023289665212</v>
      </c>
      <c r="V44" s="119">
        <f>IFERROR(O44/R44-1,"n/a")</f>
        <v>144.21292500602846</v>
      </c>
      <c r="W44" s="120">
        <f>IFERROR(O44/S44-1,"n/a")</f>
        <v>1.1957033785212681</v>
      </c>
      <c r="X44" s="82">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185</v>
      </c>
      <c r="G46" s="74">
        <f t="shared" si="8"/>
        <v>149</v>
      </c>
      <c r="H46" s="74">
        <f t="shared" si="8"/>
        <v>107</v>
      </c>
      <c r="I46" s="74">
        <f t="shared" si="8"/>
        <v>0</v>
      </c>
      <c r="J46" s="74">
        <f t="shared" si="8"/>
        <v>127</v>
      </c>
      <c r="K46" s="64">
        <f>IFERROR(F46/G46-1,"n/a")</f>
        <v>0.24161073825503365</v>
      </c>
      <c r="L46" s="64">
        <f>IFERROR(F46/H46-1,"n/a")</f>
        <v>0.72897196261682251</v>
      </c>
      <c r="M46" s="64" t="str">
        <f>IFERROR(F46/I46-1,"n/a")</f>
        <v>n/a</v>
      </c>
      <c r="N46" s="60">
        <f>IFERROR(F46/J46-1,"n/a")</f>
        <v>0.45669291338582685</v>
      </c>
      <c r="O46" s="74">
        <f>'Sep-23'!O46+'Oct-23'!F46</f>
        <v>874</v>
      </c>
      <c r="P46" s="74">
        <f>'Sep-23'!P46+'Oct-23'!G46</f>
        <v>641</v>
      </c>
      <c r="Q46" s="74">
        <f>'Sep-23'!Q46+'Oct-23'!H46</f>
        <v>191</v>
      </c>
      <c r="R46" s="74">
        <f>'Sep-23'!R46+'Oct-23'!I46</f>
        <v>0</v>
      </c>
      <c r="S46" s="74">
        <f>'Sep-23'!S46+'Oct-23'!J46</f>
        <v>623</v>
      </c>
      <c r="T46" s="119">
        <f>IFERROR(O46/P46-1,"n/a")</f>
        <v>0.36349453978159119</v>
      </c>
      <c r="U46" s="119">
        <f>IFERROR(O46/Q46-1,"n/a")</f>
        <v>3.5759162303664924</v>
      </c>
      <c r="V46" s="119" t="str">
        <f>IFERROR(O46/R46-1,"n/a")</f>
        <v>n/a</v>
      </c>
      <c r="W46" s="120">
        <f>IFERROR(O46/S46-1,"n/a")</f>
        <v>0.4028892455858748</v>
      </c>
      <c r="X46" s="89">
        <v>1129</v>
      </c>
      <c r="Y46" s="89">
        <v>336</v>
      </c>
      <c r="Z46" s="84">
        <v>43</v>
      </c>
      <c r="AA46" s="78">
        <v>781</v>
      </c>
      <c r="AC46" s="122"/>
    </row>
    <row r="47" spans="1:29" s="123" customFormat="1" ht="11.25">
      <c r="A47" s="122"/>
      <c r="B47" s="122"/>
      <c r="C47" s="33"/>
      <c r="D47" s="26" t="s">
        <v>11</v>
      </c>
      <c r="E47" s="32"/>
      <c r="F47" s="74">
        <f t="shared" si="8"/>
        <v>513716</v>
      </c>
      <c r="G47" s="74">
        <f t="shared" si="8"/>
        <v>338461</v>
      </c>
      <c r="H47" s="74">
        <f t="shared" si="8"/>
        <v>174505</v>
      </c>
      <c r="I47" s="74">
        <f t="shared" si="8"/>
        <v>0</v>
      </c>
      <c r="J47" s="74">
        <f t="shared" si="8"/>
        <v>332808</v>
      </c>
      <c r="K47" s="64">
        <f>IFERROR(F47/G47-1,"n/a")</f>
        <v>0.5177996874085935</v>
      </c>
      <c r="L47" s="64">
        <f>IFERROR(F47/H47-1,"n/a")</f>
        <v>1.9438468811781897</v>
      </c>
      <c r="M47" s="64" t="str">
        <f>IFERROR(F47/I47-1,"n/a")</f>
        <v>n/a</v>
      </c>
      <c r="N47" s="60">
        <f>IFERROR(F47/J47-1,"n/a")</f>
        <v>0.54358068315665498</v>
      </c>
      <c r="O47" s="74">
        <f>'Sep-23'!O47+'Oct-23'!F47</f>
        <v>2713594</v>
      </c>
      <c r="P47" s="74">
        <f>'Sep-23'!P47+'Oct-23'!G47</f>
        <v>1600457</v>
      </c>
      <c r="Q47" s="74">
        <f>'Sep-23'!Q47+'Oct-23'!H47</f>
        <v>342388</v>
      </c>
      <c r="R47" s="74">
        <f>'Sep-23'!R47+'Oct-23'!I47</f>
        <v>0</v>
      </c>
      <c r="S47" s="74">
        <f>'Sep-23'!S47+'Oct-23'!J47</f>
        <v>1978352</v>
      </c>
      <c r="T47" s="119">
        <f>IFERROR(O47/P47-1,"n/a")</f>
        <v>0.69551196939374194</v>
      </c>
      <c r="U47" s="119">
        <f>IFERROR(O47/Q47-1,"n/a")</f>
        <v>6.9254938841314528</v>
      </c>
      <c r="V47" s="119" t="str">
        <f>IFERROR(O47/R47-1,"n/a")</f>
        <v>n/a</v>
      </c>
      <c r="W47" s="120">
        <f>IFERROR(O47/S47-1,"n/a")</f>
        <v>0.37164367109594254</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2</v>
      </c>
      <c r="G49" s="74">
        <f t="shared" si="9"/>
        <v>1</v>
      </c>
      <c r="H49" s="74">
        <f t="shared" si="9"/>
        <v>0</v>
      </c>
      <c r="I49" s="74">
        <f t="shared" si="9"/>
        <v>0</v>
      </c>
      <c r="J49" s="74">
        <f t="shared" si="9"/>
        <v>3</v>
      </c>
      <c r="K49" s="64">
        <f>IFERROR(F49/G49-1,"n/a")</f>
        <v>1</v>
      </c>
      <c r="L49" s="64" t="str">
        <f>IFERROR(F49/H49-1,"n/a")</f>
        <v>n/a</v>
      </c>
      <c r="M49" s="64" t="str">
        <f>IFERROR(F49/I49-1,"n/a")</f>
        <v>n/a</v>
      </c>
      <c r="N49" s="60">
        <f>IFERROR(F49/J49-1,"n/a")</f>
        <v>-0.33333333333333337</v>
      </c>
      <c r="O49" s="74">
        <f>'Sep-23'!O49+'Oct-23'!F49</f>
        <v>21</v>
      </c>
      <c r="P49" s="74">
        <f>'Sep-23'!P49+'Oct-23'!G49</f>
        <v>9</v>
      </c>
      <c r="Q49" s="74">
        <f>'Sep-23'!Q49+'Oct-23'!H49</f>
        <v>0</v>
      </c>
      <c r="R49" s="74">
        <f>'Sep-23'!R49+'Oct-23'!I49</f>
        <v>0</v>
      </c>
      <c r="S49" s="74">
        <f>'Sep-23'!S49+'Oct-23'!J49</f>
        <v>16</v>
      </c>
      <c r="T49" s="119">
        <f>IFERROR(O49/P49-1,"n/a")</f>
        <v>1.3333333333333335</v>
      </c>
      <c r="U49" s="119" t="str">
        <f>IFERROR(O49/Q49-1,"n/a")</f>
        <v>n/a</v>
      </c>
      <c r="V49" s="119" t="str">
        <f>IFERROR(O49/R49-1,"n/a")</f>
        <v>n/a</v>
      </c>
      <c r="W49" s="120">
        <f>IFERROR(O49/S49-1,"n/a")</f>
        <v>0.3125</v>
      </c>
      <c r="X49" s="89">
        <v>9</v>
      </c>
      <c r="Y49" s="68">
        <v>0</v>
      </c>
      <c r="Z49" s="68">
        <v>0</v>
      </c>
      <c r="AA49" s="78">
        <v>16</v>
      </c>
      <c r="AC49" s="122"/>
    </row>
    <row r="50" spans="3:29" s="123" customFormat="1" ht="11.25">
      <c r="C50" s="33"/>
      <c r="D50" s="26" t="s">
        <v>11</v>
      </c>
      <c r="E50" s="32"/>
      <c r="F50" s="74">
        <f t="shared" si="9"/>
        <v>4312</v>
      </c>
      <c r="G50" s="74">
        <f t="shared" si="9"/>
        <v>2358</v>
      </c>
      <c r="H50" s="74">
        <f t="shared" si="9"/>
        <v>0</v>
      </c>
      <c r="I50" s="74">
        <f t="shared" si="9"/>
        <v>0</v>
      </c>
      <c r="J50" s="74">
        <f t="shared" si="9"/>
        <v>3957</v>
      </c>
      <c r="K50" s="64">
        <f>IFERROR(F50/G50-1,"n/a")</f>
        <v>0.82866836301950797</v>
      </c>
      <c r="L50" s="64" t="str">
        <f>IFERROR(F50/H50-1,"n/a")</f>
        <v>n/a</v>
      </c>
      <c r="M50" s="64" t="str">
        <f>IFERROR(F50/I50-1,"n/a")</f>
        <v>n/a</v>
      </c>
      <c r="N50" s="60">
        <f>IFERROR(F50/J50-1,"n/a")</f>
        <v>8.971443012383129E-2</v>
      </c>
      <c r="O50" s="74">
        <f>'Sep-23'!O50+'Oct-23'!F50</f>
        <v>38626</v>
      </c>
      <c r="P50" s="74">
        <f>'Sep-23'!P50+'Oct-23'!G50</f>
        <v>15637</v>
      </c>
      <c r="Q50" s="74">
        <f>'Sep-23'!Q50+'Oct-23'!H50</f>
        <v>0</v>
      </c>
      <c r="R50" s="74">
        <f>'Sep-23'!R50+'Oct-23'!I50</f>
        <v>0</v>
      </c>
      <c r="S50" s="74">
        <f>'Sep-23'!S50+'Oct-23'!J50</f>
        <v>20248</v>
      </c>
      <c r="T50" s="119">
        <f>IFERROR(O50/P50-1,"n/a")</f>
        <v>1.4701669118117286</v>
      </c>
      <c r="U50" s="119" t="str">
        <f>IFERROR(O50/Q50-1,"n/a")</f>
        <v>n/a</v>
      </c>
      <c r="V50" s="119" t="str">
        <f>IFERROR(O50/R50-1,"n/a")</f>
        <v>n/a</v>
      </c>
      <c r="W50" s="120">
        <f>IFERROR(O50/S50-1,"n/a")</f>
        <v>0.90764519952587919</v>
      </c>
      <c r="X50" s="82">
        <v>15637</v>
      </c>
      <c r="Y50" s="68">
        <v>0</v>
      </c>
      <c r="Z50" s="68">
        <v>0</v>
      </c>
      <c r="AA50" s="78">
        <v>20248</v>
      </c>
      <c r="AC50" s="122"/>
    </row>
    <row r="51" spans="3:29" s="123" customFormat="1" ht="12" thickBot="1">
      <c r="C51" s="35" t="s">
        <v>12</v>
      </c>
      <c r="D51" s="36"/>
      <c r="E51" s="37"/>
      <c r="F51" s="75">
        <f>F37+F40+F43+F46+F49</f>
        <v>472</v>
      </c>
      <c r="G51" s="75">
        <f t="shared" ref="G51:J52" si="10">G37+G40+G43+G46+G49</f>
        <v>414</v>
      </c>
      <c r="H51" s="75">
        <f t="shared" si="10"/>
        <v>244</v>
      </c>
      <c r="I51" s="75">
        <f t="shared" si="10"/>
        <v>18</v>
      </c>
      <c r="J51" s="75">
        <f t="shared" si="10"/>
        <v>388</v>
      </c>
      <c r="K51" s="66">
        <f>IFERROR(F51/G51-1,"n/a")</f>
        <v>0.14009661835748788</v>
      </c>
      <c r="L51" s="66">
        <f>IFERROR(F51/H51-1,"n/a")</f>
        <v>0.93442622950819665</v>
      </c>
      <c r="M51" s="66">
        <f>IFERROR(F51/I51-1,"n/a")</f>
        <v>25.222222222222221</v>
      </c>
      <c r="N51" s="62">
        <f>IFERROR(F51/J51-1,"n/a")</f>
        <v>0.21649484536082464</v>
      </c>
      <c r="O51" s="75">
        <f t="shared" ref="O51:S52" si="11">O37+O40+O43+O46+O49</f>
        <v>2724</v>
      </c>
      <c r="P51" s="75">
        <f t="shared" si="11"/>
        <v>2372</v>
      </c>
      <c r="Q51" s="75">
        <f t="shared" si="11"/>
        <v>607</v>
      </c>
      <c r="R51" s="75">
        <f t="shared" si="11"/>
        <v>76</v>
      </c>
      <c r="S51" s="75">
        <f t="shared" si="11"/>
        <v>2088</v>
      </c>
      <c r="T51" s="66">
        <f>IFERROR(O51/P51-1,"n/a")</f>
        <v>0.14839797639123109</v>
      </c>
      <c r="U51" s="66">
        <f>IFERROR(O51/Q51-1,"n/a")</f>
        <v>3.4876441515650738</v>
      </c>
      <c r="V51" s="66">
        <f>IFERROR(O51/R51-1,"n/a")</f>
        <v>34.842105263157897</v>
      </c>
      <c r="W51" s="62">
        <f>IFERROR(O51/S51-1,"n/a")</f>
        <v>0.30459770114942519</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1211190</v>
      </c>
      <c r="G52" s="76">
        <f t="shared" si="10"/>
        <v>867086</v>
      </c>
      <c r="H52" s="76">
        <f t="shared" si="10"/>
        <v>368120</v>
      </c>
      <c r="I52" s="76">
        <f t="shared" si="10"/>
        <v>13954</v>
      </c>
      <c r="J52" s="76">
        <f t="shared" si="10"/>
        <v>926937</v>
      </c>
      <c r="K52" s="67">
        <f>IFERROR(F52/G52-1,"n/a")</f>
        <v>0.39685106206304788</v>
      </c>
      <c r="L52" s="67">
        <f>IFERROR(F52/H52-1,"n/a")</f>
        <v>2.290204281212648</v>
      </c>
      <c r="M52" s="67">
        <f>IFERROR(F52/I52-1,"n/a")</f>
        <v>85.798767378529448</v>
      </c>
      <c r="N52" s="63">
        <f>IFERROR(F52/J52-1,"n/a")</f>
        <v>0.30665838131394052</v>
      </c>
      <c r="O52" s="76">
        <f t="shared" si="11"/>
        <v>7934885</v>
      </c>
      <c r="P52" s="76">
        <f t="shared" si="11"/>
        <v>5210474</v>
      </c>
      <c r="Q52" s="76">
        <f t="shared" si="11"/>
        <v>926628</v>
      </c>
      <c r="R52" s="76">
        <f t="shared" si="11"/>
        <v>30861</v>
      </c>
      <c r="S52" s="76">
        <f t="shared" si="11"/>
        <v>5963880</v>
      </c>
      <c r="T52" s="67">
        <f>IFERROR(O52/P52-1,"n/a")</f>
        <v>0.52287200742197348</v>
      </c>
      <c r="U52" s="117">
        <f>IFERROR(O52/Q52-1,"n/a")</f>
        <v>7.5631828522341227</v>
      </c>
      <c r="V52" s="117">
        <f>IFERROR(O52/R52-1,"n/a")</f>
        <v>256.11691131201195</v>
      </c>
      <c r="W52" s="118">
        <f>IFERROR(O52/S52-1,"n/a")</f>
        <v>0.33049038545376508</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FF780-8D0C-41DA-80F9-409B6E54C6D0}">
  <dimension ref="A1:AC66"/>
  <sheetViews>
    <sheetView showGridLines="0" zoomScaleNormal="100" workbookViewId="0">
      <selection activeCell="F13" sqref="F13:J26"/>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45214</v>
      </c>
      <c r="AB3" s="25"/>
      <c r="AC3" s="9"/>
    </row>
    <row r="4" spans="1:29" ht="15.75">
      <c r="A4" s="9"/>
      <c r="B4" s="11" t="s">
        <v>7</v>
      </c>
      <c r="C4" s="26"/>
      <c r="D4" s="93" t="s">
        <v>22</v>
      </c>
      <c r="E4" s="133">
        <v>2023</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7" t="str">
        <f>D4</f>
        <v>September</v>
      </c>
      <c r="G9" s="170"/>
      <c r="H9" s="170"/>
      <c r="I9" s="170"/>
      <c r="J9" s="170"/>
      <c r="K9" s="170"/>
      <c r="L9" s="170"/>
      <c r="M9" s="170"/>
      <c r="N9" s="171"/>
      <c r="O9" s="169" t="str">
        <f>"January to "&amp; D4</f>
        <v>January to September</v>
      </c>
      <c r="P9" s="170"/>
      <c r="Q9" s="170"/>
      <c r="R9" s="170"/>
      <c r="S9" s="170"/>
      <c r="T9" s="170"/>
      <c r="U9" s="170"/>
      <c r="V9" s="170"/>
      <c r="W9" s="171"/>
      <c r="X9" s="169" t="s">
        <v>57</v>
      </c>
      <c r="Y9" s="170"/>
      <c r="Z9" s="170"/>
      <c r="AA9" s="172"/>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1">
        <v>98</v>
      </c>
      <c r="G13" s="71">
        <v>82</v>
      </c>
      <c r="H13" s="71">
        <v>60</v>
      </c>
      <c r="I13" s="71">
        <v>0</v>
      </c>
      <c r="J13" s="71">
        <v>79</v>
      </c>
      <c r="K13" s="64">
        <f>IFERROR(F13/G13-1,"n/a")</f>
        <v>0.19512195121951215</v>
      </c>
      <c r="L13" s="64">
        <f t="shared" ref="L13:L28" si="0">IFERROR(F13/H13-1,"n/a")</f>
        <v>0.6333333333333333</v>
      </c>
      <c r="M13" s="64" t="str">
        <f>IFERROR(F13/I13-1,"n/a")</f>
        <v>n/a</v>
      </c>
      <c r="N13" s="60">
        <f>IFERROR(F13/J13-1,"n/a")</f>
        <v>0.240506329113924</v>
      </c>
      <c r="O13" s="68">
        <f>'Aug-23'!O13+'Sep-23'!F13</f>
        <v>1155</v>
      </c>
      <c r="P13" s="68">
        <f>'Aug-23'!$P$13+G13</f>
        <v>1073</v>
      </c>
      <c r="Q13" s="68">
        <f>'Aug-23'!Q13+'Sep-23'!H13</f>
        <v>139</v>
      </c>
      <c r="R13" s="68">
        <f>'Aug-23'!R13+'Sep-23'!I13</f>
        <v>551</v>
      </c>
      <c r="S13" s="68">
        <f>'Aug-23'!S13+'Sep-23'!J13</f>
        <v>1102</v>
      </c>
      <c r="T13" s="64">
        <f>IFERROR(O13/P13-1,"n/a")</f>
        <v>7.6421248835041977E-2</v>
      </c>
      <c r="U13" s="64">
        <f>IFERROR(O13/Q13-1,"n/a")</f>
        <v>7.3093525179856123</v>
      </c>
      <c r="V13" s="64">
        <f>IFERROR(O13/R13-1,"n/a")</f>
        <v>1.0961887477313974</v>
      </c>
      <c r="W13" s="60">
        <f>IFERROR(O13/S13-1,"n/a")</f>
        <v>4.8094373865698703E-2</v>
      </c>
      <c r="X13" s="68">
        <v>1486</v>
      </c>
      <c r="Y13" s="68">
        <v>522</v>
      </c>
      <c r="Z13" s="68">
        <v>551</v>
      </c>
      <c r="AA13" s="134">
        <v>1591</v>
      </c>
      <c r="AB13" s="122"/>
      <c r="AC13" s="122"/>
    </row>
    <row r="14" spans="1:29" s="123" customFormat="1" ht="12.75">
      <c r="A14" s="122"/>
      <c r="B14" s="127"/>
      <c r="C14" s="33"/>
      <c r="D14" s="26" t="s">
        <v>11</v>
      </c>
      <c r="E14" s="32"/>
      <c r="F14" s="71">
        <v>313650</v>
      </c>
      <c r="G14" s="71">
        <v>280580</v>
      </c>
      <c r="H14" s="71">
        <v>83395</v>
      </c>
      <c r="I14" s="71">
        <v>0</v>
      </c>
      <c r="J14" s="71">
        <v>234453</v>
      </c>
      <c r="K14" s="64">
        <f>IFERROR(F14/G14-1,"n/a")</f>
        <v>0.11786299807541512</v>
      </c>
      <c r="L14" s="64">
        <f t="shared" si="0"/>
        <v>2.7610168475328258</v>
      </c>
      <c r="M14" s="64" t="str">
        <f>IFERROR(F14/I14-1,"n/a")</f>
        <v>n/a</v>
      </c>
      <c r="N14" s="60">
        <f>IFERROR(F14/J14-1,"n/a")</f>
        <v>0.33779478189658474</v>
      </c>
      <c r="O14" s="68">
        <f>'Aug-23'!$O$14+F14</f>
        <v>3786544</v>
      </c>
      <c r="P14" s="68">
        <f>'Aug-23'!P14+'Sep-23'!G14</f>
        <v>2395311</v>
      </c>
      <c r="Q14" s="68">
        <f>'Aug-23'!Q14+'Sep-23'!H14</f>
        <v>180900</v>
      </c>
      <c r="R14" s="68">
        <f>'Aug-23'!R14+'Sep-23'!I14</f>
        <v>1092884</v>
      </c>
      <c r="S14" s="68">
        <f>'Aug-23'!S14+'Sep-23'!J14</f>
        <v>3343418</v>
      </c>
      <c r="T14" s="64">
        <f>IFERROR(O14/P14-1,"n/a")</f>
        <v>0.58081518433305734</v>
      </c>
      <c r="U14" s="64">
        <f>IFERROR(O14/Q14-1,"n/a")</f>
        <v>19.931697070204532</v>
      </c>
      <c r="V14" s="64">
        <f>IFERROR(O14/R14-1,"n/a")</f>
        <v>2.4647263570516174</v>
      </c>
      <c r="W14" s="60">
        <f>IFERROR(O14/S14-1,"n/a")</f>
        <v>0.13253682309540715</v>
      </c>
      <c r="X14" s="68">
        <v>3592413</v>
      </c>
      <c r="Y14" s="68">
        <v>768312</v>
      </c>
      <c r="Z14" s="68">
        <v>1092884</v>
      </c>
      <c r="AA14" s="134">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3"/>
      <c r="AA15" s="135"/>
      <c r="AB15" s="122"/>
      <c r="AC15" s="122"/>
    </row>
    <row r="16" spans="1:29" s="123" customFormat="1" ht="12.75">
      <c r="A16" s="122"/>
      <c r="B16" s="127"/>
      <c r="C16" s="33"/>
      <c r="D16" s="26" t="s">
        <v>5</v>
      </c>
      <c r="E16" s="32"/>
      <c r="F16" s="71">
        <v>68</v>
      </c>
      <c r="G16" s="71">
        <v>74</v>
      </c>
      <c r="H16" s="71">
        <v>34</v>
      </c>
      <c r="I16" s="71">
        <v>9</v>
      </c>
      <c r="J16" s="71">
        <v>70</v>
      </c>
      <c r="K16" s="64">
        <f>IFERROR(F16/G16-1,"n/a")</f>
        <v>-8.108108108108103E-2</v>
      </c>
      <c r="L16" s="64">
        <f t="shared" si="0"/>
        <v>1</v>
      </c>
      <c r="M16" s="64">
        <f>IFERROR(F16/I16-1,"n/a")</f>
        <v>6.5555555555555554</v>
      </c>
      <c r="N16" s="60">
        <f>IFERROR(F16/J16-1,"n/a")</f>
        <v>-2.8571428571428581E-2</v>
      </c>
      <c r="O16" s="68">
        <f>'Aug-23'!$O$16+F16</f>
        <v>425</v>
      </c>
      <c r="P16" s="68">
        <f>'Aug-23'!P16+'Sep-23'!G16</f>
        <v>450</v>
      </c>
      <c r="Q16" s="68">
        <f>'Aug-23'!Q16+'Sep-23'!H16</f>
        <v>136</v>
      </c>
      <c r="R16" s="68">
        <f>'Aug-23'!R16+'Sep-23'!I16</f>
        <v>21</v>
      </c>
      <c r="S16" s="68">
        <f>'Aug-23'!S16+'Sep-23'!J16</f>
        <v>403</v>
      </c>
      <c r="T16" s="64">
        <f>IFERROR(O16/P16-1,"n/a")</f>
        <v>-5.555555555555558E-2</v>
      </c>
      <c r="U16" s="64">
        <f>IFERROR(O16/Q16-1,"n/a")</f>
        <v>2.125</v>
      </c>
      <c r="V16" s="64">
        <f>IFERROR(O16/R16-1,"n/a")</f>
        <v>19.238095238095237</v>
      </c>
      <c r="W16" s="60">
        <f>IFERROR(O16/S16-1,"n/a")</f>
        <v>5.4590570719603049E-2</v>
      </c>
      <c r="X16" s="68">
        <v>572</v>
      </c>
      <c r="Y16" s="68">
        <v>202</v>
      </c>
      <c r="Z16" s="68">
        <v>54</v>
      </c>
      <c r="AA16" s="134">
        <v>586</v>
      </c>
      <c r="AB16" s="122"/>
      <c r="AC16" s="122"/>
    </row>
    <row r="17" spans="1:29" s="123" customFormat="1" ht="12.75">
      <c r="A17" s="122"/>
      <c r="B17" s="127"/>
      <c r="C17" s="33"/>
      <c r="D17" s="26" t="s">
        <v>11</v>
      </c>
      <c r="E17" s="32"/>
      <c r="F17" s="71">
        <v>223095</v>
      </c>
      <c r="G17" s="71">
        <v>150081</v>
      </c>
      <c r="H17" s="71">
        <v>64266</v>
      </c>
      <c r="I17" s="71">
        <v>6072</v>
      </c>
      <c r="J17" s="71">
        <v>169136</v>
      </c>
      <c r="K17" s="64">
        <f>IFERROR(F17/G17-1,"n/a")</f>
        <v>0.48649729146261023</v>
      </c>
      <c r="L17" s="64">
        <f t="shared" si="0"/>
        <v>2.4714312389132669</v>
      </c>
      <c r="M17" s="64">
        <f>IFERROR(F17/I17-1,"n/a")</f>
        <v>35.741600790513836</v>
      </c>
      <c r="N17" s="60">
        <f>IFERROR(F17/J17-1,"n/a")</f>
        <v>0.31902729164695875</v>
      </c>
      <c r="O17" s="68">
        <f>'Aug-23'!O17+'Sep-23'!F17</f>
        <v>1331619</v>
      </c>
      <c r="P17" s="68">
        <f>'Aug-23'!P17+'Sep-23'!G17</f>
        <v>767995</v>
      </c>
      <c r="Q17" s="68">
        <f>'Aug-23'!Q17+'Sep-23'!H17</f>
        <v>215286</v>
      </c>
      <c r="R17" s="68">
        <f>'Aug-23'!R17+'Sep-23'!I17</f>
        <v>49726</v>
      </c>
      <c r="S17" s="68">
        <f>'Aug-23'!S17+'Sep-23'!J17</f>
        <v>1081890</v>
      </c>
      <c r="T17" s="64">
        <f>IFERROR(O17/P17-1,"n/a")</f>
        <v>0.73389019459762106</v>
      </c>
      <c r="U17" s="64">
        <f>IFERROR(O17/Q17-1,"n/a")</f>
        <v>5.1853487918396919</v>
      </c>
      <c r="V17" s="64">
        <f>IFERROR(O17/R17-1,"n/a")</f>
        <v>25.779129630374452</v>
      </c>
      <c r="W17" s="60">
        <f>IFERROR(O17/S17-1,"n/a")</f>
        <v>0.23082660898982343</v>
      </c>
      <c r="X17" s="68">
        <v>965963</v>
      </c>
      <c r="Y17" s="68">
        <v>301521</v>
      </c>
      <c r="Z17" s="68">
        <v>70675</v>
      </c>
      <c r="AA17" s="134">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3"/>
      <c r="AA18" s="135"/>
      <c r="AB18" s="122"/>
      <c r="AC18" s="122"/>
    </row>
    <row r="19" spans="1:29" s="123" customFormat="1" ht="12.75">
      <c r="A19" s="122"/>
      <c r="B19" s="127"/>
      <c r="C19" s="33"/>
      <c r="D19" s="26" t="s">
        <v>5</v>
      </c>
      <c r="E19" s="32"/>
      <c r="F19" s="71">
        <v>100</v>
      </c>
      <c r="G19" s="71">
        <v>92</v>
      </c>
      <c r="H19" s="71">
        <v>7</v>
      </c>
      <c r="I19" s="71">
        <v>1</v>
      </c>
      <c r="J19" s="71">
        <v>32</v>
      </c>
      <c r="K19" s="64">
        <f>IFERROR(F19/G19-1,"n/a")</f>
        <v>8.6956521739130377E-2</v>
      </c>
      <c r="L19" s="64">
        <f t="shared" si="0"/>
        <v>13.285714285714286</v>
      </c>
      <c r="M19" s="64">
        <f>IFERROR(F19/I19-1,"n/a")</f>
        <v>99</v>
      </c>
      <c r="N19" s="60">
        <f>IFERROR(F19/J19-1,"n/a")</f>
        <v>2.125</v>
      </c>
      <c r="O19" s="68">
        <f>'Aug-23'!O19+'Sep-23'!F19</f>
        <v>544</v>
      </c>
      <c r="P19" s="68">
        <f>'Aug-23'!P19+'Sep-23'!G19</f>
        <v>513</v>
      </c>
      <c r="Q19" s="68">
        <f>'Aug-23'!Q19+'Sep-23'!H19</f>
        <v>16</v>
      </c>
      <c r="R19" s="68">
        <f>'Aug-23'!R19+'Sep-23'!I19</f>
        <v>8</v>
      </c>
      <c r="S19" s="68">
        <f>'Aug-23'!S19+'Sep-23'!J19</f>
        <v>231</v>
      </c>
      <c r="T19" s="64">
        <f>IFERROR(O19/P19-1,"n/a")</f>
        <v>6.0428849902534054E-2</v>
      </c>
      <c r="U19" s="64">
        <f>IFERROR(O19/Q19-1,"n/a")</f>
        <v>33</v>
      </c>
      <c r="V19" s="64">
        <f>IFERROR(O19/R19-1,"n/a")</f>
        <v>67</v>
      </c>
      <c r="W19" s="60">
        <f>IFERROR(O19/S19-1,"n/a")</f>
        <v>1.3549783549783552</v>
      </c>
      <c r="X19" s="68">
        <v>658</v>
      </c>
      <c r="Y19" s="68">
        <v>47</v>
      </c>
      <c r="Z19" s="68">
        <v>9</v>
      </c>
      <c r="AA19" s="134">
        <v>290</v>
      </c>
      <c r="AB19" s="122"/>
      <c r="AC19" s="122"/>
    </row>
    <row r="20" spans="1:29" s="123" customFormat="1" ht="12.75">
      <c r="A20" s="122"/>
      <c r="B20" s="127"/>
      <c r="C20" s="33"/>
      <c r="D20" s="26" t="s">
        <v>11</v>
      </c>
      <c r="E20" s="32"/>
      <c r="F20" s="71">
        <v>181434</v>
      </c>
      <c r="G20" s="71">
        <v>137415</v>
      </c>
      <c r="H20" s="71">
        <v>3224</v>
      </c>
      <c r="I20" s="71">
        <v>0</v>
      </c>
      <c r="J20" s="71">
        <v>76553</v>
      </c>
      <c r="K20" s="64">
        <f>IFERROR(F20/G20-1,"n/a")</f>
        <v>0.32033620783757222</v>
      </c>
      <c r="L20" s="64">
        <f t="shared" si="0"/>
        <v>55.276054590570716</v>
      </c>
      <c r="M20" s="64" t="str">
        <f>IFERROR(F20/I20-1,"n/a")</f>
        <v>n/a</v>
      </c>
      <c r="N20" s="60">
        <f t="shared" ref="N20:N28" si="1">IFERROR(F20/J20-1,"n/a")</f>
        <v>1.3700442830457331</v>
      </c>
      <c r="O20" s="68">
        <f>'Aug-23'!O20+'Sep-23'!F20</f>
        <v>1013425</v>
      </c>
      <c r="P20" s="68">
        <f>'Aug-23'!P20+'Sep-23'!G20</f>
        <v>704058</v>
      </c>
      <c r="Q20" s="68">
        <f>'Aug-23'!Q20+'Sep-23'!H20</f>
        <v>4542</v>
      </c>
      <c r="R20" s="68">
        <f>'Aug-23'!R20+'Sep-23'!I20</f>
        <v>10047</v>
      </c>
      <c r="S20" s="68">
        <f>'Aug-23'!S20+'Sep-23'!J20</f>
        <v>487762</v>
      </c>
      <c r="T20" s="64">
        <f>IFERROR(O20/P20-1,"n/a")</f>
        <v>0.43940556033735856</v>
      </c>
      <c r="U20" s="64">
        <f>IFERROR(O20/Q20-1,"n/a")</f>
        <v>222.12307353588727</v>
      </c>
      <c r="V20" s="64">
        <f>IFERROR(O20/R20-1,"n/a")</f>
        <v>99.868418433363189</v>
      </c>
      <c r="W20" s="60">
        <f>IFERROR(O20/S20-1,"n/a")</f>
        <v>1.0777038801710672</v>
      </c>
      <c r="X20" s="68">
        <v>887495</v>
      </c>
      <c r="Y20" s="68">
        <v>17541</v>
      </c>
      <c r="Z20" s="68">
        <v>10046.999999999998</v>
      </c>
      <c r="AA20" s="134">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3"/>
      <c r="AA21" s="135"/>
      <c r="AB21" s="122"/>
      <c r="AC21" s="122"/>
    </row>
    <row r="22" spans="1:29" s="123" customFormat="1" ht="12.75">
      <c r="A22" s="122"/>
      <c r="B22" s="127"/>
      <c r="C22" s="33"/>
      <c r="D22" s="26" t="s">
        <v>5</v>
      </c>
      <c r="E22" s="34"/>
      <c r="F22" s="71">
        <v>119</v>
      </c>
      <c r="G22" s="71">
        <v>85</v>
      </c>
      <c r="H22" s="71">
        <v>46</v>
      </c>
      <c r="I22" s="71">
        <v>0</v>
      </c>
      <c r="J22" s="71">
        <v>86</v>
      </c>
      <c r="K22" s="64">
        <f>IFERROR(F22/G22-1,"n/a")</f>
        <v>0.39999999999999991</v>
      </c>
      <c r="L22" s="64">
        <f t="shared" si="0"/>
        <v>1.5869565217391304</v>
      </c>
      <c r="M22" s="64" t="str">
        <f>IFERROR(F22/I22-1,"n/a")</f>
        <v>n/a</v>
      </c>
      <c r="N22" s="60">
        <f t="shared" si="1"/>
        <v>0.38372093023255816</v>
      </c>
      <c r="O22" s="68">
        <f>'Aug-23'!O22+'Sep-23'!F22</f>
        <v>976</v>
      </c>
      <c r="P22" s="68">
        <f>'Aug-23'!P22+'Sep-23'!G22</f>
        <v>545</v>
      </c>
      <c r="Q22" s="68">
        <f>'Aug-23'!Q22+'Sep-23'!H22</f>
        <v>84</v>
      </c>
      <c r="R22" s="68">
        <f>'Aug-23'!R22+'Sep-23'!I22</f>
        <v>205</v>
      </c>
      <c r="S22" s="68">
        <f>'Aug-23'!S22+'Sep-23'!J22</f>
        <v>819</v>
      </c>
      <c r="T22" s="64">
        <f>IFERROR(O22/P22-1,"n/a")</f>
        <v>0.79082568807339459</v>
      </c>
      <c r="U22" s="64">
        <f>IFERROR(O22/Q22-1,"n/a")</f>
        <v>10.619047619047619</v>
      </c>
      <c r="V22" s="64">
        <f>IFERROR(O22/R22-1,"n/a")</f>
        <v>3.7609756097560973</v>
      </c>
      <c r="W22" s="60">
        <f>IFERROR(O22/S22-1,"n/a")</f>
        <v>0.19169719169719168</v>
      </c>
      <c r="X22" s="68">
        <v>895</v>
      </c>
      <c r="Y22" s="68">
        <v>283</v>
      </c>
      <c r="Z22" s="68">
        <v>43</v>
      </c>
      <c r="AA22" s="134">
        <v>827</v>
      </c>
      <c r="AB22" s="122"/>
      <c r="AC22" s="122"/>
    </row>
    <row r="23" spans="1:29" s="123" customFormat="1" ht="12.75">
      <c r="A23" s="122"/>
      <c r="B23" s="127"/>
      <c r="C23" s="33"/>
      <c r="D23" s="26" t="s">
        <v>11</v>
      </c>
      <c r="E23" s="32"/>
      <c r="F23" s="71">
        <v>374705</v>
      </c>
      <c r="G23" s="71">
        <v>267710</v>
      </c>
      <c r="H23" s="71">
        <v>89719</v>
      </c>
      <c r="I23" s="71">
        <v>0</v>
      </c>
      <c r="J23" s="71">
        <v>304036</v>
      </c>
      <c r="K23" s="64">
        <f>IFERROR(F23/G23-1,"n/a")</f>
        <v>0.39966755070785553</v>
      </c>
      <c r="L23" s="64">
        <f t="shared" si="0"/>
        <v>3.1764286271581268</v>
      </c>
      <c r="M23" s="64" t="str">
        <f>IFERROR(F23/I23-1,"n/a")</f>
        <v>n/a</v>
      </c>
      <c r="N23" s="60">
        <f t="shared" si="1"/>
        <v>0.23243629043929004</v>
      </c>
      <c r="O23" s="68">
        <f>'Aug-23'!O23+'Sep-23'!F23</f>
        <v>3036152</v>
      </c>
      <c r="P23" s="68">
        <f>'Aug-23'!P23+'Sep-23'!G23</f>
        <v>1330450</v>
      </c>
      <c r="Q23" s="68">
        <f>'Aug-23'!Q23+'Sep-23'!H23</f>
        <v>167883</v>
      </c>
      <c r="R23" s="68">
        <f>'Aug-23'!R23+'Sep-23'!I23</f>
        <v>545974</v>
      </c>
      <c r="S23" s="68">
        <f>'Aug-23'!S23+'Sep-23'!J23</f>
        <v>2565359</v>
      </c>
      <c r="T23" s="64">
        <f>IFERROR(O23/P23-1,"n/a")</f>
        <v>1.2820489308128828</v>
      </c>
      <c r="U23" s="64">
        <f>IFERROR(O23/Q23-1,"n/a")</f>
        <v>17.084928194039897</v>
      </c>
      <c r="V23" s="64">
        <f>IFERROR(O23/R23-1,"n/a")</f>
        <v>4.5609827574206827</v>
      </c>
      <c r="W23" s="60">
        <f>IFERROR(O23/S23-1,"n/a")</f>
        <v>0.18351934368640022</v>
      </c>
      <c r="X23" s="68">
        <v>2165161</v>
      </c>
      <c r="Y23" s="68">
        <v>465109</v>
      </c>
      <c r="Z23" s="68">
        <v>140552</v>
      </c>
      <c r="AA23" s="134">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0"/>
      <c r="X24" s="43"/>
      <c r="Y24" s="43"/>
      <c r="Z24" s="43"/>
      <c r="AA24" s="135"/>
      <c r="AB24" s="122"/>
      <c r="AC24" s="122"/>
    </row>
    <row r="25" spans="1:29" s="123" customFormat="1" ht="12.75">
      <c r="B25" s="127"/>
      <c r="C25" s="33"/>
      <c r="D25" s="26" t="s">
        <v>5</v>
      </c>
      <c r="E25" s="32"/>
      <c r="F25" s="71">
        <v>4</v>
      </c>
      <c r="G25" s="71">
        <v>1</v>
      </c>
      <c r="H25" s="71">
        <v>0</v>
      </c>
      <c r="I25" s="71">
        <v>0</v>
      </c>
      <c r="J25" s="71">
        <v>1</v>
      </c>
      <c r="K25" s="64">
        <f>IFERROR(F25/G25-1,"n/a")</f>
        <v>3</v>
      </c>
      <c r="L25" s="64" t="str">
        <f t="shared" si="0"/>
        <v>n/a</v>
      </c>
      <c r="M25" s="64" t="str">
        <f>IFERROR(F25/I25-1,"n/a")</f>
        <v>n/a</v>
      </c>
      <c r="N25" s="60">
        <f t="shared" si="1"/>
        <v>3</v>
      </c>
      <c r="O25" s="68">
        <f>'Aug-23'!O25+'Sep-23'!F25</f>
        <v>19</v>
      </c>
      <c r="P25" s="68">
        <f>'Aug-23'!P25+'Sep-23'!G25</f>
        <v>8</v>
      </c>
      <c r="Q25" s="68">
        <f>'Aug-23'!Q25+'Sep-23'!H25</f>
        <v>0</v>
      </c>
      <c r="R25" s="68">
        <f>'Aug-23'!R25+'Sep-23'!I25</f>
        <v>0</v>
      </c>
      <c r="S25" s="68">
        <f>'Aug-23'!S25+'Sep-23'!J25</f>
        <v>13</v>
      </c>
      <c r="T25" s="64">
        <f>IFERROR(O25/P25-1,"n/a")</f>
        <v>1.375</v>
      </c>
      <c r="U25" s="64" t="str">
        <f>IFERROR(O25/Q25-1,"n/a")</f>
        <v>n/a</v>
      </c>
      <c r="V25" s="64" t="str">
        <f>IFERROR(O25/R25-1,"n/a")</f>
        <v>n/a</v>
      </c>
      <c r="W25" s="60">
        <f>IFERROR(O25/S25-1,"n/a")</f>
        <v>0.46153846153846145</v>
      </c>
      <c r="X25" s="68">
        <v>9</v>
      </c>
      <c r="Y25" s="68">
        <v>0</v>
      </c>
      <c r="Z25" s="68">
        <v>0</v>
      </c>
      <c r="AA25" s="134">
        <v>16</v>
      </c>
      <c r="AB25" s="122"/>
      <c r="AC25" s="122"/>
    </row>
    <row r="26" spans="1:29" s="123" customFormat="1" ht="12.75">
      <c r="A26" s="122"/>
      <c r="B26" s="127"/>
      <c r="C26" s="33"/>
      <c r="D26" s="26" t="s">
        <v>11</v>
      </c>
      <c r="E26" s="32"/>
      <c r="F26" s="71">
        <v>7920</v>
      </c>
      <c r="G26" s="71">
        <v>2266</v>
      </c>
      <c r="H26" s="71">
        <v>0</v>
      </c>
      <c r="I26" s="71">
        <v>0</v>
      </c>
      <c r="J26" s="71">
        <v>1243</v>
      </c>
      <c r="K26" s="64">
        <f>IFERROR(F26/G26-1,"n/a")</f>
        <v>2.4951456310679609</v>
      </c>
      <c r="L26" s="64" t="str">
        <f t="shared" si="0"/>
        <v>n/a</v>
      </c>
      <c r="M26" s="64" t="str">
        <f>IFERROR(F26/I26-1,"n/a")</f>
        <v>n/a</v>
      </c>
      <c r="N26" s="60">
        <f t="shared" si="1"/>
        <v>5.3716814159292037</v>
      </c>
      <c r="O26" s="68">
        <f>'Aug-23'!O26+'Sep-23'!F26</f>
        <v>34314</v>
      </c>
      <c r="P26" s="68">
        <f>'Aug-23'!P26+'Sep-23'!G26</f>
        <v>13279</v>
      </c>
      <c r="Q26" s="68">
        <f>'Aug-23'!Q26+'Sep-23'!H26</f>
        <v>0</v>
      </c>
      <c r="R26" s="68">
        <f>'Aug-23'!R26+'Sep-23'!I26</f>
        <v>0</v>
      </c>
      <c r="S26" s="68">
        <f>'Aug-23'!S26+'Sep-23'!J26</f>
        <v>16291</v>
      </c>
      <c r="T26" s="64">
        <f>IFERROR(O26/P26-1,"n/a")</f>
        <v>1.5840801265155511</v>
      </c>
      <c r="U26" s="64" t="str">
        <f>IFERROR(O26/Q26-1,"n/a")</f>
        <v>n/a</v>
      </c>
      <c r="V26" s="64" t="str">
        <f>IFERROR(O26/R26-1,"n/a")</f>
        <v>n/a</v>
      </c>
      <c r="W26" s="60">
        <f>IFERROR(O26/S26-1,"n/a")</f>
        <v>1.1063163710023938</v>
      </c>
      <c r="X26" s="68">
        <v>15637</v>
      </c>
      <c r="Y26" s="68">
        <v>0</v>
      </c>
      <c r="Z26" s="68">
        <v>0</v>
      </c>
      <c r="AA26" s="136">
        <v>20248</v>
      </c>
      <c r="AB26" s="122"/>
      <c r="AC26" s="122"/>
    </row>
    <row r="27" spans="1:29" s="123" customFormat="1" ht="13.5" thickBot="1">
      <c r="A27" s="122"/>
      <c r="B27" s="127"/>
      <c r="C27" s="35" t="s">
        <v>12</v>
      </c>
      <c r="D27" s="36"/>
      <c r="E27" s="37"/>
      <c r="F27" s="75">
        <f t="shared" ref="F27:J28" si="2">F13+F16+F19+F22+F25</f>
        <v>389</v>
      </c>
      <c r="G27" s="75">
        <f t="shared" si="2"/>
        <v>334</v>
      </c>
      <c r="H27" s="75">
        <f t="shared" si="2"/>
        <v>147</v>
      </c>
      <c r="I27" s="75">
        <f t="shared" si="2"/>
        <v>10</v>
      </c>
      <c r="J27" s="75">
        <f t="shared" si="2"/>
        <v>268</v>
      </c>
      <c r="K27" s="66">
        <f>IFERROR(F27/G27-1,"n/a")</f>
        <v>0.16467065868263475</v>
      </c>
      <c r="L27" s="66">
        <f t="shared" si="0"/>
        <v>1.6462585034013606</v>
      </c>
      <c r="M27" s="66">
        <f>IFERROR(F27/I27-1,"n/a")</f>
        <v>37.9</v>
      </c>
      <c r="N27" s="62">
        <f t="shared" si="1"/>
        <v>0.45149253731343286</v>
      </c>
      <c r="O27" s="75">
        <f t="shared" ref="O27:S28" si="3">O13+O16+O19+O22+O25</f>
        <v>3119</v>
      </c>
      <c r="P27" s="75">
        <f t="shared" si="3"/>
        <v>2589</v>
      </c>
      <c r="Q27" s="75">
        <f t="shared" si="3"/>
        <v>375</v>
      </c>
      <c r="R27" s="75">
        <f t="shared" si="3"/>
        <v>785</v>
      </c>
      <c r="S27" s="75">
        <f t="shared" si="3"/>
        <v>2568</v>
      </c>
      <c r="T27" s="66">
        <f>IFERROR(O27/P27-1,"n/a")</f>
        <v>0.20471224410969491</v>
      </c>
      <c r="U27" s="66">
        <f>IFERROR(O27/Q27-1,"n/a")</f>
        <v>7.3173333333333339</v>
      </c>
      <c r="V27" s="66">
        <f>IFERROR(O27/R27-1,"n/a")</f>
        <v>2.9732484076433119</v>
      </c>
      <c r="W27" s="62">
        <f>IFERROR(O27/S27-1,"n/a")</f>
        <v>0.21456386292834884</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1100804</v>
      </c>
      <c r="G28" s="76">
        <f t="shared" si="2"/>
        <v>838052</v>
      </c>
      <c r="H28" s="76">
        <f t="shared" si="2"/>
        <v>240604</v>
      </c>
      <c r="I28" s="76">
        <f t="shared" si="2"/>
        <v>6072</v>
      </c>
      <c r="J28" s="76">
        <f t="shared" si="2"/>
        <v>785421</v>
      </c>
      <c r="K28" s="67">
        <f>IFERROR(F28/G28-1,"n/a")</f>
        <v>0.31352708423820963</v>
      </c>
      <c r="L28" s="67">
        <f t="shared" si="0"/>
        <v>3.5751691576199898</v>
      </c>
      <c r="M28" s="67">
        <f>IFERROR(F28/I28-1,"n/a")</f>
        <v>180.29183135704875</v>
      </c>
      <c r="N28" s="63">
        <f t="shared" si="1"/>
        <v>0.40154643178626492</v>
      </c>
      <c r="O28" s="76">
        <f t="shared" si="3"/>
        <v>9202054</v>
      </c>
      <c r="P28" s="76">
        <f t="shared" si="3"/>
        <v>5211093</v>
      </c>
      <c r="Q28" s="76">
        <f t="shared" si="3"/>
        <v>568611</v>
      </c>
      <c r="R28" s="76">
        <f t="shared" si="3"/>
        <v>1698631</v>
      </c>
      <c r="S28" s="76">
        <f t="shared" si="3"/>
        <v>7494720</v>
      </c>
      <c r="T28" s="67">
        <f>IFERROR(O28/P28-1,"n/a")</f>
        <v>0.76585871716355869</v>
      </c>
      <c r="U28" s="67">
        <f>IFERROR(O28/Q28-1,"n/a")</f>
        <v>15.18339075396009</v>
      </c>
      <c r="V28" s="67">
        <f>IFERROR(O28/R28-1,"n/a")</f>
        <v>4.4173354895795498</v>
      </c>
      <c r="W28" s="63">
        <f>IFERROR(O28/S28-1,"n/a")</f>
        <v>0.22780490798855735</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70" t="str">
        <f>F9</f>
        <v>September</v>
      </c>
      <c r="G33" s="170"/>
      <c r="H33" s="170"/>
      <c r="I33" s="170"/>
      <c r="J33" s="170"/>
      <c r="K33" s="170"/>
      <c r="L33" s="170"/>
      <c r="M33" s="170"/>
      <c r="N33" s="171"/>
      <c r="O33" s="176" t="str">
        <f>"April to "&amp;D4&amp;" (YTD)"</f>
        <v>April to September (YTD)</v>
      </c>
      <c r="P33" s="177"/>
      <c r="Q33" s="177"/>
      <c r="R33" s="177"/>
      <c r="S33" s="177"/>
      <c r="T33" s="177"/>
      <c r="U33" s="177"/>
      <c r="V33" s="177"/>
      <c r="W33" s="178"/>
      <c r="X33" s="169" t="s">
        <v>58</v>
      </c>
      <c r="Y33" s="170"/>
      <c r="Z33" s="170"/>
      <c r="AA33" s="172"/>
    </row>
    <row r="34" spans="1:29" s="123" customFormat="1" ht="11.25">
      <c r="A34" s="122"/>
      <c r="B34" s="122"/>
      <c r="C34" s="29"/>
      <c r="D34" s="30"/>
      <c r="E34" s="30"/>
      <c r="F34" s="175"/>
      <c r="G34" s="173"/>
      <c r="H34" s="173"/>
      <c r="I34" s="173"/>
      <c r="J34" s="173"/>
      <c r="K34" s="173"/>
      <c r="L34" s="173"/>
      <c r="M34" s="173"/>
      <c r="N34" s="174"/>
      <c r="O34" s="175"/>
      <c r="P34" s="173"/>
      <c r="Q34" s="173"/>
      <c r="R34" s="173"/>
      <c r="S34" s="173"/>
      <c r="T34" s="173"/>
      <c r="U34" s="173"/>
      <c r="V34" s="173"/>
      <c r="W34" s="174"/>
      <c r="X34" s="175"/>
      <c r="Y34" s="173"/>
      <c r="Z34" s="173"/>
      <c r="AA34" s="174"/>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98</v>
      </c>
      <c r="G37" s="74">
        <f t="shared" si="5"/>
        <v>82</v>
      </c>
      <c r="H37" s="74">
        <f t="shared" si="5"/>
        <v>60</v>
      </c>
      <c r="I37" s="74">
        <f t="shared" si="5"/>
        <v>0</v>
      </c>
      <c r="J37" s="74">
        <f t="shared" si="5"/>
        <v>79</v>
      </c>
      <c r="K37" s="64">
        <f>IFERROR(F37/G37-1,"n/a")</f>
        <v>0.19512195121951215</v>
      </c>
      <c r="L37" s="64">
        <f>IFERROR(F37/H37-1,"n/a")</f>
        <v>0.6333333333333333</v>
      </c>
      <c r="M37" s="64" t="str">
        <f>IFERROR(F37/I37-1,"n/a")</f>
        <v>n/a</v>
      </c>
      <c r="N37" s="60">
        <f>IFERROR(F37/J37-1,"n/a")</f>
        <v>0.240506329113924</v>
      </c>
      <c r="O37" s="74">
        <f>'Aug-23'!O37+'Sep-23'!F37</f>
        <v>625</v>
      </c>
      <c r="P37" s="74">
        <f>'Aug-23'!P37+'Sep-23'!G37</f>
        <v>543</v>
      </c>
      <c r="Q37" s="74">
        <f>'Aug-23'!Q37+'Sep-23'!H37</f>
        <v>139</v>
      </c>
      <c r="R37" s="74">
        <f>'Aug-23'!R37+'Sep-23'!I37</f>
        <v>42</v>
      </c>
      <c r="S37" s="74">
        <f>'Aug-23'!S37+'Sep-23'!J37</f>
        <v>586</v>
      </c>
      <c r="T37" s="119">
        <f>IFERROR(O37/P37-1,"n/a")</f>
        <v>0.15101289134438312</v>
      </c>
      <c r="U37" s="119">
        <f>IFERROR(O37/Q37-1,"n/a")</f>
        <v>3.4964028776978413</v>
      </c>
      <c r="V37" s="119">
        <f>IFERROR(O37/R37-1,"n/a")</f>
        <v>13.880952380952381</v>
      </c>
      <c r="W37" s="120">
        <f>IFERROR(O37/S37-1,"n/a")</f>
        <v>6.6552901023890776E-2</v>
      </c>
      <c r="X37" s="89">
        <v>1486</v>
      </c>
      <c r="Y37" s="89">
        <v>1052</v>
      </c>
      <c r="Z37" s="70">
        <v>551</v>
      </c>
      <c r="AA37" s="78">
        <v>1584</v>
      </c>
      <c r="AC37" s="122"/>
    </row>
    <row r="38" spans="1:29" s="123" customFormat="1" ht="11.25">
      <c r="A38" s="122"/>
      <c r="B38" s="122"/>
      <c r="C38" s="33"/>
      <c r="D38" s="26" t="s">
        <v>11</v>
      </c>
      <c r="E38" s="32"/>
      <c r="F38" s="74">
        <f t="shared" si="5"/>
        <v>313650</v>
      </c>
      <c r="G38" s="74">
        <f t="shared" si="5"/>
        <v>280580</v>
      </c>
      <c r="H38" s="74">
        <f t="shared" si="5"/>
        <v>83395</v>
      </c>
      <c r="I38" s="74">
        <f t="shared" si="5"/>
        <v>0</v>
      </c>
      <c r="J38" s="74">
        <f t="shared" si="5"/>
        <v>234453</v>
      </c>
      <c r="K38" s="64">
        <f>IFERROR(F38/G38-1,"n/a")</f>
        <v>0.11786299807541512</v>
      </c>
      <c r="L38" s="64">
        <f>IFERROR(F38/H38-1,"n/a")</f>
        <v>2.7610168475328258</v>
      </c>
      <c r="M38" s="64" t="str">
        <f>IFERROR(F38/I38-1,"n/a")</f>
        <v>n/a</v>
      </c>
      <c r="N38" s="60">
        <f>IFERROR(F38/J38-1,"n/a")</f>
        <v>0.33779478189658474</v>
      </c>
      <c r="O38" s="74">
        <f>'Aug-23'!O38+'Sep-23'!F38</f>
        <v>2248360</v>
      </c>
      <c r="P38" s="74">
        <f>'Aug-23'!P38+'Sep-23'!G38</f>
        <v>1635653</v>
      </c>
      <c r="Q38" s="74">
        <f>'Aug-23'!Q38+'Sep-23'!H38</f>
        <v>180900</v>
      </c>
      <c r="R38" s="74">
        <f>'Aug-23'!R38+'Sep-23'!I38</f>
        <v>0</v>
      </c>
      <c r="S38" s="74">
        <f>'Aug-23'!S38+'Sep-23'!J38</f>
        <v>1892314</v>
      </c>
      <c r="T38" s="119">
        <f>IFERROR(O38/P38-1,"n/a")</f>
        <v>0.37459473372408447</v>
      </c>
      <c r="U38" s="119">
        <f>IFERROR(O38/Q38-1,"n/a")</f>
        <v>11.428745163073522</v>
      </c>
      <c r="V38" s="119" t="str">
        <f>IFERROR(O38/R38-1,"n/a")</f>
        <v>n/a</v>
      </c>
      <c r="W38" s="120">
        <f>IFERROR(O38/S38-1,"n/a")</f>
        <v>0.18815376306469211</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68</v>
      </c>
      <c r="G40" s="74">
        <f t="shared" si="6"/>
        <v>74</v>
      </c>
      <c r="H40" s="74">
        <f t="shared" si="6"/>
        <v>34</v>
      </c>
      <c r="I40" s="74">
        <f t="shared" si="6"/>
        <v>9</v>
      </c>
      <c r="J40" s="74">
        <f t="shared" si="6"/>
        <v>70</v>
      </c>
      <c r="K40" s="64">
        <f>IFERROR(F40/G40-1,"n/a")</f>
        <v>-8.108108108108103E-2</v>
      </c>
      <c r="L40" s="64">
        <f>IFERROR(F40/H40-1,"n/a")</f>
        <v>1</v>
      </c>
      <c r="M40" s="64">
        <f>IFERROR(F40/I40-1,"n/a")</f>
        <v>6.5555555555555554</v>
      </c>
      <c r="N40" s="60">
        <f>IFERROR(F40/J40-1,"n/a")</f>
        <v>-2.8571428571428581E-2</v>
      </c>
      <c r="O40" s="74">
        <f>'Aug-23'!O40+'Sep-23'!F40</f>
        <v>398</v>
      </c>
      <c r="P40" s="74">
        <f>'Aug-23'!P40+'Sep-23'!G40</f>
        <v>414</v>
      </c>
      <c r="Q40" s="74">
        <f>'Aug-23'!Q40+'Sep-23'!H40</f>
        <v>124</v>
      </c>
      <c r="R40" s="74">
        <f>'Aug-23'!R40+'Sep-23'!I40</f>
        <v>11</v>
      </c>
      <c r="S40" s="74">
        <f>'Aug-23'!S40+'Sep-23'!J40</f>
        <v>380</v>
      </c>
      <c r="T40" s="119">
        <f>IFERROR(O40/P40-1,"n/a")</f>
        <v>-3.8647342995169032E-2</v>
      </c>
      <c r="U40" s="119">
        <f>IFERROR(O40/Q40-1,"n/a")</f>
        <v>2.2096774193548385</v>
      </c>
      <c r="V40" s="119">
        <f>IFERROR(O40/R40-1,"n/a")</f>
        <v>35.18181818181818</v>
      </c>
      <c r="W40" s="120">
        <f>IFERROR(O40/S40-1,"n/a")</f>
        <v>4.7368421052631504E-2</v>
      </c>
      <c r="X40" s="89">
        <v>563</v>
      </c>
      <c r="Y40" s="89">
        <v>226</v>
      </c>
      <c r="Z40" s="70">
        <v>66</v>
      </c>
      <c r="AA40" s="78">
        <v>573</v>
      </c>
      <c r="AC40" s="122"/>
    </row>
    <row r="41" spans="1:29" s="123" customFormat="1" ht="11.25">
      <c r="A41" s="122"/>
      <c r="B41" s="122"/>
      <c r="C41" s="33"/>
      <c r="D41" s="26" t="s">
        <v>11</v>
      </c>
      <c r="E41" s="32"/>
      <c r="F41" s="74">
        <f t="shared" si="6"/>
        <v>223095</v>
      </c>
      <c r="G41" s="74">
        <f t="shared" si="6"/>
        <v>150081</v>
      </c>
      <c r="H41" s="74">
        <f t="shared" si="6"/>
        <v>64266</v>
      </c>
      <c r="I41" s="74">
        <f t="shared" si="6"/>
        <v>6072</v>
      </c>
      <c r="J41" s="74">
        <f t="shared" si="6"/>
        <v>169136</v>
      </c>
      <c r="K41" s="64">
        <f>IFERROR(F41/G41-1,"n/a")</f>
        <v>0.48649729146261023</v>
      </c>
      <c r="L41" s="64">
        <f>IFERROR(F41/H41-1,"n/a")</f>
        <v>2.4714312389132669</v>
      </c>
      <c r="M41" s="64">
        <f>IFERROR(F41/I41-1,"n/a")</f>
        <v>35.741600790513836</v>
      </c>
      <c r="N41" s="60">
        <f>IFERROR(F41/J41-1,"n/a")</f>
        <v>0.31902729164695875</v>
      </c>
      <c r="O41" s="74">
        <f>'Aug-23'!O41+'Sep-23'!F41</f>
        <v>1248564</v>
      </c>
      <c r="P41" s="74">
        <f>'Aug-23'!P41+'Sep-23'!G41</f>
        <v>731487</v>
      </c>
      <c r="Q41" s="74">
        <f>'Aug-23'!Q41+'Sep-23'!H41</f>
        <v>205183</v>
      </c>
      <c r="R41" s="74">
        <f>'Aug-23'!R41+'Sep-23'!I41</f>
        <v>8613</v>
      </c>
      <c r="S41" s="74">
        <f>'Aug-23'!S41+'Sep-23'!J41</f>
        <v>1001516</v>
      </c>
      <c r="T41" s="119">
        <f>IFERROR(O41/P41-1,"n/a")</f>
        <v>0.70688474299611603</v>
      </c>
      <c r="U41" s="119">
        <f>IFERROR(O41/Q41-1,"n/a")</f>
        <v>5.085124011248495</v>
      </c>
      <c r="V41" s="119">
        <f>IFERROR(O41/R41-1,"n/a")</f>
        <v>143.9627307558342</v>
      </c>
      <c r="W41" s="120">
        <f>IFERROR(O41/S41-1,"n/a")</f>
        <v>0.24667404215209743</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100</v>
      </c>
      <c r="G43" s="74">
        <f t="shared" si="7"/>
        <v>92</v>
      </c>
      <c r="H43" s="74">
        <f t="shared" si="7"/>
        <v>7</v>
      </c>
      <c r="I43" s="74">
        <f t="shared" si="7"/>
        <v>1</v>
      </c>
      <c r="J43" s="74">
        <f t="shared" si="7"/>
        <v>32</v>
      </c>
      <c r="K43" s="64">
        <f>IFERROR(F43/G43-1,"n/a")</f>
        <v>8.6956521739130377E-2</v>
      </c>
      <c r="L43" s="64">
        <f>IFERROR(F43/H43-1,"n/a")</f>
        <v>13.285714285714286</v>
      </c>
      <c r="M43" s="64">
        <f>IFERROR(F43/I43-1,"n/a")</f>
        <v>99</v>
      </c>
      <c r="N43" s="60">
        <f>IFERROR(F43/J43-1,"n/a")</f>
        <v>2.125</v>
      </c>
      <c r="O43" s="74">
        <f>'Aug-23'!O43+'Sep-23'!F43</f>
        <v>521</v>
      </c>
      <c r="P43" s="74">
        <f>'Aug-23'!P43+'Sep-23'!G43</f>
        <v>501</v>
      </c>
      <c r="Q43" s="74">
        <f>'Aug-23'!Q43+'Sep-23'!H43</f>
        <v>16</v>
      </c>
      <c r="R43" s="74">
        <f>'Aug-23'!R43+'Sep-23'!I43</f>
        <v>5</v>
      </c>
      <c r="S43" s="74">
        <f>'Aug-23'!S43+'Sep-23'!J43</f>
        <v>225</v>
      </c>
      <c r="T43" s="119">
        <f>IFERROR(O43/P43-1,"n/a")</f>
        <v>3.9920159680638667E-2</v>
      </c>
      <c r="U43" s="119">
        <f>IFERROR(O43/Q43-1,"n/a")</f>
        <v>31.5625</v>
      </c>
      <c r="V43" s="119">
        <f>IFERROR(O43/R43-1,"n/a")</f>
        <v>103.2</v>
      </c>
      <c r="W43" s="120">
        <f>IFERROR(O43/S43-1,"n/a")</f>
        <v>1.3155555555555556</v>
      </c>
      <c r="X43" s="89">
        <v>669</v>
      </c>
      <c r="Y43" s="89">
        <v>59</v>
      </c>
      <c r="Z43" s="70">
        <v>9</v>
      </c>
      <c r="AA43" s="78">
        <v>287</v>
      </c>
      <c r="AC43" s="122"/>
    </row>
    <row r="44" spans="1:29" s="123" customFormat="1" ht="11.25">
      <c r="A44" s="122"/>
      <c r="B44" s="122"/>
      <c r="C44" s="33"/>
      <c r="D44" s="26" t="s">
        <v>11</v>
      </c>
      <c r="E44" s="32"/>
      <c r="F44" s="74">
        <f t="shared" si="7"/>
        <v>181434</v>
      </c>
      <c r="G44" s="74">
        <f t="shared" si="7"/>
        <v>137415</v>
      </c>
      <c r="H44" s="74">
        <f t="shared" si="7"/>
        <v>3224</v>
      </c>
      <c r="I44" s="74">
        <f t="shared" si="7"/>
        <v>0</v>
      </c>
      <c r="J44" s="74">
        <f t="shared" si="7"/>
        <v>76553</v>
      </c>
      <c r="K44" s="64">
        <f>IFERROR(F44/G44-1,"n/a")</f>
        <v>0.32033620783757222</v>
      </c>
      <c r="L44" s="64">
        <f>IFERROR(F44/H44-1,"n/a")</f>
        <v>55.276054590570716</v>
      </c>
      <c r="M44" s="64" t="str">
        <f>IFERROR(F44/I44-1,"n/a")</f>
        <v>n/a</v>
      </c>
      <c r="N44" s="60">
        <f>IFERROR(F44/J44-1,"n/a")</f>
        <v>1.3700442830457331</v>
      </c>
      <c r="O44" s="74">
        <f>'Aug-23'!O44+'Sep-23'!F44</f>
        <v>992579</v>
      </c>
      <c r="P44" s="74">
        <f>'Aug-23'!P44+'Sep-23'!G44</f>
        <v>700973</v>
      </c>
      <c r="Q44" s="74">
        <f>'Aug-23'!Q44+'Sep-23'!H44</f>
        <v>4542</v>
      </c>
      <c r="R44" s="74">
        <f>'Aug-23'!R44+'Sep-23'!I44</f>
        <v>8294</v>
      </c>
      <c r="S44" s="74">
        <f>'Aug-23'!S44+'Sep-23'!J44</f>
        <v>481278</v>
      </c>
      <c r="T44" s="119">
        <f>IFERROR(O44/P44-1,"n/a")</f>
        <v>0.41600175755699587</v>
      </c>
      <c r="U44" s="119">
        <f>IFERROR(O44/Q44-1,"n/a")</f>
        <v>217.53346543372965</v>
      </c>
      <c r="V44" s="119">
        <f>IFERROR(O44/R44-1,"n/a")</f>
        <v>118.67434289848083</v>
      </c>
      <c r="W44" s="120">
        <f>IFERROR(O44/S44-1,"n/a")</f>
        <v>1.062381825057451</v>
      </c>
      <c r="X44" s="82">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119</v>
      </c>
      <c r="G46" s="74">
        <f t="shared" si="8"/>
        <v>85</v>
      </c>
      <c r="H46" s="74">
        <f t="shared" si="8"/>
        <v>46</v>
      </c>
      <c r="I46" s="74">
        <f t="shared" si="8"/>
        <v>0</v>
      </c>
      <c r="J46" s="74">
        <f t="shared" si="8"/>
        <v>86</v>
      </c>
      <c r="K46" s="64">
        <f>IFERROR(F46/G46-1,"n/a")</f>
        <v>0.39999999999999991</v>
      </c>
      <c r="L46" s="64">
        <f>IFERROR(F46/H46-1,"n/a")</f>
        <v>1.5869565217391304</v>
      </c>
      <c r="M46" s="64" t="str">
        <f>IFERROR(F46/I46-1,"n/a")</f>
        <v>n/a</v>
      </c>
      <c r="N46" s="60">
        <f>IFERROR(F46/J46-1,"n/a")</f>
        <v>0.38372093023255816</v>
      </c>
      <c r="O46" s="74">
        <f>'Aug-23'!O46+'Sep-23'!F46</f>
        <v>689</v>
      </c>
      <c r="P46" s="74">
        <f>'Aug-23'!P46+'Sep-23'!G46</f>
        <v>492</v>
      </c>
      <c r="Q46" s="74">
        <f>'Aug-23'!Q46+'Sep-23'!H46</f>
        <v>84</v>
      </c>
      <c r="R46" s="74">
        <f>'Aug-23'!R46+'Sep-23'!I46</f>
        <v>0</v>
      </c>
      <c r="S46" s="74">
        <f>'Aug-23'!S46+'Sep-23'!J46</f>
        <v>496</v>
      </c>
      <c r="T46" s="119">
        <f>IFERROR(O46/P46-1,"n/a")</f>
        <v>0.40040650406504064</v>
      </c>
      <c r="U46" s="119">
        <f>IFERROR(O46/Q46-1,"n/a")</f>
        <v>7.2023809523809526</v>
      </c>
      <c r="V46" s="119" t="str">
        <f>IFERROR(O46/R46-1,"n/a")</f>
        <v>n/a</v>
      </c>
      <c r="W46" s="120">
        <f>IFERROR(O46/S46-1,"n/a")</f>
        <v>0.38911290322580649</v>
      </c>
      <c r="X46" s="89">
        <v>1129</v>
      </c>
      <c r="Y46" s="89">
        <v>336</v>
      </c>
      <c r="Z46" s="84">
        <v>43</v>
      </c>
      <c r="AA46" s="78">
        <v>781</v>
      </c>
      <c r="AC46" s="122"/>
    </row>
    <row r="47" spans="1:29" s="123" customFormat="1" ht="11.25">
      <c r="A47" s="122"/>
      <c r="B47" s="122"/>
      <c r="C47" s="33"/>
      <c r="D47" s="26" t="s">
        <v>11</v>
      </c>
      <c r="E47" s="32"/>
      <c r="F47" s="74">
        <f t="shared" si="8"/>
        <v>374705</v>
      </c>
      <c r="G47" s="74">
        <f t="shared" si="8"/>
        <v>267710</v>
      </c>
      <c r="H47" s="74">
        <f t="shared" si="8"/>
        <v>89719</v>
      </c>
      <c r="I47" s="74">
        <f t="shared" si="8"/>
        <v>0</v>
      </c>
      <c r="J47" s="74">
        <f t="shared" si="8"/>
        <v>304036</v>
      </c>
      <c r="K47" s="64">
        <f>IFERROR(F47/G47-1,"n/a")</f>
        <v>0.39966755070785553</v>
      </c>
      <c r="L47" s="64">
        <f>IFERROR(F47/H47-1,"n/a")</f>
        <v>3.1764286271581268</v>
      </c>
      <c r="M47" s="64" t="str">
        <f>IFERROR(F47/I47-1,"n/a")</f>
        <v>n/a</v>
      </c>
      <c r="N47" s="60">
        <f>IFERROR(F47/J47-1,"n/a")</f>
        <v>0.23243629043929004</v>
      </c>
      <c r="O47" s="74">
        <f>'Aug-23'!O47+'Sep-23'!F47</f>
        <v>2199878</v>
      </c>
      <c r="P47" s="74">
        <f>'Aug-23'!P47+'Sep-23'!G47</f>
        <v>1261996</v>
      </c>
      <c r="Q47" s="74">
        <f>'Aug-23'!Q47+'Sep-23'!H47</f>
        <v>167883</v>
      </c>
      <c r="R47" s="74">
        <f>'Aug-23'!R47+'Sep-23'!I47</f>
        <v>0</v>
      </c>
      <c r="S47" s="74">
        <f>'Aug-23'!S47+'Sep-23'!J47</f>
        <v>1645544</v>
      </c>
      <c r="T47" s="119">
        <f>IFERROR(O47/P47-1,"n/a")</f>
        <v>0.74317351243585561</v>
      </c>
      <c r="U47" s="119">
        <f>IFERROR(O47/Q47-1,"n/a")</f>
        <v>12.103637652412692</v>
      </c>
      <c r="V47" s="119" t="str">
        <f>IFERROR(O47/R47-1,"n/a")</f>
        <v>n/a</v>
      </c>
      <c r="W47" s="120">
        <f>IFERROR(O47/S47-1,"n/a")</f>
        <v>0.33686975249522355</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4</v>
      </c>
      <c r="G49" s="74">
        <f t="shared" si="9"/>
        <v>1</v>
      </c>
      <c r="H49" s="74">
        <f t="shared" si="9"/>
        <v>0</v>
      </c>
      <c r="I49" s="74">
        <f t="shared" si="9"/>
        <v>0</v>
      </c>
      <c r="J49" s="74">
        <f t="shared" si="9"/>
        <v>1</v>
      </c>
      <c r="K49" s="64">
        <f>IFERROR(F49/G49-1,"n/a")</f>
        <v>3</v>
      </c>
      <c r="L49" s="64" t="str">
        <f>IFERROR(F49/H49-1,"n/a")</f>
        <v>n/a</v>
      </c>
      <c r="M49" s="64" t="str">
        <f>IFERROR(F49/I49-1,"n/a")</f>
        <v>n/a</v>
      </c>
      <c r="N49" s="60">
        <f>IFERROR(F49/J49-1,"n/a")</f>
        <v>3</v>
      </c>
      <c r="O49" s="74">
        <f>'Aug-23'!O49+'Sep-23'!F49</f>
        <v>19</v>
      </c>
      <c r="P49" s="74">
        <f>'Aug-23'!P49+'Sep-23'!G49</f>
        <v>8</v>
      </c>
      <c r="Q49" s="74">
        <f>'Aug-23'!Q49+'Sep-23'!H49</f>
        <v>0</v>
      </c>
      <c r="R49" s="74">
        <f>'Aug-23'!R49+'Sep-23'!I49</f>
        <v>0</v>
      </c>
      <c r="S49" s="74">
        <f>'Aug-23'!S49+'Sep-23'!J49</f>
        <v>13</v>
      </c>
      <c r="T49" s="119">
        <f>IFERROR(O49/P49-1,"n/a")</f>
        <v>1.375</v>
      </c>
      <c r="U49" s="119" t="str">
        <f>IFERROR(O49/Q49-1,"n/a")</f>
        <v>n/a</v>
      </c>
      <c r="V49" s="119" t="str">
        <f>IFERROR(O49/R49-1,"n/a")</f>
        <v>n/a</v>
      </c>
      <c r="W49" s="120">
        <f>IFERROR(O49/S49-1,"n/a")</f>
        <v>0.46153846153846145</v>
      </c>
      <c r="X49" s="89">
        <v>9</v>
      </c>
      <c r="Y49" s="68">
        <v>0</v>
      </c>
      <c r="Z49" s="68">
        <v>0</v>
      </c>
      <c r="AA49" s="78">
        <v>16</v>
      </c>
      <c r="AC49" s="122"/>
    </row>
    <row r="50" spans="3:29" s="123" customFormat="1" ht="11.25">
      <c r="C50" s="33"/>
      <c r="D50" s="26" t="s">
        <v>11</v>
      </c>
      <c r="E50" s="32"/>
      <c r="F50" s="74">
        <f t="shared" si="9"/>
        <v>7920</v>
      </c>
      <c r="G50" s="74">
        <f t="shared" si="9"/>
        <v>2266</v>
      </c>
      <c r="H50" s="74">
        <f t="shared" si="9"/>
        <v>0</v>
      </c>
      <c r="I50" s="74">
        <f t="shared" si="9"/>
        <v>0</v>
      </c>
      <c r="J50" s="74">
        <f t="shared" si="9"/>
        <v>1243</v>
      </c>
      <c r="K50" s="64">
        <f>IFERROR(F50/G50-1,"n/a")</f>
        <v>2.4951456310679609</v>
      </c>
      <c r="L50" s="64" t="str">
        <f>IFERROR(F50/H50-1,"n/a")</f>
        <v>n/a</v>
      </c>
      <c r="M50" s="64" t="str">
        <f>IFERROR(F50/I50-1,"n/a")</f>
        <v>n/a</v>
      </c>
      <c r="N50" s="60">
        <f>IFERROR(F50/J50-1,"n/a")</f>
        <v>5.3716814159292037</v>
      </c>
      <c r="O50" s="74">
        <f>'Aug-23'!O50+'Sep-23'!F50</f>
        <v>34314</v>
      </c>
      <c r="P50" s="74">
        <f>'Aug-23'!P50+'Sep-23'!G50</f>
        <v>13279</v>
      </c>
      <c r="Q50" s="74">
        <f>'Aug-23'!Q50+'Sep-23'!H50</f>
        <v>0</v>
      </c>
      <c r="R50" s="74">
        <f>'Aug-23'!R50+'Sep-23'!I50</f>
        <v>0</v>
      </c>
      <c r="S50" s="74">
        <f>'Aug-23'!S50+'Sep-23'!J50</f>
        <v>16291</v>
      </c>
      <c r="T50" s="119">
        <f>IFERROR(O50/P50-1,"n/a")</f>
        <v>1.5840801265155511</v>
      </c>
      <c r="U50" s="119" t="str">
        <f>IFERROR(O50/Q50-1,"n/a")</f>
        <v>n/a</v>
      </c>
      <c r="V50" s="119" t="str">
        <f>IFERROR(O50/R50-1,"n/a")</f>
        <v>n/a</v>
      </c>
      <c r="W50" s="120">
        <f>IFERROR(O50/S50-1,"n/a")</f>
        <v>1.1063163710023938</v>
      </c>
      <c r="X50" s="82">
        <v>15637</v>
      </c>
      <c r="Y50" s="68">
        <v>0</v>
      </c>
      <c r="Z50" s="68">
        <v>0</v>
      </c>
      <c r="AA50" s="78">
        <v>20248</v>
      </c>
      <c r="AC50" s="122"/>
    </row>
    <row r="51" spans="3:29" s="123" customFormat="1" ht="12" thickBot="1">
      <c r="C51" s="35" t="s">
        <v>12</v>
      </c>
      <c r="D51" s="36"/>
      <c r="E51" s="37"/>
      <c r="F51" s="75">
        <f>F37+F40+F43+F46+F49</f>
        <v>389</v>
      </c>
      <c r="G51" s="75">
        <f t="shared" ref="G51:J52" si="10">G37+G40+G43+G46+G49</f>
        <v>334</v>
      </c>
      <c r="H51" s="75">
        <f t="shared" si="10"/>
        <v>147</v>
      </c>
      <c r="I51" s="75">
        <f t="shared" si="10"/>
        <v>10</v>
      </c>
      <c r="J51" s="75">
        <f t="shared" si="10"/>
        <v>268</v>
      </c>
      <c r="K51" s="66">
        <f>IFERROR(F51/G51-1,"n/a")</f>
        <v>0.16467065868263475</v>
      </c>
      <c r="L51" s="66">
        <f>IFERROR(F51/H51-1,"n/a")</f>
        <v>1.6462585034013606</v>
      </c>
      <c r="M51" s="66">
        <f>IFERROR(F51/I51-1,"n/a")</f>
        <v>37.9</v>
      </c>
      <c r="N51" s="62">
        <f>IFERROR(F51/J51-1,"n/a")</f>
        <v>0.45149253731343286</v>
      </c>
      <c r="O51" s="75">
        <f t="shared" ref="O51:S52" si="11">O37+O40+O43+O46+O49</f>
        <v>2252</v>
      </c>
      <c r="P51" s="75">
        <f t="shared" si="11"/>
        <v>1958</v>
      </c>
      <c r="Q51" s="75">
        <f t="shared" si="11"/>
        <v>363</v>
      </c>
      <c r="R51" s="75">
        <f t="shared" si="11"/>
        <v>58</v>
      </c>
      <c r="S51" s="75">
        <f t="shared" si="11"/>
        <v>1700</v>
      </c>
      <c r="T51" s="66">
        <f>IFERROR(O51/P51-1,"n/a")</f>
        <v>0.15015321756894795</v>
      </c>
      <c r="U51" s="66">
        <f>IFERROR(O51/Q51-1,"n/a")</f>
        <v>5.2038567493112948</v>
      </c>
      <c r="V51" s="66">
        <f>IFERROR(O51/R51-1,"n/a")</f>
        <v>37.827586206896555</v>
      </c>
      <c r="W51" s="62">
        <f>IFERROR(O51/S51-1,"n/a")</f>
        <v>0.32470588235294118</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1100804</v>
      </c>
      <c r="G52" s="76">
        <f t="shared" si="10"/>
        <v>838052</v>
      </c>
      <c r="H52" s="76">
        <f t="shared" si="10"/>
        <v>240604</v>
      </c>
      <c r="I52" s="76">
        <f t="shared" si="10"/>
        <v>6072</v>
      </c>
      <c r="J52" s="76">
        <f t="shared" si="10"/>
        <v>785421</v>
      </c>
      <c r="K52" s="67">
        <f>IFERROR(F52/G52-1,"n/a")</f>
        <v>0.31352708423820963</v>
      </c>
      <c r="L52" s="67">
        <f>IFERROR(F52/H52-1,"n/a")</f>
        <v>3.5751691576199898</v>
      </c>
      <c r="M52" s="67">
        <f>IFERROR(F52/I52-1,"n/a")</f>
        <v>180.29183135704875</v>
      </c>
      <c r="N52" s="63">
        <f>IFERROR(F52/J52-1,"n/a")</f>
        <v>0.40154643178626492</v>
      </c>
      <c r="O52" s="76">
        <f t="shared" si="11"/>
        <v>6723695</v>
      </c>
      <c r="P52" s="76">
        <f t="shared" si="11"/>
        <v>4343388</v>
      </c>
      <c r="Q52" s="76">
        <f t="shared" si="11"/>
        <v>558508</v>
      </c>
      <c r="R52" s="76">
        <f t="shared" si="11"/>
        <v>16907</v>
      </c>
      <c r="S52" s="76">
        <f t="shared" si="11"/>
        <v>5036943</v>
      </c>
      <c r="T52" s="67">
        <f>IFERROR(O52/P52-1,"n/a")</f>
        <v>0.54803001712027566</v>
      </c>
      <c r="U52" s="117">
        <f>IFERROR(O52/Q52-1,"n/a")</f>
        <v>11.038672677920459</v>
      </c>
      <c r="V52" s="117">
        <f>IFERROR(O52/R52-1,"n/a")</f>
        <v>396.68705270006507</v>
      </c>
      <c r="W52" s="118">
        <f>IFERROR(O52/S52-1,"n/a")</f>
        <v>0.3348761341948876</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15341-DE16-44D4-9149-9A8CC7634D40}">
  <dimension ref="A1:AC66"/>
  <sheetViews>
    <sheetView showGridLines="0" zoomScaleNormal="100" workbookViewId="0">
      <selection activeCell="F37" sqref="F37:J50"/>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45184</v>
      </c>
      <c r="AB3" s="25"/>
      <c r="AC3" s="9"/>
    </row>
    <row r="4" spans="1:29" ht="15.75">
      <c r="A4" s="9"/>
      <c r="B4" s="11" t="s">
        <v>7</v>
      </c>
      <c r="C4" s="26"/>
      <c r="D4" s="93" t="s">
        <v>69</v>
      </c>
      <c r="E4" s="133">
        <v>2023</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7" t="str">
        <f>D4</f>
        <v>August</v>
      </c>
      <c r="G9" s="170"/>
      <c r="H9" s="170"/>
      <c r="I9" s="170"/>
      <c r="J9" s="170"/>
      <c r="K9" s="170"/>
      <c r="L9" s="170"/>
      <c r="M9" s="170"/>
      <c r="N9" s="171"/>
      <c r="O9" s="169" t="str">
        <f>"January to "&amp; D4</f>
        <v>January to August</v>
      </c>
      <c r="P9" s="170"/>
      <c r="Q9" s="170"/>
      <c r="R9" s="170"/>
      <c r="S9" s="170"/>
      <c r="T9" s="170"/>
      <c r="U9" s="170"/>
      <c r="V9" s="170"/>
      <c r="W9" s="171"/>
      <c r="X9" s="169" t="s">
        <v>57</v>
      </c>
      <c r="Y9" s="170"/>
      <c r="Z9" s="170"/>
      <c r="AA9" s="172"/>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1">
        <v>99</v>
      </c>
      <c r="G13" s="71">
        <v>81</v>
      </c>
      <c r="H13" s="71">
        <v>51</v>
      </c>
      <c r="I13" s="71">
        <v>0</v>
      </c>
      <c r="J13" s="71">
        <v>97</v>
      </c>
      <c r="K13" s="64">
        <f>IFERROR(F13/G13-1,"n/a")</f>
        <v>0.22222222222222232</v>
      </c>
      <c r="L13" s="64">
        <f t="shared" ref="L13:L28" si="0">IFERROR(F13/H13-1,"n/a")</f>
        <v>0.94117647058823528</v>
      </c>
      <c r="M13" s="64" t="str">
        <f>IFERROR(F13/I13-1,"n/a")</f>
        <v>n/a</v>
      </c>
      <c r="N13" s="60">
        <f>IFERROR(F13/J13-1,"n/a")</f>
        <v>2.0618556701030855E-2</v>
      </c>
      <c r="O13" s="68">
        <f>'July-23'!O13+'Aug-23'!F13</f>
        <v>1057</v>
      </c>
      <c r="P13" s="68">
        <f>'July-23'!$P$13+G13</f>
        <v>991</v>
      </c>
      <c r="Q13" s="68">
        <f>'July-23'!Q13+'Aug-23'!H13</f>
        <v>79</v>
      </c>
      <c r="R13" s="68">
        <f>'July-23'!R13+'Aug-23'!I13</f>
        <v>551</v>
      </c>
      <c r="S13" s="68">
        <f>'July-23'!S13+'Aug-23'!J13</f>
        <v>1023</v>
      </c>
      <c r="T13" s="64">
        <f>IFERROR(O13/P13-1,"n/a")</f>
        <v>6.6599394550958646E-2</v>
      </c>
      <c r="U13" s="64">
        <f>IFERROR(O13/Q13-1,"n/a")</f>
        <v>12.379746835443038</v>
      </c>
      <c r="V13" s="64">
        <f>IFERROR(O13/R13-1,"n/a")</f>
        <v>0.91833030852994546</v>
      </c>
      <c r="W13" s="60">
        <f>IFERROR(O13/S13-1,"n/a")</f>
        <v>3.3235581622678367E-2</v>
      </c>
      <c r="X13" s="68">
        <v>1486</v>
      </c>
      <c r="Y13" s="68">
        <v>522</v>
      </c>
      <c r="Z13" s="68">
        <v>551</v>
      </c>
      <c r="AA13" s="134">
        <v>1591</v>
      </c>
      <c r="AB13" s="122"/>
      <c r="AC13" s="122"/>
    </row>
    <row r="14" spans="1:29" s="123" customFormat="1" ht="12.75">
      <c r="A14" s="122"/>
      <c r="B14" s="127"/>
      <c r="C14" s="33"/>
      <c r="D14" s="26" t="s">
        <v>11</v>
      </c>
      <c r="E14" s="32"/>
      <c r="F14" s="71">
        <v>375428</v>
      </c>
      <c r="G14" s="71">
        <v>278520</v>
      </c>
      <c r="H14" s="71">
        <v>66591</v>
      </c>
      <c r="I14" s="71">
        <v>0</v>
      </c>
      <c r="J14" s="71">
        <v>325246</v>
      </c>
      <c r="K14" s="64">
        <f>IFERROR(F14/G14-1,"n/a")</f>
        <v>0.34793910670687911</v>
      </c>
      <c r="L14" s="64">
        <f t="shared" si="0"/>
        <v>4.6378189244792836</v>
      </c>
      <c r="M14" s="64" t="str">
        <f>IFERROR(F14/I14-1,"n/a")</f>
        <v>n/a</v>
      </c>
      <c r="N14" s="60">
        <f>IFERROR(F14/J14-1,"n/a")</f>
        <v>0.15428936866248932</v>
      </c>
      <c r="O14" s="68">
        <f>'July-23'!$O$14+F14</f>
        <v>3472894</v>
      </c>
      <c r="P14" s="68">
        <f>'July-23'!P14+'Aug-23'!G14</f>
        <v>2114731</v>
      </c>
      <c r="Q14" s="68">
        <f>'July-23'!Q14+'Aug-23'!H14</f>
        <v>97505</v>
      </c>
      <c r="R14" s="68">
        <f>'July-23'!R14+'Aug-23'!I14</f>
        <v>1092884</v>
      </c>
      <c r="S14" s="68">
        <f>'July-23'!S14+'Aug-23'!J14</f>
        <v>3108965</v>
      </c>
      <c r="T14" s="64">
        <f>IFERROR(O14/P14-1,"n/a")</f>
        <v>0.64223913112353292</v>
      </c>
      <c r="U14" s="64">
        <f>IFERROR(O14/Q14-1,"n/a")</f>
        <v>34.617599097482177</v>
      </c>
      <c r="V14" s="64">
        <f>IFERROR(O14/R14-1,"n/a")</f>
        <v>2.177733409950187</v>
      </c>
      <c r="W14" s="60">
        <f>IFERROR(O14/S14-1,"n/a")</f>
        <v>0.1170579276382977</v>
      </c>
      <c r="X14" s="68">
        <v>3592413</v>
      </c>
      <c r="Y14" s="68">
        <v>768312</v>
      </c>
      <c r="Z14" s="68">
        <v>1092884</v>
      </c>
      <c r="AA14" s="134">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3"/>
      <c r="AA15" s="135"/>
      <c r="AB15" s="122"/>
      <c r="AC15" s="122"/>
    </row>
    <row r="16" spans="1:29" s="123" customFormat="1" ht="12.75">
      <c r="A16" s="122"/>
      <c r="B16" s="127"/>
      <c r="C16" s="33"/>
      <c r="D16" s="26" t="s">
        <v>5</v>
      </c>
      <c r="E16" s="32"/>
      <c r="F16" s="71">
        <v>71</v>
      </c>
      <c r="G16" s="71">
        <v>63</v>
      </c>
      <c r="H16" s="71">
        <v>29</v>
      </c>
      <c r="I16" s="71">
        <v>2</v>
      </c>
      <c r="J16" s="71">
        <v>58</v>
      </c>
      <c r="K16" s="64">
        <f>IFERROR(F16/G16-1,"n/a")</f>
        <v>0.12698412698412698</v>
      </c>
      <c r="L16" s="64">
        <f t="shared" si="0"/>
        <v>1.4482758620689653</v>
      </c>
      <c r="M16" s="64">
        <f>IFERROR(F16/I16-1,"n/a")</f>
        <v>34.5</v>
      </c>
      <c r="N16" s="60">
        <f>IFERROR(F16/J16-1,"n/a")</f>
        <v>0.22413793103448265</v>
      </c>
      <c r="O16" s="68">
        <f>'July-23'!$O$16+F16</f>
        <v>357</v>
      </c>
      <c r="P16" s="68">
        <f>'July-23'!P16+'Aug-23'!G16</f>
        <v>376</v>
      </c>
      <c r="Q16" s="68">
        <f>'July-23'!Q16+'Aug-23'!H16</f>
        <v>102</v>
      </c>
      <c r="R16" s="68">
        <f>'July-23'!R16+'Aug-23'!I16</f>
        <v>12</v>
      </c>
      <c r="S16" s="68">
        <f>'July-23'!S16+'Aug-23'!J16</f>
        <v>333</v>
      </c>
      <c r="T16" s="64">
        <f>IFERROR(O16/P16-1,"n/a")</f>
        <v>-5.0531914893616969E-2</v>
      </c>
      <c r="U16" s="64">
        <f>IFERROR(O16/Q16-1,"n/a")</f>
        <v>2.5</v>
      </c>
      <c r="V16" s="64">
        <f>IFERROR(O16/R16-1,"n/a")</f>
        <v>28.75</v>
      </c>
      <c r="W16" s="60">
        <f>IFERROR(O16/S16-1,"n/a")</f>
        <v>7.2072072072072002E-2</v>
      </c>
      <c r="X16" s="68">
        <v>572</v>
      </c>
      <c r="Y16" s="68">
        <v>202</v>
      </c>
      <c r="Z16" s="68">
        <v>54</v>
      </c>
      <c r="AA16" s="134">
        <v>586</v>
      </c>
      <c r="AB16" s="122"/>
      <c r="AC16" s="122"/>
    </row>
    <row r="17" spans="1:29" s="123" customFormat="1" ht="12.75">
      <c r="A17" s="122"/>
      <c r="B17" s="127"/>
      <c r="C17" s="33"/>
      <c r="D17" s="26" t="s">
        <v>11</v>
      </c>
      <c r="E17" s="32"/>
      <c r="F17" s="71">
        <v>262517</v>
      </c>
      <c r="G17" s="71">
        <v>183659</v>
      </c>
      <c r="H17" s="71">
        <v>48391</v>
      </c>
      <c r="I17" s="71">
        <v>2541</v>
      </c>
      <c r="J17" s="71">
        <v>180130</v>
      </c>
      <c r="K17" s="64">
        <f>IFERROR(F17/G17-1,"n/a")</f>
        <v>0.42937182495821058</v>
      </c>
      <c r="L17" s="64">
        <f t="shared" si="0"/>
        <v>4.4249137236262941</v>
      </c>
      <c r="M17" s="64">
        <f>IFERROR(F17/I17-1,"n/a")</f>
        <v>102.3124754033845</v>
      </c>
      <c r="N17" s="60">
        <f>IFERROR(F17/J17-1,"n/a")</f>
        <v>0.45737522900127692</v>
      </c>
      <c r="O17" s="68">
        <f>'July-23'!O17+'Aug-23'!F17</f>
        <v>1108524</v>
      </c>
      <c r="P17" s="68">
        <f>'July-23'!P17+'Aug-23'!G17</f>
        <v>617914</v>
      </c>
      <c r="Q17" s="68">
        <f>'July-23'!Q17+'Aug-23'!H17</f>
        <v>151020</v>
      </c>
      <c r="R17" s="68">
        <f>'July-23'!R17+'Aug-23'!I17</f>
        <v>43654</v>
      </c>
      <c r="S17" s="68">
        <f>'July-23'!S17+'Aug-23'!J17</f>
        <v>912754</v>
      </c>
      <c r="T17" s="64">
        <f>IFERROR(O17/P17-1,"n/a")</f>
        <v>0.79397780273630314</v>
      </c>
      <c r="U17" s="64">
        <f>IFERROR(O17/Q17-1,"n/a")</f>
        <v>6.3402463249900674</v>
      </c>
      <c r="V17" s="64">
        <f>IFERROR(O17/R17-1,"n/a")</f>
        <v>24.393411829385624</v>
      </c>
      <c r="W17" s="60">
        <f>IFERROR(O17/S17-1,"n/a")</f>
        <v>0.21448276315414661</v>
      </c>
      <c r="X17" s="68">
        <v>965963</v>
      </c>
      <c r="Y17" s="68">
        <v>301521</v>
      </c>
      <c r="Z17" s="68">
        <v>70675</v>
      </c>
      <c r="AA17" s="134">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3"/>
      <c r="AA18" s="135"/>
      <c r="AB18" s="122"/>
      <c r="AC18" s="122"/>
    </row>
    <row r="19" spans="1:29" s="123" customFormat="1" ht="12.75">
      <c r="A19" s="122"/>
      <c r="B19" s="127"/>
      <c r="C19" s="33"/>
      <c r="D19" s="26" t="s">
        <v>5</v>
      </c>
      <c r="E19" s="32"/>
      <c r="F19" s="71">
        <v>95</v>
      </c>
      <c r="G19" s="71">
        <v>104</v>
      </c>
      <c r="H19" s="71">
        <v>3</v>
      </c>
      <c r="I19" s="71">
        <v>2</v>
      </c>
      <c r="J19" s="71">
        <v>43</v>
      </c>
      <c r="K19" s="64">
        <f>IFERROR(F19/G19-1,"n/a")</f>
        <v>-8.6538461538461564E-2</v>
      </c>
      <c r="L19" s="64">
        <f t="shared" si="0"/>
        <v>30.666666666666668</v>
      </c>
      <c r="M19" s="64">
        <f>IFERROR(F19/I19-1,"n/a")</f>
        <v>46.5</v>
      </c>
      <c r="N19" s="60">
        <f>IFERROR(F19/J19-1,"n/a")</f>
        <v>1.2093023255813953</v>
      </c>
      <c r="O19" s="68">
        <f>'July-23'!O19+'Aug-23'!F19</f>
        <v>444</v>
      </c>
      <c r="P19" s="68">
        <f>'July-23'!P19+'Aug-23'!G19</f>
        <v>421</v>
      </c>
      <c r="Q19" s="68">
        <f>'July-23'!Q19+'Aug-23'!H19</f>
        <v>9</v>
      </c>
      <c r="R19" s="68">
        <f>'July-23'!R19+'Aug-23'!I19</f>
        <v>7</v>
      </c>
      <c r="S19" s="68">
        <f>'July-23'!S19+'Aug-23'!J19</f>
        <v>199</v>
      </c>
      <c r="T19" s="64">
        <f>IFERROR(O19/P19-1,"n/a")</f>
        <v>5.4631828978622288E-2</v>
      </c>
      <c r="U19" s="64">
        <f>IFERROR(O19/Q19-1,"n/a")</f>
        <v>48.333333333333336</v>
      </c>
      <c r="V19" s="64">
        <f>IFERROR(O19/R19-1,"n/a")</f>
        <v>62.428571428571431</v>
      </c>
      <c r="W19" s="60">
        <f>IFERROR(O19/S19-1,"n/a")</f>
        <v>1.2311557788944723</v>
      </c>
      <c r="X19" s="68">
        <v>658</v>
      </c>
      <c r="Y19" s="68">
        <v>47</v>
      </c>
      <c r="Z19" s="68">
        <v>9</v>
      </c>
      <c r="AA19" s="134">
        <v>290</v>
      </c>
      <c r="AB19" s="122"/>
      <c r="AC19" s="122"/>
    </row>
    <row r="20" spans="1:29" s="123" customFormat="1" ht="12.75">
      <c r="A20" s="122"/>
      <c r="B20" s="127"/>
      <c r="C20" s="33"/>
      <c r="D20" s="26" t="s">
        <v>11</v>
      </c>
      <c r="E20" s="32"/>
      <c r="F20" s="71">
        <v>234330</v>
      </c>
      <c r="G20" s="71">
        <v>185619</v>
      </c>
      <c r="H20" s="71">
        <v>850</v>
      </c>
      <c r="I20" s="71">
        <v>0</v>
      </c>
      <c r="J20" s="71">
        <v>126823</v>
      </c>
      <c r="K20" s="64">
        <f>IFERROR(F20/G20-1,"n/a")</f>
        <v>0.26242464402889798</v>
      </c>
      <c r="L20" s="64">
        <f t="shared" si="0"/>
        <v>274.68235294117648</v>
      </c>
      <c r="M20" s="64" t="str">
        <f>IFERROR(F20/I20-1,"n/a")</f>
        <v>n/a</v>
      </c>
      <c r="N20" s="60">
        <f t="shared" ref="N20:N28" si="1">IFERROR(F20/J20-1,"n/a")</f>
        <v>0.847693241762141</v>
      </c>
      <c r="O20" s="68">
        <f>'July-23'!O20+'Aug-23'!F20</f>
        <v>831991</v>
      </c>
      <c r="P20" s="68">
        <f>'July-23'!P20+'Aug-23'!G20</f>
        <v>566643</v>
      </c>
      <c r="Q20" s="68">
        <f>'July-23'!Q20+'Aug-23'!H20</f>
        <v>1318</v>
      </c>
      <c r="R20" s="68">
        <f>'July-23'!R20+'Aug-23'!I20</f>
        <v>10047</v>
      </c>
      <c r="S20" s="68">
        <f>'July-23'!S20+'Aug-23'!J20</f>
        <v>411209</v>
      </c>
      <c r="T20" s="64">
        <f>IFERROR(O20/P20-1,"n/a")</f>
        <v>0.46828073407771731</v>
      </c>
      <c r="U20" s="64">
        <f>IFERROR(O20/Q20-1,"n/a")</f>
        <v>630.25265553869497</v>
      </c>
      <c r="V20" s="64">
        <f>IFERROR(O20/R20-1,"n/a")</f>
        <v>81.809893500547432</v>
      </c>
      <c r="W20" s="60">
        <f>IFERROR(O20/S20-1,"n/a")</f>
        <v>1.0232801324873728</v>
      </c>
      <c r="X20" s="68">
        <v>887495</v>
      </c>
      <c r="Y20" s="68">
        <v>17541</v>
      </c>
      <c r="Z20" s="68">
        <v>10046.999999999998</v>
      </c>
      <c r="AA20" s="134">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3"/>
      <c r="AA21" s="135"/>
      <c r="AB21" s="122"/>
      <c r="AC21" s="122"/>
    </row>
    <row r="22" spans="1:29" s="123" customFormat="1" ht="12.75">
      <c r="A22" s="122"/>
      <c r="B22" s="127"/>
      <c r="C22" s="33"/>
      <c r="D22" s="26" t="s">
        <v>5</v>
      </c>
      <c r="E22" s="34"/>
      <c r="F22" s="71">
        <v>80</v>
      </c>
      <c r="G22" s="71">
        <v>60</v>
      </c>
      <c r="H22" s="71">
        <v>24</v>
      </c>
      <c r="I22" s="71">
        <v>0</v>
      </c>
      <c r="J22" s="71">
        <v>69</v>
      </c>
      <c r="K22" s="64">
        <f>IFERROR(F22/G22-1,"n/a")</f>
        <v>0.33333333333333326</v>
      </c>
      <c r="L22" s="64">
        <f t="shared" si="0"/>
        <v>2.3333333333333335</v>
      </c>
      <c r="M22" s="64" t="str">
        <f>IFERROR(F22/I22-1,"n/a")</f>
        <v>n/a</v>
      </c>
      <c r="N22" s="60">
        <f t="shared" si="1"/>
        <v>0.15942028985507251</v>
      </c>
      <c r="O22" s="68">
        <f>'July-23'!O22+'Aug-23'!F22</f>
        <v>857</v>
      </c>
      <c r="P22" s="68">
        <f>'July-23'!P22+'Aug-23'!G22</f>
        <v>460</v>
      </c>
      <c r="Q22" s="68">
        <f>'July-23'!Q22+'Aug-23'!H22</f>
        <v>38</v>
      </c>
      <c r="R22" s="68">
        <f>'July-23'!R22+'Aug-23'!I22</f>
        <v>205</v>
      </c>
      <c r="S22" s="68">
        <f>'July-23'!S22+'Aug-23'!J22</f>
        <v>733</v>
      </c>
      <c r="T22" s="64">
        <f>IFERROR(O22/P22-1,"n/a")</f>
        <v>0.86304347826086958</v>
      </c>
      <c r="U22" s="64">
        <f>IFERROR(O22/Q22-1,"n/a")</f>
        <v>21.55263157894737</v>
      </c>
      <c r="V22" s="64">
        <f>IFERROR(O22/R22-1,"n/a")</f>
        <v>3.1804878048780489</v>
      </c>
      <c r="W22" s="60">
        <f>IFERROR(O22/S22-1,"n/a")</f>
        <v>0.16916780354706695</v>
      </c>
      <c r="X22" s="68">
        <v>895</v>
      </c>
      <c r="Y22" s="68">
        <v>283</v>
      </c>
      <c r="Z22" s="68">
        <v>43</v>
      </c>
      <c r="AA22" s="134">
        <v>827</v>
      </c>
      <c r="AB22" s="122"/>
      <c r="AC22" s="122"/>
    </row>
    <row r="23" spans="1:29" s="123" customFormat="1" ht="12.75">
      <c r="A23" s="122"/>
      <c r="B23" s="127"/>
      <c r="C23" s="33"/>
      <c r="D23" s="26" t="s">
        <v>11</v>
      </c>
      <c r="E23" s="32"/>
      <c r="F23" s="71">
        <v>371804</v>
      </c>
      <c r="G23" s="71">
        <v>239102</v>
      </c>
      <c r="H23" s="71">
        <v>49688</v>
      </c>
      <c r="I23" s="71">
        <v>0</v>
      </c>
      <c r="J23" s="71">
        <v>291759</v>
      </c>
      <c r="K23" s="64">
        <f>IFERROR(F23/G23-1,"n/a")</f>
        <v>0.5550016311030439</v>
      </c>
      <c r="L23" s="64">
        <f t="shared" si="0"/>
        <v>6.4827725004025121</v>
      </c>
      <c r="M23" s="64" t="str">
        <f>IFERROR(F23/I23-1,"n/a")</f>
        <v>n/a</v>
      </c>
      <c r="N23" s="60">
        <f t="shared" si="1"/>
        <v>0.27435314763212104</v>
      </c>
      <c r="O23" s="68">
        <f>'July-23'!O23+'Aug-23'!F23</f>
        <v>2661447</v>
      </c>
      <c r="P23" s="68">
        <f>'July-23'!P23+'Aug-23'!G23</f>
        <v>1062740</v>
      </c>
      <c r="Q23" s="68">
        <f>'July-23'!Q23+'Aug-23'!H23</f>
        <v>78164</v>
      </c>
      <c r="R23" s="68">
        <f>'July-23'!R23+'Aug-23'!I23</f>
        <v>545974</v>
      </c>
      <c r="S23" s="68">
        <f>'July-23'!S23+'Aug-23'!J23</f>
        <v>2261323</v>
      </c>
      <c r="T23" s="64">
        <f>IFERROR(O23/P23-1,"n/a")</f>
        <v>1.5043256111560681</v>
      </c>
      <c r="U23" s="64">
        <f>IFERROR(O23/Q23-1,"n/a")</f>
        <v>33.049524077580472</v>
      </c>
      <c r="V23" s="64">
        <f>IFERROR(O23/R23-1,"n/a")</f>
        <v>3.8746771824299326</v>
      </c>
      <c r="W23" s="60">
        <f>IFERROR(O23/S23-1,"n/a")</f>
        <v>0.17694243591030556</v>
      </c>
      <c r="X23" s="68">
        <v>2165161</v>
      </c>
      <c r="Y23" s="68">
        <v>465109</v>
      </c>
      <c r="Z23" s="68">
        <v>140552</v>
      </c>
      <c r="AA23" s="134">
        <v>2552942</v>
      </c>
      <c r="AB23" s="122"/>
      <c r="AC23" s="122"/>
    </row>
    <row r="24" spans="1:29" s="123" customFormat="1" ht="12.75">
      <c r="A24" s="122"/>
      <c r="B24" s="127"/>
      <c r="C24" s="31" t="s">
        <v>111</v>
      </c>
      <c r="D24" s="26"/>
      <c r="E24" s="32"/>
      <c r="F24" s="72"/>
      <c r="G24" s="72"/>
      <c r="H24" s="72"/>
      <c r="I24" s="72"/>
      <c r="J24" s="72"/>
      <c r="K24" s="64"/>
      <c r="L24" s="64"/>
      <c r="M24" s="64"/>
      <c r="N24" s="60"/>
      <c r="O24" s="87">
        <v>-19798</v>
      </c>
      <c r="P24" s="87"/>
      <c r="Q24" s="87"/>
      <c r="R24" s="87"/>
      <c r="S24" s="87"/>
      <c r="T24" s="64"/>
      <c r="U24" s="64"/>
      <c r="V24" s="64"/>
      <c r="W24" s="60"/>
      <c r="X24" s="43"/>
      <c r="Y24" s="43"/>
      <c r="Z24" s="43"/>
      <c r="AA24" s="135"/>
      <c r="AB24" s="122"/>
      <c r="AC24" s="122"/>
    </row>
    <row r="25" spans="1:29" s="123" customFormat="1" ht="12.75">
      <c r="B25" s="127"/>
      <c r="C25" s="33"/>
      <c r="D25" s="26" t="s">
        <v>5</v>
      </c>
      <c r="E25" s="32"/>
      <c r="F25" s="71">
        <v>4</v>
      </c>
      <c r="G25" s="71">
        <v>2</v>
      </c>
      <c r="H25" s="71">
        <v>0</v>
      </c>
      <c r="I25" s="71">
        <v>0</v>
      </c>
      <c r="J25" s="71">
        <v>1</v>
      </c>
      <c r="K25" s="64">
        <f>IFERROR(F25/G25-1,"n/a")</f>
        <v>1</v>
      </c>
      <c r="L25" s="64" t="str">
        <f t="shared" si="0"/>
        <v>n/a</v>
      </c>
      <c r="M25" s="64" t="str">
        <f>IFERROR(F25/I25-1,"n/a")</f>
        <v>n/a</v>
      </c>
      <c r="N25" s="60">
        <f t="shared" si="1"/>
        <v>3</v>
      </c>
      <c r="O25" s="68">
        <f>'July-23'!O25+'Aug-23'!F25</f>
        <v>15</v>
      </c>
      <c r="P25" s="68">
        <f>'July-23'!P25+'Aug-23'!G25</f>
        <v>7</v>
      </c>
      <c r="Q25" s="68">
        <f>'July-23'!Q25+'Aug-23'!H25</f>
        <v>0</v>
      </c>
      <c r="R25" s="68">
        <f>'July-23'!R25+'Aug-23'!I25</f>
        <v>0</v>
      </c>
      <c r="S25" s="68">
        <f>'July-23'!S25+'Aug-23'!J25</f>
        <v>12</v>
      </c>
      <c r="T25" s="64">
        <f>IFERROR(O25/P25-1,"n/a")</f>
        <v>1.1428571428571428</v>
      </c>
      <c r="U25" s="64" t="str">
        <f>IFERROR(O25/Q25-1,"n/a")</f>
        <v>n/a</v>
      </c>
      <c r="V25" s="64" t="str">
        <f>IFERROR(O25/R25-1,"n/a")</f>
        <v>n/a</v>
      </c>
      <c r="W25" s="60">
        <f>IFERROR(O25/S25-1,"n/a")</f>
        <v>0.25</v>
      </c>
      <c r="X25" s="68">
        <v>9</v>
      </c>
      <c r="Y25" s="68">
        <v>0</v>
      </c>
      <c r="Z25" s="68">
        <v>0</v>
      </c>
      <c r="AA25" s="134">
        <v>16</v>
      </c>
      <c r="AB25" s="122"/>
      <c r="AC25" s="122"/>
    </row>
    <row r="26" spans="1:29" s="123" customFormat="1" ht="12.75">
      <c r="A26" s="122"/>
      <c r="B26" s="127"/>
      <c r="C26" s="33"/>
      <c r="D26" s="26" t="s">
        <v>11</v>
      </c>
      <c r="E26" s="32"/>
      <c r="F26" s="71">
        <v>6619</v>
      </c>
      <c r="G26" s="71">
        <v>2336</v>
      </c>
      <c r="H26" s="71">
        <v>0</v>
      </c>
      <c r="I26" s="71">
        <v>0</v>
      </c>
      <c r="J26" s="71">
        <v>1298</v>
      </c>
      <c r="K26" s="64">
        <f>IFERROR(F26/G26-1,"n/a")</f>
        <v>1.8334760273972601</v>
      </c>
      <c r="L26" s="64" t="str">
        <f t="shared" si="0"/>
        <v>n/a</v>
      </c>
      <c r="M26" s="64" t="str">
        <f>IFERROR(F26/I26-1,"n/a")</f>
        <v>n/a</v>
      </c>
      <c r="N26" s="60">
        <f t="shared" si="1"/>
        <v>4.0993836671802777</v>
      </c>
      <c r="O26" s="68">
        <f>'July-23'!O26+'Aug-23'!F26</f>
        <v>26394</v>
      </c>
      <c r="P26" s="68">
        <f>'July-23'!P26+'Aug-23'!G26</f>
        <v>11013</v>
      </c>
      <c r="Q26" s="68">
        <f>'July-23'!Q26+'Aug-23'!H26</f>
        <v>0</v>
      </c>
      <c r="R26" s="68">
        <f>'July-23'!R26+'Aug-23'!I26</f>
        <v>0</v>
      </c>
      <c r="S26" s="68">
        <f>'July-23'!S26+'Aug-23'!J26</f>
        <v>15048</v>
      </c>
      <c r="T26" s="64">
        <f>IFERROR(O26/P26-1,"n/a")</f>
        <v>1.3966221737946065</v>
      </c>
      <c r="U26" s="64" t="str">
        <f>IFERROR(O26/Q26-1,"n/a")</f>
        <v>n/a</v>
      </c>
      <c r="V26" s="64" t="str">
        <f>IFERROR(O26/R26-1,"n/a")</f>
        <v>n/a</v>
      </c>
      <c r="W26" s="60">
        <f>IFERROR(O26/S26-1,"n/a")</f>
        <v>0.75398724082934598</v>
      </c>
      <c r="X26" s="68">
        <v>15637</v>
      </c>
      <c r="Y26" s="68">
        <v>0</v>
      </c>
      <c r="Z26" s="68">
        <v>0</v>
      </c>
      <c r="AA26" s="136">
        <v>20248</v>
      </c>
      <c r="AB26" s="122"/>
      <c r="AC26" s="122"/>
    </row>
    <row r="27" spans="1:29" s="123" customFormat="1" ht="13.5" thickBot="1">
      <c r="A27" s="122"/>
      <c r="B27" s="127"/>
      <c r="C27" s="35" t="s">
        <v>12</v>
      </c>
      <c r="D27" s="36"/>
      <c r="E27" s="37"/>
      <c r="F27" s="75">
        <f t="shared" ref="F27:J28" si="2">F13+F16+F19+F22+F25</f>
        <v>349</v>
      </c>
      <c r="G27" s="75">
        <f t="shared" si="2"/>
        <v>310</v>
      </c>
      <c r="H27" s="75">
        <f t="shared" si="2"/>
        <v>107</v>
      </c>
      <c r="I27" s="75">
        <f t="shared" si="2"/>
        <v>4</v>
      </c>
      <c r="J27" s="75">
        <f t="shared" si="2"/>
        <v>268</v>
      </c>
      <c r="K27" s="66">
        <f>IFERROR(F27/G27-1,"n/a")</f>
        <v>0.12580645161290316</v>
      </c>
      <c r="L27" s="66">
        <f t="shared" si="0"/>
        <v>2.2616822429906542</v>
      </c>
      <c r="M27" s="66">
        <f>IFERROR(F27/I27-1,"n/a")</f>
        <v>86.25</v>
      </c>
      <c r="N27" s="62">
        <f t="shared" si="1"/>
        <v>0.30223880597014929</v>
      </c>
      <c r="O27" s="75">
        <f t="shared" ref="O27:S28" si="3">O13+O16+O19+O22+O25</f>
        <v>2730</v>
      </c>
      <c r="P27" s="75">
        <f t="shared" si="3"/>
        <v>2255</v>
      </c>
      <c r="Q27" s="75">
        <f t="shared" si="3"/>
        <v>228</v>
      </c>
      <c r="R27" s="75">
        <f t="shared" si="3"/>
        <v>775</v>
      </c>
      <c r="S27" s="75">
        <f t="shared" si="3"/>
        <v>2300</v>
      </c>
      <c r="T27" s="66">
        <f>IFERROR(O27/P27-1,"n/a")</f>
        <v>0.21064301552106435</v>
      </c>
      <c r="U27" s="66">
        <f>IFERROR(O27/Q27-1,"n/a")</f>
        <v>10.973684210526315</v>
      </c>
      <c r="V27" s="66">
        <f>IFERROR(O27/R27-1,"n/a")</f>
        <v>2.5225806451612902</v>
      </c>
      <c r="W27" s="62">
        <f>IFERROR(O27/S27-1,"n/a")</f>
        <v>0.18695652173913047</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1250698</v>
      </c>
      <c r="G28" s="76">
        <f t="shared" si="2"/>
        <v>889236</v>
      </c>
      <c r="H28" s="76">
        <f t="shared" si="2"/>
        <v>165520</v>
      </c>
      <c r="I28" s="76">
        <f t="shared" si="2"/>
        <v>2541</v>
      </c>
      <c r="J28" s="76">
        <f t="shared" si="2"/>
        <v>925256</v>
      </c>
      <c r="K28" s="67">
        <f>IFERROR(F28/G28-1,"n/a")</f>
        <v>0.40648601721027933</v>
      </c>
      <c r="L28" s="67">
        <f t="shared" si="0"/>
        <v>6.5561744804253266</v>
      </c>
      <c r="M28" s="67">
        <f>IFERROR(F28/I28-1,"n/a")</f>
        <v>491.20700511609601</v>
      </c>
      <c r="N28" s="63">
        <f t="shared" si="1"/>
        <v>0.35173184502451216</v>
      </c>
      <c r="O28" s="76">
        <f t="shared" si="3"/>
        <v>8101250</v>
      </c>
      <c r="P28" s="76">
        <f t="shared" si="3"/>
        <v>4373041</v>
      </c>
      <c r="Q28" s="76">
        <f t="shared" si="3"/>
        <v>328007</v>
      </c>
      <c r="R28" s="76">
        <f t="shared" si="3"/>
        <v>1692559</v>
      </c>
      <c r="S28" s="76">
        <f t="shared" si="3"/>
        <v>6709299</v>
      </c>
      <c r="T28" s="67">
        <f>IFERROR(O28/P28-1,"n/a")</f>
        <v>0.85254380189895307</v>
      </c>
      <c r="U28" s="67">
        <f>IFERROR(O28/Q28-1,"n/a")</f>
        <v>23.698405826704917</v>
      </c>
      <c r="V28" s="67">
        <f>IFERROR(O28/R28-1,"n/a")</f>
        <v>3.7863914935904743</v>
      </c>
      <c r="W28" s="63">
        <f>IFERROR(O28/S28-1,"n/a")</f>
        <v>0.20746593645625278</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70" t="str">
        <f>F9</f>
        <v>August</v>
      </c>
      <c r="G33" s="170"/>
      <c r="H33" s="170"/>
      <c r="I33" s="170"/>
      <c r="J33" s="170"/>
      <c r="K33" s="170"/>
      <c r="L33" s="170"/>
      <c r="M33" s="170"/>
      <c r="N33" s="171"/>
      <c r="O33" s="176" t="str">
        <f>"April to "&amp;D4&amp;" (YTD)"</f>
        <v>April to August (YTD)</v>
      </c>
      <c r="P33" s="177"/>
      <c r="Q33" s="177"/>
      <c r="R33" s="177"/>
      <c r="S33" s="177"/>
      <c r="T33" s="177"/>
      <c r="U33" s="177"/>
      <c r="V33" s="177"/>
      <c r="W33" s="178"/>
      <c r="X33" s="169" t="s">
        <v>58</v>
      </c>
      <c r="Y33" s="170"/>
      <c r="Z33" s="170"/>
      <c r="AA33" s="172"/>
    </row>
    <row r="34" spans="1:29" s="123" customFormat="1" ht="11.25">
      <c r="A34" s="122"/>
      <c r="B34" s="122"/>
      <c r="C34" s="29"/>
      <c r="D34" s="30"/>
      <c r="E34" s="30"/>
      <c r="F34" s="175"/>
      <c r="G34" s="173"/>
      <c r="H34" s="173"/>
      <c r="I34" s="173"/>
      <c r="J34" s="173"/>
      <c r="K34" s="173"/>
      <c r="L34" s="173"/>
      <c r="M34" s="173"/>
      <c r="N34" s="174"/>
      <c r="O34" s="175"/>
      <c r="P34" s="173"/>
      <c r="Q34" s="173"/>
      <c r="R34" s="173"/>
      <c r="S34" s="173"/>
      <c r="T34" s="173"/>
      <c r="U34" s="173"/>
      <c r="V34" s="173"/>
      <c r="W34" s="174"/>
      <c r="X34" s="175"/>
      <c r="Y34" s="173"/>
      <c r="Z34" s="173"/>
      <c r="AA34" s="174"/>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99</v>
      </c>
      <c r="G37" s="74">
        <f t="shared" si="5"/>
        <v>81</v>
      </c>
      <c r="H37" s="74">
        <f t="shared" si="5"/>
        <v>51</v>
      </c>
      <c r="I37" s="74">
        <f t="shared" si="5"/>
        <v>0</v>
      </c>
      <c r="J37" s="74">
        <f t="shared" si="5"/>
        <v>97</v>
      </c>
      <c r="K37" s="64">
        <f>IFERROR(F37/G37-1,"n/a")</f>
        <v>0.22222222222222232</v>
      </c>
      <c r="L37" s="64">
        <f>IFERROR(F37/H37-1,"n/a")</f>
        <v>0.94117647058823528</v>
      </c>
      <c r="M37" s="64" t="str">
        <f>IFERROR(F37/I37-1,"n/a")</f>
        <v>n/a</v>
      </c>
      <c r="N37" s="60">
        <f>IFERROR(F37/J37-1,"n/a")</f>
        <v>2.0618556701030855E-2</v>
      </c>
      <c r="O37" s="74">
        <f>'July-23'!O37+'Aug-23'!F37</f>
        <v>527</v>
      </c>
      <c r="P37" s="74">
        <f>'July-23'!P37+'Aug-23'!G37</f>
        <v>461</v>
      </c>
      <c r="Q37" s="74">
        <f>'July-23'!Q37+'Aug-23'!H37</f>
        <v>79</v>
      </c>
      <c r="R37" s="74">
        <f>'July-23'!R37+'Aug-23'!I37</f>
        <v>42</v>
      </c>
      <c r="S37" s="74">
        <f>'July-23'!S37+'Aug-23'!J37</f>
        <v>507</v>
      </c>
      <c r="T37" s="119">
        <f>IFERROR(O37/P37-1,"n/a")</f>
        <v>0.14316702819956606</v>
      </c>
      <c r="U37" s="119">
        <f>IFERROR(O37/Q37-1,"n/a")</f>
        <v>5.6708860759493671</v>
      </c>
      <c r="V37" s="119">
        <f>IFERROR(O37/R37-1,"n/a")</f>
        <v>11.547619047619047</v>
      </c>
      <c r="W37" s="120">
        <f>IFERROR(O37/S37-1,"n/a")</f>
        <v>3.9447731755424043E-2</v>
      </c>
      <c r="X37" s="89">
        <v>1486</v>
      </c>
      <c r="Y37" s="89">
        <v>1052</v>
      </c>
      <c r="Z37" s="70">
        <v>551</v>
      </c>
      <c r="AA37" s="78">
        <v>1584</v>
      </c>
      <c r="AC37" s="122"/>
    </row>
    <row r="38" spans="1:29" s="123" customFormat="1" ht="11.25">
      <c r="A38" s="122"/>
      <c r="B38" s="122"/>
      <c r="C38" s="33"/>
      <c r="D38" s="26" t="s">
        <v>11</v>
      </c>
      <c r="E38" s="32"/>
      <c r="F38" s="74">
        <f t="shared" si="5"/>
        <v>375428</v>
      </c>
      <c r="G38" s="74">
        <f t="shared" si="5"/>
        <v>278520</v>
      </c>
      <c r="H38" s="74">
        <f t="shared" si="5"/>
        <v>66591</v>
      </c>
      <c r="I38" s="74">
        <f t="shared" si="5"/>
        <v>0</v>
      </c>
      <c r="J38" s="74">
        <f t="shared" si="5"/>
        <v>325246</v>
      </c>
      <c r="K38" s="64">
        <f>IFERROR(F38/G38-1,"n/a")</f>
        <v>0.34793910670687911</v>
      </c>
      <c r="L38" s="64">
        <f>IFERROR(F38/H38-1,"n/a")</f>
        <v>4.6378189244792836</v>
      </c>
      <c r="M38" s="64" t="str">
        <f>IFERROR(F38/I38-1,"n/a")</f>
        <v>n/a</v>
      </c>
      <c r="N38" s="60">
        <f>IFERROR(F38/J38-1,"n/a")</f>
        <v>0.15428936866248932</v>
      </c>
      <c r="O38" s="74">
        <f>'July-23'!O38+'Aug-23'!F38</f>
        <v>1934710</v>
      </c>
      <c r="P38" s="74">
        <f>'July-23'!P38+'Aug-23'!G38</f>
        <v>1355073</v>
      </c>
      <c r="Q38" s="74">
        <f>'July-23'!Q38+'Aug-23'!H38</f>
        <v>97505</v>
      </c>
      <c r="R38" s="74">
        <f>'July-23'!R38+'Aug-23'!I38</f>
        <v>0</v>
      </c>
      <c r="S38" s="74">
        <f>'July-23'!S38+'Aug-23'!J38</f>
        <v>1657861</v>
      </c>
      <c r="T38" s="119">
        <f>IFERROR(O38/P38-1,"n/a")</f>
        <v>0.42775333875001564</v>
      </c>
      <c r="U38" s="119">
        <f>IFERROR(O38/Q38-1,"n/a")</f>
        <v>18.842161940413312</v>
      </c>
      <c r="V38" s="119" t="str">
        <f>IFERROR(O38/R38-1,"n/a")</f>
        <v>n/a</v>
      </c>
      <c r="W38" s="120">
        <f>IFERROR(O38/S38-1,"n/a")</f>
        <v>0.16699168386251917</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71</v>
      </c>
      <c r="G40" s="74">
        <f t="shared" si="6"/>
        <v>63</v>
      </c>
      <c r="H40" s="74">
        <f t="shared" si="6"/>
        <v>29</v>
      </c>
      <c r="I40" s="74">
        <f t="shared" si="6"/>
        <v>2</v>
      </c>
      <c r="J40" s="74">
        <f t="shared" si="6"/>
        <v>58</v>
      </c>
      <c r="K40" s="64">
        <f>IFERROR(F40/G40-1,"n/a")</f>
        <v>0.12698412698412698</v>
      </c>
      <c r="L40" s="64">
        <f>IFERROR(F40/H40-1,"n/a")</f>
        <v>1.4482758620689653</v>
      </c>
      <c r="M40" s="64">
        <f>IFERROR(F40/I40-1,"n/a")</f>
        <v>34.5</v>
      </c>
      <c r="N40" s="60">
        <f>IFERROR(F40/J40-1,"n/a")</f>
        <v>0.22413793103448265</v>
      </c>
      <c r="O40" s="74">
        <f>'July-23'!O40+'Aug-23'!F40</f>
        <v>330</v>
      </c>
      <c r="P40" s="74">
        <f>'July-23'!P40+'Aug-23'!G40</f>
        <v>340</v>
      </c>
      <c r="Q40" s="74">
        <f>'July-23'!Q40+'Aug-23'!H40</f>
        <v>90</v>
      </c>
      <c r="R40" s="74">
        <f>'July-23'!R40+'Aug-23'!I40</f>
        <v>2</v>
      </c>
      <c r="S40" s="74">
        <f>'July-23'!S40+'Aug-23'!J40</f>
        <v>310</v>
      </c>
      <c r="T40" s="119">
        <f>IFERROR(O40/P40-1,"n/a")</f>
        <v>-2.9411764705882359E-2</v>
      </c>
      <c r="U40" s="119">
        <f>IFERROR(O40/Q40-1,"n/a")</f>
        <v>2.6666666666666665</v>
      </c>
      <c r="V40" s="119">
        <f>IFERROR(O40/R40-1,"n/a")</f>
        <v>164</v>
      </c>
      <c r="W40" s="120">
        <f>IFERROR(O40/S40-1,"n/a")</f>
        <v>6.4516129032258007E-2</v>
      </c>
      <c r="X40" s="89">
        <v>563</v>
      </c>
      <c r="Y40" s="89">
        <v>226</v>
      </c>
      <c r="Z40" s="70">
        <v>66</v>
      </c>
      <c r="AA40" s="78">
        <v>573</v>
      </c>
      <c r="AC40" s="122"/>
    </row>
    <row r="41" spans="1:29" s="123" customFormat="1" ht="11.25">
      <c r="A41" s="122"/>
      <c r="B41" s="122"/>
      <c r="C41" s="33"/>
      <c r="D41" s="26" t="s">
        <v>11</v>
      </c>
      <c r="E41" s="32"/>
      <c r="F41" s="74">
        <f t="shared" si="6"/>
        <v>262517</v>
      </c>
      <c r="G41" s="74">
        <f t="shared" si="6"/>
        <v>183659</v>
      </c>
      <c r="H41" s="74">
        <f t="shared" si="6"/>
        <v>48391</v>
      </c>
      <c r="I41" s="74">
        <f t="shared" si="6"/>
        <v>2541</v>
      </c>
      <c r="J41" s="74">
        <f t="shared" si="6"/>
        <v>180130</v>
      </c>
      <c r="K41" s="64">
        <f>IFERROR(F41/G41-1,"n/a")</f>
        <v>0.42937182495821058</v>
      </c>
      <c r="L41" s="64">
        <f>IFERROR(F41/H41-1,"n/a")</f>
        <v>4.4249137236262941</v>
      </c>
      <c r="M41" s="64">
        <f>IFERROR(F41/I41-1,"n/a")</f>
        <v>102.3124754033845</v>
      </c>
      <c r="N41" s="60">
        <f>IFERROR(F41/J41-1,"n/a")</f>
        <v>0.45737522900127692</v>
      </c>
      <c r="O41" s="74">
        <f>'July-23'!O41+'Aug-23'!F41</f>
        <v>1025469</v>
      </c>
      <c r="P41" s="74">
        <f>'July-23'!P41+'Aug-23'!G41</f>
        <v>581406</v>
      </c>
      <c r="Q41" s="74">
        <f>'July-23'!Q41+'Aug-23'!H41</f>
        <v>140917</v>
      </c>
      <c r="R41" s="74">
        <f>'July-23'!R41+'Aug-23'!I41</f>
        <v>2541</v>
      </c>
      <c r="S41" s="74">
        <f>'July-23'!S41+'Aug-23'!J41</f>
        <v>832380</v>
      </c>
      <c r="T41" s="119">
        <f>IFERROR(O41/P41-1,"n/a")</f>
        <v>0.76377436765358464</v>
      </c>
      <c r="U41" s="119">
        <f>IFERROR(O41/Q41-1,"n/a")</f>
        <v>6.2771134781467106</v>
      </c>
      <c r="V41" s="119">
        <f>IFERROR(O41/R41-1,"n/a")</f>
        <v>402.56906729634005</v>
      </c>
      <c r="W41" s="120">
        <f>IFERROR(O41/S41-1,"n/a")</f>
        <v>0.23197217616953791</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95</v>
      </c>
      <c r="G43" s="74">
        <f t="shared" si="7"/>
        <v>104</v>
      </c>
      <c r="H43" s="74">
        <f t="shared" si="7"/>
        <v>3</v>
      </c>
      <c r="I43" s="74">
        <f t="shared" si="7"/>
        <v>2</v>
      </c>
      <c r="J43" s="74">
        <f t="shared" si="7"/>
        <v>43</v>
      </c>
      <c r="K43" s="64">
        <f>IFERROR(F43/G43-1,"n/a")</f>
        <v>-8.6538461538461564E-2</v>
      </c>
      <c r="L43" s="64">
        <f>IFERROR(F43/H43-1,"n/a")</f>
        <v>30.666666666666668</v>
      </c>
      <c r="M43" s="64">
        <f>IFERROR(F43/I43-1,"n/a")</f>
        <v>46.5</v>
      </c>
      <c r="N43" s="60">
        <f>IFERROR(F43/J43-1,"n/a")</f>
        <v>1.2093023255813953</v>
      </c>
      <c r="O43" s="74">
        <f>'July-23'!O43+'Aug-23'!F43</f>
        <v>421</v>
      </c>
      <c r="P43" s="74">
        <f>'July-23'!P43+'Aug-23'!G43</f>
        <v>409</v>
      </c>
      <c r="Q43" s="74">
        <f>'July-23'!Q43+'Aug-23'!H43</f>
        <v>9</v>
      </c>
      <c r="R43" s="74">
        <f>'July-23'!R43+'Aug-23'!I43</f>
        <v>4</v>
      </c>
      <c r="S43" s="74">
        <f>'July-23'!S43+'Aug-23'!J43</f>
        <v>193</v>
      </c>
      <c r="T43" s="119">
        <f>IFERROR(O43/P43-1,"n/a")</f>
        <v>2.9339853300733409E-2</v>
      </c>
      <c r="U43" s="119">
        <f>IFERROR(O43/Q43-1,"n/a")</f>
        <v>45.777777777777779</v>
      </c>
      <c r="V43" s="119">
        <f>IFERROR(O43/R43-1,"n/a")</f>
        <v>104.25</v>
      </c>
      <c r="W43" s="120">
        <f>IFERROR(O43/S43-1,"n/a")</f>
        <v>1.1813471502590676</v>
      </c>
      <c r="X43" s="89">
        <v>669</v>
      </c>
      <c r="Y43" s="89">
        <v>59</v>
      </c>
      <c r="Z43" s="70">
        <v>9</v>
      </c>
      <c r="AA43" s="78">
        <v>287</v>
      </c>
      <c r="AC43" s="122"/>
    </row>
    <row r="44" spans="1:29" s="123" customFormat="1" ht="11.25">
      <c r="A44" s="122"/>
      <c r="B44" s="122"/>
      <c r="C44" s="33"/>
      <c r="D44" s="26" t="s">
        <v>11</v>
      </c>
      <c r="E44" s="32"/>
      <c r="F44" s="74">
        <f t="shared" si="7"/>
        <v>234330</v>
      </c>
      <c r="G44" s="74">
        <f t="shared" si="7"/>
        <v>185619</v>
      </c>
      <c r="H44" s="74">
        <f t="shared" si="7"/>
        <v>850</v>
      </c>
      <c r="I44" s="74">
        <f t="shared" si="7"/>
        <v>0</v>
      </c>
      <c r="J44" s="74">
        <f t="shared" si="7"/>
        <v>126823</v>
      </c>
      <c r="K44" s="64">
        <f>IFERROR(F44/G44-1,"n/a")</f>
        <v>0.26242464402889798</v>
      </c>
      <c r="L44" s="64">
        <f>IFERROR(F44/H44-1,"n/a")</f>
        <v>274.68235294117648</v>
      </c>
      <c r="M44" s="64" t="str">
        <f>IFERROR(F44/I44-1,"n/a")</f>
        <v>n/a</v>
      </c>
      <c r="N44" s="60">
        <f>IFERROR(F44/J44-1,"n/a")</f>
        <v>0.847693241762141</v>
      </c>
      <c r="O44" s="74">
        <f>'July-23'!O44+'Aug-23'!F44</f>
        <v>811145</v>
      </c>
      <c r="P44" s="74">
        <f>'July-23'!P44+'Aug-23'!G44</f>
        <v>563558</v>
      </c>
      <c r="Q44" s="74">
        <f>'July-23'!Q44+'Aug-23'!H44</f>
        <v>1318</v>
      </c>
      <c r="R44" s="74">
        <f>'July-23'!R44+'Aug-23'!I44</f>
        <v>8294</v>
      </c>
      <c r="S44" s="74">
        <f>'July-23'!S44+'Aug-23'!J44</f>
        <v>404725</v>
      </c>
      <c r="T44" s="119">
        <f>IFERROR(O44/P44-1,"n/a")</f>
        <v>0.43932833887550182</v>
      </c>
      <c r="U44" s="119">
        <f>IFERROR(O44/Q44-1,"n/a")</f>
        <v>614.43626707132023</v>
      </c>
      <c r="V44" s="119">
        <f>IFERROR(O44/R44-1,"n/a")</f>
        <v>96.799011333494093</v>
      </c>
      <c r="W44" s="120">
        <f>IFERROR(O44/S44-1,"n/a")</f>
        <v>1.0041880289085183</v>
      </c>
      <c r="X44" s="82">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80</v>
      </c>
      <c r="G46" s="74">
        <f t="shared" si="8"/>
        <v>60</v>
      </c>
      <c r="H46" s="74">
        <f t="shared" si="8"/>
        <v>24</v>
      </c>
      <c r="I46" s="74">
        <f t="shared" si="8"/>
        <v>0</v>
      </c>
      <c r="J46" s="74">
        <f t="shared" si="8"/>
        <v>69</v>
      </c>
      <c r="K46" s="64">
        <f>IFERROR(F46/G46-1,"n/a")</f>
        <v>0.33333333333333326</v>
      </c>
      <c r="L46" s="64">
        <f>IFERROR(F46/H46-1,"n/a")</f>
        <v>2.3333333333333335</v>
      </c>
      <c r="M46" s="64" t="str">
        <f>IFERROR(F46/I46-1,"n/a")</f>
        <v>n/a</v>
      </c>
      <c r="N46" s="60">
        <f>IFERROR(F46/J46-1,"n/a")</f>
        <v>0.15942028985507251</v>
      </c>
      <c r="O46" s="74">
        <f>'July-23'!O46+'Aug-23'!F46</f>
        <v>570</v>
      </c>
      <c r="P46" s="74">
        <f>'July-23'!P46+'Aug-23'!G46</f>
        <v>407</v>
      </c>
      <c r="Q46" s="74">
        <f>'July-23'!Q46+'Aug-23'!H46</f>
        <v>38</v>
      </c>
      <c r="R46" s="74">
        <f>'July-23'!R46+'Aug-23'!I46</f>
        <v>0</v>
      </c>
      <c r="S46" s="74">
        <f>'July-23'!S46+'Aug-23'!J46</f>
        <v>410</v>
      </c>
      <c r="T46" s="119">
        <f>IFERROR(O46/P46-1,"n/a")</f>
        <v>0.40049140049140042</v>
      </c>
      <c r="U46" s="119">
        <f>IFERROR(O46/Q46-1,"n/a")</f>
        <v>14</v>
      </c>
      <c r="V46" s="119" t="str">
        <f>IFERROR(O46/R46-1,"n/a")</f>
        <v>n/a</v>
      </c>
      <c r="W46" s="120">
        <f>IFERROR(O46/S46-1,"n/a")</f>
        <v>0.39024390243902429</v>
      </c>
      <c r="X46" s="89">
        <v>1129</v>
      </c>
      <c r="Y46" s="89">
        <v>336</v>
      </c>
      <c r="Z46" s="84">
        <v>43</v>
      </c>
      <c r="AA46" s="78">
        <v>781</v>
      </c>
      <c r="AC46" s="122"/>
    </row>
    <row r="47" spans="1:29" s="123" customFormat="1" ht="11.25">
      <c r="A47" s="122"/>
      <c r="B47" s="122"/>
      <c r="C47" s="33"/>
      <c r="D47" s="26" t="s">
        <v>11</v>
      </c>
      <c r="E47" s="32"/>
      <c r="F47" s="74">
        <f t="shared" si="8"/>
        <v>371804</v>
      </c>
      <c r="G47" s="74">
        <f t="shared" si="8"/>
        <v>239102</v>
      </c>
      <c r="H47" s="74">
        <f t="shared" si="8"/>
        <v>49688</v>
      </c>
      <c r="I47" s="74">
        <f t="shared" si="8"/>
        <v>0</v>
      </c>
      <c r="J47" s="74">
        <f t="shared" si="8"/>
        <v>291759</v>
      </c>
      <c r="K47" s="64">
        <f>IFERROR(F47/G47-1,"n/a")</f>
        <v>0.5550016311030439</v>
      </c>
      <c r="L47" s="64">
        <f>IFERROR(F47/H47-1,"n/a")</f>
        <v>6.4827725004025121</v>
      </c>
      <c r="M47" s="64" t="str">
        <f>IFERROR(F47/I47-1,"n/a")</f>
        <v>n/a</v>
      </c>
      <c r="N47" s="60">
        <f>IFERROR(F47/J47-1,"n/a")</f>
        <v>0.27435314763212104</v>
      </c>
      <c r="O47" s="74">
        <f>'July-23'!O47+'Aug-23'!F47</f>
        <v>1825173</v>
      </c>
      <c r="P47" s="74">
        <f>'July-23'!P47+'Aug-23'!G47</f>
        <v>994286</v>
      </c>
      <c r="Q47" s="74">
        <f>'July-23'!Q47+'Aug-23'!H47</f>
        <v>78164</v>
      </c>
      <c r="R47" s="74">
        <f>'July-23'!R47+'Aug-23'!I47</f>
        <v>0</v>
      </c>
      <c r="S47" s="74">
        <f>'July-23'!S47+'Aug-23'!J47</f>
        <v>1341508</v>
      </c>
      <c r="T47" s="119">
        <f>IFERROR(O47/P47-1,"n/a")</f>
        <v>0.83566197251092733</v>
      </c>
      <c r="U47" s="119">
        <f>IFERROR(O47/Q47-1,"n/a")</f>
        <v>22.35055780154547</v>
      </c>
      <c r="V47" s="119" t="str">
        <f>IFERROR(O47/R47-1,"n/a")</f>
        <v>n/a</v>
      </c>
      <c r="W47" s="120">
        <f>IFERROR(O47/S47-1,"n/a")</f>
        <v>0.36053828974557001</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4</v>
      </c>
      <c r="G49" s="74">
        <f t="shared" si="9"/>
        <v>2</v>
      </c>
      <c r="H49" s="74">
        <f t="shared" si="9"/>
        <v>0</v>
      </c>
      <c r="I49" s="74">
        <f t="shared" si="9"/>
        <v>0</v>
      </c>
      <c r="J49" s="74">
        <f t="shared" si="9"/>
        <v>1</v>
      </c>
      <c r="K49" s="64">
        <f>IFERROR(F49/G49-1,"n/a")</f>
        <v>1</v>
      </c>
      <c r="L49" s="64" t="str">
        <f>IFERROR(F49/H49-1,"n/a")</f>
        <v>n/a</v>
      </c>
      <c r="M49" s="64" t="str">
        <f>IFERROR(F49/I49-1,"n/a")</f>
        <v>n/a</v>
      </c>
      <c r="N49" s="60">
        <f>IFERROR(F49/J49-1,"n/a")</f>
        <v>3</v>
      </c>
      <c r="O49" s="74">
        <f>'July-23'!O49+'Aug-23'!F49</f>
        <v>15</v>
      </c>
      <c r="P49" s="74">
        <f>'July-23'!P49+'Aug-23'!G49</f>
        <v>7</v>
      </c>
      <c r="Q49" s="74">
        <f>'July-23'!Q49+'Aug-23'!H49</f>
        <v>0</v>
      </c>
      <c r="R49" s="74">
        <f>'July-23'!R49+'Aug-23'!I49</f>
        <v>0</v>
      </c>
      <c r="S49" s="74">
        <f>'July-23'!S49+'Aug-23'!J49</f>
        <v>12</v>
      </c>
      <c r="T49" s="119">
        <f>IFERROR(O49/P49-1,"n/a")</f>
        <v>1.1428571428571428</v>
      </c>
      <c r="U49" s="119" t="str">
        <f>IFERROR(O49/Q49-1,"n/a")</f>
        <v>n/a</v>
      </c>
      <c r="V49" s="119" t="str">
        <f>IFERROR(O49/R49-1,"n/a")</f>
        <v>n/a</v>
      </c>
      <c r="W49" s="120">
        <f>IFERROR(O49/S49-1,"n/a")</f>
        <v>0.25</v>
      </c>
      <c r="X49" s="89">
        <v>9</v>
      </c>
      <c r="Y49" s="68">
        <v>0</v>
      </c>
      <c r="Z49" s="68">
        <v>0</v>
      </c>
      <c r="AA49" s="78">
        <v>16</v>
      </c>
      <c r="AC49" s="122"/>
    </row>
    <row r="50" spans="3:29" s="123" customFormat="1" ht="11.25">
      <c r="C50" s="33"/>
      <c r="D50" s="26" t="s">
        <v>11</v>
      </c>
      <c r="E50" s="32"/>
      <c r="F50" s="74">
        <f t="shared" si="9"/>
        <v>6619</v>
      </c>
      <c r="G50" s="74">
        <f t="shared" si="9"/>
        <v>2336</v>
      </c>
      <c r="H50" s="74">
        <f t="shared" si="9"/>
        <v>0</v>
      </c>
      <c r="I50" s="74">
        <f t="shared" si="9"/>
        <v>0</v>
      </c>
      <c r="J50" s="74">
        <f t="shared" si="9"/>
        <v>1298</v>
      </c>
      <c r="K50" s="64">
        <f>IFERROR(F50/G50-1,"n/a")</f>
        <v>1.8334760273972601</v>
      </c>
      <c r="L50" s="64" t="str">
        <f>IFERROR(F50/H50-1,"n/a")</f>
        <v>n/a</v>
      </c>
      <c r="M50" s="64" t="str">
        <f>IFERROR(F50/I50-1,"n/a")</f>
        <v>n/a</v>
      </c>
      <c r="N50" s="60">
        <f>IFERROR(F50/J50-1,"n/a")</f>
        <v>4.0993836671802777</v>
      </c>
      <c r="O50" s="74">
        <f>'July-23'!O50+'Aug-23'!F50</f>
        <v>26394</v>
      </c>
      <c r="P50" s="74">
        <f>'July-23'!P50+'Aug-23'!G50</f>
        <v>11013</v>
      </c>
      <c r="Q50" s="74">
        <f>'July-23'!Q50+'Aug-23'!H50</f>
        <v>0</v>
      </c>
      <c r="R50" s="74">
        <f>'July-23'!R50+'Aug-23'!I50</f>
        <v>0</v>
      </c>
      <c r="S50" s="74">
        <f>'July-23'!S50+'Aug-23'!J50</f>
        <v>15048</v>
      </c>
      <c r="T50" s="119">
        <f>IFERROR(O50/P50-1,"n/a")</f>
        <v>1.3966221737946065</v>
      </c>
      <c r="U50" s="119" t="str">
        <f>IFERROR(O50/Q50-1,"n/a")</f>
        <v>n/a</v>
      </c>
      <c r="V50" s="119" t="str">
        <f>IFERROR(O50/R50-1,"n/a")</f>
        <v>n/a</v>
      </c>
      <c r="W50" s="120">
        <f>IFERROR(O50/S50-1,"n/a")</f>
        <v>0.75398724082934598</v>
      </c>
      <c r="X50" s="82">
        <v>15637</v>
      </c>
      <c r="Y50" s="68">
        <v>0</v>
      </c>
      <c r="Z50" s="68">
        <v>0</v>
      </c>
      <c r="AA50" s="78">
        <v>20248</v>
      </c>
      <c r="AC50" s="122"/>
    </row>
    <row r="51" spans="3:29" s="123" customFormat="1" ht="12" thickBot="1">
      <c r="C51" s="35" t="s">
        <v>12</v>
      </c>
      <c r="D51" s="36"/>
      <c r="E51" s="37"/>
      <c r="F51" s="75">
        <f>F37+F40+F43+F46+F49</f>
        <v>349</v>
      </c>
      <c r="G51" s="75">
        <f t="shared" ref="G51:J52" si="10">G37+G40+G43+G46+G49</f>
        <v>310</v>
      </c>
      <c r="H51" s="75">
        <f t="shared" si="10"/>
        <v>107</v>
      </c>
      <c r="I51" s="75">
        <f t="shared" si="10"/>
        <v>4</v>
      </c>
      <c r="J51" s="75">
        <f t="shared" si="10"/>
        <v>268</v>
      </c>
      <c r="K51" s="66">
        <f>IFERROR(F51/G51-1,"n/a")</f>
        <v>0.12580645161290316</v>
      </c>
      <c r="L51" s="66">
        <f>IFERROR(F51/H51-1,"n/a")</f>
        <v>2.2616822429906542</v>
      </c>
      <c r="M51" s="66">
        <f>IFERROR(F51/I51-1,"n/a")</f>
        <v>86.25</v>
      </c>
      <c r="N51" s="62">
        <f>IFERROR(F51/J51-1,"n/a")</f>
        <v>0.30223880597014929</v>
      </c>
      <c r="O51" s="75">
        <f t="shared" ref="O51:S52" si="11">O37+O40+O43+O46+O49</f>
        <v>1863</v>
      </c>
      <c r="P51" s="75">
        <f t="shared" si="11"/>
        <v>1624</v>
      </c>
      <c r="Q51" s="75">
        <f t="shared" si="11"/>
        <v>216</v>
      </c>
      <c r="R51" s="75">
        <f t="shared" si="11"/>
        <v>48</v>
      </c>
      <c r="S51" s="75">
        <f t="shared" si="11"/>
        <v>1432</v>
      </c>
      <c r="T51" s="66">
        <f>IFERROR(O51/P51-1,"n/a")</f>
        <v>0.14716748768472909</v>
      </c>
      <c r="U51" s="66">
        <f>IFERROR(O51/Q51-1,"n/a")</f>
        <v>7.625</v>
      </c>
      <c r="V51" s="66">
        <f>IFERROR(O51/R51-1,"n/a")</f>
        <v>37.8125</v>
      </c>
      <c r="W51" s="62">
        <f>IFERROR(O51/S51-1,"n/a")</f>
        <v>0.30097765363128492</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1250698</v>
      </c>
      <c r="G52" s="76">
        <f t="shared" si="10"/>
        <v>889236</v>
      </c>
      <c r="H52" s="76">
        <f t="shared" si="10"/>
        <v>165520</v>
      </c>
      <c r="I52" s="76">
        <f t="shared" si="10"/>
        <v>2541</v>
      </c>
      <c r="J52" s="76">
        <f t="shared" si="10"/>
        <v>925256</v>
      </c>
      <c r="K52" s="67">
        <f>IFERROR(F52/G52-1,"n/a")</f>
        <v>0.40648601721027933</v>
      </c>
      <c r="L52" s="67">
        <f>IFERROR(F52/H52-1,"n/a")</f>
        <v>6.5561744804253266</v>
      </c>
      <c r="M52" s="67">
        <f>IFERROR(F52/I52-1,"n/a")</f>
        <v>491.20700511609601</v>
      </c>
      <c r="N52" s="63">
        <f>IFERROR(F52/J52-1,"n/a")</f>
        <v>0.35173184502451216</v>
      </c>
      <c r="O52" s="76">
        <f t="shared" si="11"/>
        <v>5622891</v>
      </c>
      <c r="P52" s="76">
        <f t="shared" si="11"/>
        <v>3505336</v>
      </c>
      <c r="Q52" s="76">
        <f t="shared" si="11"/>
        <v>317904</v>
      </c>
      <c r="R52" s="76">
        <f t="shared" si="11"/>
        <v>10835</v>
      </c>
      <c r="S52" s="76">
        <f t="shared" si="11"/>
        <v>4251522</v>
      </c>
      <c r="T52" s="67">
        <f>IFERROR(O52/P52-1,"n/a")</f>
        <v>0.60409472872215386</v>
      </c>
      <c r="U52" s="117">
        <f>IFERROR(O52/Q52-1,"n/a")</f>
        <v>16.687386758266648</v>
      </c>
      <c r="V52" s="117">
        <f>IFERROR(O52/R52-1,"n/a")</f>
        <v>517.9562528841717</v>
      </c>
      <c r="W52" s="118">
        <f>IFERROR(O52/S52-1,"n/a")</f>
        <v>0.32255954455839575</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39B9B-3132-432B-B3EB-3E34B53AD0F2}">
  <dimension ref="A1:AC66"/>
  <sheetViews>
    <sheetView showGridLines="0" topLeftCell="A9" zoomScaleNormal="100" workbookViewId="0">
      <selection activeCell="G29" sqref="G29"/>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45153</v>
      </c>
      <c r="AB3" s="25"/>
      <c r="AC3" s="9"/>
    </row>
    <row r="4" spans="1:29" ht="15.75">
      <c r="A4" s="9"/>
      <c r="B4" s="11" t="s">
        <v>7</v>
      </c>
      <c r="C4" s="26"/>
      <c r="D4" s="24"/>
      <c r="E4" s="58" t="s">
        <v>124</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70" t="s">
        <v>55</v>
      </c>
      <c r="G9" s="170"/>
      <c r="H9" s="170"/>
      <c r="I9" s="170"/>
      <c r="J9" s="170"/>
      <c r="K9" s="170"/>
      <c r="L9" s="170"/>
      <c r="M9" s="170"/>
      <c r="N9" s="171"/>
      <c r="O9" s="169" t="s">
        <v>125</v>
      </c>
      <c r="P9" s="170"/>
      <c r="Q9" s="170"/>
      <c r="R9" s="170"/>
      <c r="S9" s="170"/>
      <c r="T9" s="170"/>
      <c r="U9" s="170"/>
      <c r="V9" s="170"/>
      <c r="W9" s="171"/>
      <c r="X9" s="169" t="s">
        <v>57</v>
      </c>
      <c r="Y9" s="170"/>
      <c r="Z9" s="170"/>
      <c r="AA9" s="172"/>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3">
        <v>105</v>
      </c>
      <c r="G13" s="71">
        <v>84</v>
      </c>
      <c r="H13" s="71">
        <v>28</v>
      </c>
      <c r="I13" s="71">
        <v>0</v>
      </c>
      <c r="J13" s="71">
        <v>101</v>
      </c>
      <c r="K13" s="64">
        <f>IFERROR(F13/G13-1,"n/a")</f>
        <v>0.25</v>
      </c>
      <c r="L13" s="64">
        <f t="shared" ref="L13:L28" si="0">IFERROR(F13/H13-1,"n/a")</f>
        <v>2.75</v>
      </c>
      <c r="M13" s="64" t="str">
        <f>IFERROR(F13/I13-1,"n/a")</f>
        <v>n/a</v>
      </c>
      <c r="N13" s="60">
        <f>IFERROR(F13/J13-1,"n/a")</f>
        <v>3.9603960396039639E-2</v>
      </c>
      <c r="O13" s="68">
        <f>'June-23'!O13+'July-23'!F13</f>
        <v>958</v>
      </c>
      <c r="P13" s="68">
        <f>'June-23'!$P$13+G13</f>
        <v>910</v>
      </c>
      <c r="Q13" s="68">
        <f>'June-23'!Q13+'July-23'!H13</f>
        <v>28</v>
      </c>
      <c r="R13" s="68">
        <f>'June-23'!R13+'July-23'!I13</f>
        <v>551</v>
      </c>
      <c r="S13" s="68">
        <f>'June-23'!S13+'July-23'!J13</f>
        <v>926</v>
      </c>
      <c r="T13" s="64">
        <f>IFERROR(O13/P13-1,"n/a")</f>
        <v>5.2747252747252782E-2</v>
      </c>
      <c r="U13" s="64">
        <f>IFERROR(O13/Q13-1,"n/a")</f>
        <v>33.214285714285715</v>
      </c>
      <c r="V13" s="64">
        <f>IFERROR(O13/R13-1,"n/a")</f>
        <v>0.73865698729582574</v>
      </c>
      <c r="W13" s="60">
        <f>IFERROR(O13/S13-1,"n/a")</f>
        <v>3.4557235421166288E-2</v>
      </c>
      <c r="X13" s="68">
        <v>1486</v>
      </c>
      <c r="Y13" s="68">
        <v>522</v>
      </c>
      <c r="Z13" s="70">
        <v>551</v>
      </c>
      <c r="AA13" s="78">
        <v>1591</v>
      </c>
      <c r="AB13" s="122"/>
      <c r="AC13" s="122"/>
    </row>
    <row r="14" spans="1:29" s="123" customFormat="1" ht="12.75">
      <c r="A14" s="122"/>
      <c r="B14" s="127"/>
      <c r="C14" s="33"/>
      <c r="D14" s="26" t="s">
        <v>11</v>
      </c>
      <c r="E14" s="32"/>
      <c r="F14" s="73">
        <v>396404</v>
      </c>
      <c r="G14" s="71">
        <v>292122</v>
      </c>
      <c r="H14" s="71">
        <v>30914</v>
      </c>
      <c r="I14" s="71">
        <v>0</v>
      </c>
      <c r="J14" s="71">
        <v>332464</v>
      </c>
      <c r="K14" s="64">
        <f>IFERROR(F14/G14-1,"n/a")</f>
        <v>0.35698098739567707</v>
      </c>
      <c r="L14" s="64">
        <f t="shared" si="0"/>
        <v>11.822798731966099</v>
      </c>
      <c r="M14" s="64" t="str">
        <f>IFERROR(F14/I14-1,"n/a")</f>
        <v>n/a</v>
      </c>
      <c r="N14" s="60">
        <f>IFERROR(F14/J14-1,"n/a")</f>
        <v>0.19232157466673083</v>
      </c>
      <c r="O14" s="68">
        <f>'June-23'!$O$14+F14</f>
        <v>3097466</v>
      </c>
      <c r="P14" s="68">
        <f>'June-23'!P14+'July-23'!G14</f>
        <v>1836211</v>
      </c>
      <c r="Q14" s="68">
        <f>'June-23'!Q14+'July-23'!H14</f>
        <v>30914</v>
      </c>
      <c r="R14" s="68">
        <f>'June-23'!R14+'July-23'!I14</f>
        <v>1092884</v>
      </c>
      <c r="S14" s="68">
        <f>'June-23'!S14+'July-23'!J14</f>
        <v>2783719</v>
      </c>
      <c r="T14" s="64">
        <f>IFERROR(O14/P14-1,"n/a")</f>
        <v>0.68687912227952008</v>
      </c>
      <c r="U14" s="64">
        <f>IFERROR(O14/Q14-1,"n/a")</f>
        <v>99.196221776541378</v>
      </c>
      <c r="V14" s="64">
        <f>IFERROR(O14/R14-1,"n/a")</f>
        <v>1.8342129631324093</v>
      </c>
      <c r="W14" s="60">
        <f>IFERROR(O14/S14-1,"n/a")</f>
        <v>0.11270785592942389</v>
      </c>
      <c r="X14" s="68">
        <v>3592413</v>
      </c>
      <c r="Y14" s="68">
        <v>768312</v>
      </c>
      <c r="Z14" s="70">
        <v>1092884</v>
      </c>
      <c r="AA14" s="78">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4"/>
      <c r="AA15" s="79"/>
      <c r="AB15" s="122"/>
      <c r="AC15" s="122"/>
    </row>
    <row r="16" spans="1:29" s="123" customFormat="1" ht="12.75">
      <c r="A16" s="122"/>
      <c r="B16" s="127"/>
      <c r="C16" s="33"/>
      <c r="D16" s="26" t="s">
        <v>5</v>
      </c>
      <c r="E16" s="32"/>
      <c r="F16" s="74">
        <v>70</v>
      </c>
      <c r="G16" s="71">
        <v>61</v>
      </c>
      <c r="H16" s="71">
        <v>22</v>
      </c>
      <c r="I16" s="71">
        <v>0</v>
      </c>
      <c r="J16" s="71">
        <v>59</v>
      </c>
      <c r="K16" s="64">
        <f>IFERROR(F16/G16-1,"n/a")</f>
        <v>0.14754098360655732</v>
      </c>
      <c r="L16" s="64">
        <f t="shared" si="0"/>
        <v>2.1818181818181817</v>
      </c>
      <c r="M16" s="64" t="str">
        <f>IFERROR(F16/I16-1,"n/a")</f>
        <v>n/a</v>
      </c>
      <c r="N16" s="60">
        <f>IFERROR(F16/J16-1,"n/a")</f>
        <v>0.18644067796610164</v>
      </c>
      <c r="O16" s="68">
        <f>'June-23'!$O$16+F16</f>
        <v>286</v>
      </c>
      <c r="P16" s="68">
        <f>'June-23'!P16+'July-23'!G16</f>
        <v>313</v>
      </c>
      <c r="Q16" s="68">
        <f>'June-23'!Q16+'July-23'!H16</f>
        <v>73</v>
      </c>
      <c r="R16" s="68">
        <f>'June-23'!R16+'July-23'!I16</f>
        <v>10</v>
      </c>
      <c r="S16" s="68">
        <f>'June-23'!S16+'July-23'!J16</f>
        <v>275</v>
      </c>
      <c r="T16" s="64">
        <f>IFERROR(O16/P16-1,"n/a")</f>
        <v>-8.6261980830670937E-2</v>
      </c>
      <c r="U16" s="64">
        <f>IFERROR(O16/Q16-1,"n/a")</f>
        <v>2.9178082191780823</v>
      </c>
      <c r="V16" s="64">
        <f>IFERROR(O16/R16-1,"n/a")</f>
        <v>27.6</v>
      </c>
      <c r="W16" s="60">
        <f>IFERROR(O16/S16-1,"n/a")</f>
        <v>4.0000000000000036E-2</v>
      </c>
      <c r="X16" s="68">
        <v>572</v>
      </c>
      <c r="Y16" s="68">
        <v>202</v>
      </c>
      <c r="Z16" s="70">
        <v>54</v>
      </c>
      <c r="AA16" s="78">
        <v>586</v>
      </c>
      <c r="AB16" s="122"/>
      <c r="AC16" s="122"/>
    </row>
    <row r="17" spans="1:29" s="123" customFormat="1" ht="12.75">
      <c r="A17" s="122"/>
      <c r="B17" s="127"/>
      <c r="C17" s="33"/>
      <c r="D17" s="26" t="s">
        <v>11</v>
      </c>
      <c r="E17" s="32"/>
      <c r="F17" s="74">
        <v>269629</v>
      </c>
      <c r="G17" s="71">
        <v>133693</v>
      </c>
      <c r="H17" s="71">
        <v>37562</v>
      </c>
      <c r="I17" s="71">
        <v>0</v>
      </c>
      <c r="J17" s="71">
        <v>174121</v>
      </c>
      <c r="K17" s="64">
        <f>IFERROR(F17/G17-1,"n/a")</f>
        <v>1.0167772433859663</v>
      </c>
      <c r="L17" s="64">
        <f t="shared" si="0"/>
        <v>6.1782386454395404</v>
      </c>
      <c r="M17" s="64" t="str">
        <f>IFERROR(F17/I17-1,"n/a")</f>
        <v>n/a</v>
      </c>
      <c r="N17" s="60">
        <f>IFERROR(F17/J17-1,"n/a")</f>
        <v>0.54851511305356615</v>
      </c>
      <c r="O17" s="68">
        <f>'June-23'!O17+'July-23'!F17</f>
        <v>846007</v>
      </c>
      <c r="P17" s="68">
        <f>'June-23'!P17+'July-23'!G17</f>
        <v>434255</v>
      </c>
      <c r="Q17" s="68">
        <f>'June-23'!Q17+'July-23'!H17</f>
        <v>102629</v>
      </c>
      <c r="R17" s="68">
        <f>'June-23'!R17+'July-23'!I17</f>
        <v>41113</v>
      </c>
      <c r="S17" s="68">
        <f>'June-23'!S17+'July-23'!J17</f>
        <v>732624</v>
      </c>
      <c r="T17" s="64">
        <f>IFERROR(O17/P17-1,"n/a")</f>
        <v>0.94818021669295693</v>
      </c>
      <c r="U17" s="64">
        <f>IFERROR(O17/Q17-1,"n/a")</f>
        <v>7.2433522688518845</v>
      </c>
      <c r="V17" s="64">
        <f>IFERROR(O17/R17-1,"n/a")</f>
        <v>19.57760319120473</v>
      </c>
      <c r="W17" s="60">
        <f>IFERROR(O17/S17-1,"n/a")</f>
        <v>0.15476287973093972</v>
      </c>
      <c r="X17" s="68">
        <v>965963</v>
      </c>
      <c r="Y17" s="68">
        <v>301521</v>
      </c>
      <c r="Z17" s="70">
        <v>70675</v>
      </c>
      <c r="AA17" s="78">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4"/>
      <c r="AA18" s="79"/>
      <c r="AB18" s="122"/>
      <c r="AC18" s="122"/>
    </row>
    <row r="19" spans="1:29" s="123" customFormat="1" ht="12.75">
      <c r="A19" s="122"/>
      <c r="B19" s="127"/>
      <c r="C19" s="33"/>
      <c r="D19" s="26" t="s">
        <v>5</v>
      </c>
      <c r="E19" s="32"/>
      <c r="F19" s="73">
        <v>93</v>
      </c>
      <c r="G19" s="71">
        <v>88</v>
      </c>
      <c r="H19" s="71">
        <v>3</v>
      </c>
      <c r="I19" s="71">
        <v>2</v>
      </c>
      <c r="J19" s="71">
        <v>50</v>
      </c>
      <c r="K19" s="64">
        <f>IFERROR(F19/G19-1,"n/a")</f>
        <v>5.6818181818181879E-2</v>
      </c>
      <c r="L19" s="64">
        <f t="shared" si="0"/>
        <v>30</v>
      </c>
      <c r="M19" s="64">
        <f>IFERROR(F19/I19-1,"n/a")</f>
        <v>45.5</v>
      </c>
      <c r="N19" s="60">
        <f>IFERROR(F19/J19-1,"n/a")</f>
        <v>0.8600000000000001</v>
      </c>
      <c r="O19" s="68">
        <f>'June-23'!O19+'July-23'!F19</f>
        <v>349</v>
      </c>
      <c r="P19" s="68">
        <f>'June-23'!P19+'July-23'!G19</f>
        <v>317</v>
      </c>
      <c r="Q19" s="68">
        <f>'June-23'!Q19+'July-23'!H19</f>
        <v>6</v>
      </c>
      <c r="R19" s="68">
        <f>'June-23'!R19+'July-23'!I19</f>
        <v>5</v>
      </c>
      <c r="S19" s="68">
        <f>'June-23'!S19+'July-23'!J19</f>
        <v>156</v>
      </c>
      <c r="T19" s="64">
        <f>IFERROR(O19/P19-1,"n/a")</f>
        <v>0.10094637223974767</v>
      </c>
      <c r="U19" s="64">
        <f>IFERROR(O19/Q19-1,"n/a")</f>
        <v>57.166666666666664</v>
      </c>
      <c r="V19" s="64">
        <f>IFERROR(O19/R19-1,"n/a")</f>
        <v>68.8</v>
      </c>
      <c r="W19" s="60">
        <f>IFERROR(O19/S19-1,"n/a")</f>
        <v>1.2371794871794872</v>
      </c>
      <c r="X19" s="68">
        <v>658</v>
      </c>
      <c r="Y19" s="68">
        <v>47</v>
      </c>
      <c r="Z19" s="70">
        <v>9</v>
      </c>
      <c r="AA19" s="78">
        <v>290</v>
      </c>
      <c r="AB19" s="122"/>
      <c r="AC19" s="122"/>
    </row>
    <row r="20" spans="1:29" s="123" customFormat="1" ht="12.75">
      <c r="A20" s="122"/>
      <c r="B20" s="127"/>
      <c r="C20" s="33"/>
      <c r="D20" s="26" t="s">
        <v>11</v>
      </c>
      <c r="E20" s="32"/>
      <c r="F20" s="73">
        <v>203881</v>
      </c>
      <c r="G20" s="71">
        <v>138433</v>
      </c>
      <c r="H20" s="71">
        <v>468</v>
      </c>
      <c r="I20" s="71">
        <v>6081</v>
      </c>
      <c r="J20" s="71">
        <v>97604</v>
      </c>
      <c r="K20" s="64">
        <f>IFERROR(F20/G20-1,"n/a")</f>
        <v>0.47277744468443217</v>
      </c>
      <c r="L20" s="64">
        <f t="shared" si="0"/>
        <v>434.64316239316241</v>
      </c>
      <c r="M20" s="64">
        <f>IFERROR(F20/I20-1,"n/a")</f>
        <v>32.527544811708601</v>
      </c>
      <c r="N20" s="60">
        <f t="shared" ref="N20:N28" si="1">IFERROR(F20/J20-1,"n/a")</f>
        <v>1.0888590631531496</v>
      </c>
      <c r="O20" s="68">
        <f>'June-23'!O20+'July-23'!F20</f>
        <v>597661</v>
      </c>
      <c r="P20" s="68">
        <f>'June-23'!P20+'July-23'!G20</f>
        <v>381024</v>
      </c>
      <c r="Q20" s="68">
        <f>'June-23'!Q20+'July-23'!H20</f>
        <v>468</v>
      </c>
      <c r="R20" s="68">
        <f>'June-23'!R20+'July-23'!I20</f>
        <v>10047</v>
      </c>
      <c r="S20" s="68">
        <f>'June-23'!S20+'July-23'!J20</f>
        <v>284386</v>
      </c>
      <c r="T20" s="64">
        <f>IFERROR(O20/P20-1,"n/a")</f>
        <v>0.56856523473586962</v>
      </c>
      <c r="U20" s="64">
        <f>IFERROR(O20/Q20-1,"n/a")</f>
        <v>1276.0534188034187</v>
      </c>
      <c r="V20" s="64">
        <f>IFERROR(O20/R20-1,"n/a")</f>
        <v>58.48651338708072</v>
      </c>
      <c r="W20" s="60">
        <f>IFERROR(O20/S20-1,"n/a")</f>
        <v>1.1015837629137861</v>
      </c>
      <c r="X20" s="68">
        <v>887495</v>
      </c>
      <c r="Y20" s="68">
        <v>17541</v>
      </c>
      <c r="Z20" s="70">
        <v>10047</v>
      </c>
      <c r="AA20" s="78">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122"/>
      <c r="AC21" s="122"/>
    </row>
    <row r="22" spans="1:29" s="123" customFormat="1" ht="12.75">
      <c r="A22" s="122"/>
      <c r="B22" s="127"/>
      <c r="C22" s="33"/>
      <c r="D22" s="26" t="s">
        <v>5</v>
      </c>
      <c r="E22" s="34"/>
      <c r="F22" s="74">
        <v>82</v>
      </c>
      <c r="G22" s="71">
        <v>75</v>
      </c>
      <c r="H22" s="71">
        <v>10</v>
      </c>
      <c r="I22" s="71">
        <v>0</v>
      </c>
      <c r="J22" s="71">
        <v>68</v>
      </c>
      <c r="K22" s="64">
        <f>IFERROR(F22/G22-1,"n/a")</f>
        <v>9.3333333333333268E-2</v>
      </c>
      <c r="L22" s="64">
        <f t="shared" si="0"/>
        <v>7.1999999999999993</v>
      </c>
      <c r="M22" s="64" t="str">
        <f>IFERROR(F22/I22-1,"n/a")</f>
        <v>n/a</v>
      </c>
      <c r="N22" s="60">
        <f t="shared" si="1"/>
        <v>0.20588235294117641</v>
      </c>
      <c r="O22" s="68">
        <f>'June-23'!O22+'July-23'!F22</f>
        <v>777</v>
      </c>
      <c r="P22" s="68">
        <f>'June-23'!P22+'July-23'!G22</f>
        <v>400</v>
      </c>
      <c r="Q22" s="68">
        <f>'June-23'!Q22+'July-23'!H22</f>
        <v>14</v>
      </c>
      <c r="R22" s="68">
        <f>'June-23'!R22+'July-23'!I22</f>
        <v>205</v>
      </c>
      <c r="S22" s="68">
        <f>'June-23'!S22+'July-23'!J22</f>
        <v>664</v>
      </c>
      <c r="T22" s="64">
        <f>IFERROR(O22/P22-1,"n/a")</f>
        <v>0.94249999999999989</v>
      </c>
      <c r="U22" s="64">
        <f>IFERROR(O22/Q22-1,"n/a")</f>
        <v>54.5</v>
      </c>
      <c r="V22" s="64">
        <f>IFERROR(O22/R22-1,"n/a")</f>
        <v>2.7902439024390242</v>
      </c>
      <c r="W22" s="60">
        <f>IFERROR(O22/S22-1,"n/a")</f>
        <v>0.17018072289156616</v>
      </c>
      <c r="X22" s="68">
        <v>895</v>
      </c>
      <c r="Y22" s="68">
        <v>283</v>
      </c>
      <c r="Z22" s="70">
        <v>43</v>
      </c>
      <c r="AA22" s="78">
        <v>827</v>
      </c>
      <c r="AB22" s="122"/>
      <c r="AC22" s="122"/>
    </row>
    <row r="23" spans="1:29" s="123" customFormat="1" ht="12.75">
      <c r="A23" s="122"/>
      <c r="B23" s="127"/>
      <c r="C23" s="33"/>
      <c r="D23" s="26" t="s">
        <v>11</v>
      </c>
      <c r="E23" s="32"/>
      <c r="F23" s="73">
        <v>395689</v>
      </c>
      <c r="G23" s="71">
        <v>287462</v>
      </c>
      <c r="H23" s="71">
        <v>23553</v>
      </c>
      <c r="I23" s="71">
        <v>0</v>
      </c>
      <c r="J23" s="71">
        <v>261197</v>
      </c>
      <c r="K23" s="64">
        <f>IFERROR(F23/G23-1,"n/a")</f>
        <v>0.37649150148541377</v>
      </c>
      <c r="L23" s="64">
        <f t="shared" si="0"/>
        <v>15.799940559589011</v>
      </c>
      <c r="M23" s="64" t="str">
        <f>IFERROR(F23/I23-1,"n/a")</f>
        <v>n/a</v>
      </c>
      <c r="N23" s="60">
        <f t="shared" si="1"/>
        <v>0.51490637335038314</v>
      </c>
      <c r="O23" s="68">
        <f>'June-23'!O23+'July-23'!F23</f>
        <v>2289643</v>
      </c>
      <c r="P23" s="68">
        <f>'June-23'!P23+'July-23'!G23</f>
        <v>823638</v>
      </c>
      <c r="Q23" s="68">
        <f>'June-23'!Q23+'July-23'!H23</f>
        <v>28476</v>
      </c>
      <c r="R23" s="68">
        <f>'June-23'!R23+'July-23'!I23</f>
        <v>545974</v>
      </c>
      <c r="S23" s="68">
        <f>'June-23'!S23+'July-23'!J23</f>
        <v>1969564</v>
      </c>
      <c r="T23" s="64">
        <f>IFERROR(O23/P23-1,"n/a")</f>
        <v>1.7799142341659806</v>
      </c>
      <c r="U23" s="64">
        <f>IFERROR(O23/Q23-1,"n/a")</f>
        <v>79.406061244556824</v>
      </c>
      <c r="V23" s="64">
        <f>IFERROR(O23/R23-1,"n/a")</f>
        <v>3.1936850472733136</v>
      </c>
      <c r="W23" s="60">
        <f>IFERROR(O23/S23-1,"n/a")</f>
        <v>0.16251261700559105</v>
      </c>
      <c r="X23" s="68">
        <v>2165161</v>
      </c>
      <c r="Y23" s="68">
        <v>465109</v>
      </c>
      <c r="Z23" s="70">
        <v>140552</v>
      </c>
      <c r="AA23" s="78">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0"/>
      <c r="X24" s="43"/>
      <c r="Y24" s="43"/>
      <c r="Z24" s="44"/>
      <c r="AA24" s="79"/>
      <c r="AB24" s="122"/>
      <c r="AC24" s="122"/>
    </row>
    <row r="25" spans="1:29" s="123" customFormat="1" ht="12.75">
      <c r="B25" s="127"/>
      <c r="C25" s="33"/>
      <c r="D25" s="26" t="s">
        <v>5</v>
      </c>
      <c r="E25" s="32"/>
      <c r="F25" s="71">
        <v>3</v>
      </c>
      <c r="G25" s="71">
        <v>3</v>
      </c>
      <c r="H25" s="71">
        <v>0</v>
      </c>
      <c r="I25" s="71">
        <v>0</v>
      </c>
      <c r="J25" s="71">
        <v>3</v>
      </c>
      <c r="K25" s="64">
        <f>IFERROR(F25/G25-1,"n/a")</f>
        <v>0</v>
      </c>
      <c r="L25" s="64" t="str">
        <f t="shared" si="0"/>
        <v>n/a</v>
      </c>
      <c r="M25" s="64" t="str">
        <f>IFERROR(F25/I25-1,"n/a")</f>
        <v>n/a</v>
      </c>
      <c r="N25" s="60">
        <f t="shared" si="1"/>
        <v>0</v>
      </c>
      <c r="O25" s="68">
        <f>'June-23'!O25+'July-23'!F25</f>
        <v>11</v>
      </c>
      <c r="P25" s="68">
        <f>'June-23'!P25+'July-23'!G25</f>
        <v>5</v>
      </c>
      <c r="Q25" s="68">
        <f>'June-23'!Q25+'July-23'!H25</f>
        <v>0</v>
      </c>
      <c r="R25" s="68">
        <f>'June-23'!R25+'July-23'!I25</f>
        <v>0</v>
      </c>
      <c r="S25" s="68">
        <f>'June-23'!S25+'July-23'!J25</f>
        <v>11</v>
      </c>
      <c r="T25" s="64">
        <f>IFERROR(O25/P25-1,"n/a")</f>
        <v>1.2000000000000002</v>
      </c>
      <c r="U25" s="64" t="str">
        <f>IFERROR(O25/Q25-1,"n/a")</f>
        <v>n/a</v>
      </c>
      <c r="V25" s="64" t="str">
        <f>IFERROR(O25/R25-1,"n/a")</f>
        <v>n/a</v>
      </c>
      <c r="W25" s="60">
        <f>IFERROR(O25/S25-1,"n/a")</f>
        <v>0</v>
      </c>
      <c r="X25" s="68">
        <v>9</v>
      </c>
      <c r="Y25" s="68">
        <v>0</v>
      </c>
      <c r="Z25" s="68">
        <v>0</v>
      </c>
      <c r="AA25" s="78">
        <v>16</v>
      </c>
      <c r="AB25" s="122"/>
      <c r="AC25" s="122"/>
    </row>
    <row r="26" spans="1:29" s="123" customFormat="1" ht="12.75">
      <c r="A26" s="122"/>
      <c r="B26" s="127"/>
      <c r="C26" s="33"/>
      <c r="D26" s="26" t="s">
        <v>11</v>
      </c>
      <c r="E26" s="32"/>
      <c r="F26" s="71">
        <v>6188</v>
      </c>
      <c r="G26" s="71">
        <v>5526</v>
      </c>
      <c r="H26" s="71">
        <v>0</v>
      </c>
      <c r="I26" s="71">
        <v>0</v>
      </c>
      <c r="J26" s="71">
        <v>3523</v>
      </c>
      <c r="K26" s="64">
        <f>IFERROR(F26/G26-1,"n/a")</f>
        <v>0.1197973217517192</v>
      </c>
      <c r="L26" s="64" t="str">
        <f t="shared" si="0"/>
        <v>n/a</v>
      </c>
      <c r="M26" s="64" t="str">
        <f>IFERROR(F26/I26-1,"n/a")</f>
        <v>n/a</v>
      </c>
      <c r="N26" s="60">
        <f t="shared" si="1"/>
        <v>0.75645756457564572</v>
      </c>
      <c r="O26" s="68">
        <f>'June-23'!O26+'July-23'!F26</f>
        <v>19775</v>
      </c>
      <c r="P26" s="68">
        <f>'June-23'!P26+'July-23'!G26</f>
        <v>8677</v>
      </c>
      <c r="Q26" s="68">
        <f>'June-23'!Q26+'July-23'!H26</f>
        <v>0</v>
      </c>
      <c r="R26" s="68">
        <f>'June-23'!R26+'July-23'!I26</f>
        <v>0</v>
      </c>
      <c r="S26" s="68">
        <f>'June-23'!S26+'July-23'!J26</f>
        <v>13750</v>
      </c>
      <c r="T26" s="64">
        <f>IFERROR(O26/P26-1,"n/a")</f>
        <v>1.2790134839230149</v>
      </c>
      <c r="U26" s="64" t="str">
        <f>IFERROR(O26/Q26-1,"n/a")</f>
        <v>n/a</v>
      </c>
      <c r="V26" s="64" t="str">
        <f>IFERROR(O26/R26-1,"n/a")</f>
        <v>n/a</v>
      </c>
      <c r="W26" s="60">
        <f>IFERROR(O26/S26-1,"n/a")</f>
        <v>0.43818181818181823</v>
      </c>
      <c r="X26" s="68">
        <v>15637</v>
      </c>
      <c r="Y26" s="68">
        <v>0</v>
      </c>
      <c r="Z26" s="68">
        <v>0</v>
      </c>
      <c r="AA26" s="78">
        <v>20248</v>
      </c>
      <c r="AB26" s="122"/>
      <c r="AC26" s="122"/>
    </row>
    <row r="27" spans="1:29" s="123" customFormat="1" ht="13.5" thickBot="1">
      <c r="A27" s="122"/>
      <c r="B27" s="127"/>
      <c r="C27" s="35" t="s">
        <v>12</v>
      </c>
      <c r="D27" s="36"/>
      <c r="E27" s="37"/>
      <c r="F27" s="75">
        <f t="shared" ref="F27:J28" si="2">F13+F16+F19+F22+F25</f>
        <v>353</v>
      </c>
      <c r="G27" s="75">
        <f t="shared" si="2"/>
        <v>311</v>
      </c>
      <c r="H27" s="75">
        <f t="shared" si="2"/>
        <v>63</v>
      </c>
      <c r="I27" s="75">
        <f t="shared" si="2"/>
        <v>2</v>
      </c>
      <c r="J27" s="75">
        <f t="shared" si="2"/>
        <v>281</v>
      </c>
      <c r="K27" s="66">
        <f>IFERROR(F27/G27-1,"n/a")</f>
        <v>0.135048231511254</v>
      </c>
      <c r="L27" s="66">
        <f t="shared" si="0"/>
        <v>4.6031746031746028</v>
      </c>
      <c r="M27" s="66">
        <f>IFERROR(F27/I27-1,"n/a")</f>
        <v>175.5</v>
      </c>
      <c r="N27" s="62">
        <f t="shared" si="1"/>
        <v>0.2562277580071175</v>
      </c>
      <c r="O27" s="75">
        <f t="shared" ref="O27:S28" si="3">O13+O16+O19+O22+O25</f>
        <v>2381</v>
      </c>
      <c r="P27" s="75">
        <f t="shared" si="3"/>
        <v>1945</v>
      </c>
      <c r="Q27" s="75">
        <f t="shared" si="3"/>
        <v>121</v>
      </c>
      <c r="R27" s="75">
        <f t="shared" si="3"/>
        <v>771</v>
      </c>
      <c r="S27" s="75">
        <f t="shared" si="3"/>
        <v>2032</v>
      </c>
      <c r="T27" s="66">
        <f>IFERROR(O27/P27-1,"n/a")</f>
        <v>0.22416452442159374</v>
      </c>
      <c r="U27" s="66">
        <f>IFERROR(O27/Q27-1,"n/a")</f>
        <v>18.677685950413224</v>
      </c>
      <c r="V27" s="66">
        <f>IFERROR(O27/R27-1,"n/a")</f>
        <v>2.0881971465629054</v>
      </c>
      <c r="W27" s="62">
        <f>IFERROR(O27/S27-1,"n/a")</f>
        <v>0.17175196850393704</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1271791</v>
      </c>
      <c r="G28" s="76">
        <f t="shared" si="2"/>
        <v>857236</v>
      </c>
      <c r="H28" s="76">
        <f t="shared" si="2"/>
        <v>92497</v>
      </c>
      <c r="I28" s="76">
        <f t="shared" si="2"/>
        <v>6081</v>
      </c>
      <c r="J28" s="76">
        <f t="shared" si="2"/>
        <v>868909</v>
      </c>
      <c r="K28" s="67">
        <f>IFERROR(F28/G28-1,"n/a")</f>
        <v>0.4835949493488374</v>
      </c>
      <c r="L28" s="67">
        <f t="shared" si="0"/>
        <v>12.749537822848309</v>
      </c>
      <c r="M28" s="67">
        <f>IFERROR(F28/I28-1,"n/a")</f>
        <v>208.14175300115113</v>
      </c>
      <c r="N28" s="63">
        <f t="shared" si="1"/>
        <v>0.46366420419169319</v>
      </c>
      <c r="O28" s="76">
        <f t="shared" si="3"/>
        <v>6850552</v>
      </c>
      <c r="P28" s="76">
        <f t="shared" si="3"/>
        <v>3483805</v>
      </c>
      <c r="Q28" s="76">
        <f t="shared" si="3"/>
        <v>162487</v>
      </c>
      <c r="R28" s="76">
        <f t="shared" si="3"/>
        <v>1690018</v>
      </c>
      <c r="S28" s="76">
        <f t="shared" si="3"/>
        <v>5784043</v>
      </c>
      <c r="T28" s="67">
        <f>IFERROR(O28/P28-1,"n/a")</f>
        <v>0.96639938228459976</v>
      </c>
      <c r="U28" s="67">
        <f>IFERROR(O28/Q28-1,"n/a")</f>
        <v>41.160615926197174</v>
      </c>
      <c r="V28" s="67">
        <f>IFERROR(O28/R28-1,"n/a")</f>
        <v>3.0535378913124003</v>
      </c>
      <c r="W28" s="63">
        <f>IFERROR(O28/S28-1,"n/a")</f>
        <v>0.18438815202445769</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70" t="str">
        <f>F9</f>
        <v>July</v>
      </c>
      <c r="G33" s="170"/>
      <c r="H33" s="170"/>
      <c r="I33" s="170"/>
      <c r="J33" s="170"/>
      <c r="K33" s="170"/>
      <c r="L33" s="170"/>
      <c r="M33" s="170"/>
      <c r="N33" s="171"/>
      <c r="O33" s="176" t="s">
        <v>61</v>
      </c>
      <c r="P33" s="177"/>
      <c r="Q33" s="177"/>
      <c r="R33" s="177"/>
      <c r="S33" s="177"/>
      <c r="T33" s="177"/>
      <c r="U33" s="177"/>
      <c r="V33" s="177"/>
      <c r="W33" s="178"/>
      <c r="X33" s="169" t="s">
        <v>58</v>
      </c>
      <c r="Y33" s="170"/>
      <c r="Z33" s="170"/>
      <c r="AA33" s="172"/>
    </row>
    <row r="34" spans="1:29" s="123" customFormat="1" ht="11.25">
      <c r="A34" s="122"/>
      <c r="B34" s="122"/>
      <c r="C34" s="29"/>
      <c r="D34" s="30"/>
      <c r="E34" s="30"/>
      <c r="F34" s="175"/>
      <c r="G34" s="173"/>
      <c r="H34" s="173"/>
      <c r="I34" s="173"/>
      <c r="J34" s="173"/>
      <c r="K34" s="173"/>
      <c r="L34" s="173"/>
      <c r="M34" s="173"/>
      <c r="N34" s="174"/>
      <c r="O34" s="175"/>
      <c r="P34" s="173"/>
      <c r="Q34" s="173"/>
      <c r="R34" s="173"/>
      <c r="S34" s="173"/>
      <c r="T34" s="173"/>
      <c r="U34" s="173"/>
      <c r="V34" s="173"/>
      <c r="W34" s="174"/>
      <c r="X34" s="175"/>
      <c r="Y34" s="173"/>
      <c r="Z34" s="173"/>
      <c r="AA34" s="174"/>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105</v>
      </c>
      <c r="G37" s="74">
        <f t="shared" si="5"/>
        <v>84</v>
      </c>
      <c r="H37" s="74">
        <f t="shared" si="5"/>
        <v>28</v>
      </c>
      <c r="I37" s="74">
        <f t="shared" si="5"/>
        <v>0</v>
      </c>
      <c r="J37" s="74">
        <f t="shared" si="5"/>
        <v>101</v>
      </c>
      <c r="K37" s="64">
        <f>IFERROR(F37/G37-1,"n/a")</f>
        <v>0.25</v>
      </c>
      <c r="L37" s="64">
        <f>IFERROR(F37/H37-1,"n/a")</f>
        <v>2.75</v>
      </c>
      <c r="M37" s="64" t="str">
        <f>IFERROR(F37/I37-1,"n/a")</f>
        <v>n/a</v>
      </c>
      <c r="N37" s="60">
        <f>IFERROR(F37/J37-1,"n/a")</f>
        <v>3.9603960396039639E-2</v>
      </c>
      <c r="O37" s="74">
        <f>'June-23'!O37+'July-23'!F37</f>
        <v>428</v>
      </c>
      <c r="P37" s="74">
        <f>'June-23'!P37+'July-23'!G37</f>
        <v>380</v>
      </c>
      <c r="Q37" s="74">
        <f>'June-23'!Q37+'July-23'!H37</f>
        <v>28</v>
      </c>
      <c r="R37" s="74">
        <f>'June-23'!R37+'July-23'!I37</f>
        <v>42</v>
      </c>
      <c r="S37" s="74">
        <f>'June-23'!S37+'July-23'!J37</f>
        <v>410</v>
      </c>
      <c r="T37" s="119">
        <f>IFERROR(O37/P37-1,"n/a")</f>
        <v>0.12631578947368416</v>
      </c>
      <c r="U37" s="119">
        <f>IFERROR(O37/Q37-1,"n/a")</f>
        <v>14.285714285714286</v>
      </c>
      <c r="V37" s="119">
        <f>IFERROR(O37/R37-1,"n/a")</f>
        <v>9.1904761904761898</v>
      </c>
      <c r="W37" s="120">
        <f>IFERROR(O37/S37-1,"n/a")</f>
        <v>4.3902439024390283E-2</v>
      </c>
      <c r="X37" s="89">
        <v>1486</v>
      </c>
      <c r="Y37" s="89">
        <v>1052</v>
      </c>
      <c r="Z37" s="70">
        <v>551</v>
      </c>
      <c r="AA37" s="78">
        <v>1584</v>
      </c>
      <c r="AC37" s="122"/>
    </row>
    <row r="38" spans="1:29" s="123" customFormat="1" ht="11.25">
      <c r="A38" s="122"/>
      <c r="B38" s="122"/>
      <c r="C38" s="33"/>
      <c r="D38" s="26" t="s">
        <v>11</v>
      </c>
      <c r="E38" s="32"/>
      <c r="F38" s="74">
        <f t="shared" si="5"/>
        <v>396404</v>
      </c>
      <c r="G38" s="74">
        <f t="shared" si="5"/>
        <v>292122</v>
      </c>
      <c r="H38" s="74">
        <f t="shared" si="5"/>
        <v>30914</v>
      </c>
      <c r="I38" s="74">
        <f t="shared" si="5"/>
        <v>0</v>
      </c>
      <c r="J38" s="74">
        <f t="shared" si="5"/>
        <v>332464</v>
      </c>
      <c r="K38" s="64">
        <f>IFERROR(F38/G38-1,"n/a")</f>
        <v>0.35698098739567707</v>
      </c>
      <c r="L38" s="64">
        <f>IFERROR(F38/H38-1,"n/a")</f>
        <v>11.822798731966099</v>
      </c>
      <c r="M38" s="64" t="str">
        <f>IFERROR(F38/I38-1,"n/a")</f>
        <v>n/a</v>
      </c>
      <c r="N38" s="60">
        <f>IFERROR(F38/J38-1,"n/a")</f>
        <v>0.19232157466673083</v>
      </c>
      <c r="O38" s="74">
        <f>'June-23'!O38+'July-23'!F38</f>
        <v>1559282</v>
      </c>
      <c r="P38" s="74">
        <f>'June-23'!P38+'July-23'!G38</f>
        <v>1076553</v>
      </c>
      <c r="Q38" s="74">
        <f>'June-23'!Q38+'July-23'!H38</f>
        <v>30914</v>
      </c>
      <c r="R38" s="74">
        <f>'June-23'!R38+'July-23'!I38</f>
        <v>0</v>
      </c>
      <c r="S38" s="74">
        <f>'June-23'!S38+'July-23'!J38</f>
        <v>1332615</v>
      </c>
      <c r="T38" s="119">
        <f>IFERROR(O38/P38-1,"n/a")</f>
        <v>0.44840244744104574</v>
      </c>
      <c r="U38" s="119">
        <f>IFERROR(O38/Q38-1,"n/a")</f>
        <v>49.439347868279746</v>
      </c>
      <c r="V38" s="119" t="str">
        <f>IFERROR(O38/R38-1,"n/a")</f>
        <v>n/a</v>
      </c>
      <c r="W38" s="120">
        <f>IFERROR(O38/S38-1,"n/a")</f>
        <v>0.17009188700412348</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70</v>
      </c>
      <c r="G40" s="74">
        <f t="shared" si="6"/>
        <v>61</v>
      </c>
      <c r="H40" s="74">
        <f t="shared" si="6"/>
        <v>22</v>
      </c>
      <c r="I40" s="74">
        <f t="shared" si="6"/>
        <v>0</v>
      </c>
      <c r="J40" s="74">
        <f t="shared" si="6"/>
        <v>59</v>
      </c>
      <c r="K40" s="64">
        <f>IFERROR(F40/G40-1,"n/a")</f>
        <v>0.14754098360655732</v>
      </c>
      <c r="L40" s="64">
        <f>IFERROR(F40/H40-1,"n/a")</f>
        <v>2.1818181818181817</v>
      </c>
      <c r="M40" s="64" t="str">
        <f>IFERROR(F40/I40-1,"n/a")</f>
        <v>n/a</v>
      </c>
      <c r="N40" s="60">
        <f>IFERROR(F40/J40-1,"n/a")</f>
        <v>0.18644067796610164</v>
      </c>
      <c r="O40" s="74">
        <f>'June-23'!O40+'July-23'!F40</f>
        <v>259</v>
      </c>
      <c r="P40" s="74">
        <f>'June-23'!P40+'July-23'!G40</f>
        <v>277</v>
      </c>
      <c r="Q40" s="74">
        <f>'June-23'!Q40+'July-23'!H40</f>
        <v>61</v>
      </c>
      <c r="R40" s="74">
        <f>'June-23'!R40+'July-23'!I40</f>
        <v>0</v>
      </c>
      <c r="S40" s="74">
        <f>'June-23'!S40+'July-23'!J40</f>
        <v>252</v>
      </c>
      <c r="T40" s="119">
        <f>IFERROR(O40/P40-1,"n/a")</f>
        <v>-6.498194945848379E-2</v>
      </c>
      <c r="U40" s="119">
        <f>IFERROR(O40/Q40-1,"n/a")</f>
        <v>3.2459016393442619</v>
      </c>
      <c r="V40" s="119" t="str">
        <f>IFERROR(O40/R40-1,"n/a")</f>
        <v>n/a</v>
      </c>
      <c r="W40" s="120">
        <f>IFERROR(O40/S40-1,"n/a")</f>
        <v>2.7777777777777679E-2</v>
      </c>
      <c r="X40" s="89">
        <v>563</v>
      </c>
      <c r="Y40" s="89">
        <v>226</v>
      </c>
      <c r="Z40" s="70">
        <v>66</v>
      </c>
      <c r="AA40" s="78">
        <v>573</v>
      </c>
      <c r="AC40" s="122"/>
    </row>
    <row r="41" spans="1:29" s="123" customFormat="1" ht="11.25">
      <c r="A41" s="122"/>
      <c r="B41" s="122"/>
      <c r="C41" s="33"/>
      <c r="D41" s="26" t="s">
        <v>11</v>
      </c>
      <c r="E41" s="32"/>
      <c r="F41" s="74">
        <f t="shared" si="6"/>
        <v>269629</v>
      </c>
      <c r="G41" s="74">
        <f t="shared" si="6"/>
        <v>133693</v>
      </c>
      <c r="H41" s="74">
        <f t="shared" si="6"/>
        <v>37562</v>
      </c>
      <c r="I41" s="74">
        <f t="shared" si="6"/>
        <v>0</v>
      </c>
      <c r="J41" s="74">
        <f t="shared" si="6"/>
        <v>174121</v>
      </c>
      <c r="K41" s="64">
        <f>IFERROR(F41/G41-1,"n/a")</f>
        <v>1.0167772433859663</v>
      </c>
      <c r="L41" s="64">
        <f>IFERROR(F41/H41-1,"n/a")</f>
        <v>6.1782386454395404</v>
      </c>
      <c r="M41" s="64" t="str">
        <f>IFERROR(F41/I41-1,"n/a")</f>
        <v>n/a</v>
      </c>
      <c r="N41" s="60">
        <f>IFERROR(F41/J41-1,"n/a")</f>
        <v>0.54851511305356615</v>
      </c>
      <c r="O41" s="74">
        <f>'June-23'!O41+'July-23'!F41</f>
        <v>762952</v>
      </c>
      <c r="P41" s="74">
        <f>'June-23'!P41+'July-23'!G41</f>
        <v>397747</v>
      </c>
      <c r="Q41" s="74">
        <f>'June-23'!Q41+'July-23'!H41</f>
        <v>92526</v>
      </c>
      <c r="R41" s="74">
        <f>'June-23'!R41+'July-23'!I41</f>
        <v>0</v>
      </c>
      <c r="S41" s="74">
        <f>'June-23'!S41+'July-23'!J41</f>
        <v>652250</v>
      </c>
      <c r="T41" s="119">
        <f>IFERROR(O41/P41-1,"n/a")</f>
        <v>0.91818417235076577</v>
      </c>
      <c r="U41" s="119">
        <f>IFERROR(O41/Q41-1,"n/a")</f>
        <v>7.2458119879817566</v>
      </c>
      <c r="V41" s="119" t="str">
        <f>IFERROR(O41/R41-1,"n/a")</f>
        <v>n/a</v>
      </c>
      <c r="W41" s="120">
        <f>IFERROR(O41/S41-1,"n/a")</f>
        <v>0.16972326561901108</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93</v>
      </c>
      <c r="G43" s="74">
        <f t="shared" si="7"/>
        <v>88</v>
      </c>
      <c r="H43" s="74">
        <f t="shared" si="7"/>
        <v>3</v>
      </c>
      <c r="I43" s="74">
        <f t="shared" si="7"/>
        <v>2</v>
      </c>
      <c r="J43" s="74">
        <f t="shared" si="7"/>
        <v>50</v>
      </c>
      <c r="K43" s="64">
        <f>IFERROR(F43/G43-1,"n/a")</f>
        <v>5.6818181818181879E-2</v>
      </c>
      <c r="L43" s="64">
        <f>IFERROR(F43/H43-1,"n/a")</f>
        <v>30</v>
      </c>
      <c r="M43" s="64">
        <f>IFERROR(F43/I43-1,"n/a")</f>
        <v>45.5</v>
      </c>
      <c r="N43" s="60">
        <f>IFERROR(F43/J43-1,"n/a")</f>
        <v>0.8600000000000001</v>
      </c>
      <c r="O43" s="74">
        <f>'June-23'!O43+'July-23'!F43</f>
        <v>326</v>
      </c>
      <c r="P43" s="74">
        <f>'June-23'!P43+'July-23'!G43</f>
        <v>305</v>
      </c>
      <c r="Q43" s="74">
        <f>'June-23'!Q43+'July-23'!H43</f>
        <v>6</v>
      </c>
      <c r="R43" s="74">
        <f>'June-23'!R43+'July-23'!I43</f>
        <v>2</v>
      </c>
      <c r="S43" s="74">
        <f>'June-23'!S43+'July-23'!J43</f>
        <v>150</v>
      </c>
      <c r="T43" s="119">
        <f>IFERROR(O43/P43-1,"n/a")</f>
        <v>6.8852459016393475E-2</v>
      </c>
      <c r="U43" s="119">
        <f>IFERROR(O43/Q43-1,"n/a")</f>
        <v>53.333333333333336</v>
      </c>
      <c r="V43" s="119">
        <f>IFERROR(O43/R43-1,"n/a")</f>
        <v>162</v>
      </c>
      <c r="W43" s="120">
        <f>IFERROR(O43/S43-1,"n/a")</f>
        <v>1.1733333333333333</v>
      </c>
      <c r="X43" s="89">
        <v>669</v>
      </c>
      <c r="Y43" s="89">
        <v>59</v>
      </c>
      <c r="Z43" s="70">
        <v>9</v>
      </c>
      <c r="AA43" s="78">
        <v>287</v>
      </c>
      <c r="AC43" s="122"/>
    </row>
    <row r="44" spans="1:29" s="123" customFormat="1" ht="11.25">
      <c r="A44" s="122"/>
      <c r="B44" s="122"/>
      <c r="C44" s="33"/>
      <c r="D44" s="26" t="s">
        <v>11</v>
      </c>
      <c r="E44" s="32"/>
      <c r="F44" s="74">
        <f t="shared" si="7"/>
        <v>203881</v>
      </c>
      <c r="G44" s="74">
        <f t="shared" si="7"/>
        <v>138433</v>
      </c>
      <c r="H44" s="74">
        <f t="shared" si="7"/>
        <v>468</v>
      </c>
      <c r="I44" s="74">
        <f t="shared" si="7"/>
        <v>6081</v>
      </c>
      <c r="J44" s="74">
        <f t="shared" si="7"/>
        <v>97604</v>
      </c>
      <c r="K44" s="64">
        <f>IFERROR(F44/G44-1,"n/a")</f>
        <v>0.47277744468443217</v>
      </c>
      <c r="L44" s="64">
        <f>IFERROR(F44/H44-1,"n/a")</f>
        <v>434.64316239316241</v>
      </c>
      <c r="M44" s="64">
        <f>IFERROR(F44/I44-1,"n/a")</f>
        <v>32.527544811708601</v>
      </c>
      <c r="N44" s="60">
        <f>IFERROR(F44/J44-1,"n/a")</f>
        <v>1.0888590631531496</v>
      </c>
      <c r="O44" s="74">
        <f>'June-23'!O44+'July-23'!F44</f>
        <v>576815</v>
      </c>
      <c r="P44" s="74">
        <f>'June-23'!P44+'July-23'!G44</f>
        <v>377939</v>
      </c>
      <c r="Q44" s="74">
        <f>'June-23'!Q44+'July-23'!H44</f>
        <v>468</v>
      </c>
      <c r="R44" s="74">
        <f>'June-23'!R44+'July-23'!I44</f>
        <v>8294</v>
      </c>
      <c r="S44" s="74">
        <f>'June-23'!S44+'July-23'!J44</f>
        <v>277902</v>
      </c>
      <c r="T44" s="119">
        <f>IFERROR(O44/P44-1,"n/a")</f>
        <v>0.52621190192068035</v>
      </c>
      <c r="U44" s="119">
        <f>IFERROR(O44/Q44-1,"n/a")</f>
        <v>1231.5106837606838</v>
      </c>
      <c r="V44" s="119">
        <f>IFERROR(O44/R44-1,"n/a")</f>
        <v>68.546057390884982</v>
      </c>
      <c r="W44" s="120">
        <f>IFERROR(O44/S44-1,"n/a")</f>
        <v>1.0756057890911186</v>
      </c>
      <c r="X44" s="82">
        <f>709768+195488</f>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82</v>
      </c>
      <c r="G46" s="74">
        <f t="shared" si="8"/>
        <v>75</v>
      </c>
      <c r="H46" s="74">
        <f t="shared" si="8"/>
        <v>10</v>
      </c>
      <c r="I46" s="74">
        <f t="shared" si="8"/>
        <v>0</v>
      </c>
      <c r="J46" s="74">
        <f t="shared" si="8"/>
        <v>68</v>
      </c>
      <c r="K46" s="64">
        <f>IFERROR(F46/G46-1,"n/a")</f>
        <v>9.3333333333333268E-2</v>
      </c>
      <c r="L46" s="64">
        <f>IFERROR(F46/H46-1,"n/a")</f>
        <v>7.1999999999999993</v>
      </c>
      <c r="M46" s="64" t="str">
        <f>IFERROR(F46/I46-1,"n/a")</f>
        <v>n/a</v>
      </c>
      <c r="N46" s="60">
        <f>IFERROR(F46/J46-1,"n/a")</f>
        <v>0.20588235294117641</v>
      </c>
      <c r="O46" s="74">
        <f>'June-23'!O46+'July-23'!F46</f>
        <v>490</v>
      </c>
      <c r="P46" s="74">
        <f>'June-23'!P46+'July-23'!G46</f>
        <v>347</v>
      </c>
      <c r="Q46" s="74">
        <f>'June-23'!Q46+'July-23'!H46</f>
        <v>14</v>
      </c>
      <c r="R46" s="74">
        <f>'June-23'!R46+'July-23'!I46</f>
        <v>0</v>
      </c>
      <c r="S46" s="74">
        <f>'June-23'!S46+'July-23'!J46</f>
        <v>341</v>
      </c>
      <c r="T46" s="119">
        <f>IFERROR(O46/P46-1,"n/a")</f>
        <v>0.41210374639769443</v>
      </c>
      <c r="U46" s="119">
        <f>IFERROR(O46/Q46-1,"n/a")</f>
        <v>34</v>
      </c>
      <c r="V46" s="119" t="str">
        <f>IFERROR(O46/R46-1,"n/a")</f>
        <v>n/a</v>
      </c>
      <c r="W46" s="120">
        <f>IFERROR(O46/S46-1,"n/a")</f>
        <v>0.43695014662756604</v>
      </c>
      <c r="X46" s="89">
        <v>1129</v>
      </c>
      <c r="Y46" s="89">
        <v>336</v>
      </c>
      <c r="Z46" s="84">
        <v>43</v>
      </c>
      <c r="AA46" s="78">
        <v>781</v>
      </c>
      <c r="AC46" s="122"/>
    </row>
    <row r="47" spans="1:29" s="123" customFormat="1" ht="11.25">
      <c r="A47" s="122"/>
      <c r="B47" s="122"/>
      <c r="C47" s="33"/>
      <c r="D47" s="26" t="s">
        <v>11</v>
      </c>
      <c r="E47" s="32"/>
      <c r="F47" s="74">
        <f t="shared" si="8"/>
        <v>395689</v>
      </c>
      <c r="G47" s="74">
        <f t="shared" si="8"/>
        <v>287462</v>
      </c>
      <c r="H47" s="74">
        <f t="shared" si="8"/>
        <v>23553</v>
      </c>
      <c r="I47" s="74">
        <f t="shared" si="8"/>
        <v>0</v>
      </c>
      <c r="J47" s="74">
        <f t="shared" si="8"/>
        <v>261197</v>
      </c>
      <c r="K47" s="64">
        <f>IFERROR(F47/G47-1,"n/a")</f>
        <v>0.37649150148541377</v>
      </c>
      <c r="L47" s="64">
        <f>IFERROR(F47/H47-1,"n/a")</f>
        <v>15.799940559589011</v>
      </c>
      <c r="M47" s="64" t="str">
        <f>IFERROR(F47/I47-1,"n/a")</f>
        <v>n/a</v>
      </c>
      <c r="N47" s="60">
        <f>IFERROR(F47/J47-1,"n/a")</f>
        <v>0.51490637335038314</v>
      </c>
      <c r="O47" s="74">
        <f>'June-23'!O47+'July-23'!F47</f>
        <v>1453369</v>
      </c>
      <c r="P47" s="74">
        <f>'June-23'!P47+'July-23'!G47</f>
        <v>755184</v>
      </c>
      <c r="Q47" s="74">
        <f>'June-23'!Q47+'July-23'!H47</f>
        <v>28476</v>
      </c>
      <c r="R47" s="74">
        <f>'June-23'!R47+'July-23'!I47</f>
        <v>0</v>
      </c>
      <c r="S47" s="74">
        <f>'June-23'!S47+'July-23'!J47</f>
        <v>1049749</v>
      </c>
      <c r="T47" s="119">
        <f>IFERROR(O47/P47-1,"n/a")</f>
        <v>0.92452303014894377</v>
      </c>
      <c r="U47" s="119">
        <f>IFERROR(O47/Q47-1,"n/a")</f>
        <v>50.038383199887626</v>
      </c>
      <c r="V47" s="119" t="str">
        <f>IFERROR(O47/R47-1,"n/a")</f>
        <v>n/a</v>
      </c>
      <c r="W47" s="120">
        <f>IFERROR(O47/S47-1,"n/a")</f>
        <v>0.38449191187607701</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3</v>
      </c>
      <c r="G49" s="74">
        <f t="shared" si="9"/>
        <v>3</v>
      </c>
      <c r="H49" s="74">
        <f t="shared" si="9"/>
        <v>0</v>
      </c>
      <c r="I49" s="74">
        <f t="shared" si="9"/>
        <v>0</v>
      </c>
      <c r="J49" s="74">
        <f t="shared" si="9"/>
        <v>3</v>
      </c>
      <c r="K49" s="64">
        <f>IFERROR(F49/G49-1,"n/a")</f>
        <v>0</v>
      </c>
      <c r="L49" s="64" t="str">
        <f>IFERROR(F49/H49-1,"n/a")</f>
        <v>n/a</v>
      </c>
      <c r="M49" s="64" t="str">
        <f>IFERROR(F49/I49-1,"n/a")</f>
        <v>n/a</v>
      </c>
      <c r="N49" s="60">
        <f>IFERROR(F49/J49-1,"n/a")</f>
        <v>0</v>
      </c>
      <c r="O49" s="74">
        <f>'June-23'!O49+'July-23'!F49</f>
        <v>11</v>
      </c>
      <c r="P49" s="74">
        <f>'June-23'!P49+'July-23'!G49</f>
        <v>5</v>
      </c>
      <c r="Q49" s="74">
        <f>'June-23'!Q49+'July-23'!H49</f>
        <v>0</v>
      </c>
      <c r="R49" s="74">
        <f>'June-23'!R49+'July-23'!I49</f>
        <v>0</v>
      </c>
      <c r="S49" s="74">
        <f>'June-23'!S49+'July-23'!J49</f>
        <v>11</v>
      </c>
      <c r="T49" s="119">
        <f>IFERROR(O49/P49-1,"n/a")</f>
        <v>1.2000000000000002</v>
      </c>
      <c r="U49" s="119" t="str">
        <f>IFERROR(O49/Q49-1,"n/a")</f>
        <v>n/a</v>
      </c>
      <c r="V49" s="119" t="str">
        <f>IFERROR(O49/R49-1,"n/a")</f>
        <v>n/a</v>
      </c>
      <c r="W49" s="120">
        <f>IFERROR(O49/S49-1,"n/a")</f>
        <v>0</v>
      </c>
      <c r="X49" s="89">
        <v>9</v>
      </c>
      <c r="Y49" s="68">
        <v>0</v>
      </c>
      <c r="Z49" s="68">
        <v>0</v>
      </c>
      <c r="AA49" s="78">
        <v>16</v>
      </c>
      <c r="AC49" s="122"/>
    </row>
    <row r="50" spans="3:29" s="123" customFormat="1" ht="11.25">
      <c r="C50" s="33"/>
      <c r="D50" s="26" t="s">
        <v>11</v>
      </c>
      <c r="E50" s="32"/>
      <c r="F50" s="74">
        <f t="shared" si="9"/>
        <v>6188</v>
      </c>
      <c r="G50" s="74">
        <f t="shared" si="9"/>
        <v>5526</v>
      </c>
      <c r="H50" s="74">
        <f t="shared" si="9"/>
        <v>0</v>
      </c>
      <c r="I50" s="74">
        <f t="shared" si="9"/>
        <v>0</v>
      </c>
      <c r="J50" s="74">
        <f t="shared" si="9"/>
        <v>3523</v>
      </c>
      <c r="K50" s="64">
        <f>IFERROR(F50/G50-1,"n/a")</f>
        <v>0.1197973217517192</v>
      </c>
      <c r="L50" s="64" t="str">
        <f>IFERROR(F50/H50-1,"n/a")</f>
        <v>n/a</v>
      </c>
      <c r="M50" s="64" t="str">
        <f>IFERROR(F50/I50-1,"n/a")</f>
        <v>n/a</v>
      </c>
      <c r="N50" s="60">
        <f>IFERROR(F50/J50-1,"n/a")</f>
        <v>0.75645756457564572</v>
      </c>
      <c r="O50" s="74">
        <f>'June-23'!O50+'July-23'!F50</f>
        <v>19775</v>
      </c>
      <c r="P50" s="74">
        <f>'June-23'!P50+'July-23'!G50</f>
        <v>8677</v>
      </c>
      <c r="Q50" s="74">
        <f>'June-23'!Q50+'July-23'!H50</f>
        <v>0</v>
      </c>
      <c r="R50" s="74">
        <f>'June-23'!R50+'July-23'!I50</f>
        <v>0</v>
      </c>
      <c r="S50" s="74">
        <f>'June-23'!S50+'July-23'!J50</f>
        <v>13750</v>
      </c>
      <c r="T50" s="119">
        <f>IFERROR(O50/P50-1,"n/a")</f>
        <v>1.2790134839230149</v>
      </c>
      <c r="U50" s="119" t="str">
        <f>IFERROR(O50/Q50-1,"n/a")</f>
        <v>n/a</v>
      </c>
      <c r="V50" s="119" t="str">
        <f>IFERROR(O50/R50-1,"n/a")</f>
        <v>n/a</v>
      </c>
      <c r="W50" s="120">
        <f>IFERROR(O50/S50-1,"n/a")</f>
        <v>0.43818181818181823</v>
      </c>
      <c r="X50" s="82">
        <v>15637</v>
      </c>
      <c r="Y50" s="68">
        <v>0</v>
      </c>
      <c r="Z50" s="68">
        <v>0</v>
      </c>
      <c r="AA50" s="78">
        <v>20248</v>
      </c>
      <c r="AC50" s="122"/>
    </row>
    <row r="51" spans="3:29" s="123" customFormat="1" ht="12" thickBot="1">
      <c r="C51" s="35" t="s">
        <v>12</v>
      </c>
      <c r="D51" s="36"/>
      <c r="E51" s="37"/>
      <c r="F51" s="75">
        <f>F37+F40+F43+F46+F49</f>
        <v>353</v>
      </c>
      <c r="G51" s="75">
        <f t="shared" ref="G51:J52" si="10">G37+G40+G43+G46+G49</f>
        <v>311</v>
      </c>
      <c r="H51" s="75">
        <f t="shared" si="10"/>
        <v>63</v>
      </c>
      <c r="I51" s="75">
        <f t="shared" si="10"/>
        <v>2</v>
      </c>
      <c r="J51" s="75">
        <f t="shared" si="10"/>
        <v>281</v>
      </c>
      <c r="K51" s="66">
        <f>IFERROR(F51/G51-1,"n/a")</f>
        <v>0.135048231511254</v>
      </c>
      <c r="L51" s="66">
        <f>IFERROR(F51/H51-1,"n/a")</f>
        <v>4.6031746031746028</v>
      </c>
      <c r="M51" s="66">
        <f>IFERROR(F51/I51-1,"n/a")</f>
        <v>175.5</v>
      </c>
      <c r="N51" s="62">
        <f>IFERROR(F51/J51-1,"n/a")</f>
        <v>0.2562277580071175</v>
      </c>
      <c r="O51" s="75">
        <f t="shared" ref="O51:S52" si="11">O37+O40+O43+O46+O49</f>
        <v>1514</v>
      </c>
      <c r="P51" s="75">
        <f t="shared" si="11"/>
        <v>1314</v>
      </c>
      <c r="Q51" s="75">
        <f t="shared" si="11"/>
        <v>109</v>
      </c>
      <c r="R51" s="75">
        <f t="shared" si="11"/>
        <v>44</v>
      </c>
      <c r="S51" s="75">
        <f t="shared" si="11"/>
        <v>1164</v>
      </c>
      <c r="T51" s="66">
        <f>IFERROR(O51/P51-1,"n/a")</f>
        <v>0.15220700152207001</v>
      </c>
      <c r="U51" s="66">
        <f>IFERROR(O51/Q51-1,"n/a")</f>
        <v>12.889908256880734</v>
      </c>
      <c r="V51" s="66">
        <f>IFERROR(O51/R51-1,"n/a")</f>
        <v>33.409090909090907</v>
      </c>
      <c r="W51" s="62">
        <f>IFERROR(O51/S51-1,"n/a")</f>
        <v>0.30068728522336774</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1271791</v>
      </c>
      <c r="G52" s="76">
        <f t="shared" si="10"/>
        <v>857236</v>
      </c>
      <c r="H52" s="76">
        <f t="shared" si="10"/>
        <v>92497</v>
      </c>
      <c r="I52" s="76">
        <f t="shared" si="10"/>
        <v>6081</v>
      </c>
      <c r="J52" s="76">
        <f t="shared" si="10"/>
        <v>868909</v>
      </c>
      <c r="K52" s="67">
        <f>IFERROR(F52/G52-1,"n/a")</f>
        <v>0.4835949493488374</v>
      </c>
      <c r="L52" s="67">
        <f>IFERROR(F52/H52-1,"n/a")</f>
        <v>12.749537822848309</v>
      </c>
      <c r="M52" s="67">
        <f>IFERROR(F52/I52-1,"n/a")</f>
        <v>208.14175300115113</v>
      </c>
      <c r="N52" s="63">
        <f>IFERROR(F52/J52-1,"n/a")</f>
        <v>0.46366420419169319</v>
      </c>
      <c r="O52" s="76">
        <f t="shared" si="11"/>
        <v>4372193</v>
      </c>
      <c r="P52" s="76">
        <f t="shared" si="11"/>
        <v>2616100</v>
      </c>
      <c r="Q52" s="76">
        <f t="shared" si="11"/>
        <v>152384</v>
      </c>
      <c r="R52" s="76">
        <f t="shared" si="11"/>
        <v>8294</v>
      </c>
      <c r="S52" s="76">
        <f t="shared" si="11"/>
        <v>3326266</v>
      </c>
      <c r="T52" s="67">
        <f>IFERROR(O52/P52-1,"n/a")</f>
        <v>0.6712637131608119</v>
      </c>
      <c r="U52" s="117">
        <f>IFERROR(O52/Q52-1,"n/a")</f>
        <v>27.691942723645528</v>
      </c>
      <c r="V52" s="117">
        <f>IFERROR(O52/R52-1,"n/a")</f>
        <v>526.1513142030384</v>
      </c>
      <c r="W52" s="118">
        <f>IFERROR(O52/S52-1,"n/a")</f>
        <v>0.3144447858349273</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499984740745262"/>
    <pageSetUpPr fitToPage="1"/>
  </sheetPr>
  <dimension ref="A1:BO58"/>
  <sheetViews>
    <sheetView showGridLines="0" zoomScale="90" zoomScaleNormal="90" zoomScalePageLayoutView="40" workbookViewId="0">
      <pane xSplit="5" topLeftCell="AQ1" activePane="topRight" state="frozen"/>
      <selection pane="topRight" activeCell="BD11" sqref="BD11"/>
    </sheetView>
  </sheetViews>
  <sheetFormatPr defaultColWidth="9.140625" defaultRowHeight="0" customHeight="1" zeroHeight="1"/>
  <cols>
    <col min="1" max="2" width="2.5703125" customWidth="1"/>
    <col min="3" max="3" width="39" customWidth="1"/>
    <col min="4" max="4" width="1.85546875" customWidth="1"/>
    <col min="5" max="5" width="15.42578125" customWidth="1"/>
    <col min="6" max="17" width="5.85546875" style="94" bestFit="1" customWidth="1"/>
    <col min="18" max="18" width="6.140625" bestFit="1" customWidth="1"/>
    <col min="19" max="23" width="5.85546875" bestFit="1" customWidth="1"/>
    <col min="24" max="24" width="5.85546875" customWidth="1"/>
    <col min="25" max="25" width="5.85546875" bestFit="1" customWidth="1"/>
    <col min="26" max="27" width="5.85546875" customWidth="1"/>
    <col min="28" max="28" width="5.85546875" bestFit="1" customWidth="1"/>
    <col min="29" max="47" width="5.85546875" customWidth="1"/>
    <col min="48" max="48" width="5.5703125" bestFit="1" customWidth="1"/>
    <col min="49" max="49" width="7.140625" bestFit="1" customWidth="1"/>
    <col min="50" max="50" width="7.140625" customWidth="1"/>
    <col min="51" max="51" width="7.5703125" bestFit="1" customWidth="1"/>
    <col min="52" max="52" width="9.140625" style="9" bestFit="1" customWidth="1"/>
    <col min="53" max="64" width="9.140625" style="9" customWidth="1"/>
    <col min="65" max="65" width="10.7109375" style="9" bestFit="1" customWidth="1"/>
    <col min="66" max="67" width="9.140625" style="9" customWidth="1"/>
    <col min="68" max="78" width="9.140625" customWidth="1"/>
  </cols>
  <sheetData>
    <row r="1" spans="1:67" ht="15">
      <c r="A1" s="9"/>
      <c r="B1" s="9"/>
      <c r="C1" s="9"/>
      <c r="D1" s="9"/>
      <c r="E1" s="9"/>
      <c r="F1" s="91"/>
      <c r="G1" s="91"/>
      <c r="H1" s="91"/>
      <c r="I1" s="91"/>
      <c r="J1" s="91"/>
      <c r="K1" s="91"/>
      <c r="L1" s="91"/>
      <c r="M1" s="91"/>
      <c r="N1" s="91"/>
      <c r="O1" s="91"/>
      <c r="P1" s="91"/>
      <c r="Q1" s="91"/>
      <c r="R1" s="9"/>
      <c r="S1" s="9"/>
      <c r="T1" s="9"/>
      <c r="U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row>
    <row r="2" spans="1:67" ht="19.5" thickBot="1">
      <c r="A2" s="9"/>
      <c r="B2" s="8" t="s">
        <v>155</v>
      </c>
      <c r="C2" s="23"/>
      <c r="D2" s="23"/>
      <c r="E2" s="23"/>
      <c r="F2" s="92"/>
      <c r="G2" s="92"/>
      <c r="H2" s="92"/>
      <c r="I2" s="92"/>
      <c r="J2" s="92"/>
      <c r="K2" s="92"/>
      <c r="L2" s="92"/>
      <c r="M2" s="92"/>
      <c r="N2" s="92"/>
      <c r="O2" s="92"/>
      <c r="P2" s="92"/>
      <c r="Q2" s="92"/>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row>
    <row r="3" spans="1:67" ht="15">
      <c r="A3" s="9"/>
      <c r="B3" s="10"/>
      <c r="C3" s="24"/>
      <c r="D3" s="24"/>
      <c r="E3" s="24"/>
      <c r="F3" s="93"/>
      <c r="G3" s="93"/>
      <c r="H3" s="93"/>
      <c r="I3" s="93"/>
      <c r="J3" s="93"/>
      <c r="K3" s="93"/>
      <c r="L3" s="93"/>
      <c r="M3" s="93"/>
      <c r="N3" s="93"/>
      <c r="O3" s="93"/>
      <c r="P3" s="93"/>
      <c r="Q3" s="93"/>
      <c r="R3" s="24"/>
      <c r="S3" s="24"/>
      <c r="AY3" s="25">
        <f>+' '!I17</f>
        <v>46154</v>
      </c>
      <c r="AZ3" s="25"/>
      <c r="BA3" s="25"/>
      <c r="BB3" s="25"/>
      <c r="BC3" s="25"/>
      <c r="BD3" s="25"/>
      <c r="BE3" s="25"/>
      <c r="BF3" s="25"/>
      <c r="BG3" s="25"/>
      <c r="BH3" s="25"/>
      <c r="BI3" s="25"/>
      <c r="BJ3" s="25"/>
      <c r="BK3" s="25"/>
      <c r="BL3" s="25"/>
      <c r="BM3" s="25">
        <f>+' '!I17</f>
        <v>46154</v>
      </c>
    </row>
    <row r="4" spans="1:67" ht="15.75">
      <c r="A4" s="9"/>
      <c r="B4" s="11" t="s">
        <v>7</v>
      </c>
      <c r="C4" s="26"/>
      <c r="D4" s="24"/>
      <c r="E4" s="58" t="s">
        <v>165</v>
      </c>
      <c r="F4" s="93"/>
      <c r="G4" s="93"/>
      <c r="H4" s="93"/>
      <c r="I4" s="93"/>
      <c r="J4" s="93"/>
      <c r="K4" s="93"/>
      <c r="L4" s="93"/>
      <c r="M4" s="93"/>
      <c r="N4" s="93"/>
      <c r="O4" s="93"/>
      <c r="P4" s="93"/>
      <c r="Q4" s="93"/>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row>
    <row r="5" spans="1:67" ht="15">
      <c r="A5" s="9"/>
      <c r="B5" s="10"/>
      <c r="C5" s="24"/>
      <c r="D5" s="24"/>
      <c r="E5" s="24"/>
      <c r="F5" s="93"/>
      <c r="G5" s="93"/>
      <c r="H5" s="93"/>
      <c r="I5" s="93"/>
      <c r="J5" s="93"/>
      <c r="K5" s="93"/>
      <c r="L5" s="93"/>
      <c r="M5" s="93"/>
      <c r="N5" s="93"/>
      <c r="O5" s="93"/>
      <c r="P5" s="93"/>
      <c r="Q5" s="93"/>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row>
    <row r="6" spans="1:67" ht="15">
      <c r="A6" s="9"/>
      <c r="B6" s="86" t="s">
        <v>103</v>
      </c>
      <c r="D6" s="24"/>
      <c r="E6" s="24"/>
      <c r="F6" s="93"/>
      <c r="G6" s="93"/>
      <c r="H6" s="93"/>
      <c r="I6" s="93"/>
      <c r="J6" s="93"/>
      <c r="K6" s="93"/>
      <c r="L6" s="93"/>
      <c r="M6" s="93"/>
      <c r="N6" s="93"/>
      <c r="O6" s="93"/>
      <c r="P6" s="93"/>
      <c r="Q6" s="93"/>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row>
    <row r="7" spans="1:67" ht="15">
      <c r="A7" s="9"/>
      <c r="B7" s="10"/>
      <c r="C7" s="105" t="s">
        <v>104</v>
      </c>
      <c r="D7" s="106"/>
      <c r="E7" s="107"/>
      <c r="F7" s="112">
        <v>2022</v>
      </c>
      <c r="G7" s="112">
        <v>2022</v>
      </c>
      <c r="H7" s="112">
        <v>2022</v>
      </c>
      <c r="I7" s="112">
        <v>2022</v>
      </c>
      <c r="J7" s="112">
        <v>2022</v>
      </c>
      <c r="K7" s="112">
        <v>2022</v>
      </c>
      <c r="L7" s="112">
        <v>2022</v>
      </c>
      <c r="M7" s="112">
        <v>2022</v>
      </c>
      <c r="N7" s="112">
        <v>2022</v>
      </c>
      <c r="O7" s="112">
        <v>2022</v>
      </c>
      <c r="P7" s="112">
        <v>2022</v>
      </c>
      <c r="Q7" s="112">
        <v>2022</v>
      </c>
      <c r="R7" s="112">
        <v>2023</v>
      </c>
      <c r="S7" s="112">
        <v>2023</v>
      </c>
      <c r="T7" s="112">
        <v>2023</v>
      </c>
      <c r="U7" s="112">
        <v>2023</v>
      </c>
      <c r="V7" s="112">
        <v>2023</v>
      </c>
      <c r="W7" s="112">
        <v>2023</v>
      </c>
      <c r="X7" s="112">
        <v>2023</v>
      </c>
      <c r="Y7" s="112">
        <v>2023</v>
      </c>
      <c r="Z7" s="112">
        <v>2023</v>
      </c>
      <c r="AA7" s="112">
        <v>2023</v>
      </c>
      <c r="AB7" s="112">
        <v>2023</v>
      </c>
      <c r="AC7" s="112">
        <v>2023</v>
      </c>
      <c r="AD7" s="112">
        <v>2024</v>
      </c>
      <c r="AE7" s="112">
        <v>2024</v>
      </c>
      <c r="AF7" s="112">
        <v>2024</v>
      </c>
      <c r="AG7" s="112">
        <v>2024</v>
      </c>
      <c r="AH7" s="112">
        <v>2024</v>
      </c>
      <c r="AI7" s="112">
        <v>2024</v>
      </c>
      <c r="AJ7" s="112">
        <v>2024</v>
      </c>
      <c r="AK7" s="112">
        <v>2024</v>
      </c>
      <c r="AL7" s="112">
        <v>2024</v>
      </c>
      <c r="AM7" s="112">
        <v>2024</v>
      </c>
      <c r="AN7" s="112">
        <v>2024</v>
      </c>
      <c r="AO7" s="112">
        <v>2024</v>
      </c>
      <c r="AP7" s="112">
        <v>2025</v>
      </c>
      <c r="AQ7" s="112">
        <v>2025</v>
      </c>
      <c r="AR7" s="112">
        <v>2025</v>
      </c>
      <c r="AS7" s="112">
        <v>2025</v>
      </c>
      <c r="AT7" s="112">
        <v>2025</v>
      </c>
      <c r="AU7" s="112">
        <v>2025</v>
      </c>
      <c r="AV7" s="112">
        <v>2025</v>
      </c>
      <c r="AW7" s="112">
        <v>2025</v>
      </c>
      <c r="AX7" s="112">
        <v>2025</v>
      </c>
      <c r="AY7" s="112">
        <v>2025</v>
      </c>
      <c r="AZ7" s="112">
        <v>2025</v>
      </c>
      <c r="BA7" s="112">
        <v>2025</v>
      </c>
      <c r="BB7" s="112">
        <v>2026</v>
      </c>
      <c r="BC7" s="112">
        <v>2026</v>
      </c>
      <c r="BD7" s="112">
        <v>2026</v>
      </c>
    </row>
    <row r="8" spans="1:67" s="20" customFormat="1" ht="15">
      <c r="A8" s="9"/>
      <c r="B8"/>
      <c r="C8" s="27" t="s">
        <v>7</v>
      </c>
      <c r="D8" s="28"/>
      <c r="E8" s="28"/>
      <c r="F8" s="101" t="s">
        <v>75</v>
      </c>
      <c r="G8" s="101" t="s">
        <v>76</v>
      </c>
      <c r="H8" s="101" t="s">
        <v>77</v>
      </c>
      <c r="I8" s="101" t="s">
        <v>45</v>
      </c>
      <c r="J8" s="101" t="s">
        <v>47</v>
      </c>
      <c r="K8" s="101" t="s">
        <v>51</v>
      </c>
      <c r="L8" s="101" t="s">
        <v>55</v>
      </c>
      <c r="M8" s="101" t="s">
        <v>78</v>
      </c>
      <c r="N8" s="101" t="s">
        <v>79</v>
      </c>
      <c r="O8" s="101" t="s">
        <v>80</v>
      </c>
      <c r="P8" s="101" t="s">
        <v>81</v>
      </c>
      <c r="Q8" s="101" t="s">
        <v>82</v>
      </c>
      <c r="R8" s="101" t="s">
        <v>75</v>
      </c>
      <c r="S8" s="113" t="s">
        <v>76</v>
      </c>
      <c r="T8" s="113" t="s">
        <v>77</v>
      </c>
      <c r="U8" s="113" t="s">
        <v>120</v>
      </c>
      <c r="V8" s="113" t="s">
        <v>47</v>
      </c>
      <c r="W8" s="113" t="s">
        <v>51</v>
      </c>
      <c r="X8" s="113" t="s">
        <v>55</v>
      </c>
      <c r="Y8" s="113" t="s">
        <v>78</v>
      </c>
      <c r="Z8" s="113" t="s">
        <v>79</v>
      </c>
      <c r="AA8" s="113" t="s">
        <v>80</v>
      </c>
      <c r="AB8" s="113" t="s">
        <v>81</v>
      </c>
      <c r="AC8" s="113" t="s">
        <v>82</v>
      </c>
      <c r="AD8" s="113" t="s">
        <v>75</v>
      </c>
      <c r="AE8" s="113" t="s">
        <v>76</v>
      </c>
      <c r="AF8" s="113" t="s">
        <v>77</v>
      </c>
      <c r="AG8" s="113" t="s">
        <v>120</v>
      </c>
      <c r="AH8" s="113" t="s">
        <v>47</v>
      </c>
      <c r="AI8" s="113" t="s">
        <v>51</v>
      </c>
      <c r="AJ8" s="113" t="s">
        <v>55</v>
      </c>
      <c r="AK8" s="113" t="s">
        <v>78</v>
      </c>
      <c r="AL8" s="113" t="s">
        <v>79</v>
      </c>
      <c r="AM8" s="113" t="s">
        <v>80</v>
      </c>
      <c r="AN8" s="113" t="s">
        <v>81</v>
      </c>
      <c r="AO8" s="113" t="s">
        <v>82</v>
      </c>
      <c r="AP8" s="113" t="s">
        <v>75</v>
      </c>
      <c r="AQ8" s="113" t="s">
        <v>76</v>
      </c>
      <c r="AR8" s="113" t="s">
        <v>77</v>
      </c>
      <c r="AS8" s="113" t="s">
        <v>120</v>
      </c>
      <c r="AT8" s="113" t="s">
        <v>47</v>
      </c>
      <c r="AU8" s="113" t="s">
        <v>154</v>
      </c>
      <c r="AV8" s="113" t="s">
        <v>153</v>
      </c>
      <c r="AW8" s="113" t="s">
        <v>78</v>
      </c>
      <c r="AX8" s="113" t="s">
        <v>79</v>
      </c>
      <c r="AY8" s="113" t="s">
        <v>80</v>
      </c>
      <c r="AZ8" s="113" t="s">
        <v>81</v>
      </c>
      <c r="BA8" s="113" t="s">
        <v>82</v>
      </c>
      <c r="BB8" s="113" t="s">
        <v>75</v>
      </c>
      <c r="BC8" s="113" t="s">
        <v>76</v>
      </c>
      <c r="BD8" s="113" t="s">
        <v>77</v>
      </c>
      <c r="BN8" s="19"/>
      <c r="BO8" s="19"/>
    </row>
    <row r="9" spans="1:67" ht="20.25" customHeight="1">
      <c r="A9" s="9"/>
      <c r="B9" s="18"/>
      <c r="C9" s="114" t="s">
        <v>83</v>
      </c>
      <c r="D9" s="156"/>
      <c r="E9" s="156"/>
      <c r="F9" s="115">
        <v>0.438</v>
      </c>
      <c r="G9" s="116">
        <v>0.48799999999999999</v>
      </c>
      <c r="H9" s="116">
        <v>0.63400000000000001</v>
      </c>
      <c r="I9" s="116">
        <v>0.67100000000000004</v>
      </c>
      <c r="J9" s="116">
        <v>0.65500000000000003</v>
      </c>
      <c r="K9" s="116">
        <v>0.78100000000000003</v>
      </c>
      <c r="L9" s="116">
        <v>0.89800000000000002</v>
      </c>
      <c r="M9" s="116">
        <v>0.96599999999999997</v>
      </c>
      <c r="N9" s="116">
        <v>0.88600000000000001</v>
      </c>
      <c r="O9" s="116">
        <v>0.87811353241344148</v>
      </c>
      <c r="P9" s="116">
        <v>0.87302339390587125</v>
      </c>
      <c r="Q9" s="116">
        <v>0.97759515227240656</v>
      </c>
      <c r="R9" s="132">
        <v>0.99686465614917141</v>
      </c>
      <c r="S9" s="132">
        <v>1.032</v>
      </c>
      <c r="T9" s="132">
        <v>1.0449999999999999</v>
      </c>
      <c r="U9" s="132">
        <v>1.0569</v>
      </c>
      <c r="V9" s="132">
        <v>0.98</v>
      </c>
      <c r="W9" s="132">
        <v>1.0900000000000001</v>
      </c>
      <c r="X9" s="132">
        <v>1.1599999999999999</v>
      </c>
      <c r="Y9" s="132">
        <v>1.1499999999999999</v>
      </c>
      <c r="Z9" s="132">
        <v>1.0489999999999999</v>
      </c>
      <c r="AA9" s="132">
        <v>1.18</v>
      </c>
      <c r="AB9" s="132">
        <v>0.99</v>
      </c>
      <c r="AC9" s="132">
        <v>1.05</v>
      </c>
      <c r="AD9" s="132">
        <v>1.07</v>
      </c>
      <c r="AE9" s="132">
        <v>1.07</v>
      </c>
      <c r="AF9" s="132">
        <v>1.08</v>
      </c>
      <c r="AG9" s="132">
        <v>1.06</v>
      </c>
      <c r="AH9" s="132">
        <v>1.04</v>
      </c>
      <c r="AI9" s="132">
        <v>1.0900000000000001</v>
      </c>
      <c r="AJ9" s="132">
        <v>1.1499999999999999</v>
      </c>
      <c r="AK9" s="132">
        <v>1.1299999999999999</v>
      </c>
      <c r="AL9" s="132">
        <v>1.04</v>
      </c>
      <c r="AM9" s="132">
        <v>1</v>
      </c>
      <c r="AN9" s="132">
        <v>0.94994574349040495</v>
      </c>
      <c r="AO9" s="132">
        <v>0.95270883352780145</v>
      </c>
      <c r="AP9" s="132">
        <v>1.0573045911444345</v>
      </c>
      <c r="AQ9" s="132">
        <v>1.0540335165268007</v>
      </c>
      <c r="AR9" s="132">
        <v>1.0637210410033948</v>
      </c>
      <c r="AS9" s="132">
        <v>1.0688674306962203</v>
      </c>
      <c r="AT9" s="132">
        <v>1.0441759858424944</v>
      </c>
      <c r="AU9" s="132">
        <v>1.0991145912041527</v>
      </c>
      <c r="AV9" s="132">
        <v>1.139172606363436</v>
      </c>
      <c r="AW9" s="132">
        <v>1.1365156838316244</v>
      </c>
      <c r="AX9" s="132">
        <v>1.0335061146073745</v>
      </c>
      <c r="AY9" s="132">
        <v>1.0226008522608099</v>
      </c>
      <c r="AZ9" s="132">
        <v>1.0029666005179778</v>
      </c>
      <c r="BA9" s="132">
        <v>1.0610389041193344</v>
      </c>
      <c r="BB9" s="132">
        <v>1.0470477386535049</v>
      </c>
      <c r="BC9" s="132">
        <v>1.0637217255654887</v>
      </c>
      <c r="BD9" s="132">
        <v>1.0724177397585086</v>
      </c>
    </row>
    <row r="10" spans="1:67" ht="20.25" customHeight="1">
      <c r="A10" s="9"/>
      <c r="B10" s="18"/>
      <c r="C10" s="102"/>
      <c r="D10" s="103"/>
      <c r="E10" s="103"/>
      <c r="F10" s="99"/>
      <c r="G10" s="99"/>
      <c r="H10" s="99"/>
      <c r="I10" s="99"/>
      <c r="J10" s="99"/>
      <c r="K10" s="99"/>
      <c r="L10" s="99"/>
      <c r="M10" s="99"/>
      <c r="N10" s="99"/>
      <c r="O10" s="99"/>
      <c r="P10" s="99"/>
      <c r="Q10" s="104"/>
      <c r="R10" s="9"/>
      <c r="S10" s="9"/>
    </row>
    <row r="11" spans="1:67" ht="20.25" customHeight="1">
      <c r="A11" s="9"/>
      <c r="B11" s="9"/>
      <c r="C11" s="9"/>
      <c r="D11" s="9"/>
      <c r="E11" s="9"/>
      <c r="F11"/>
      <c r="G11"/>
      <c r="H11"/>
      <c r="I11"/>
      <c r="J11"/>
      <c r="K11"/>
      <c r="L11"/>
      <c r="M11"/>
      <c r="N11"/>
      <c r="O11" s="91"/>
      <c r="P11" s="91"/>
      <c r="Q11" s="91"/>
      <c r="R11" s="9"/>
      <c r="S11" s="9"/>
    </row>
    <row r="12" spans="1:67" ht="20.25" customHeight="1">
      <c r="A12" s="9"/>
      <c r="B12" s="9"/>
      <c r="C12" s="100" t="s">
        <v>97</v>
      </c>
      <c r="D12" s="9"/>
      <c r="E12" s="9"/>
      <c r="F12"/>
      <c r="G12"/>
      <c r="H12"/>
      <c r="I12"/>
      <c r="J12"/>
      <c r="K12"/>
      <c r="L12"/>
      <c r="M12"/>
      <c r="N12"/>
      <c r="O12" s="91"/>
      <c r="P12" s="91"/>
      <c r="Q12" s="91"/>
      <c r="R12" s="9"/>
      <c r="S12" s="9"/>
    </row>
    <row r="13" spans="1:67" ht="20.25" customHeight="1">
      <c r="A13" s="9"/>
      <c r="B13" s="9"/>
      <c r="C13" s="100" t="s">
        <v>152</v>
      </c>
      <c r="D13" s="9"/>
      <c r="E13" s="9"/>
      <c r="F13"/>
      <c r="G13"/>
      <c r="H13"/>
      <c r="I13"/>
      <c r="J13"/>
      <c r="K13"/>
      <c r="L13"/>
      <c r="M13"/>
      <c r="N13"/>
      <c r="O13" s="91"/>
      <c r="P13" s="91"/>
      <c r="Q13" s="91"/>
      <c r="R13" s="9"/>
      <c r="S13" s="9"/>
    </row>
    <row r="14" spans="1:67" ht="27" hidden="1" customHeight="1"/>
    <row r="15" spans="1:67" ht="26.45" hidden="1" customHeight="1"/>
    <row r="16" spans="1:67" ht="26.45" hidden="1" customHeight="1"/>
    <row r="17" ht="27" hidden="1" customHeight="1"/>
    <row r="18" ht="27" hidden="1" customHeight="1"/>
    <row r="19" ht="27" hidden="1" customHeight="1"/>
    <row r="20" ht="27" hidden="1" customHeight="1"/>
    <row r="21" ht="27" hidden="1" customHeight="1"/>
    <row r="22" ht="27" hidden="1" customHeight="1"/>
    <row r="23" ht="27" hidden="1" customHeight="1"/>
    <row r="24" ht="27" hidden="1" customHeight="1"/>
    <row r="25" ht="27" hidden="1" customHeight="1"/>
    <row r="26" ht="27" hidden="1" customHeight="1"/>
    <row r="27" ht="27" hidden="1" customHeight="1"/>
    <row r="28" ht="27" hidden="1" customHeight="1"/>
    <row r="29" ht="27" hidden="1" customHeight="1"/>
    <row r="30" ht="27" hidden="1" customHeight="1"/>
    <row r="31" ht="27" hidden="1" customHeight="1"/>
    <row r="32" ht="27" hidden="1" customHeight="1"/>
    <row r="33" ht="27" hidden="1" customHeight="1"/>
    <row r="34" ht="27" hidden="1" customHeight="1"/>
    <row r="35" ht="27" hidden="1" customHeight="1"/>
    <row r="36" ht="27" hidden="1" customHeight="1"/>
    <row r="37" ht="27" hidden="1" customHeight="1"/>
    <row r="38" ht="27" hidden="1" customHeight="1"/>
    <row r="39" ht="11.45" hidden="1" customHeight="1"/>
    <row r="40" ht="9" hidden="1" customHeight="1"/>
    <row r="41" ht="17.45" hidden="1" customHeight="1"/>
    <row r="42" ht="27" hidden="1" customHeight="1"/>
    <row r="43" ht="27" hidden="1" customHeight="1"/>
    <row r="44" ht="27" hidden="1" customHeight="1"/>
    <row r="45" ht="27" hidden="1" customHeight="1"/>
    <row r="46" ht="27" hidden="1" customHeight="1"/>
    <row r="47" ht="27" hidden="1" customHeight="1"/>
    <row r="48" ht="27" hidden="1" customHeight="1"/>
    <row r="49" ht="27" hidden="1" customHeight="1"/>
    <row r="50" ht="27" hidden="1" customHeight="1"/>
    <row r="51" ht="27" hidden="1" customHeight="1"/>
    <row r="52" ht="27" hidden="1" customHeight="1"/>
    <row r="53" ht="27" hidden="1" customHeight="1"/>
    <row r="54" ht="27" hidden="1" customHeight="1"/>
    <row r="55" ht="27" hidden="1" customHeight="1"/>
    <row r="56" ht="27" hidden="1" customHeight="1"/>
    <row r="57" ht="27" hidden="1" customHeight="1"/>
    <row r="58" ht="27" hidden="1" customHeight="1"/>
  </sheetData>
  <phoneticPr fontId="32" type="noConversion"/>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6"/>
  <sheetViews>
    <sheetView showGridLines="0" topLeftCell="A7" zoomScaleNormal="100" workbookViewId="0">
      <selection activeCell="F13" sqref="F13:J26"/>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45122</v>
      </c>
      <c r="AB3" s="25"/>
      <c r="AC3" s="9"/>
    </row>
    <row r="4" spans="1:29" ht="15.75">
      <c r="A4" s="9"/>
      <c r="B4" s="11" t="s">
        <v>7</v>
      </c>
      <c r="C4" s="26"/>
      <c r="D4" s="24"/>
      <c r="E4" s="58" t="s">
        <v>122</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70" t="s">
        <v>51</v>
      </c>
      <c r="G9" s="170"/>
      <c r="H9" s="170"/>
      <c r="I9" s="170"/>
      <c r="J9" s="170"/>
      <c r="K9" s="170"/>
      <c r="L9" s="170"/>
      <c r="M9" s="170"/>
      <c r="N9" s="171"/>
      <c r="O9" s="169" t="s">
        <v>52</v>
      </c>
      <c r="P9" s="170"/>
      <c r="Q9" s="170"/>
      <c r="R9" s="170"/>
      <c r="S9" s="170"/>
      <c r="T9" s="170"/>
      <c r="U9" s="170"/>
      <c r="V9" s="170"/>
      <c r="W9" s="171"/>
      <c r="X9" s="169" t="s">
        <v>57</v>
      </c>
      <c r="Y9" s="170"/>
      <c r="Z9" s="170"/>
      <c r="AA9" s="172"/>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3">
        <v>95</v>
      </c>
      <c r="G13" s="71">
        <v>77</v>
      </c>
      <c r="H13" s="71">
        <v>0</v>
      </c>
      <c r="I13" s="71">
        <v>0</v>
      </c>
      <c r="J13" s="71">
        <v>90</v>
      </c>
      <c r="K13" s="64">
        <f>IFERROR(F13/G13-1,"n/a")</f>
        <v>0.23376623376623384</v>
      </c>
      <c r="L13" s="64" t="str">
        <f t="shared" ref="L13:L28" si="0">IFERROR(F13/H13-1,"n/a")</f>
        <v>n/a</v>
      </c>
      <c r="M13" s="64" t="str">
        <f>IFERROR(F13/I13-1,"n/a")</f>
        <v>n/a</v>
      </c>
      <c r="N13" s="60">
        <f>IFERROR(F13/J13-1,"n/a")</f>
        <v>5.555555555555558E-2</v>
      </c>
      <c r="O13" s="68">
        <f>'May-23'!O13+'June-23'!F13</f>
        <v>853</v>
      </c>
      <c r="P13" s="68">
        <f>'May-23'!$P$13+G13</f>
        <v>826</v>
      </c>
      <c r="Q13" s="68">
        <f>'May-23'!Q13+'June-23'!H13</f>
        <v>0</v>
      </c>
      <c r="R13" s="68">
        <f>'May-23'!R13+'June-23'!I13</f>
        <v>551</v>
      </c>
      <c r="S13" s="68">
        <f>'May-23'!S13+'June-23'!J13</f>
        <v>825</v>
      </c>
      <c r="T13" s="64">
        <f>IFERROR(O13/P13-1,"n/a")</f>
        <v>3.2687651331719136E-2</v>
      </c>
      <c r="U13" s="64" t="str">
        <f>IFERROR(O13/Q13-1,"n/a")</f>
        <v>n/a</v>
      </c>
      <c r="V13" s="64">
        <f>IFERROR(O13/R13-1,"n/a")</f>
        <v>0.5480943738656987</v>
      </c>
      <c r="W13" s="60">
        <f>IFERROR(O13/S13-1,"n/a")</f>
        <v>3.3939393939393936E-2</v>
      </c>
      <c r="X13" s="68">
        <v>1486</v>
      </c>
      <c r="Y13" s="68">
        <v>522</v>
      </c>
      <c r="Z13" s="70">
        <v>551</v>
      </c>
      <c r="AA13" s="78">
        <v>1591</v>
      </c>
      <c r="AB13" s="122"/>
      <c r="AC13" s="122"/>
    </row>
    <row r="14" spans="1:29" s="123" customFormat="1" ht="12.75">
      <c r="A14" s="122"/>
      <c r="B14" s="127"/>
      <c r="C14" s="33"/>
      <c r="D14" s="26" t="s">
        <v>11</v>
      </c>
      <c r="E14" s="32"/>
      <c r="F14" s="73">
        <v>359885</v>
      </c>
      <c r="G14" s="71">
        <v>251675</v>
      </c>
      <c r="H14" s="71">
        <v>0</v>
      </c>
      <c r="I14" s="71">
        <v>0</v>
      </c>
      <c r="J14" s="71">
        <v>303053</v>
      </c>
      <c r="K14" s="64">
        <f>IFERROR(F14/G14-1,"n/a")</f>
        <v>0.42995927287175917</v>
      </c>
      <c r="L14" s="64" t="str">
        <f t="shared" si="0"/>
        <v>n/a</v>
      </c>
      <c r="M14" s="64" t="str">
        <f>IFERROR(F14/I14-1,"n/a")</f>
        <v>n/a</v>
      </c>
      <c r="N14" s="60">
        <f>IFERROR(F14/J14-1,"n/a")</f>
        <v>0.1875315538866138</v>
      </c>
      <c r="O14" s="68">
        <f>'May-23'!$O$14+F14</f>
        <v>2701062</v>
      </c>
      <c r="P14" s="68">
        <f>'May-23'!P14+'June-23'!G14</f>
        <v>1544089</v>
      </c>
      <c r="Q14" s="68">
        <f>'May-23'!Q14+'June-23'!H14</f>
        <v>0</v>
      </c>
      <c r="R14" s="68">
        <f>'May-23'!R14+'June-23'!I14</f>
        <v>1092884</v>
      </c>
      <c r="S14" s="68">
        <f>'May-23'!S14+'June-23'!J14</f>
        <v>2451255</v>
      </c>
      <c r="T14" s="64">
        <f>IFERROR(O14/P14-1,"n/a")</f>
        <v>0.74929165352515303</v>
      </c>
      <c r="U14" s="64" t="str">
        <f>IFERROR(O14/Q14-1,"n/a")</f>
        <v>n/a</v>
      </c>
      <c r="V14" s="64">
        <f>IFERROR(O14/R14-1,"n/a")</f>
        <v>1.4714992625017844</v>
      </c>
      <c r="W14" s="60">
        <f>IFERROR(O14/S14-1,"n/a")</f>
        <v>0.10190983802174802</v>
      </c>
      <c r="X14" s="68">
        <v>3592413</v>
      </c>
      <c r="Y14" s="68">
        <v>768312</v>
      </c>
      <c r="Z14" s="70">
        <v>1092884</v>
      </c>
      <c r="AA14" s="78">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4"/>
      <c r="AA15" s="79"/>
      <c r="AB15" s="122"/>
      <c r="AC15" s="122"/>
    </row>
    <row r="16" spans="1:29" s="123" customFormat="1" ht="12.75">
      <c r="A16" s="122"/>
      <c r="B16" s="127"/>
      <c r="C16" s="33"/>
      <c r="D16" s="26" t="s">
        <v>5</v>
      </c>
      <c r="E16" s="32"/>
      <c r="F16" s="74">
        <v>73</v>
      </c>
      <c r="G16" s="71">
        <v>89</v>
      </c>
      <c r="H16" s="71">
        <v>17</v>
      </c>
      <c r="I16" s="71">
        <v>0</v>
      </c>
      <c r="J16" s="71">
        <v>71</v>
      </c>
      <c r="K16" s="64">
        <f>IFERROR(F16/G16-1,"n/a")</f>
        <v>-0.1797752808988764</v>
      </c>
      <c r="L16" s="64">
        <f t="shared" si="0"/>
        <v>3.2941176470588234</v>
      </c>
      <c r="M16" s="64" t="str">
        <f>IFERROR(F16/I16-1,"n/a")</f>
        <v>n/a</v>
      </c>
      <c r="N16" s="60">
        <f>IFERROR(F16/J16-1,"n/a")</f>
        <v>2.8169014084507005E-2</v>
      </c>
      <c r="O16" s="68">
        <f>'May-23'!$O$16+F16</f>
        <v>216</v>
      </c>
      <c r="P16" s="68">
        <f>'May-23'!P16+'June-23'!G16</f>
        <v>252</v>
      </c>
      <c r="Q16" s="68">
        <f>'May-23'!Q16+'June-23'!H16</f>
        <v>51</v>
      </c>
      <c r="R16" s="68">
        <f>'May-23'!R16+'June-23'!I16</f>
        <v>10</v>
      </c>
      <c r="S16" s="68">
        <f>'May-23'!S16+'June-23'!J16</f>
        <v>216</v>
      </c>
      <c r="T16" s="64">
        <f>IFERROR(O16/P16-1,"n/a")</f>
        <v>-0.1428571428571429</v>
      </c>
      <c r="U16" s="64">
        <f>IFERROR(O16/Q16-1,"n/a")</f>
        <v>3.2352941176470589</v>
      </c>
      <c r="V16" s="64">
        <f>IFERROR(O16/R16-1,"n/a")</f>
        <v>20.6</v>
      </c>
      <c r="W16" s="60">
        <f>IFERROR(O16/S16-1,"n/a")</f>
        <v>0</v>
      </c>
      <c r="X16" s="68">
        <v>572</v>
      </c>
      <c r="Y16" s="68">
        <v>202</v>
      </c>
      <c r="Z16" s="70">
        <v>54</v>
      </c>
      <c r="AA16" s="78">
        <v>586</v>
      </c>
      <c r="AB16" s="122"/>
      <c r="AC16" s="122"/>
    </row>
    <row r="17" spans="1:29" s="123" customFormat="1" ht="12.75">
      <c r="A17" s="122"/>
      <c r="B17" s="127"/>
      <c r="C17" s="33"/>
      <c r="D17" s="26" t="s">
        <v>11</v>
      </c>
      <c r="E17" s="32"/>
      <c r="F17" s="74">
        <v>224892</v>
      </c>
      <c r="G17" s="71">
        <v>121649</v>
      </c>
      <c r="H17" s="71">
        <v>24481</v>
      </c>
      <c r="I17" s="71">
        <v>0</v>
      </c>
      <c r="J17" s="71">
        <v>165399</v>
      </c>
      <c r="K17" s="64">
        <f>IFERROR(F17/G17-1,"n/a")</f>
        <v>0.84869583802579562</v>
      </c>
      <c r="L17" s="64">
        <f t="shared" si="0"/>
        <v>8.1863894448756174</v>
      </c>
      <c r="M17" s="64" t="str">
        <f>IFERROR(F17/I17-1,"n/a")</f>
        <v>n/a</v>
      </c>
      <c r="N17" s="60">
        <f>IFERROR(F17/J17-1,"n/a")</f>
        <v>0.35969383128072119</v>
      </c>
      <c r="O17" s="68">
        <f>'May-23'!O17+'June-23'!F17</f>
        <v>576378</v>
      </c>
      <c r="P17" s="68">
        <f>'May-23'!P17+'June-23'!G17</f>
        <v>300562</v>
      </c>
      <c r="Q17" s="68">
        <f>'May-23'!Q17+'June-23'!H17</f>
        <v>65067</v>
      </c>
      <c r="R17" s="68">
        <f>'May-23'!R17+'June-23'!I17</f>
        <v>41113</v>
      </c>
      <c r="S17" s="68">
        <f>'May-23'!S17+'June-23'!J17</f>
        <v>558503</v>
      </c>
      <c r="T17" s="64">
        <f>IFERROR(O17/P17-1,"n/a")</f>
        <v>0.9176675694199532</v>
      </c>
      <c r="U17" s="64">
        <f>IFERROR(O17/Q17-1,"n/a")</f>
        <v>7.8582230623818532</v>
      </c>
      <c r="V17" s="64">
        <f>IFERROR(O17/R17-1,"n/a")</f>
        <v>13.019361272590178</v>
      </c>
      <c r="W17" s="60">
        <f>IFERROR(O17/S17-1,"n/a")</f>
        <v>3.2005199613968083E-2</v>
      </c>
      <c r="X17" s="68">
        <v>965963</v>
      </c>
      <c r="Y17" s="68">
        <v>301521</v>
      </c>
      <c r="Z17" s="70">
        <v>70675</v>
      </c>
      <c r="AA17" s="78">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4"/>
      <c r="AA18" s="79"/>
      <c r="AB18" s="122"/>
      <c r="AC18" s="122"/>
    </row>
    <row r="19" spans="1:29" s="123" customFormat="1" ht="12.75">
      <c r="A19" s="122"/>
      <c r="B19" s="127"/>
      <c r="C19" s="33"/>
      <c r="D19" s="26" t="s">
        <v>5</v>
      </c>
      <c r="E19" s="32"/>
      <c r="F19" s="73">
        <v>87</v>
      </c>
      <c r="G19" s="71">
        <v>91</v>
      </c>
      <c r="H19" s="71">
        <v>0</v>
      </c>
      <c r="I19" s="71">
        <v>0</v>
      </c>
      <c r="J19" s="71">
        <v>42</v>
      </c>
      <c r="K19" s="64">
        <f>IFERROR(F19/G19-1,"n/a")</f>
        <v>-4.3956043956043911E-2</v>
      </c>
      <c r="L19" s="64" t="str">
        <f t="shared" si="0"/>
        <v>n/a</v>
      </c>
      <c r="M19" s="64" t="str">
        <f>IFERROR(F19/I19-1,"n/a")</f>
        <v>n/a</v>
      </c>
      <c r="N19" s="60">
        <f>IFERROR(F19/J19-1,"n/a")</f>
        <v>1.0714285714285716</v>
      </c>
      <c r="O19" s="68">
        <f>'May-23'!O19+'June-23'!F19</f>
        <v>256</v>
      </c>
      <c r="P19" s="68">
        <f>'May-23'!P19+'June-23'!G19</f>
        <v>229</v>
      </c>
      <c r="Q19" s="68">
        <f>'May-23'!Q19+'June-23'!H19</f>
        <v>3</v>
      </c>
      <c r="R19" s="68">
        <f>'May-23'!R19+'June-23'!I19</f>
        <v>3</v>
      </c>
      <c r="S19" s="68">
        <f>'May-23'!S19+'June-23'!J19</f>
        <v>106</v>
      </c>
      <c r="T19" s="64">
        <f>IFERROR(O19/P19-1,"n/a")</f>
        <v>0.11790393013100431</v>
      </c>
      <c r="U19" s="64">
        <f>IFERROR(O19/Q19-1,"n/a")</f>
        <v>84.333333333333329</v>
      </c>
      <c r="V19" s="64">
        <f>IFERROR(O19/R19-1,"n/a")</f>
        <v>84.333333333333329</v>
      </c>
      <c r="W19" s="60">
        <f>IFERROR(O19/S19-1,"n/a")</f>
        <v>1.4150943396226414</v>
      </c>
      <c r="X19" s="68">
        <v>658</v>
      </c>
      <c r="Y19" s="68">
        <v>47</v>
      </c>
      <c r="Z19" s="70">
        <v>9</v>
      </c>
      <c r="AA19" s="78">
        <v>290</v>
      </c>
      <c r="AB19" s="122"/>
      <c r="AC19" s="122"/>
    </row>
    <row r="20" spans="1:29" s="123" customFormat="1" ht="12.75">
      <c r="A20" s="122"/>
      <c r="B20" s="127"/>
      <c r="C20" s="33"/>
      <c r="D20" s="26" t="s">
        <v>11</v>
      </c>
      <c r="E20" s="32"/>
      <c r="F20" s="73">
        <f>132170+37144</f>
        <v>169314</v>
      </c>
      <c r="G20" s="71">
        <v>118355</v>
      </c>
      <c r="H20" s="71">
        <v>0</v>
      </c>
      <c r="I20" s="71">
        <v>2213</v>
      </c>
      <c r="J20" s="71">
        <f>46798+31061</f>
        <v>77859</v>
      </c>
      <c r="K20" s="64">
        <f>IFERROR(F20/G20-1,"n/a")</f>
        <v>0.43056060157999232</v>
      </c>
      <c r="L20" s="64" t="str">
        <f t="shared" si="0"/>
        <v>n/a</v>
      </c>
      <c r="M20" s="64">
        <f>IFERROR(F20/I20-1,"n/a")</f>
        <v>75.508811568007232</v>
      </c>
      <c r="N20" s="60">
        <f t="shared" ref="N20:N28" si="1">IFERROR(F20/J20-1,"n/a")</f>
        <v>1.1746233576079836</v>
      </c>
      <c r="O20" s="68">
        <f>'May-23'!O20+'June-23'!F20</f>
        <v>393780</v>
      </c>
      <c r="P20" s="68">
        <f>'May-23'!P20+'June-23'!G20</f>
        <v>242591</v>
      </c>
      <c r="Q20" s="68">
        <f>'May-23'!Q20+'June-23'!H20</f>
        <v>0</v>
      </c>
      <c r="R20" s="68">
        <f>'May-23'!R20+'June-23'!I20</f>
        <v>3966</v>
      </c>
      <c r="S20" s="68">
        <f>'May-23'!S20+'June-23'!J20</f>
        <v>186782</v>
      </c>
      <c r="T20" s="64">
        <f>IFERROR(O20/P20-1,"n/a")</f>
        <v>0.62322592346789452</v>
      </c>
      <c r="U20" s="64" t="str">
        <f>IFERROR(O20/Q20-1,"n/a")</f>
        <v>n/a</v>
      </c>
      <c r="V20" s="64">
        <f>IFERROR(O20/R20-1,"n/a")</f>
        <v>98.288956127080183</v>
      </c>
      <c r="W20" s="60">
        <f>IFERROR(O20/S20-1,"n/a")</f>
        <v>1.1082331273891488</v>
      </c>
      <c r="X20" s="68">
        <v>887495</v>
      </c>
      <c r="Y20" s="68">
        <v>17541</v>
      </c>
      <c r="Z20" s="70">
        <v>10047</v>
      </c>
      <c r="AA20" s="78">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122"/>
      <c r="AC21" s="122"/>
    </row>
    <row r="22" spans="1:29" s="123" customFormat="1" ht="12.75">
      <c r="A22" s="122"/>
      <c r="B22" s="127"/>
      <c r="C22" s="33"/>
      <c r="D22" s="26" t="s">
        <v>5</v>
      </c>
      <c r="E22" s="34"/>
      <c r="F22" s="74">
        <v>88</v>
      </c>
      <c r="G22" s="71">
        <v>69</v>
      </c>
      <c r="H22" s="71">
        <v>4</v>
      </c>
      <c r="I22" s="71">
        <v>0</v>
      </c>
      <c r="J22" s="71">
        <v>70</v>
      </c>
      <c r="K22" s="64">
        <f>IFERROR(F22/G22-1,"n/a")</f>
        <v>0.2753623188405796</v>
      </c>
      <c r="L22" s="64">
        <f t="shared" si="0"/>
        <v>21</v>
      </c>
      <c r="M22" s="64" t="str">
        <f>IFERROR(F22/I22-1,"n/a")</f>
        <v>n/a</v>
      </c>
      <c r="N22" s="60">
        <f t="shared" si="1"/>
        <v>0.25714285714285712</v>
      </c>
      <c r="O22" s="68">
        <f>'May-23'!O22+'June-23'!F22</f>
        <v>695</v>
      </c>
      <c r="P22" s="68">
        <f>'May-23'!P22+'June-23'!G22</f>
        <v>325</v>
      </c>
      <c r="Q22" s="68">
        <f>'May-23'!Q22+'June-23'!H22</f>
        <v>4</v>
      </c>
      <c r="R22" s="68">
        <f>'May-23'!R22+'June-23'!I22</f>
        <v>205</v>
      </c>
      <c r="S22" s="68">
        <f>'May-23'!S22+'June-23'!J22</f>
        <v>596</v>
      </c>
      <c r="T22" s="64">
        <f>IFERROR(O22/P22-1,"n/a")</f>
        <v>1.1384615384615384</v>
      </c>
      <c r="U22" s="64">
        <f>IFERROR(O22/Q22-1,"n/a")</f>
        <v>172.75</v>
      </c>
      <c r="V22" s="64">
        <f>IFERROR(O22/R22-1,"n/a")</f>
        <v>2.3902439024390243</v>
      </c>
      <c r="W22" s="60">
        <f>IFERROR(O22/S22-1,"n/a")</f>
        <v>0.16610738255033564</v>
      </c>
      <c r="X22" s="68">
        <v>895</v>
      </c>
      <c r="Y22" s="68">
        <v>283</v>
      </c>
      <c r="Z22" s="70">
        <v>43</v>
      </c>
      <c r="AA22" s="78">
        <v>827</v>
      </c>
      <c r="AB22" s="122"/>
      <c r="AC22" s="122"/>
    </row>
    <row r="23" spans="1:29" s="123" customFormat="1" ht="12.75">
      <c r="A23" s="122"/>
      <c r="B23" s="127"/>
      <c r="C23" s="33"/>
      <c r="D23" s="26" t="s">
        <v>11</v>
      </c>
      <c r="E23" s="32"/>
      <c r="F23" s="73">
        <v>334459</v>
      </c>
      <c r="G23" s="71">
        <v>183895</v>
      </c>
      <c r="H23" s="71">
        <v>4923</v>
      </c>
      <c r="I23" s="71">
        <v>0</v>
      </c>
      <c r="J23" s="71">
        <v>275367</v>
      </c>
      <c r="K23" s="64">
        <f>IFERROR(F23/G23-1,"n/a")</f>
        <v>0.81874983006607027</v>
      </c>
      <c r="L23" s="64">
        <f t="shared" si="0"/>
        <v>66.93804590696729</v>
      </c>
      <c r="M23" s="64" t="str">
        <f>IFERROR(F23/I23-1,"n/a")</f>
        <v>n/a</v>
      </c>
      <c r="N23" s="60">
        <f t="shared" si="1"/>
        <v>0.2145936150664387</v>
      </c>
      <c r="O23" s="68">
        <f>'May-23'!O23+'June-23'!F23</f>
        <v>1893954</v>
      </c>
      <c r="P23" s="68">
        <f>'May-23'!P23+'June-23'!G23</f>
        <v>536176</v>
      </c>
      <c r="Q23" s="68">
        <f>'May-23'!Q23+'June-23'!H23</f>
        <v>4923</v>
      </c>
      <c r="R23" s="68">
        <f>'May-23'!R23+'June-23'!I23</f>
        <v>545974</v>
      </c>
      <c r="S23" s="68">
        <f>'May-23'!S23+'June-23'!J23</f>
        <v>1708367</v>
      </c>
      <c r="T23" s="64">
        <f>IFERROR(O23/P23-1,"n/a")</f>
        <v>2.5323363970039687</v>
      </c>
      <c r="U23" s="64">
        <f>IFERROR(O23/Q23-1,"n/a")</f>
        <v>383.7154174283973</v>
      </c>
      <c r="V23" s="64">
        <f>IFERROR(O23/R23-1,"n/a")</f>
        <v>2.4689454076567747</v>
      </c>
      <c r="W23" s="60">
        <f>IFERROR(O23/S23-1,"n/a")</f>
        <v>0.10863415179525249</v>
      </c>
      <c r="X23" s="68">
        <v>2165161</v>
      </c>
      <c r="Y23" s="68">
        <v>465109</v>
      </c>
      <c r="Z23" s="70">
        <v>140552</v>
      </c>
      <c r="AA23" s="78">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0"/>
      <c r="X24" s="43"/>
      <c r="Y24" s="43"/>
      <c r="Z24" s="44"/>
      <c r="AA24" s="79"/>
      <c r="AB24" s="122"/>
      <c r="AC24" s="122"/>
    </row>
    <row r="25" spans="1:29" s="123" customFormat="1" ht="12.75">
      <c r="B25" s="127"/>
      <c r="C25" s="33"/>
      <c r="D25" s="26" t="s">
        <v>5</v>
      </c>
      <c r="E25" s="32"/>
      <c r="F25" s="71">
        <v>4</v>
      </c>
      <c r="G25" s="71">
        <v>1</v>
      </c>
      <c r="H25" s="71">
        <v>0</v>
      </c>
      <c r="I25" s="71">
        <v>0</v>
      </c>
      <c r="J25" s="71">
        <v>5</v>
      </c>
      <c r="K25" s="64">
        <f>IFERROR(F25/G25-1,"n/a")</f>
        <v>3</v>
      </c>
      <c r="L25" s="64" t="str">
        <f t="shared" si="0"/>
        <v>n/a</v>
      </c>
      <c r="M25" s="64" t="str">
        <f>IFERROR(F25/I25-1,"n/a")</f>
        <v>n/a</v>
      </c>
      <c r="N25" s="60">
        <f t="shared" si="1"/>
        <v>-0.19999999999999996</v>
      </c>
      <c r="O25" s="68">
        <f>'May-23'!O25+'June-23'!F25</f>
        <v>8</v>
      </c>
      <c r="P25" s="68">
        <f>'May-23'!P25+'June-23'!G25</f>
        <v>2</v>
      </c>
      <c r="Q25" s="68">
        <f>'May-23'!Q25+'June-23'!H25</f>
        <v>0</v>
      </c>
      <c r="R25" s="68">
        <f>'May-23'!R25+'June-23'!I25</f>
        <v>0</v>
      </c>
      <c r="S25" s="68">
        <f>'May-23'!S25+'June-23'!J25</f>
        <v>8</v>
      </c>
      <c r="T25" s="64">
        <f>IFERROR(O25/P25-1,"n/a")</f>
        <v>3</v>
      </c>
      <c r="U25" s="64" t="str">
        <f>IFERROR(O25/Q25-1,"n/a")</f>
        <v>n/a</v>
      </c>
      <c r="V25" s="64" t="str">
        <f>IFERROR(O25/R25-1,"n/a")</f>
        <v>n/a</v>
      </c>
      <c r="W25" s="60">
        <f>IFERROR(O25/S25-1,"n/a")</f>
        <v>0</v>
      </c>
      <c r="X25" s="68">
        <v>9</v>
      </c>
      <c r="Y25" s="68">
        <v>0</v>
      </c>
      <c r="Z25" s="68">
        <v>0</v>
      </c>
      <c r="AA25" s="78">
        <v>16</v>
      </c>
      <c r="AB25" s="122"/>
      <c r="AC25" s="122"/>
    </row>
    <row r="26" spans="1:29" s="123" customFormat="1" ht="12.75">
      <c r="A26" s="122"/>
      <c r="B26" s="127"/>
      <c r="C26" s="33"/>
      <c r="D26" s="26" t="s">
        <v>11</v>
      </c>
      <c r="E26" s="32"/>
      <c r="F26" s="71">
        <v>9205</v>
      </c>
      <c r="G26" s="71">
        <v>2226</v>
      </c>
      <c r="H26" s="71">
        <v>0</v>
      </c>
      <c r="I26" s="71">
        <v>0</v>
      </c>
      <c r="J26" s="71">
        <v>6817</v>
      </c>
      <c r="K26" s="64">
        <f>IFERROR(F26/G26-1,"n/a")</f>
        <v>3.1352201257861632</v>
      </c>
      <c r="L26" s="64" t="str">
        <f t="shared" si="0"/>
        <v>n/a</v>
      </c>
      <c r="M26" s="64" t="str">
        <f>IFERROR(F26/I26-1,"n/a")</f>
        <v>n/a</v>
      </c>
      <c r="N26" s="60">
        <f t="shared" si="1"/>
        <v>0.35030071879125724</v>
      </c>
      <c r="O26" s="68">
        <f>'May-23'!O26+'June-23'!F26</f>
        <v>13587</v>
      </c>
      <c r="P26" s="68">
        <f>'May-23'!P26+'June-23'!G26</f>
        <v>3151</v>
      </c>
      <c r="Q26" s="68">
        <f>'May-23'!Q26+'June-23'!H26</f>
        <v>0</v>
      </c>
      <c r="R26" s="68">
        <f>'May-23'!R26+'June-23'!I26</f>
        <v>0</v>
      </c>
      <c r="S26" s="68">
        <f>'May-23'!S26+'June-23'!J26</f>
        <v>10227</v>
      </c>
      <c r="T26" s="64">
        <f>IFERROR(O26/P26-1,"n/a")</f>
        <v>3.3119644557283401</v>
      </c>
      <c r="U26" s="64" t="str">
        <f>IFERROR(O26/Q26-1,"n/a")</f>
        <v>n/a</v>
      </c>
      <c r="V26" s="64" t="str">
        <f>IFERROR(O26/R26-1,"n/a")</f>
        <v>n/a</v>
      </c>
      <c r="W26" s="60">
        <f>IFERROR(O26/S26-1,"n/a")</f>
        <v>0.32854209445585214</v>
      </c>
      <c r="X26" s="68">
        <v>15637</v>
      </c>
      <c r="Y26" s="68">
        <v>0</v>
      </c>
      <c r="Z26" s="68">
        <v>0</v>
      </c>
      <c r="AA26" s="78">
        <v>20248</v>
      </c>
      <c r="AB26" s="122"/>
      <c r="AC26" s="122"/>
    </row>
    <row r="27" spans="1:29" s="123" customFormat="1" ht="13.5" thickBot="1">
      <c r="A27" s="122"/>
      <c r="B27" s="127"/>
      <c r="C27" s="35" t="s">
        <v>12</v>
      </c>
      <c r="D27" s="36"/>
      <c r="E27" s="37"/>
      <c r="F27" s="75">
        <f t="shared" ref="F27:J28" si="2">F13+F16+F19+F22+F25</f>
        <v>347</v>
      </c>
      <c r="G27" s="75">
        <f t="shared" si="2"/>
        <v>327</v>
      </c>
      <c r="H27" s="75">
        <f t="shared" si="2"/>
        <v>21</v>
      </c>
      <c r="I27" s="75">
        <f t="shared" si="2"/>
        <v>0</v>
      </c>
      <c r="J27" s="75">
        <f t="shared" si="2"/>
        <v>278</v>
      </c>
      <c r="K27" s="66">
        <f>IFERROR(F27/G27-1,"n/a")</f>
        <v>6.1162079510703293E-2</v>
      </c>
      <c r="L27" s="66">
        <f t="shared" si="0"/>
        <v>15.523809523809526</v>
      </c>
      <c r="M27" s="66" t="str">
        <f>IFERROR(F27/I27-1,"n/a")</f>
        <v>n/a</v>
      </c>
      <c r="N27" s="62">
        <f t="shared" si="1"/>
        <v>0.24820143884892087</v>
      </c>
      <c r="O27" s="75">
        <f t="shared" ref="O27:S28" si="3">O13+O16+O19+O22+O25</f>
        <v>2028</v>
      </c>
      <c r="P27" s="75">
        <f t="shared" si="3"/>
        <v>1634</v>
      </c>
      <c r="Q27" s="75">
        <f t="shared" si="3"/>
        <v>58</v>
      </c>
      <c r="R27" s="75">
        <f t="shared" si="3"/>
        <v>769</v>
      </c>
      <c r="S27" s="75">
        <f t="shared" si="3"/>
        <v>1751</v>
      </c>
      <c r="T27" s="66">
        <f>IFERROR(O27/P27-1,"n/a")</f>
        <v>0.24112607099143202</v>
      </c>
      <c r="U27" s="66">
        <f>IFERROR(O27/Q27-1,"n/a")</f>
        <v>33.96551724137931</v>
      </c>
      <c r="V27" s="66">
        <f>IFERROR(O27/R27-1,"n/a")</f>
        <v>1.6371911573472042</v>
      </c>
      <c r="W27" s="62">
        <f>IFERROR(O27/S27-1,"n/a")</f>
        <v>0.15819531696173605</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1097755</v>
      </c>
      <c r="G28" s="76">
        <f t="shared" si="2"/>
        <v>677800</v>
      </c>
      <c r="H28" s="76">
        <f t="shared" si="2"/>
        <v>29404</v>
      </c>
      <c r="I28" s="76">
        <f t="shared" si="2"/>
        <v>2213</v>
      </c>
      <c r="J28" s="76">
        <f t="shared" si="2"/>
        <v>828495</v>
      </c>
      <c r="K28" s="67">
        <f>IFERROR(F28/G28-1,"n/a")</f>
        <v>0.61958542342874012</v>
      </c>
      <c r="L28" s="67">
        <f t="shared" si="0"/>
        <v>36.333526050877431</v>
      </c>
      <c r="M28" s="67">
        <f>IFERROR(F28/I28-1,"n/a")</f>
        <v>495.04835065521917</v>
      </c>
      <c r="N28" s="63">
        <f t="shared" si="1"/>
        <v>0.32499894386809824</v>
      </c>
      <c r="O28" s="76">
        <f t="shared" si="3"/>
        <v>5578761</v>
      </c>
      <c r="P28" s="76">
        <f t="shared" si="3"/>
        <v>2626569</v>
      </c>
      <c r="Q28" s="76">
        <f t="shared" si="3"/>
        <v>69990</v>
      </c>
      <c r="R28" s="76">
        <f t="shared" si="3"/>
        <v>1683937</v>
      </c>
      <c r="S28" s="76">
        <f t="shared" si="3"/>
        <v>4915134</v>
      </c>
      <c r="T28" s="67">
        <f>IFERROR(O28/P28-1,"n/a")</f>
        <v>1.1239727568550455</v>
      </c>
      <c r="U28" s="67">
        <f>IFERROR(O28/Q28-1,"n/a")</f>
        <v>78.707972567509643</v>
      </c>
      <c r="V28" s="67">
        <f>IFERROR(O28/R28-1,"n/a")</f>
        <v>2.3129273838629354</v>
      </c>
      <c r="W28" s="63">
        <f>IFERROR(O28/S28-1,"n/a")</f>
        <v>0.13501707176243816</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70" t="str">
        <f>F9</f>
        <v>June</v>
      </c>
      <c r="G33" s="170"/>
      <c r="H33" s="170"/>
      <c r="I33" s="170"/>
      <c r="J33" s="170"/>
      <c r="K33" s="170"/>
      <c r="L33" s="170"/>
      <c r="M33" s="170"/>
      <c r="N33" s="171"/>
      <c r="O33" s="176" t="s">
        <v>123</v>
      </c>
      <c r="P33" s="177"/>
      <c r="Q33" s="177"/>
      <c r="R33" s="177"/>
      <c r="S33" s="177"/>
      <c r="T33" s="177"/>
      <c r="U33" s="177"/>
      <c r="V33" s="177"/>
      <c r="W33" s="178"/>
      <c r="X33" s="169" t="s">
        <v>58</v>
      </c>
      <c r="Y33" s="170"/>
      <c r="Z33" s="170"/>
      <c r="AA33" s="172"/>
    </row>
    <row r="34" spans="1:29" s="123" customFormat="1" ht="11.25">
      <c r="A34" s="122"/>
      <c r="B34" s="122"/>
      <c r="C34" s="29"/>
      <c r="D34" s="30"/>
      <c r="E34" s="30"/>
      <c r="F34" s="175"/>
      <c r="G34" s="173"/>
      <c r="H34" s="173"/>
      <c r="I34" s="173"/>
      <c r="J34" s="173"/>
      <c r="K34" s="173"/>
      <c r="L34" s="173"/>
      <c r="M34" s="173"/>
      <c r="N34" s="174"/>
      <c r="O34" s="175"/>
      <c r="P34" s="173"/>
      <c r="Q34" s="173"/>
      <c r="R34" s="173"/>
      <c r="S34" s="173"/>
      <c r="T34" s="173"/>
      <c r="U34" s="173"/>
      <c r="V34" s="173"/>
      <c r="W34" s="174"/>
      <c r="X34" s="175"/>
      <c r="Y34" s="173"/>
      <c r="Z34" s="173"/>
      <c r="AA34" s="174"/>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95</v>
      </c>
      <c r="G37" s="74">
        <f t="shared" si="5"/>
        <v>77</v>
      </c>
      <c r="H37" s="74">
        <f t="shared" si="5"/>
        <v>0</v>
      </c>
      <c r="I37" s="74">
        <f t="shared" si="5"/>
        <v>0</v>
      </c>
      <c r="J37" s="74">
        <f t="shared" si="5"/>
        <v>90</v>
      </c>
      <c r="K37" s="64">
        <f>IFERROR(F37/G37-1,"n/a")</f>
        <v>0.23376623376623384</v>
      </c>
      <c r="L37" s="64" t="str">
        <f>IFERROR(F37/H37-1,"n/a")</f>
        <v>n/a</v>
      </c>
      <c r="M37" s="64" t="str">
        <f>IFERROR(F37/I37-1,"n/a")</f>
        <v>n/a</v>
      </c>
      <c r="N37" s="60">
        <f>IFERROR(F37/J37-1,"n/a")</f>
        <v>5.555555555555558E-2</v>
      </c>
      <c r="O37" s="74">
        <f>'May-23'!O37+'June-23'!F37</f>
        <v>323</v>
      </c>
      <c r="P37" s="74">
        <f>'May-23'!P37+'June-23'!G37</f>
        <v>296</v>
      </c>
      <c r="Q37" s="74">
        <f>'May-23'!Q37+'June-23'!H37</f>
        <v>0</v>
      </c>
      <c r="R37" s="74">
        <f>'May-23'!R37+'June-23'!I37</f>
        <v>42</v>
      </c>
      <c r="S37" s="74">
        <f>'May-23'!S37+'June-23'!J37</f>
        <v>309</v>
      </c>
      <c r="T37" s="119">
        <f>IFERROR(O37/P37-1,"n/a")</f>
        <v>9.1216216216216228E-2</v>
      </c>
      <c r="U37" s="119" t="str">
        <f>IFERROR(O37/Q37-1,"n/a")</f>
        <v>n/a</v>
      </c>
      <c r="V37" s="119">
        <f>IFERROR(O37/R37-1,"n/a")</f>
        <v>6.6904761904761907</v>
      </c>
      <c r="W37" s="120">
        <f>IFERROR(O37/S37-1,"n/a")</f>
        <v>4.5307443365695699E-2</v>
      </c>
      <c r="X37" s="89">
        <v>1486</v>
      </c>
      <c r="Y37" s="89">
        <v>1052</v>
      </c>
      <c r="Z37" s="70">
        <v>551</v>
      </c>
      <c r="AA37" s="78">
        <v>1584</v>
      </c>
      <c r="AC37" s="122"/>
    </row>
    <row r="38" spans="1:29" s="123" customFormat="1" ht="11.25">
      <c r="A38" s="122"/>
      <c r="B38" s="122"/>
      <c r="C38" s="33"/>
      <c r="D38" s="26" t="s">
        <v>11</v>
      </c>
      <c r="E38" s="32"/>
      <c r="F38" s="74">
        <f t="shared" si="5"/>
        <v>359885</v>
      </c>
      <c r="G38" s="74">
        <f t="shared" si="5"/>
        <v>251675</v>
      </c>
      <c r="H38" s="74">
        <f t="shared" si="5"/>
        <v>0</v>
      </c>
      <c r="I38" s="74">
        <f t="shared" si="5"/>
        <v>0</v>
      </c>
      <c r="J38" s="74">
        <f t="shared" si="5"/>
        <v>303053</v>
      </c>
      <c r="K38" s="64">
        <f>IFERROR(F38/G38-1,"n/a")</f>
        <v>0.42995927287175917</v>
      </c>
      <c r="L38" s="64" t="str">
        <f>IFERROR(F38/H38-1,"n/a")</f>
        <v>n/a</v>
      </c>
      <c r="M38" s="64" t="str">
        <f>IFERROR(F38/I38-1,"n/a")</f>
        <v>n/a</v>
      </c>
      <c r="N38" s="60">
        <f>IFERROR(F38/J38-1,"n/a")</f>
        <v>0.1875315538866138</v>
      </c>
      <c r="O38" s="74">
        <f>'May-23'!O38+'June-23'!F38</f>
        <v>1162878</v>
      </c>
      <c r="P38" s="74">
        <f>'May-23'!P38+'June-23'!G38</f>
        <v>784431</v>
      </c>
      <c r="Q38" s="74">
        <f>'May-23'!Q38+'June-23'!H38</f>
        <v>0</v>
      </c>
      <c r="R38" s="74">
        <f>'May-23'!R38+'June-23'!I38</f>
        <v>0</v>
      </c>
      <c r="S38" s="74">
        <f>'May-23'!S38+'June-23'!J38</f>
        <v>1000151</v>
      </c>
      <c r="T38" s="119">
        <f>IFERROR(O38/P38-1,"n/a")</f>
        <v>0.48244778699464952</v>
      </c>
      <c r="U38" s="119" t="str">
        <f>IFERROR(O38/Q38-1,"n/a")</f>
        <v>n/a</v>
      </c>
      <c r="V38" s="119" t="str">
        <f>IFERROR(O38/R38-1,"n/a")</f>
        <v>n/a</v>
      </c>
      <c r="W38" s="120">
        <f>IFERROR(O38/S38-1,"n/a")</f>
        <v>0.16270243193277811</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73</v>
      </c>
      <c r="G40" s="74">
        <f t="shared" si="6"/>
        <v>89</v>
      </c>
      <c r="H40" s="74">
        <f t="shared" si="6"/>
        <v>17</v>
      </c>
      <c r="I40" s="74">
        <f t="shared" si="6"/>
        <v>0</v>
      </c>
      <c r="J40" s="74">
        <f t="shared" si="6"/>
        <v>71</v>
      </c>
      <c r="K40" s="64">
        <f>IFERROR(F40/G40-1,"n/a")</f>
        <v>-0.1797752808988764</v>
      </c>
      <c r="L40" s="64">
        <f>IFERROR(F40/H40-1,"n/a")</f>
        <v>3.2941176470588234</v>
      </c>
      <c r="M40" s="64" t="str">
        <f>IFERROR(F40/I40-1,"n/a")</f>
        <v>n/a</v>
      </c>
      <c r="N40" s="60">
        <f>IFERROR(F40/J40-1,"n/a")</f>
        <v>2.8169014084507005E-2</v>
      </c>
      <c r="O40" s="74">
        <f>'May-23'!O40+'June-23'!F40</f>
        <v>189</v>
      </c>
      <c r="P40" s="74">
        <f>'May-23'!P40+'June-23'!G40</f>
        <v>216</v>
      </c>
      <c r="Q40" s="74">
        <f>'May-23'!Q40+'June-23'!H40</f>
        <v>39</v>
      </c>
      <c r="R40" s="74">
        <f>'May-23'!R40+'June-23'!I40</f>
        <v>0</v>
      </c>
      <c r="S40" s="74">
        <f>'May-23'!S40+'June-23'!J40</f>
        <v>193</v>
      </c>
      <c r="T40" s="119">
        <f>IFERROR(O40/P40-1,"n/a")</f>
        <v>-0.125</v>
      </c>
      <c r="U40" s="119">
        <f>IFERROR(O40/Q40-1,"n/a")</f>
        <v>3.8461538461538458</v>
      </c>
      <c r="V40" s="119" t="str">
        <f>IFERROR(O40/R40-1,"n/a")</f>
        <v>n/a</v>
      </c>
      <c r="W40" s="120">
        <f>IFERROR(O40/S40-1,"n/a")</f>
        <v>-2.0725388601036232E-2</v>
      </c>
      <c r="X40" s="89">
        <v>563</v>
      </c>
      <c r="Y40" s="89">
        <v>226</v>
      </c>
      <c r="Z40" s="70">
        <v>66</v>
      </c>
      <c r="AA40" s="78">
        <v>573</v>
      </c>
      <c r="AC40" s="122"/>
    </row>
    <row r="41" spans="1:29" s="123" customFormat="1" ht="11.25">
      <c r="A41" s="122"/>
      <c r="B41" s="122"/>
      <c r="C41" s="33"/>
      <c r="D41" s="26" t="s">
        <v>11</v>
      </c>
      <c r="E41" s="32"/>
      <c r="F41" s="74">
        <f t="shared" si="6"/>
        <v>224892</v>
      </c>
      <c r="G41" s="74">
        <f t="shared" si="6"/>
        <v>121649</v>
      </c>
      <c r="H41" s="74">
        <f t="shared" si="6"/>
        <v>24481</v>
      </c>
      <c r="I41" s="74">
        <f t="shared" si="6"/>
        <v>0</v>
      </c>
      <c r="J41" s="74">
        <f t="shared" si="6"/>
        <v>165399</v>
      </c>
      <c r="K41" s="64">
        <f>IFERROR(F41/G41-1,"n/a")</f>
        <v>0.84869583802579562</v>
      </c>
      <c r="L41" s="64">
        <f>IFERROR(F41/H41-1,"n/a")</f>
        <v>8.1863894448756174</v>
      </c>
      <c r="M41" s="64" t="str">
        <f>IFERROR(F41/I41-1,"n/a")</f>
        <v>n/a</v>
      </c>
      <c r="N41" s="60">
        <f>IFERROR(F41/J41-1,"n/a")</f>
        <v>0.35969383128072119</v>
      </c>
      <c r="O41" s="74">
        <f>'May-23'!O41+'June-23'!F41</f>
        <v>493323</v>
      </c>
      <c r="P41" s="74">
        <f>'May-23'!P41+'June-23'!G41</f>
        <v>264054</v>
      </c>
      <c r="Q41" s="74">
        <f>'May-23'!Q41+'June-23'!H41</f>
        <v>54964</v>
      </c>
      <c r="R41" s="74">
        <f>'May-23'!R41+'June-23'!I41</f>
        <v>0</v>
      </c>
      <c r="S41" s="74">
        <f>'May-23'!S41+'June-23'!J41</f>
        <v>478129</v>
      </c>
      <c r="T41" s="119">
        <f>IFERROR(O41/P41-1,"n/a")</f>
        <v>0.86826558204003734</v>
      </c>
      <c r="U41" s="119">
        <f>IFERROR(O41/Q41-1,"n/a")</f>
        <v>7.9753838876355427</v>
      </c>
      <c r="V41" s="119" t="str">
        <f>IFERROR(O41/R41-1,"n/a")</f>
        <v>n/a</v>
      </c>
      <c r="W41" s="120">
        <f>IFERROR(O41/S41-1,"n/a")</f>
        <v>3.1778034798140231E-2</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87</v>
      </c>
      <c r="G43" s="74">
        <f t="shared" si="7"/>
        <v>91</v>
      </c>
      <c r="H43" s="74">
        <f t="shared" si="7"/>
        <v>0</v>
      </c>
      <c r="I43" s="74">
        <f t="shared" si="7"/>
        <v>0</v>
      </c>
      <c r="J43" s="74">
        <f t="shared" si="7"/>
        <v>42</v>
      </c>
      <c r="K43" s="64">
        <f>IFERROR(F43/G43-1,"n/a")</f>
        <v>-4.3956043956043911E-2</v>
      </c>
      <c r="L43" s="64" t="str">
        <f>IFERROR(F43/H43-1,"n/a")</f>
        <v>n/a</v>
      </c>
      <c r="M43" s="64" t="str">
        <f>IFERROR(F43/I43-1,"n/a")</f>
        <v>n/a</v>
      </c>
      <c r="N43" s="60">
        <f>IFERROR(F43/J43-1,"n/a")</f>
        <v>1.0714285714285716</v>
      </c>
      <c r="O43" s="74">
        <f>'May-23'!O43+'June-23'!F43</f>
        <v>233</v>
      </c>
      <c r="P43" s="74">
        <f>'May-23'!P43+'June-23'!G43</f>
        <v>217</v>
      </c>
      <c r="Q43" s="74">
        <f>'May-23'!Q43+'June-23'!H43</f>
        <v>3</v>
      </c>
      <c r="R43" s="74">
        <f>'May-23'!R43+'June-23'!I43</f>
        <v>0</v>
      </c>
      <c r="S43" s="74">
        <f>'May-23'!S43+'June-23'!J43</f>
        <v>100</v>
      </c>
      <c r="T43" s="119">
        <f>IFERROR(O43/P43-1,"n/a")</f>
        <v>7.3732718894009119E-2</v>
      </c>
      <c r="U43" s="119">
        <f>IFERROR(O43/Q43-1,"n/a")</f>
        <v>76.666666666666671</v>
      </c>
      <c r="V43" s="119" t="str">
        <f>IFERROR(O43/R43-1,"n/a")</f>
        <v>n/a</v>
      </c>
      <c r="W43" s="120">
        <f>IFERROR(O43/S43-1,"n/a")</f>
        <v>1.33</v>
      </c>
      <c r="X43" s="89">
        <v>669</v>
      </c>
      <c r="Y43" s="89">
        <v>59</v>
      </c>
      <c r="Z43" s="70">
        <v>9</v>
      </c>
      <c r="AA43" s="78">
        <v>287</v>
      </c>
      <c r="AC43" s="122"/>
    </row>
    <row r="44" spans="1:29" s="123" customFormat="1" ht="11.25">
      <c r="A44" s="122"/>
      <c r="B44" s="122"/>
      <c r="C44" s="33"/>
      <c r="D44" s="26" t="s">
        <v>11</v>
      </c>
      <c r="E44" s="32"/>
      <c r="F44" s="74">
        <f t="shared" si="7"/>
        <v>169314</v>
      </c>
      <c r="G44" s="74">
        <f t="shared" si="7"/>
        <v>118355</v>
      </c>
      <c r="H44" s="74">
        <f t="shared" si="7"/>
        <v>0</v>
      </c>
      <c r="I44" s="74">
        <f t="shared" si="7"/>
        <v>2213</v>
      </c>
      <c r="J44" s="74">
        <f t="shared" si="7"/>
        <v>77859</v>
      </c>
      <c r="K44" s="64">
        <f>IFERROR(F44/G44-1,"n/a")</f>
        <v>0.43056060157999232</v>
      </c>
      <c r="L44" s="64" t="str">
        <f>IFERROR(F44/H44-1,"n/a")</f>
        <v>n/a</v>
      </c>
      <c r="M44" s="64">
        <f>IFERROR(F44/I44-1,"n/a")</f>
        <v>75.508811568007232</v>
      </c>
      <c r="N44" s="60">
        <f>IFERROR(F44/J44-1,"n/a")</f>
        <v>1.1746233576079836</v>
      </c>
      <c r="O44" s="74">
        <f>'May-23'!O44+'June-23'!F44</f>
        <v>372934</v>
      </c>
      <c r="P44" s="74">
        <f>'May-23'!P44+'June-23'!G44</f>
        <v>239506</v>
      </c>
      <c r="Q44" s="74">
        <f>'May-23'!Q44+'June-23'!H44</f>
        <v>0</v>
      </c>
      <c r="R44" s="74">
        <f>'May-23'!R44+'June-23'!I44</f>
        <v>2213</v>
      </c>
      <c r="S44" s="74">
        <f>'May-23'!S44+'June-23'!J44</f>
        <v>180298</v>
      </c>
      <c r="T44" s="119">
        <f>IFERROR(O44/P44-1,"n/a")</f>
        <v>0.55709669068833345</v>
      </c>
      <c r="U44" s="119" t="str">
        <f>IFERROR(O44/Q44-1,"n/a")</f>
        <v>n/a</v>
      </c>
      <c r="V44" s="119">
        <f>IFERROR(O44/R44-1,"n/a")</f>
        <v>167.51965657478536</v>
      </c>
      <c r="W44" s="120">
        <f>IFERROR(O44/S44-1,"n/a")</f>
        <v>1.068431152869139</v>
      </c>
      <c r="X44" s="82">
        <f>709768+195488</f>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88</v>
      </c>
      <c r="G46" s="74">
        <f t="shared" si="8"/>
        <v>69</v>
      </c>
      <c r="H46" s="74">
        <f t="shared" si="8"/>
        <v>4</v>
      </c>
      <c r="I46" s="74">
        <f t="shared" si="8"/>
        <v>0</v>
      </c>
      <c r="J46" s="74">
        <f t="shared" si="8"/>
        <v>70</v>
      </c>
      <c r="K46" s="64">
        <f>IFERROR(F46/G46-1,"n/a")</f>
        <v>0.2753623188405796</v>
      </c>
      <c r="L46" s="64">
        <f>IFERROR(F46/H46-1,"n/a")</f>
        <v>21</v>
      </c>
      <c r="M46" s="64" t="str">
        <f>IFERROR(F46/I46-1,"n/a")</f>
        <v>n/a</v>
      </c>
      <c r="N46" s="60">
        <f>IFERROR(F46/J46-1,"n/a")</f>
        <v>0.25714285714285712</v>
      </c>
      <c r="O46" s="74">
        <f>'May-23'!O46+'June-23'!F46</f>
        <v>408</v>
      </c>
      <c r="P46" s="74">
        <f>'May-23'!P46+'June-23'!G46</f>
        <v>272</v>
      </c>
      <c r="Q46" s="74">
        <f>'May-23'!Q46+'June-23'!H46</f>
        <v>4</v>
      </c>
      <c r="R46" s="74">
        <f>'May-23'!R46+'June-23'!I46</f>
        <v>0</v>
      </c>
      <c r="S46" s="74">
        <f>'May-23'!S46+'June-23'!J46</f>
        <v>273</v>
      </c>
      <c r="T46" s="119">
        <f>IFERROR(O46/P46-1,"n/a")</f>
        <v>0.5</v>
      </c>
      <c r="U46" s="119">
        <f>IFERROR(O46/Q46-1,"n/a")</f>
        <v>101</v>
      </c>
      <c r="V46" s="119" t="str">
        <f>IFERROR(O46/R46-1,"n/a")</f>
        <v>n/a</v>
      </c>
      <c r="W46" s="120">
        <f>IFERROR(O46/S46-1,"n/a")</f>
        <v>0.49450549450549453</v>
      </c>
      <c r="X46" s="89">
        <v>1129</v>
      </c>
      <c r="Y46" s="89">
        <v>336</v>
      </c>
      <c r="Z46" s="84">
        <v>43</v>
      </c>
      <c r="AA46" s="78">
        <v>781</v>
      </c>
      <c r="AC46" s="122"/>
    </row>
    <row r="47" spans="1:29" s="123" customFormat="1" ht="11.25">
      <c r="A47" s="122"/>
      <c r="B47" s="122"/>
      <c r="C47" s="33"/>
      <c r="D47" s="26" t="s">
        <v>11</v>
      </c>
      <c r="E47" s="32"/>
      <c r="F47" s="74">
        <f t="shared" si="8"/>
        <v>334459</v>
      </c>
      <c r="G47" s="74">
        <f t="shared" si="8"/>
        <v>183895</v>
      </c>
      <c r="H47" s="74">
        <f t="shared" si="8"/>
        <v>4923</v>
      </c>
      <c r="I47" s="74">
        <f t="shared" si="8"/>
        <v>0</v>
      </c>
      <c r="J47" s="74">
        <f t="shared" si="8"/>
        <v>275367</v>
      </c>
      <c r="K47" s="64">
        <f>IFERROR(F47/G47-1,"n/a")</f>
        <v>0.81874983006607027</v>
      </c>
      <c r="L47" s="64">
        <f>IFERROR(F47/H47-1,"n/a")</f>
        <v>66.93804590696729</v>
      </c>
      <c r="M47" s="64" t="str">
        <f>IFERROR(F47/I47-1,"n/a")</f>
        <v>n/a</v>
      </c>
      <c r="N47" s="60">
        <f>IFERROR(F47/J47-1,"n/a")</f>
        <v>0.2145936150664387</v>
      </c>
      <c r="O47" s="74">
        <f>'May-23'!O47+'June-23'!F47</f>
        <v>1057680</v>
      </c>
      <c r="P47" s="74">
        <f>'May-23'!P47+'June-23'!G47</f>
        <v>467722</v>
      </c>
      <c r="Q47" s="74">
        <f>'May-23'!Q47+'June-23'!H47</f>
        <v>4923</v>
      </c>
      <c r="R47" s="74">
        <f>'May-23'!R47+'June-23'!I47</f>
        <v>0</v>
      </c>
      <c r="S47" s="74">
        <f>'May-23'!S47+'June-23'!J47</f>
        <v>788552</v>
      </c>
      <c r="T47" s="119">
        <f>IFERROR(O47/P47-1,"n/a")</f>
        <v>1.2613432765617181</v>
      </c>
      <c r="U47" s="119">
        <f>IFERROR(O47/Q47-1,"n/a")</f>
        <v>213.84460694698356</v>
      </c>
      <c r="V47" s="119" t="str">
        <f>IFERROR(O47/R47-1,"n/a")</f>
        <v>n/a</v>
      </c>
      <c r="W47" s="120">
        <f>IFERROR(O47/S47-1,"n/a")</f>
        <v>0.34129391593705938</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4</v>
      </c>
      <c r="G49" s="74">
        <f t="shared" si="9"/>
        <v>1</v>
      </c>
      <c r="H49" s="74">
        <f t="shared" si="9"/>
        <v>0</v>
      </c>
      <c r="I49" s="74">
        <f t="shared" si="9"/>
        <v>0</v>
      </c>
      <c r="J49" s="74">
        <f t="shared" si="9"/>
        <v>5</v>
      </c>
      <c r="K49" s="64">
        <f>IFERROR(F49/G49-1,"n/a")</f>
        <v>3</v>
      </c>
      <c r="L49" s="64" t="str">
        <f>IFERROR(F49/H49-1,"n/a")</f>
        <v>n/a</v>
      </c>
      <c r="M49" s="64" t="str">
        <f>IFERROR(F49/I49-1,"n/a")</f>
        <v>n/a</v>
      </c>
      <c r="N49" s="60">
        <f>IFERROR(F49/J49-1,"n/a")</f>
        <v>-0.19999999999999996</v>
      </c>
      <c r="O49" s="74">
        <f>'May-23'!O49+'June-23'!F49</f>
        <v>8</v>
      </c>
      <c r="P49" s="74">
        <f>'May-23'!P49+'June-23'!G49</f>
        <v>2</v>
      </c>
      <c r="Q49" s="74">
        <f>'May-23'!Q49+'June-23'!H49</f>
        <v>0</v>
      </c>
      <c r="R49" s="74">
        <f>'May-23'!R49+'June-23'!I49</f>
        <v>0</v>
      </c>
      <c r="S49" s="74">
        <f>'May-23'!S49+'June-23'!J49</f>
        <v>8</v>
      </c>
      <c r="T49" s="119">
        <f>IFERROR(O49/P49-1,"n/a")</f>
        <v>3</v>
      </c>
      <c r="U49" s="119" t="str">
        <f>IFERROR(O49/Q49-1,"n/a")</f>
        <v>n/a</v>
      </c>
      <c r="V49" s="119" t="str">
        <f>IFERROR(O49/R49-1,"n/a")</f>
        <v>n/a</v>
      </c>
      <c r="W49" s="120">
        <f>IFERROR(O49/S49-1,"n/a")</f>
        <v>0</v>
      </c>
      <c r="X49" s="89">
        <v>9</v>
      </c>
      <c r="Y49" s="68">
        <v>0</v>
      </c>
      <c r="Z49" s="68">
        <v>0</v>
      </c>
      <c r="AA49" s="78">
        <v>16</v>
      </c>
      <c r="AC49" s="122"/>
    </row>
    <row r="50" spans="3:29" s="123" customFormat="1" ht="11.25">
      <c r="C50" s="33"/>
      <c r="D50" s="26" t="s">
        <v>11</v>
      </c>
      <c r="E50" s="32"/>
      <c r="F50" s="74">
        <f t="shared" si="9"/>
        <v>9205</v>
      </c>
      <c r="G50" s="74">
        <f t="shared" si="9"/>
        <v>2226</v>
      </c>
      <c r="H50" s="74">
        <f t="shared" si="9"/>
        <v>0</v>
      </c>
      <c r="I50" s="74">
        <f t="shared" si="9"/>
        <v>0</v>
      </c>
      <c r="J50" s="74">
        <f t="shared" si="9"/>
        <v>6817</v>
      </c>
      <c r="K50" s="64">
        <f>IFERROR(F50/G50-1,"n/a")</f>
        <v>3.1352201257861632</v>
      </c>
      <c r="L50" s="64" t="str">
        <f>IFERROR(F50/H50-1,"n/a")</f>
        <v>n/a</v>
      </c>
      <c r="M50" s="64" t="str">
        <f>IFERROR(F50/I50-1,"n/a")</f>
        <v>n/a</v>
      </c>
      <c r="N50" s="60">
        <f>IFERROR(F50/J50-1,"n/a")</f>
        <v>0.35030071879125724</v>
      </c>
      <c r="O50" s="74">
        <f>'May-23'!O50+'June-23'!F50</f>
        <v>13587</v>
      </c>
      <c r="P50" s="74">
        <f>'May-23'!P50+'June-23'!G50</f>
        <v>3151</v>
      </c>
      <c r="Q50" s="74">
        <f>'May-23'!Q50+'June-23'!H50</f>
        <v>0</v>
      </c>
      <c r="R50" s="74">
        <f>'May-23'!R50+'June-23'!I50</f>
        <v>0</v>
      </c>
      <c r="S50" s="74">
        <f>'May-23'!S50+'June-23'!J50</f>
        <v>10227</v>
      </c>
      <c r="T50" s="119">
        <f>IFERROR(O50/P50-1,"n/a")</f>
        <v>3.3119644557283401</v>
      </c>
      <c r="U50" s="119" t="str">
        <f>IFERROR(O50/Q50-1,"n/a")</f>
        <v>n/a</v>
      </c>
      <c r="V50" s="119" t="str">
        <f>IFERROR(O50/R50-1,"n/a")</f>
        <v>n/a</v>
      </c>
      <c r="W50" s="120">
        <f>IFERROR(O50/S50-1,"n/a")</f>
        <v>0.32854209445585214</v>
      </c>
      <c r="X50" s="82">
        <v>15637</v>
      </c>
      <c r="Y50" s="68">
        <v>0</v>
      </c>
      <c r="Z50" s="68">
        <v>0</v>
      </c>
      <c r="AA50" s="78">
        <v>20248</v>
      </c>
      <c r="AC50" s="122"/>
    </row>
    <row r="51" spans="3:29" s="123" customFormat="1" ht="12" thickBot="1">
      <c r="C51" s="35" t="s">
        <v>12</v>
      </c>
      <c r="D51" s="36"/>
      <c r="E51" s="37"/>
      <c r="F51" s="75">
        <f>F37+F40+F43+F46+F49</f>
        <v>347</v>
      </c>
      <c r="G51" s="75">
        <f t="shared" ref="G51:J52" si="10">G37+G40+G43+G46+G49</f>
        <v>327</v>
      </c>
      <c r="H51" s="75">
        <f t="shared" si="10"/>
        <v>21</v>
      </c>
      <c r="I51" s="75">
        <f t="shared" si="10"/>
        <v>0</v>
      </c>
      <c r="J51" s="75">
        <f t="shared" si="10"/>
        <v>278</v>
      </c>
      <c r="K51" s="66">
        <f>IFERROR(F51/G51-1,"n/a")</f>
        <v>6.1162079510703293E-2</v>
      </c>
      <c r="L51" s="66">
        <f>IFERROR(F51/H51-1,"n/a")</f>
        <v>15.523809523809526</v>
      </c>
      <c r="M51" s="66" t="str">
        <f>IFERROR(F51/I51-1,"n/a")</f>
        <v>n/a</v>
      </c>
      <c r="N51" s="62">
        <f>IFERROR(F51/J51-1,"n/a")</f>
        <v>0.24820143884892087</v>
      </c>
      <c r="O51" s="75">
        <f t="shared" ref="O51:S52" si="11">O37+O40+O43+O46+O49</f>
        <v>1161</v>
      </c>
      <c r="P51" s="75">
        <f t="shared" si="11"/>
        <v>1003</v>
      </c>
      <c r="Q51" s="75">
        <f t="shared" si="11"/>
        <v>46</v>
      </c>
      <c r="R51" s="75">
        <f t="shared" si="11"/>
        <v>42</v>
      </c>
      <c r="S51" s="75">
        <f t="shared" si="11"/>
        <v>883</v>
      </c>
      <c r="T51" s="66">
        <f>IFERROR(O51/P51-1,"n/a")</f>
        <v>0.15752741774675982</v>
      </c>
      <c r="U51" s="66">
        <f>IFERROR(O51/Q51-1,"n/a")</f>
        <v>24.239130434782609</v>
      </c>
      <c r="V51" s="66">
        <f>IFERROR(O51/R51-1,"n/a")</f>
        <v>26.642857142857142</v>
      </c>
      <c r="W51" s="62">
        <f>IFERROR(O51/S51-1,"n/a")</f>
        <v>0.3148357870894678</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1097755</v>
      </c>
      <c r="G52" s="76">
        <f t="shared" si="10"/>
        <v>677800</v>
      </c>
      <c r="H52" s="76">
        <f t="shared" si="10"/>
        <v>29404</v>
      </c>
      <c r="I52" s="76">
        <f t="shared" si="10"/>
        <v>2213</v>
      </c>
      <c r="J52" s="76">
        <f t="shared" si="10"/>
        <v>828495</v>
      </c>
      <c r="K52" s="67">
        <f>IFERROR(F52/G52-1,"n/a")</f>
        <v>0.61958542342874012</v>
      </c>
      <c r="L52" s="67">
        <f>IFERROR(F52/H52-1,"n/a")</f>
        <v>36.333526050877431</v>
      </c>
      <c r="M52" s="67">
        <f>IFERROR(F52/I52-1,"n/a")</f>
        <v>495.04835065521917</v>
      </c>
      <c r="N52" s="63">
        <f>IFERROR(F52/J52-1,"n/a")</f>
        <v>0.32499894386809824</v>
      </c>
      <c r="O52" s="76">
        <f t="shared" si="11"/>
        <v>3100402</v>
      </c>
      <c r="P52" s="76">
        <f t="shared" si="11"/>
        <v>1758864</v>
      </c>
      <c r="Q52" s="76">
        <f t="shared" si="11"/>
        <v>59887</v>
      </c>
      <c r="R52" s="76">
        <f t="shared" si="11"/>
        <v>2213</v>
      </c>
      <c r="S52" s="76">
        <f t="shared" si="11"/>
        <v>2457357</v>
      </c>
      <c r="T52" s="67">
        <f>IFERROR(O52/P52-1,"n/a")</f>
        <v>0.7627298074211537</v>
      </c>
      <c r="U52" s="117">
        <f>IFERROR(O52/Q52-1,"n/a")</f>
        <v>50.770868468949857</v>
      </c>
      <c r="V52" s="117">
        <f>IFERROR(O52/R52-1,"n/a")</f>
        <v>1399.9950293718935</v>
      </c>
      <c r="W52" s="118">
        <f>IFERROR(O52/S52-1,"n/a")</f>
        <v>0.26168155461335085</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66"/>
  <sheetViews>
    <sheetView showGridLines="0" zoomScaleNormal="100" workbookViewId="0"/>
  </sheetViews>
  <sheetFormatPr defaultColWidth="0" defaultRowHeight="15" customHeight="1" zeroHeight="1"/>
  <cols>
    <col min="1" max="2" width="4.140625" customWidth="1"/>
    <col min="3" max="3" width="3.85546875" customWidth="1"/>
    <col min="4" max="4" width="8.85546875" customWidth="1"/>
    <col min="5" max="5" width="10.85546875" bestFit="1" customWidth="1"/>
    <col min="6" max="6" width="10.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85546875" customWidth="1"/>
    <col min="24" max="24" width="12.42578125" bestFit="1" customWidth="1"/>
    <col min="25" max="26" width="12" bestFit="1" customWidth="1"/>
    <col min="27" max="27" width="12.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45092</v>
      </c>
      <c r="AB3" s="25"/>
      <c r="AC3" s="9"/>
    </row>
    <row r="4" spans="1:29" ht="15.75">
      <c r="A4" s="9"/>
      <c r="B4" s="11" t="s">
        <v>7</v>
      </c>
      <c r="C4" s="26"/>
      <c r="D4" s="24"/>
      <c r="E4" s="58" t="s">
        <v>121</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c r="A9" s="9"/>
      <c r="C9" s="27" t="s">
        <v>7</v>
      </c>
      <c r="D9" s="28"/>
      <c r="E9" s="28"/>
      <c r="F9" s="170" t="s">
        <v>47</v>
      </c>
      <c r="G9" s="170"/>
      <c r="H9" s="170"/>
      <c r="I9" s="170"/>
      <c r="J9" s="170"/>
      <c r="K9" s="170"/>
      <c r="L9" s="170"/>
      <c r="M9" s="170"/>
      <c r="N9" s="171"/>
      <c r="O9" s="169" t="s">
        <v>49</v>
      </c>
      <c r="P9" s="170"/>
      <c r="Q9" s="170"/>
      <c r="R9" s="170"/>
      <c r="S9" s="170"/>
      <c r="T9" s="170"/>
      <c r="U9" s="170"/>
      <c r="V9" s="170"/>
      <c r="W9" s="171"/>
      <c r="X9" s="169" t="s">
        <v>57</v>
      </c>
      <c r="Y9" s="170"/>
      <c r="Z9" s="170"/>
      <c r="AA9" s="172"/>
      <c r="AB9" s="9"/>
      <c r="AC9" s="9"/>
    </row>
    <row r="10" spans="1:29"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9"/>
      <c r="AC10" s="9"/>
    </row>
    <row r="11" spans="1:29" ht="26.25"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c r="AC11" s="48"/>
    </row>
    <row r="12" spans="1:29">
      <c r="A12" s="9"/>
      <c r="B12" s="12"/>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9"/>
      <c r="AC12" s="9"/>
    </row>
    <row r="13" spans="1:29">
      <c r="A13" s="9"/>
      <c r="B13" s="12"/>
      <c r="C13" s="33"/>
      <c r="D13" s="26" t="s">
        <v>5</v>
      </c>
      <c r="E13" s="32"/>
      <c r="F13" s="73">
        <v>99</v>
      </c>
      <c r="G13" s="71">
        <v>83</v>
      </c>
      <c r="H13" s="71">
        <v>0</v>
      </c>
      <c r="I13" s="71">
        <v>0</v>
      </c>
      <c r="J13" s="71">
        <v>90</v>
      </c>
      <c r="K13" s="64">
        <f>IFERROR(F13/G13-1,"n/a")</f>
        <v>0.19277108433734935</v>
      </c>
      <c r="L13" s="64" t="str">
        <f t="shared" ref="L13:L28" si="0">IFERROR(F13/H13-1,"n/a")</f>
        <v>n/a</v>
      </c>
      <c r="M13" s="64" t="str">
        <f>IFERROR(F13/I13-1,"n/a")</f>
        <v>n/a</v>
      </c>
      <c r="N13" s="60">
        <f>IFERROR(F13/J13-1,"n/a")</f>
        <v>0.10000000000000009</v>
      </c>
      <c r="O13" s="68">
        <f>'Apr-23'!O13+'May-23'!F13</f>
        <v>758</v>
      </c>
      <c r="P13" s="68">
        <f>'Apr-23'!$P$13+G13</f>
        <v>749</v>
      </c>
      <c r="Q13" s="68">
        <f>'Apr-23'!Q13+'May-23'!H13</f>
        <v>0</v>
      </c>
      <c r="R13" s="68">
        <f>'Apr-23'!R13+'May-23'!I13</f>
        <v>551</v>
      </c>
      <c r="S13" s="68">
        <f>'Apr-23'!S13+'May-23'!J13</f>
        <v>735</v>
      </c>
      <c r="T13" s="64">
        <f>IFERROR(O13/P13-1,"n/a")</f>
        <v>1.2016021361815676E-2</v>
      </c>
      <c r="U13" s="64" t="str">
        <f>IFERROR(O13/Q13-1,"n/a")</f>
        <v>n/a</v>
      </c>
      <c r="V13" s="64">
        <f>IFERROR(O13/R13-1,"n/a")</f>
        <v>0.37568058076225053</v>
      </c>
      <c r="W13" s="60">
        <f>IFERROR(O13/S13-1,"n/a")</f>
        <v>3.12925170068028E-2</v>
      </c>
      <c r="X13" s="68">
        <v>1486</v>
      </c>
      <c r="Y13" s="68">
        <v>522</v>
      </c>
      <c r="Z13" s="70">
        <v>551</v>
      </c>
      <c r="AA13" s="78">
        <v>1591</v>
      </c>
      <c r="AB13" s="9"/>
      <c r="AC13" s="9"/>
    </row>
    <row r="14" spans="1:29">
      <c r="A14" s="9"/>
      <c r="B14" s="12"/>
      <c r="C14" s="33"/>
      <c r="D14" s="26" t="s">
        <v>11</v>
      </c>
      <c r="E14" s="32"/>
      <c r="F14" s="73">
        <v>353242</v>
      </c>
      <c r="G14" s="71">
        <v>234968</v>
      </c>
      <c r="H14" s="71">
        <v>0</v>
      </c>
      <c r="I14" s="71">
        <v>0</v>
      </c>
      <c r="J14" s="71">
        <v>303053</v>
      </c>
      <c r="K14" s="64">
        <f>IFERROR(F14/G14-1,"n/a")</f>
        <v>0.50336215995369593</v>
      </c>
      <c r="L14" s="64" t="str">
        <f t="shared" si="0"/>
        <v>n/a</v>
      </c>
      <c r="M14" s="64" t="str">
        <f>IFERROR(F14/I14-1,"n/a")</f>
        <v>n/a</v>
      </c>
      <c r="N14" s="60">
        <f>IFERROR(F14/J14-1,"n/a")</f>
        <v>0.16561129571395106</v>
      </c>
      <c r="O14" s="68">
        <f>'Apr-23'!$O$14+F14</f>
        <v>2341177</v>
      </c>
      <c r="P14" s="68">
        <f>'Apr-23'!P14+'May-23'!G14</f>
        <v>1292414</v>
      </c>
      <c r="Q14" s="68">
        <f>'Apr-23'!Q14+'May-23'!H14</f>
        <v>0</v>
      </c>
      <c r="R14" s="68">
        <f>'Apr-23'!R14+'May-23'!I14</f>
        <v>1092884</v>
      </c>
      <c r="S14" s="68">
        <f>'Apr-23'!S14+'May-23'!J14</f>
        <v>2148202</v>
      </c>
      <c r="T14" s="64">
        <f>IFERROR(O14/P14-1,"n/a")</f>
        <v>0.81147604405399498</v>
      </c>
      <c r="U14" s="64" t="str">
        <f>IFERROR(O14/Q14-1,"n/a")</f>
        <v>n/a</v>
      </c>
      <c r="V14" s="64">
        <f>IFERROR(O14/R14-1,"n/a")</f>
        <v>1.1422008191171251</v>
      </c>
      <c r="W14" s="60">
        <f>IFERROR(O14/S14-1,"n/a")</f>
        <v>8.9830937686493195E-2</v>
      </c>
      <c r="X14" s="68">
        <v>3592413</v>
      </c>
      <c r="Y14" s="68">
        <v>768312</v>
      </c>
      <c r="Z14" s="70">
        <v>1092884</v>
      </c>
      <c r="AA14" s="78">
        <v>4592479</v>
      </c>
      <c r="AB14" s="9"/>
      <c r="AC14" s="9"/>
    </row>
    <row r="15" spans="1:29">
      <c r="A15" s="9"/>
      <c r="B15" s="12"/>
      <c r="C15" s="31" t="s">
        <v>108</v>
      </c>
      <c r="D15" s="26"/>
      <c r="E15" s="32"/>
      <c r="F15" s="97"/>
      <c r="G15" s="26"/>
      <c r="H15" s="26"/>
      <c r="I15" s="26"/>
      <c r="J15" s="26"/>
      <c r="K15" s="64"/>
      <c r="L15" s="64"/>
      <c r="M15" s="64"/>
      <c r="N15" s="61"/>
      <c r="O15" s="87"/>
      <c r="P15" s="87"/>
      <c r="Q15" s="87"/>
      <c r="R15" s="87"/>
      <c r="S15" s="87"/>
      <c r="T15" s="64"/>
      <c r="U15" s="64"/>
      <c r="V15" s="65"/>
      <c r="W15" s="61"/>
      <c r="X15" s="43"/>
      <c r="Y15" s="43"/>
      <c r="Z15" s="44"/>
      <c r="AA15" s="79"/>
      <c r="AB15" s="9"/>
      <c r="AC15" s="9"/>
    </row>
    <row r="16" spans="1:29">
      <c r="A16" s="9"/>
      <c r="B16" s="12"/>
      <c r="C16" s="33"/>
      <c r="D16" s="26" t="s">
        <v>5</v>
      </c>
      <c r="E16" s="32"/>
      <c r="F16" s="74">
        <v>70</v>
      </c>
      <c r="G16" s="71">
        <v>71</v>
      </c>
      <c r="H16" s="71">
        <v>17</v>
      </c>
      <c r="I16" s="71">
        <v>0</v>
      </c>
      <c r="J16" s="71">
        <v>71</v>
      </c>
      <c r="K16" s="64">
        <f>IFERROR(F16/G16-1,"n/a")</f>
        <v>-1.4084507042253502E-2</v>
      </c>
      <c r="L16" s="64">
        <f t="shared" si="0"/>
        <v>3.117647058823529</v>
      </c>
      <c r="M16" s="64" t="str">
        <f>IFERROR(F16/I16-1,"n/a")</f>
        <v>n/a</v>
      </c>
      <c r="N16" s="60">
        <f>IFERROR(F16/J16-1,"n/a")</f>
        <v>-1.4084507042253502E-2</v>
      </c>
      <c r="O16" s="68">
        <f>'Apr-23'!$O$16+F16</f>
        <v>143</v>
      </c>
      <c r="P16" s="68">
        <f>'Apr-23'!P16+'May-23'!G16</f>
        <v>163</v>
      </c>
      <c r="Q16" s="68">
        <f>'Apr-23'!Q16+'May-23'!H16</f>
        <v>34</v>
      </c>
      <c r="R16" s="68">
        <f>'Apr-23'!R16+'May-23'!I16</f>
        <v>10</v>
      </c>
      <c r="S16" s="68">
        <f>'Apr-23'!S16+'May-23'!J16</f>
        <v>145</v>
      </c>
      <c r="T16" s="64">
        <f>IFERROR(O16/P16-1,"n/a")</f>
        <v>-0.12269938650306744</v>
      </c>
      <c r="U16" s="64">
        <f>IFERROR(O16/Q16-1,"n/a")</f>
        <v>3.2058823529411766</v>
      </c>
      <c r="V16" s="64">
        <f>IFERROR(O16/R16-1,"n/a")</f>
        <v>13.3</v>
      </c>
      <c r="W16" s="60">
        <f>IFERROR(O16/S16-1,"n/a")</f>
        <v>-1.379310344827589E-2</v>
      </c>
      <c r="X16" s="68">
        <v>572</v>
      </c>
      <c r="Y16" s="68">
        <v>202</v>
      </c>
      <c r="Z16" s="70">
        <v>54</v>
      </c>
      <c r="AA16" s="78">
        <v>586</v>
      </c>
      <c r="AB16" s="9"/>
      <c r="AC16" s="9"/>
    </row>
    <row r="17" spans="1:29">
      <c r="A17" s="9"/>
      <c r="B17" s="12"/>
      <c r="C17" s="33"/>
      <c r="D17" s="26" t="s">
        <v>11</v>
      </c>
      <c r="E17" s="32"/>
      <c r="F17" s="74">
        <v>161083</v>
      </c>
      <c r="G17" s="71">
        <v>82038</v>
      </c>
      <c r="H17" s="71">
        <v>24481</v>
      </c>
      <c r="I17" s="71">
        <v>0</v>
      </c>
      <c r="J17" s="71">
        <v>165399</v>
      </c>
      <c r="K17" s="64">
        <f>IFERROR(F17/G17-1,"n/a")</f>
        <v>0.96351690679928814</v>
      </c>
      <c r="L17" s="64">
        <f t="shared" si="0"/>
        <v>5.5799191209509411</v>
      </c>
      <c r="M17" s="64" t="str">
        <f>IFERROR(F17/I17-1,"n/a")</f>
        <v>n/a</v>
      </c>
      <c r="N17" s="60">
        <f>IFERROR(F17/J17-1,"n/a")</f>
        <v>-2.6094474573606807E-2</v>
      </c>
      <c r="O17" s="68">
        <f>'Apr-23'!O17+'May-23'!F17</f>
        <v>351486</v>
      </c>
      <c r="P17" s="68">
        <f>'Apr-23'!P17+'May-23'!G17</f>
        <v>178913</v>
      </c>
      <c r="Q17" s="68">
        <f>'Apr-23'!Q17+'May-23'!H17</f>
        <v>40586</v>
      </c>
      <c r="R17" s="68">
        <f>'Apr-23'!R17+'May-23'!I17</f>
        <v>41113</v>
      </c>
      <c r="S17" s="68">
        <f>'Apr-23'!S17+'May-23'!J17</f>
        <v>393104</v>
      </c>
      <c r="T17" s="64">
        <f>IFERROR(O17/P17-1,"n/a")</f>
        <v>0.964563782397031</v>
      </c>
      <c r="U17" s="64">
        <f>IFERROR(O17/Q17-1,"n/a")</f>
        <v>7.660276942788153</v>
      </c>
      <c r="V17" s="64">
        <f>IFERROR(O17/R17-1,"n/a")</f>
        <v>7.5492666553158365</v>
      </c>
      <c r="W17" s="60">
        <f>IFERROR(O17/S17-1,"n/a")</f>
        <v>-0.10587020228743538</v>
      </c>
      <c r="X17" s="68">
        <v>965963</v>
      </c>
      <c r="Y17" s="68">
        <v>301521</v>
      </c>
      <c r="Z17" s="70">
        <v>70675</v>
      </c>
      <c r="AA17" s="78">
        <v>1400932</v>
      </c>
      <c r="AB17" s="9"/>
      <c r="AC17" s="9"/>
    </row>
    <row r="18" spans="1:29">
      <c r="A18" s="9"/>
      <c r="B18" s="12"/>
      <c r="C18" s="31" t="s">
        <v>109</v>
      </c>
      <c r="D18" s="26"/>
      <c r="E18" s="32"/>
      <c r="F18" s="72"/>
      <c r="G18" s="72"/>
      <c r="H18" s="72"/>
      <c r="I18" s="72"/>
      <c r="J18" s="72"/>
      <c r="K18" s="64"/>
      <c r="L18" s="64"/>
      <c r="M18" s="64"/>
      <c r="N18" s="60"/>
      <c r="O18" s="87"/>
      <c r="P18" s="87"/>
      <c r="Q18" s="87"/>
      <c r="R18" s="87"/>
      <c r="S18" s="87"/>
      <c r="T18" s="64"/>
      <c r="U18" s="64"/>
      <c r="V18" s="64"/>
      <c r="W18" s="60"/>
      <c r="X18" s="43"/>
      <c r="Y18" s="43"/>
      <c r="Z18" s="44"/>
      <c r="AA18" s="79"/>
      <c r="AB18" s="9"/>
      <c r="AC18" s="9"/>
    </row>
    <row r="19" spans="1:29">
      <c r="A19" s="9"/>
      <c r="B19" s="12"/>
      <c r="C19" s="33"/>
      <c r="D19" s="26" t="s">
        <v>5</v>
      </c>
      <c r="E19" s="32"/>
      <c r="F19" s="73">
        <v>99</v>
      </c>
      <c r="G19" s="71">
        <v>91</v>
      </c>
      <c r="H19" s="71">
        <v>1</v>
      </c>
      <c r="I19" s="71">
        <v>0</v>
      </c>
      <c r="J19" s="71">
        <v>37</v>
      </c>
      <c r="K19" s="64">
        <f>IFERROR(F19/G19-1,"n/a")</f>
        <v>8.7912087912087822E-2</v>
      </c>
      <c r="L19" s="64">
        <f t="shared" si="0"/>
        <v>98</v>
      </c>
      <c r="M19" s="64" t="str">
        <f>IFERROR(F19/I19-1,"n/a")</f>
        <v>n/a</v>
      </c>
      <c r="N19" s="60">
        <f>IFERROR(F19/J19-1,"n/a")</f>
        <v>1.6756756756756759</v>
      </c>
      <c r="O19" s="68">
        <f>'Apr-23'!O19+'May-23'!F19</f>
        <v>169</v>
      </c>
      <c r="P19" s="68">
        <f>'Apr-23'!P19+'May-23'!G19</f>
        <v>138</v>
      </c>
      <c r="Q19" s="68">
        <f>'Apr-23'!Q19+'May-23'!H19</f>
        <v>3</v>
      </c>
      <c r="R19" s="68">
        <f>'Apr-23'!R19+'May-23'!I19</f>
        <v>3</v>
      </c>
      <c r="S19" s="68">
        <f>'Apr-23'!S19+'May-23'!J19</f>
        <v>64</v>
      </c>
      <c r="T19" s="64">
        <f>IFERROR(O19/P19-1,"n/a")</f>
        <v>0.2246376811594204</v>
      </c>
      <c r="U19" s="64">
        <f>IFERROR(O19/Q19-1,"n/a")</f>
        <v>55.333333333333336</v>
      </c>
      <c r="V19" s="64">
        <f>IFERROR(O19/R19-1,"n/a")</f>
        <v>55.333333333333336</v>
      </c>
      <c r="W19" s="60">
        <f>IFERROR(O19/S19-1,"n/a")</f>
        <v>1.640625</v>
      </c>
      <c r="X19" s="68">
        <v>658</v>
      </c>
      <c r="Y19" s="68">
        <v>47</v>
      </c>
      <c r="Z19" s="70">
        <v>9</v>
      </c>
      <c r="AA19" s="78">
        <v>290</v>
      </c>
      <c r="AB19" s="9"/>
      <c r="AC19" s="9"/>
    </row>
    <row r="20" spans="1:29">
      <c r="A20" s="9"/>
      <c r="B20" s="12"/>
      <c r="C20" s="33"/>
      <c r="D20" s="26" t="s">
        <v>11</v>
      </c>
      <c r="E20" s="32"/>
      <c r="F20" s="73">
        <f>118705+9737+8876</f>
        <v>137318</v>
      </c>
      <c r="G20" s="71">
        <f>72273+4865+11437</f>
        <v>88575</v>
      </c>
      <c r="H20" s="71">
        <v>0</v>
      </c>
      <c r="I20" s="71">
        <v>0</v>
      </c>
      <c r="J20" s="71">
        <f>48298+13058+5020</f>
        <v>66376</v>
      </c>
      <c r="K20" s="64">
        <f>IFERROR(F20/G20-1,"n/a")</f>
        <v>0.55030200395145368</v>
      </c>
      <c r="L20" s="64" t="str">
        <f t="shared" si="0"/>
        <v>n/a</v>
      </c>
      <c r="M20" s="64" t="str">
        <f>IFERROR(F20/I20-1,"n/a")</f>
        <v>n/a</v>
      </c>
      <c r="N20" s="60">
        <f t="shared" ref="N20:N28" si="1">IFERROR(F20/J20-1,"n/a")</f>
        <v>1.0687899240689407</v>
      </c>
      <c r="O20" s="68">
        <f>'Apr-23'!O20+'May-23'!F20</f>
        <v>224466</v>
      </c>
      <c r="P20" s="68">
        <f>'Apr-23'!P20+'May-23'!G20</f>
        <v>124236</v>
      </c>
      <c r="Q20" s="68">
        <f>'Apr-23'!Q20+'May-23'!H20</f>
        <v>0</v>
      </c>
      <c r="R20" s="68">
        <f>'Apr-23'!R20+'May-23'!I20</f>
        <v>1753</v>
      </c>
      <c r="S20" s="68">
        <f>'Apr-23'!S20+'May-23'!J20</f>
        <v>108923</v>
      </c>
      <c r="T20" s="64">
        <f>IFERROR(O20/P20-1,"n/a")</f>
        <v>0.80677098425577132</v>
      </c>
      <c r="U20" s="64" t="str">
        <f>IFERROR(O20/Q20-1,"n/a")</f>
        <v>n/a</v>
      </c>
      <c r="V20" s="64">
        <f>IFERROR(O20/R20-1,"n/a")</f>
        <v>127.04677695379348</v>
      </c>
      <c r="W20" s="60">
        <f>IFERROR(O20/S20-1,"n/a")</f>
        <v>1.0607768790797167</v>
      </c>
      <c r="X20" s="68">
        <v>887495</v>
      </c>
      <c r="Y20" s="68">
        <v>17541</v>
      </c>
      <c r="Z20" s="70">
        <v>10047</v>
      </c>
      <c r="AA20" s="78">
        <v>585930</v>
      </c>
      <c r="AB20" s="9"/>
      <c r="AC20" s="9"/>
    </row>
    <row r="21" spans="1:29">
      <c r="A21" s="9"/>
      <c r="B21" s="12"/>
      <c r="C21" s="31" t="s">
        <v>110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9"/>
      <c r="AC21" s="9"/>
    </row>
    <row r="22" spans="1:29">
      <c r="A22" s="9"/>
      <c r="B22" s="12"/>
      <c r="C22" s="33"/>
      <c r="D22" s="26" t="s">
        <v>5</v>
      </c>
      <c r="E22" s="34"/>
      <c r="F22" s="74">
        <v>159</v>
      </c>
      <c r="G22" s="71">
        <v>103</v>
      </c>
      <c r="H22" s="71">
        <v>0</v>
      </c>
      <c r="I22" s="71">
        <v>0</v>
      </c>
      <c r="J22" s="71">
        <v>113</v>
      </c>
      <c r="K22" s="64">
        <f>IFERROR(F22/G22-1,"n/a")</f>
        <v>0.5436893203883495</v>
      </c>
      <c r="L22" s="64" t="str">
        <f t="shared" si="0"/>
        <v>n/a</v>
      </c>
      <c r="M22" s="64" t="str">
        <f>IFERROR(F22/I22-1,"n/a")</f>
        <v>n/a</v>
      </c>
      <c r="N22" s="60">
        <f t="shared" si="1"/>
        <v>0.40707964601769908</v>
      </c>
      <c r="O22" s="68">
        <f>'Apr-23'!O22+'May-23'!F22</f>
        <v>607</v>
      </c>
      <c r="P22" s="68">
        <f>'Apr-23'!P22+'May-23'!G22</f>
        <v>256</v>
      </c>
      <c r="Q22" s="68">
        <f>'Apr-23'!Q22+'May-23'!H22</f>
        <v>0</v>
      </c>
      <c r="R22" s="68">
        <f>'Apr-23'!R22+'May-23'!I22</f>
        <v>205</v>
      </c>
      <c r="S22" s="68">
        <f>'Apr-23'!S22+'May-23'!J22</f>
        <v>526</v>
      </c>
      <c r="T22" s="64">
        <f>IFERROR(O22/P22-1,"n/a")</f>
        <v>1.37109375</v>
      </c>
      <c r="U22" s="64" t="str">
        <f>IFERROR(O22/Q22-1,"n/a")</f>
        <v>n/a</v>
      </c>
      <c r="V22" s="64">
        <f>IFERROR(O22/R22-1,"n/a")</f>
        <v>1.9609756097560975</v>
      </c>
      <c r="W22" s="60">
        <f>IFERROR(O22/S22-1,"n/a")</f>
        <v>0.1539923954372624</v>
      </c>
      <c r="X22" s="68">
        <v>895</v>
      </c>
      <c r="Y22" s="68">
        <v>283</v>
      </c>
      <c r="Z22" s="70">
        <v>43</v>
      </c>
      <c r="AA22" s="78">
        <v>827</v>
      </c>
      <c r="AB22" s="9"/>
      <c r="AC22" s="9"/>
    </row>
    <row r="23" spans="1:29">
      <c r="A23" s="9"/>
      <c r="B23" s="12"/>
      <c r="C23" s="33"/>
      <c r="D23" s="26" t="s">
        <v>11</v>
      </c>
      <c r="E23" s="32"/>
      <c r="F23" s="73">
        <v>390316</v>
      </c>
      <c r="G23" s="71">
        <v>168018</v>
      </c>
      <c r="H23" s="71">
        <v>0</v>
      </c>
      <c r="I23" s="71">
        <v>0</v>
      </c>
      <c r="J23" s="71">
        <v>300445</v>
      </c>
      <c r="K23" s="64">
        <f>IFERROR(F23/G23-1,"n/a")</f>
        <v>1.3230606244569034</v>
      </c>
      <c r="L23" s="64" t="str">
        <f t="shared" si="0"/>
        <v>n/a</v>
      </c>
      <c r="M23" s="64" t="str">
        <f>IFERROR(F23/I23-1,"n/a")</f>
        <v>n/a</v>
      </c>
      <c r="N23" s="60">
        <f t="shared" si="1"/>
        <v>0.29912629599427509</v>
      </c>
      <c r="O23" s="68">
        <f>'Apr-23'!O23+'May-23'!F23</f>
        <v>1559495</v>
      </c>
      <c r="P23" s="68">
        <f>'Apr-23'!P23+'May-23'!G23</f>
        <v>352281</v>
      </c>
      <c r="Q23" s="68">
        <f>'Apr-23'!Q23+'May-23'!H23</f>
        <v>0</v>
      </c>
      <c r="R23" s="68">
        <f>'Apr-23'!R23+'May-23'!I23</f>
        <v>545974</v>
      </c>
      <c r="S23" s="68">
        <f>'Apr-23'!S23+'May-23'!J23</f>
        <v>1433000</v>
      </c>
      <c r="T23" s="64">
        <f>IFERROR(O23/P23-1,"n/a")</f>
        <v>3.4268495888225594</v>
      </c>
      <c r="U23" s="64" t="str">
        <f>IFERROR(O23/Q23-1,"n/a")</f>
        <v>n/a</v>
      </c>
      <c r="V23" s="64">
        <f>IFERROR(O23/R23-1,"n/a")</f>
        <v>1.8563539655734522</v>
      </c>
      <c r="W23" s="60">
        <f>IFERROR(O23/S23-1,"n/a")</f>
        <v>8.8272854152128488E-2</v>
      </c>
      <c r="X23" s="68">
        <v>2165161</v>
      </c>
      <c r="Y23" s="68">
        <v>465109</v>
      </c>
      <c r="Z23" s="70">
        <v>140552</v>
      </c>
      <c r="AA23" s="78">
        <v>2552942</v>
      </c>
      <c r="AB23" s="9"/>
      <c r="AC23" s="9"/>
    </row>
    <row r="24" spans="1:29">
      <c r="A24" s="9"/>
      <c r="B24" s="12"/>
      <c r="C24" s="31" t="s">
        <v>111</v>
      </c>
      <c r="D24" s="26"/>
      <c r="E24" s="32"/>
      <c r="F24" s="72"/>
      <c r="G24" s="72"/>
      <c r="H24" s="72"/>
      <c r="I24" s="72"/>
      <c r="J24" s="72"/>
      <c r="K24" s="64"/>
      <c r="L24" s="64"/>
      <c r="M24" s="64"/>
      <c r="N24" s="60"/>
      <c r="O24" s="87"/>
      <c r="P24" s="87"/>
      <c r="Q24" s="87"/>
      <c r="R24" s="87"/>
      <c r="S24" s="87"/>
      <c r="T24" s="64"/>
      <c r="U24" s="64"/>
      <c r="V24" s="64"/>
      <c r="W24" s="60"/>
      <c r="X24" s="43"/>
      <c r="Y24" s="43"/>
      <c r="Z24" s="44"/>
      <c r="AA24" s="79"/>
      <c r="AB24" s="9"/>
      <c r="AC24" s="9"/>
    </row>
    <row r="25" spans="1:29">
      <c r="B25" s="12"/>
      <c r="C25" s="33"/>
      <c r="D25" s="26" t="s">
        <v>5</v>
      </c>
      <c r="E25" s="32"/>
      <c r="F25" s="71">
        <v>3</v>
      </c>
      <c r="G25" s="71">
        <v>0</v>
      </c>
      <c r="H25" s="71">
        <v>0</v>
      </c>
      <c r="I25" s="71">
        <v>0</v>
      </c>
      <c r="J25" s="71">
        <v>2</v>
      </c>
      <c r="K25" s="64" t="str">
        <f>IFERROR(F25/G25-1,"n/a")</f>
        <v>n/a</v>
      </c>
      <c r="L25" s="64" t="str">
        <f t="shared" si="0"/>
        <v>n/a</v>
      </c>
      <c r="M25" s="64" t="str">
        <f>IFERROR(F25/I25-1,"n/a")</f>
        <v>n/a</v>
      </c>
      <c r="N25" s="60">
        <f t="shared" si="1"/>
        <v>0.5</v>
      </c>
      <c r="O25" s="68">
        <f>'Apr-23'!O25+'May-23'!F25</f>
        <v>4</v>
      </c>
      <c r="P25" s="68">
        <f>'Apr-23'!P25+'May-23'!G25</f>
        <v>1</v>
      </c>
      <c r="Q25" s="68">
        <f>'Apr-23'!Q25+'May-23'!H25</f>
        <v>0</v>
      </c>
      <c r="R25" s="68">
        <f>'Apr-23'!R25+'May-23'!I25</f>
        <v>0</v>
      </c>
      <c r="S25" s="68">
        <f>'Apr-23'!S25+'May-23'!J25</f>
        <v>3</v>
      </c>
      <c r="T25" s="64">
        <f>IFERROR(O25/P25-1,"n/a")</f>
        <v>3</v>
      </c>
      <c r="U25" s="64" t="str">
        <f>IFERROR(O25/Q25-1,"n/a")</f>
        <v>n/a</v>
      </c>
      <c r="V25" s="64" t="str">
        <f>IFERROR(O25/R25-1,"n/a")</f>
        <v>n/a</v>
      </c>
      <c r="W25" s="60">
        <f>IFERROR(O25/S25-1,"n/a")</f>
        <v>0.33333333333333326</v>
      </c>
      <c r="X25" s="68">
        <v>9</v>
      </c>
      <c r="Y25" s="68">
        <v>0</v>
      </c>
      <c r="Z25" s="68">
        <v>0</v>
      </c>
      <c r="AA25" s="78">
        <v>16</v>
      </c>
      <c r="AB25" s="9"/>
      <c r="AC25" s="9"/>
    </row>
    <row r="26" spans="1:29">
      <c r="A26" s="9"/>
      <c r="B26" s="12"/>
      <c r="C26" s="33"/>
      <c r="D26" s="26" t="s">
        <v>11</v>
      </c>
      <c r="E26" s="32"/>
      <c r="F26" s="71">
        <v>2124</v>
      </c>
      <c r="G26" s="71">
        <v>0</v>
      </c>
      <c r="H26" s="71">
        <v>0</v>
      </c>
      <c r="I26" s="71">
        <v>0</v>
      </c>
      <c r="J26" s="71">
        <v>2351</v>
      </c>
      <c r="K26" s="64" t="str">
        <f>IFERROR(F26/G26-1,"n/a")</f>
        <v>n/a</v>
      </c>
      <c r="L26" s="64" t="str">
        <f t="shared" si="0"/>
        <v>n/a</v>
      </c>
      <c r="M26" s="64" t="str">
        <f>IFERROR(F26/I26-1,"n/a")</f>
        <v>n/a</v>
      </c>
      <c r="N26" s="60">
        <f t="shared" si="1"/>
        <v>-9.6554657592513804E-2</v>
      </c>
      <c r="O26" s="68">
        <f>'Apr-23'!O26+'May-23'!F26</f>
        <v>4382</v>
      </c>
      <c r="P26" s="68">
        <f>'Apr-23'!P26+'May-23'!G26</f>
        <v>925</v>
      </c>
      <c r="Q26" s="68">
        <f>'Apr-23'!Q26+'May-23'!H26</f>
        <v>0</v>
      </c>
      <c r="R26" s="68">
        <f>'Apr-23'!R26+'May-23'!I26</f>
        <v>0</v>
      </c>
      <c r="S26" s="68">
        <f>'Apr-23'!S26+'May-23'!J26</f>
        <v>3410</v>
      </c>
      <c r="T26" s="64">
        <f>IFERROR(O26/P26-1,"n/a")</f>
        <v>3.7372972972972969</v>
      </c>
      <c r="U26" s="64" t="str">
        <f>IFERROR(O26/Q26-1,"n/a")</f>
        <v>n/a</v>
      </c>
      <c r="V26" s="64" t="str">
        <f>IFERROR(O26/R26-1,"n/a")</f>
        <v>n/a</v>
      </c>
      <c r="W26" s="60">
        <f>IFERROR(O26/S26-1,"n/a")</f>
        <v>0.28504398826979482</v>
      </c>
      <c r="X26" s="68">
        <v>15637</v>
      </c>
      <c r="Y26" s="68">
        <v>0</v>
      </c>
      <c r="Z26" s="68">
        <v>0</v>
      </c>
      <c r="AA26" s="78">
        <v>20248</v>
      </c>
      <c r="AB26" s="9"/>
      <c r="AC26" s="9"/>
    </row>
    <row r="27" spans="1:29" ht="15.75" thickBot="1">
      <c r="A27" s="9"/>
      <c r="B27" s="12"/>
      <c r="C27" s="35" t="s">
        <v>12</v>
      </c>
      <c r="D27" s="36"/>
      <c r="E27" s="37"/>
      <c r="F27" s="75">
        <f t="shared" ref="F27:J28" si="2">F13+F16+F19+F22+F25</f>
        <v>430</v>
      </c>
      <c r="G27" s="75">
        <f t="shared" si="2"/>
        <v>348</v>
      </c>
      <c r="H27" s="75">
        <f t="shared" si="2"/>
        <v>18</v>
      </c>
      <c r="I27" s="75">
        <f t="shared" si="2"/>
        <v>0</v>
      </c>
      <c r="J27" s="75">
        <f t="shared" si="2"/>
        <v>313</v>
      </c>
      <c r="K27" s="66">
        <f>IFERROR(F27/G27-1,"n/a")</f>
        <v>0.23563218390804597</v>
      </c>
      <c r="L27" s="66">
        <f t="shared" si="0"/>
        <v>22.888888888888889</v>
      </c>
      <c r="M27" s="66" t="str">
        <f>IFERROR(F27/I27-1,"n/a")</f>
        <v>n/a</v>
      </c>
      <c r="N27" s="62">
        <f t="shared" si="1"/>
        <v>0.37380191693290743</v>
      </c>
      <c r="O27" s="75">
        <f t="shared" ref="O27:S28" si="3">O13+O16+O19+O22+O25</f>
        <v>1681</v>
      </c>
      <c r="P27" s="75">
        <f t="shared" si="3"/>
        <v>1307</v>
      </c>
      <c r="Q27" s="75">
        <f t="shared" si="3"/>
        <v>37</v>
      </c>
      <c r="R27" s="75">
        <f t="shared" si="3"/>
        <v>769</v>
      </c>
      <c r="S27" s="75">
        <f t="shared" si="3"/>
        <v>1473</v>
      </c>
      <c r="T27" s="66">
        <f>IFERROR(O27/P27-1,"n/a")</f>
        <v>0.28615149196633505</v>
      </c>
      <c r="U27" s="66">
        <f>IFERROR(O27/Q27-1,"n/a")</f>
        <v>44.432432432432435</v>
      </c>
      <c r="V27" s="66">
        <f>IFERROR(O27/R27-1,"n/a")</f>
        <v>1.1859557867360206</v>
      </c>
      <c r="W27" s="62">
        <f>IFERROR(O27/S27-1,"n/a")</f>
        <v>0.14120841819416152</v>
      </c>
      <c r="X27" s="75">
        <f>X13+X16+X19+X22+X25</f>
        <v>3620</v>
      </c>
      <c r="Y27" s="46">
        <f t="shared" ref="Y27:AA28" si="4">Y13+Y16+Y19+Y22+Y25</f>
        <v>1054</v>
      </c>
      <c r="Z27" s="46">
        <f t="shared" si="4"/>
        <v>657</v>
      </c>
      <c r="AA27" s="80">
        <f t="shared" si="4"/>
        <v>3310</v>
      </c>
      <c r="AB27" s="9"/>
      <c r="AC27" s="9"/>
    </row>
    <row r="28" spans="1:29" ht="16.5" thickTop="1" thickBot="1">
      <c r="A28" s="9"/>
      <c r="B28" s="12"/>
      <c r="C28" s="38" t="s">
        <v>13</v>
      </c>
      <c r="D28" s="39"/>
      <c r="E28" s="40"/>
      <c r="F28" s="76">
        <f t="shared" si="2"/>
        <v>1044083</v>
      </c>
      <c r="G28" s="76">
        <f t="shared" si="2"/>
        <v>573599</v>
      </c>
      <c r="H28" s="76">
        <f t="shared" si="2"/>
        <v>24481</v>
      </c>
      <c r="I28" s="76">
        <f t="shared" si="2"/>
        <v>0</v>
      </c>
      <c r="J28" s="76">
        <f t="shared" si="2"/>
        <v>837624</v>
      </c>
      <c r="K28" s="67">
        <f>IFERROR(F28/G28-1,"n/a")</f>
        <v>0.82023155549434357</v>
      </c>
      <c r="L28" s="67">
        <f t="shared" si="0"/>
        <v>41.648707160655199</v>
      </c>
      <c r="M28" s="67" t="str">
        <f>IFERROR(F28/I28-1,"n/a")</f>
        <v>n/a</v>
      </c>
      <c r="N28" s="63">
        <f t="shared" si="1"/>
        <v>0.24648171494608562</v>
      </c>
      <c r="O28" s="76">
        <f t="shared" si="3"/>
        <v>4481006</v>
      </c>
      <c r="P28" s="76">
        <f t="shared" si="3"/>
        <v>1948769</v>
      </c>
      <c r="Q28" s="76">
        <f t="shared" si="3"/>
        <v>40586</v>
      </c>
      <c r="R28" s="76">
        <f t="shared" si="3"/>
        <v>1681724</v>
      </c>
      <c r="S28" s="76">
        <f t="shared" si="3"/>
        <v>4086639</v>
      </c>
      <c r="T28" s="67">
        <f>IFERROR(O28/P28-1,"n/a")</f>
        <v>1.2994033669460054</v>
      </c>
      <c r="U28" s="67">
        <f>IFERROR(O28/Q28-1,"n/a")</f>
        <v>109.40767752426946</v>
      </c>
      <c r="V28" s="67">
        <f>IFERROR(O28/R28-1,"n/a")</f>
        <v>1.6645311596908887</v>
      </c>
      <c r="W28" s="63">
        <f>IFERROR(O28/S28-1,"n/a")</f>
        <v>9.6501550540676551E-2</v>
      </c>
      <c r="X28" s="76">
        <f>X14+X17+X20+X23+X26</f>
        <v>7626669</v>
      </c>
      <c r="Y28" s="47">
        <f t="shared" si="4"/>
        <v>1552483</v>
      </c>
      <c r="Z28" s="47">
        <f t="shared" si="4"/>
        <v>1314158</v>
      </c>
      <c r="AA28" s="81">
        <f t="shared" si="4"/>
        <v>9152531</v>
      </c>
      <c r="AB28" s="9"/>
      <c r="AC28" s="9"/>
    </row>
    <row r="29" spans="1:29" ht="15.75" thickTop="1">
      <c r="A29" s="9"/>
      <c r="B29" s="9"/>
      <c r="C29" s="9"/>
      <c r="D29" s="9"/>
      <c r="E29" s="9"/>
      <c r="F29" s="41"/>
      <c r="G29" s="41"/>
      <c r="H29" s="41"/>
      <c r="I29" s="41"/>
      <c r="J29" s="41"/>
      <c r="K29" s="41"/>
      <c r="L29" s="41"/>
      <c r="M29" s="41"/>
      <c r="N29" s="9"/>
      <c r="O29" s="9"/>
      <c r="P29" s="9"/>
      <c r="Q29" s="9"/>
      <c r="R29" s="9"/>
      <c r="S29" s="9"/>
      <c r="T29" s="9"/>
      <c r="U29" s="9"/>
      <c r="V29" s="9"/>
      <c r="W29" s="9"/>
      <c r="X29" s="9"/>
      <c r="Y29" s="9"/>
      <c r="Z29" s="9"/>
      <c r="AA29" s="9"/>
      <c r="AB29" s="9"/>
      <c r="AC29" s="9"/>
    </row>
    <row r="30" spans="1:29">
      <c r="A30" s="9"/>
      <c r="B30" s="9"/>
      <c r="C30" s="9"/>
      <c r="D30" s="9"/>
      <c r="E30" s="9"/>
      <c r="F30" s="41"/>
      <c r="G30" s="41"/>
      <c r="H30" s="41"/>
      <c r="I30" s="41"/>
      <c r="J30" s="41"/>
      <c r="K30" s="41"/>
      <c r="L30" s="41"/>
      <c r="M30" s="41"/>
      <c r="N30" s="9"/>
      <c r="O30" s="41"/>
      <c r="P30" s="9"/>
      <c r="Q30" s="9"/>
      <c r="R30" s="9"/>
      <c r="S30" s="9"/>
      <c r="T30" s="9"/>
      <c r="U30" s="9"/>
      <c r="V30" s="9"/>
      <c r="W30" s="9"/>
      <c r="X30" s="9"/>
      <c r="Y30" s="9"/>
      <c r="Z30" s="9"/>
      <c r="AA30" s="9"/>
      <c r="AB30" s="9"/>
      <c r="AC30" s="9"/>
    </row>
    <row r="31" spans="1:29">
      <c r="A31" s="9"/>
      <c r="B31" s="10"/>
      <c r="C31" s="86"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9"/>
    </row>
    <row r="32" spans="1:29">
      <c r="A32" s="9"/>
      <c r="B32" s="10"/>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9"/>
    </row>
    <row r="33" spans="1:29">
      <c r="A33" s="9"/>
      <c r="B33" s="9"/>
      <c r="C33" s="27" t="s">
        <v>7</v>
      </c>
      <c r="D33" s="28"/>
      <c r="E33" s="28"/>
      <c r="F33" s="170" t="str">
        <f>F9</f>
        <v>May</v>
      </c>
      <c r="G33" s="170"/>
      <c r="H33" s="170"/>
      <c r="I33" s="170"/>
      <c r="J33" s="170"/>
      <c r="K33" s="170"/>
      <c r="L33" s="170"/>
      <c r="M33" s="170"/>
      <c r="N33" s="171"/>
      <c r="O33" s="176" t="s">
        <v>119</v>
      </c>
      <c r="P33" s="177"/>
      <c r="Q33" s="177"/>
      <c r="R33" s="177"/>
      <c r="S33" s="177"/>
      <c r="T33" s="177"/>
      <c r="U33" s="177"/>
      <c r="V33" s="177"/>
      <c r="W33" s="178"/>
      <c r="X33" s="169" t="s">
        <v>58</v>
      </c>
      <c r="Y33" s="170"/>
      <c r="Z33" s="170"/>
      <c r="AA33" s="172"/>
    </row>
    <row r="34" spans="1:29">
      <c r="A34" s="9"/>
      <c r="B34" s="9"/>
      <c r="C34" s="29"/>
      <c r="D34" s="30"/>
      <c r="E34" s="30"/>
      <c r="F34" s="175"/>
      <c r="G34" s="173"/>
      <c r="H34" s="173"/>
      <c r="I34" s="173"/>
      <c r="J34" s="173"/>
      <c r="K34" s="173"/>
      <c r="L34" s="173"/>
      <c r="M34" s="173"/>
      <c r="N34" s="174"/>
      <c r="O34" s="175"/>
      <c r="P34" s="173"/>
      <c r="Q34" s="173"/>
      <c r="R34" s="173"/>
      <c r="S34" s="173"/>
      <c r="T34" s="173"/>
      <c r="U34" s="173"/>
      <c r="V34" s="173"/>
      <c r="W34" s="174"/>
      <c r="X34" s="175"/>
      <c r="Y34" s="173"/>
      <c r="Z34" s="173"/>
      <c r="AA34" s="174"/>
    </row>
    <row r="35" spans="1:29" ht="22.5">
      <c r="A35" s="9"/>
      <c r="B35" s="9"/>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9"/>
    </row>
    <row r="36" spans="1:29">
      <c r="A36" s="9"/>
      <c r="B36" s="9"/>
      <c r="C36" s="31" t="s">
        <v>107</v>
      </c>
      <c r="D36" s="26"/>
      <c r="E36" s="32"/>
      <c r="F36" s="26"/>
      <c r="G36" s="26"/>
      <c r="H36" s="26"/>
      <c r="I36" s="26"/>
      <c r="J36" s="26"/>
      <c r="K36" s="26"/>
      <c r="L36" s="26"/>
      <c r="M36" s="26"/>
      <c r="N36" s="32"/>
      <c r="O36" s="26"/>
      <c r="P36" s="26"/>
      <c r="Q36" s="26"/>
      <c r="R36" s="26"/>
      <c r="S36" s="9"/>
      <c r="T36" s="26"/>
      <c r="U36" s="9"/>
      <c r="V36" s="26"/>
      <c r="W36" s="32"/>
      <c r="X36" s="33"/>
      <c r="Y36" s="26"/>
      <c r="Z36" s="88"/>
      <c r="AA36" s="85"/>
      <c r="AC36" s="9"/>
    </row>
    <row r="37" spans="1:29">
      <c r="A37" s="9"/>
      <c r="B37" s="9"/>
      <c r="C37" s="33"/>
      <c r="D37" s="26" t="s">
        <v>5</v>
      </c>
      <c r="E37" s="32"/>
      <c r="F37" s="74">
        <f t="shared" ref="F37:J38" si="5">F13</f>
        <v>99</v>
      </c>
      <c r="G37" s="74">
        <f t="shared" si="5"/>
        <v>83</v>
      </c>
      <c r="H37" s="74">
        <f t="shared" si="5"/>
        <v>0</v>
      </c>
      <c r="I37" s="74">
        <f t="shared" si="5"/>
        <v>0</v>
      </c>
      <c r="J37" s="74">
        <f t="shared" si="5"/>
        <v>90</v>
      </c>
      <c r="K37" s="64">
        <f>IFERROR(F37/G37-1,"n/a")</f>
        <v>0.19277108433734935</v>
      </c>
      <c r="L37" s="64" t="str">
        <f>IFERROR(F37/H37-1,"n/a")</f>
        <v>n/a</v>
      </c>
      <c r="M37" s="64" t="str">
        <f>IFERROR(F37/I37-1,"n/a")</f>
        <v>n/a</v>
      </c>
      <c r="N37" s="60">
        <f>IFERROR(F37/J37-1,"n/a")</f>
        <v>0.10000000000000009</v>
      </c>
      <c r="O37" s="74">
        <f>'Apr-23'!O37+'May-23'!F37</f>
        <v>228</v>
      </c>
      <c r="P37" s="74">
        <f>'Apr-23'!P37+'May-23'!G37</f>
        <v>219</v>
      </c>
      <c r="Q37" s="74">
        <f>'Apr-23'!Q37+'May-23'!H37</f>
        <v>0</v>
      </c>
      <c r="R37" s="74">
        <f>'Apr-23'!R37+'May-23'!I37</f>
        <v>42</v>
      </c>
      <c r="S37" s="74">
        <f>'Apr-23'!S37+'May-23'!J37</f>
        <v>219</v>
      </c>
      <c r="T37" s="119">
        <f>IFERROR(O37/P37-1,"n/a")</f>
        <v>4.1095890410958846E-2</v>
      </c>
      <c r="U37" s="119" t="str">
        <f>IFERROR(O37/Q37-1,"n/a")</f>
        <v>n/a</v>
      </c>
      <c r="V37" s="119">
        <f>IFERROR(O37/R37-1,"n/a")</f>
        <v>4.4285714285714288</v>
      </c>
      <c r="W37" s="120">
        <f>IFERROR(O37/S37-1,"n/a")</f>
        <v>4.1095890410958846E-2</v>
      </c>
      <c r="X37" s="89">
        <v>1486</v>
      </c>
      <c r="Y37" s="89">
        <v>1052</v>
      </c>
      <c r="Z37" s="70">
        <v>551</v>
      </c>
      <c r="AA37" s="78">
        <v>1584</v>
      </c>
      <c r="AC37" s="9"/>
    </row>
    <row r="38" spans="1:29">
      <c r="A38" s="9"/>
      <c r="B38" s="9"/>
      <c r="C38" s="33"/>
      <c r="D38" s="26" t="s">
        <v>11</v>
      </c>
      <c r="E38" s="32"/>
      <c r="F38" s="74">
        <f t="shared" si="5"/>
        <v>353242</v>
      </c>
      <c r="G38" s="74">
        <f t="shared" si="5"/>
        <v>234968</v>
      </c>
      <c r="H38" s="74">
        <f t="shared" si="5"/>
        <v>0</v>
      </c>
      <c r="I38" s="74">
        <f t="shared" si="5"/>
        <v>0</v>
      </c>
      <c r="J38" s="74">
        <f t="shared" si="5"/>
        <v>303053</v>
      </c>
      <c r="K38" s="64">
        <f>IFERROR(F38/G38-1,"n/a")</f>
        <v>0.50336215995369593</v>
      </c>
      <c r="L38" s="64" t="str">
        <f>IFERROR(F38/H38-1,"n/a")</f>
        <v>n/a</v>
      </c>
      <c r="M38" s="64" t="str">
        <f>IFERROR(F38/I38-1,"n/a")</f>
        <v>n/a</v>
      </c>
      <c r="N38" s="60">
        <f>IFERROR(F38/J38-1,"n/a")</f>
        <v>0.16561129571395106</v>
      </c>
      <c r="O38" s="74">
        <f>'Apr-23'!O38+'May-23'!F38</f>
        <v>802993</v>
      </c>
      <c r="P38" s="74">
        <f>'Apr-23'!P38+'May-23'!G38</f>
        <v>532756</v>
      </c>
      <c r="Q38" s="74">
        <f>'Apr-23'!Q38+'May-23'!H38</f>
        <v>0</v>
      </c>
      <c r="R38" s="74">
        <f>'Apr-23'!R38+'May-23'!I38</f>
        <v>0</v>
      </c>
      <c r="S38" s="74">
        <f>'Apr-23'!S38+'May-23'!J38</f>
        <v>697098</v>
      </c>
      <c r="T38" s="119">
        <f>IFERROR(O38/P38-1,"n/a")</f>
        <v>0.50724346605200132</v>
      </c>
      <c r="U38" s="119" t="str">
        <f>IFERROR(O38/Q38-1,"n/a")</f>
        <v>n/a</v>
      </c>
      <c r="V38" s="119" t="str">
        <f>IFERROR(O38/R38-1,"n/a")</f>
        <v>n/a</v>
      </c>
      <c r="W38" s="120">
        <f>IFERROR(O38/S38-1,"n/a")</f>
        <v>0.15190834000384457</v>
      </c>
      <c r="X38" s="89">
        <v>4370939</v>
      </c>
      <c r="Y38" s="89">
        <v>1527970</v>
      </c>
      <c r="Z38" s="84">
        <v>1092884</v>
      </c>
      <c r="AA38" s="78">
        <v>4234259</v>
      </c>
      <c r="AC38" s="9"/>
    </row>
    <row r="39" spans="1:29">
      <c r="A39" s="9"/>
      <c r="B39" s="9"/>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9"/>
    </row>
    <row r="40" spans="1:29">
      <c r="A40" s="9"/>
      <c r="B40" s="9"/>
      <c r="C40" s="33"/>
      <c r="D40" s="26" t="s">
        <v>5</v>
      </c>
      <c r="E40" s="32"/>
      <c r="F40" s="74">
        <f t="shared" ref="F40:J41" si="6">F16</f>
        <v>70</v>
      </c>
      <c r="G40" s="74">
        <f t="shared" si="6"/>
        <v>71</v>
      </c>
      <c r="H40" s="74">
        <f t="shared" si="6"/>
        <v>17</v>
      </c>
      <c r="I40" s="74">
        <f t="shared" si="6"/>
        <v>0</v>
      </c>
      <c r="J40" s="74">
        <f t="shared" si="6"/>
        <v>71</v>
      </c>
      <c r="K40" s="64">
        <f>IFERROR(F40/G40-1,"n/a")</f>
        <v>-1.4084507042253502E-2</v>
      </c>
      <c r="L40" s="64">
        <f>IFERROR(F40/H40-1,"n/a")</f>
        <v>3.117647058823529</v>
      </c>
      <c r="M40" s="64" t="str">
        <f>IFERROR(F40/I40-1,"n/a")</f>
        <v>n/a</v>
      </c>
      <c r="N40" s="60">
        <f>IFERROR(F40/J40-1,"n/a")</f>
        <v>-1.4084507042253502E-2</v>
      </c>
      <c r="O40" s="74">
        <f>'Apr-23'!O40+'May-23'!F40</f>
        <v>116</v>
      </c>
      <c r="P40" s="74">
        <f>'Apr-23'!P40+'May-23'!G40</f>
        <v>127</v>
      </c>
      <c r="Q40" s="74">
        <f>'Apr-23'!Q40+'May-23'!H40</f>
        <v>22</v>
      </c>
      <c r="R40" s="74">
        <f>'Apr-23'!R40+'May-23'!I40</f>
        <v>0</v>
      </c>
      <c r="S40" s="74">
        <f>'Apr-23'!S40+'May-23'!J40</f>
        <v>122</v>
      </c>
      <c r="T40" s="119">
        <f>IFERROR(O40/P40-1,"n/a")</f>
        <v>-8.6614173228346414E-2</v>
      </c>
      <c r="U40" s="119">
        <f>IFERROR(O40/Q40-1,"n/a")</f>
        <v>4.2727272727272725</v>
      </c>
      <c r="V40" s="119" t="str">
        <f>IFERROR(O40/R40-1,"n/a")</f>
        <v>n/a</v>
      </c>
      <c r="W40" s="120">
        <f>IFERROR(O40/S40-1,"n/a")</f>
        <v>-4.9180327868852514E-2</v>
      </c>
      <c r="X40" s="89">
        <v>563</v>
      </c>
      <c r="Y40" s="89">
        <v>226</v>
      </c>
      <c r="Z40" s="70">
        <v>66</v>
      </c>
      <c r="AA40" s="78">
        <v>573</v>
      </c>
      <c r="AC40" s="9"/>
    </row>
    <row r="41" spans="1:29">
      <c r="A41" s="9"/>
      <c r="B41" s="9"/>
      <c r="C41" s="33"/>
      <c r="D41" s="26" t="s">
        <v>11</v>
      </c>
      <c r="E41" s="32"/>
      <c r="F41" s="74">
        <f t="shared" si="6"/>
        <v>161083</v>
      </c>
      <c r="G41" s="74">
        <f t="shared" si="6"/>
        <v>82038</v>
      </c>
      <c r="H41" s="74">
        <f t="shared" si="6"/>
        <v>24481</v>
      </c>
      <c r="I41" s="74">
        <f t="shared" si="6"/>
        <v>0</v>
      </c>
      <c r="J41" s="74">
        <f t="shared" si="6"/>
        <v>165399</v>
      </c>
      <c r="K41" s="64">
        <f>IFERROR(F41/G41-1,"n/a")</f>
        <v>0.96351690679928814</v>
      </c>
      <c r="L41" s="64">
        <f>IFERROR(F41/H41-1,"n/a")</f>
        <v>5.5799191209509411</v>
      </c>
      <c r="M41" s="64" t="str">
        <f>IFERROR(F41/I41-1,"n/a")</f>
        <v>n/a</v>
      </c>
      <c r="N41" s="60">
        <f>IFERROR(F41/J41-1,"n/a")</f>
        <v>-2.6094474573606807E-2</v>
      </c>
      <c r="O41" s="74">
        <f>'Apr-23'!O41+'May-23'!F41</f>
        <v>268431</v>
      </c>
      <c r="P41" s="74">
        <f>'Apr-23'!P41+'May-23'!G41</f>
        <v>142405</v>
      </c>
      <c r="Q41" s="74">
        <f>'Apr-23'!Q41+'May-23'!H41</f>
        <v>30483</v>
      </c>
      <c r="R41" s="74">
        <f>'Apr-23'!R41+'May-23'!I41</f>
        <v>0</v>
      </c>
      <c r="S41" s="74">
        <f>'Apr-23'!S41+'May-23'!J41</f>
        <v>312730</v>
      </c>
      <c r="T41" s="119">
        <f>IFERROR(O41/P41-1,"n/a")</f>
        <v>0.88498297110354263</v>
      </c>
      <c r="U41" s="119">
        <f>IFERROR(O41/Q41-1,"n/a")</f>
        <v>7.8059246137191227</v>
      </c>
      <c r="V41" s="119" t="str">
        <f>IFERROR(O41/R41-1,"n/a")</f>
        <v>n/a</v>
      </c>
      <c r="W41" s="120">
        <f>IFERROR(O41/S41-1,"n/a")</f>
        <v>-0.14165254372781633</v>
      </c>
      <c r="X41" s="89">
        <v>1012510</v>
      </c>
      <c r="Y41" s="89">
        <v>327926</v>
      </c>
      <c r="Z41" s="84">
        <v>80778</v>
      </c>
      <c r="AA41" s="78">
        <v>1361671</v>
      </c>
      <c r="AC41" s="9"/>
    </row>
    <row r="42" spans="1:29">
      <c r="A42" s="9"/>
      <c r="B42" s="9"/>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9"/>
    </row>
    <row r="43" spans="1:29">
      <c r="A43" s="9"/>
      <c r="B43" s="9"/>
      <c r="C43" s="33"/>
      <c r="D43" s="26" t="s">
        <v>5</v>
      </c>
      <c r="E43" s="32"/>
      <c r="F43" s="74">
        <f t="shared" ref="F43:J44" si="7">F19</f>
        <v>99</v>
      </c>
      <c r="G43" s="74">
        <f t="shared" si="7"/>
        <v>91</v>
      </c>
      <c r="H43" s="74">
        <f t="shared" si="7"/>
        <v>1</v>
      </c>
      <c r="I43" s="74">
        <f t="shared" si="7"/>
        <v>0</v>
      </c>
      <c r="J43" s="74">
        <f t="shared" si="7"/>
        <v>37</v>
      </c>
      <c r="K43" s="64">
        <f>IFERROR(F43/G43-1,"n/a")</f>
        <v>8.7912087912087822E-2</v>
      </c>
      <c r="L43" s="64">
        <f>IFERROR(F43/H43-1,"n/a")</f>
        <v>98</v>
      </c>
      <c r="M43" s="64" t="str">
        <f>IFERROR(F43/I43-1,"n/a")</f>
        <v>n/a</v>
      </c>
      <c r="N43" s="60">
        <f>IFERROR(F43/J43-1,"n/a")</f>
        <v>1.6756756756756759</v>
      </c>
      <c r="O43" s="74">
        <f>'Apr-23'!O43+'May-23'!F43</f>
        <v>146</v>
      </c>
      <c r="P43" s="74">
        <f>'Apr-23'!P43+'May-23'!G43</f>
        <v>126</v>
      </c>
      <c r="Q43" s="74">
        <f>'Apr-23'!Q43+'May-23'!H43</f>
        <v>3</v>
      </c>
      <c r="R43" s="74">
        <f>'Apr-23'!R43+'May-23'!I43</f>
        <v>0</v>
      </c>
      <c r="S43" s="74">
        <f>'Apr-23'!S43+'May-23'!J43</f>
        <v>58</v>
      </c>
      <c r="T43" s="119">
        <f>IFERROR(O43/P43-1,"n/a")</f>
        <v>0.15873015873015883</v>
      </c>
      <c r="U43" s="119">
        <f>IFERROR(O43/Q43-1,"n/a")</f>
        <v>47.666666666666664</v>
      </c>
      <c r="V43" s="119" t="str">
        <f>IFERROR(O43/R43-1,"n/a")</f>
        <v>n/a</v>
      </c>
      <c r="W43" s="120">
        <f>IFERROR(O43/S43-1,"n/a")</f>
        <v>1.5172413793103448</v>
      </c>
      <c r="X43" s="89">
        <v>669</v>
      </c>
      <c r="Y43" s="89">
        <v>59</v>
      </c>
      <c r="Z43" s="70">
        <v>9</v>
      </c>
      <c r="AA43" s="78">
        <v>287</v>
      </c>
      <c r="AC43" s="9"/>
    </row>
    <row r="44" spans="1:29">
      <c r="A44" s="9"/>
      <c r="B44" s="9"/>
      <c r="C44" s="33"/>
      <c r="D44" s="26" t="s">
        <v>11</v>
      </c>
      <c r="E44" s="32"/>
      <c r="F44" s="74">
        <f t="shared" si="7"/>
        <v>137318</v>
      </c>
      <c r="G44" s="74">
        <f t="shared" si="7"/>
        <v>88575</v>
      </c>
      <c r="H44" s="74">
        <f t="shared" si="7"/>
        <v>0</v>
      </c>
      <c r="I44" s="74">
        <f t="shared" si="7"/>
        <v>0</v>
      </c>
      <c r="J44" s="74">
        <f t="shared" si="7"/>
        <v>66376</v>
      </c>
      <c r="K44" s="64">
        <f>IFERROR(F44/G44-1,"n/a")</f>
        <v>0.55030200395145368</v>
      </c>
      <c r="L44" s="64" t="str">
        <f>IFERROR(F44/H44-1,"n/a")</f>
        <v>n/a</v>
      </c>
      <c r="M44" s="64" t="str">
        <f>IFERROR(F44/I44-1,"n/a")</f>
        <v>n/a</v>
      </c>
      <c r="N44" s="60">
        <f>IFERROR(F44/J44-1,"n/a")</f>
        <v>1.0687899240689407</v>
      </c>
      <c r="O44" s="74">
        <f>'Apr-23'!O44+'May-23'!F44</f>
        <v>203620</v>
      </c>
      <c r="P44" s="74">
        <f>'Apr-23'!P44+'May-23'!G44</f>
        <v>121151</v>
      </c>
      <c r="Q44" s="74">
        <f>'Apr-23'!Q44+'May-23'!H44</f>
        <v>0</v>
      </c>
      <c r="R44" s="74">
        <f>'Apr-23'!R44+'May-23'!I44</f>
        <v>0</v>
      </c>
      <c r="S44" s="74">
        <f>'Apr-23'!S44+'May-23'!J44</f>
        <v>102439</v>
      </c>
      <c r="T44" s="119">
        <f>IFERROR(O44/P44-1,"n/a")</f>
        <v>0.6807124992777609</v>
      </c>
      <c r="U44" s="119" t="str">
        <f>IFERROR(O44/Q44-1,"n/a")</f>
        <v>n/a</v>
      </c>
      <c r="V44" s="119" t="str">
        <f>IFERROR(O44/R44-1,"n/a")</f>
        <v>n/a</v>
      </c>
      <c r="W44" s="120">
        <f>IFERROR(O44/S44-1,"n/a")</f>
        <v>0.98771952088560022</v>
      </c>
      <c r="X44" s="82">
        <f>709768+195488</f>
        <v>905256</v>
      </c>
      <c r="Y44" s="82">
        <v>20626</v>
      </c>
      <c r="Z44" s="84">
        <v>10047</v>
      </c>
      <c r="AA44" s="78">
        <v>581199</v>
      </c>
      <c r="AC44" s="9"/>
    </row>
    <row r="45" spans="1:29">
      <c r="A45" s="9"/>
      <c r="B45" s="9"/>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9"/>
    </row>
    <row r="46" spans="1:29">
      <c r="A46" s="9"/>
      <c r="B46" s="9"/>
      <c r="C46" s="33"/>
      <c r="D46" s="26" t="s">
        <v>5</v>
      </c>
      <c r="E46" s="34"/>
      <c r="F46" s="74">
        <f t="shared" ref="F46:J47" si="8">F22</f>
        <v>159</v>
      </c>
      <c r="G46" s="74">
        <f t="shared" si="8"/>
        <v>103</v>
      </c>
      <c r="H46" s="74">
        <f t="shared" si="8"/>
        <v>0</v>
      </c>
      <c r="I46" s="74">
        <f t="shared" si="8"/>
        <v>0</v>
      </c>
      <c r="J46" s="74">
        <f t="shared" si="8"/>
        <v>113</v>
      </c>
      <c r="K46" s="64">
        <f>IFERROR(F46/G46-1,"n/a")</f>
        <v>0.5436893203883495</v>
      </c>
      <c r="L46" s="64" t="str">
        <f>IFERROR(F46/H46-1,"n/a")</f>
        <v>n/a</v>
      </c>
      <c r="M46" s="64" t="str">
        <f>IFERROR(F46/I46-1,"n/a")</f>
        <v>n/a</v>
      </c>
      <c r="N46" s="60">
        <f>IFERROR(F46/J46-1,"n/a")</f>
        <v>0.40707964601769908</v>
      </c>
      <c r="O46" s="74">
        <f>'Apr-23'!O46+'May-23'!F46</f>
        <v>320</v>
      </c>
      <c r="P46" s="74">
        <f>'Apr-23'!P46+'May-23'!G46</f>
        <v>203</v>
      </c>
      <c r="Q46" s="74">
        <f>'Apr-23'!Q46+'May-23'!H46</f>
        <v>0</v>
      </c>
      <c r="R46" s="74">
        <f>'Apr-23'!R46+'May-23'!I46</f>
        <v>0</v>
      </c>
      <c r="S46" s="74">
        <f>'Apr-23'!S46+'May-23'!J46</f>
        <v>203</v>
      </c>
      <c r="T46" s="119">
        <f>IFERROR(O46/P46-1,"n/a")</f>
        <v>0.57635467980295574</v>
      </c>
      <c r="U46" s="119" t="str">
        <f>IFERROR(O46/Q46-1,"n/a")</f>
        <v>n/a</v>
      </c>
      <c r="V46" s="119" t="str">
        <f>IFERROR(O46/R46-1,"n/a")</f>
        <v>n/a</v>
      </c>
      <c r="W46" s="120">
        <f>IFERROR(O46/S46-1,"n/a")</f>
        <v>0.57635467980295574</v>
      </c>
      <c r="X46" s="89">
        <v>1129</v>
      </c>
      <c r="Y46" s="89">
        <v>336</v>
      </c>
      <c r="Z46" s="84">
        <v>43</v>
      </c>
      <c r="AA46" s="78">
        <v>781</v>
      </c>
      <c r="AC46" s="9"/>
    </row>
    <row r="47" spans="1:29">
      <c r="A47" s="9"/>
      <c r="B47" s="9"/>
      <c r="C47" s="33"/>
      <c r="D47" s="26" t="s">
        <v>11</v>
      </c>
      <c r="E47" s="32"/>
      <c r="F47" s="74">
        <f t="shared" si="8"/>
        <v>390316</v>
      </c>
      <c r="G47" s="74">
        <f t="shared" si="8"/>
        <v>168018</v>
      </c>
      <c r="H47" s="74">
        <f t="shared" si="8"/>
        <v>0</v>
      </c>
      <c r="I47" s="74">
        <f t="shared" si="8"/>
        <v>0</v>
      </c>
      <c r="J47" s="74">
        <f t="shared" si="8"/>
        <v>300445</v>
      </c>
      <c r="K47" s="64">
        <f>IFERROR(F47/G47-1,"n/a")</f>
        <v>1.3230606244569034</v>
      </c>
      <c r="L47" s="64" t="str">
        <f>IFERROR(F47/H47-1,"n/a")</f>
        <v>n/a</v>
      </c>
      <c r="M47" s="64" t="str">
        <f>IFERROR(F47/I47-1,"n/a")</f>
        <v>n/a</v>
      </c>
      <c r="N47" s="60">
        <f>IFERROR(F47/J47-1,"n/a")</f>
        <v>0.29912629599427509</v>
      </c>
      <c r="O47" s="74">
        <f>'Apr-23'!O47+'May-23'!F47</f>
        <v>723221</v>
      </c>
      <c r="P47" s="74">
        <f>'Apr-23'!P47+'May-23'!G47</f>
        <v>283827</v>
      </c>
      <c r="Q47" s="74">
        <f>'Apr-23'!Q47+'May-23'!H47</f>
        <v>0</v>
      </c>
      <c r="R47" s="74">
        <f>'Apr-23'!R47+'May-23'!I47</f>
        <v>0</v>
      </c>
      <c r="S47" s="74">
        <f>'Apr-23'!S47+'May-23'!J47</f>
        <v>513185</v>
      </c>
      <c r="T47" s="119">
        <f>IFERROR(O47/P47-1,"n/a")</f>
        <v>1.5481050076278859</v>
      </c>
      <c r="U47" s="119" t="str">
        <f>IFERROR(O47/Q47-1,"n/a")</f>
        <v>n/a</v>
      </c>
      <c r="V47" s="119" t="str">
        <f>IFERROR(O47/R47-1,"n/a")</f>
        <v>n/a</v>
      </c>
      <c r="W47" s="120">
        <f>IFERROR(O47/S47-1,"n/a")</f>
        <v>0.4092793047341603</v>
      </c>
      <c r="X47" s="82">
        <v>2932981</v>
      </c>
      <c r="Y47" s="82">
        <v>533563</v>
      </c>
      <c r="Z47" s="84">
        <v>140552</v>
      </c>
      <c r="AA47" s="78">
        <v>2441594</v>
      </c>
      <c r="AC47" s="9"/>
    </row>
    <row r="48" spans="1:29">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9"/>
    </row>
    <row r="49" spans="3:29">
      <c r="C49" s="33"/>
      <c r="D49" s="26" t="s">
        <v>5</v>
      </c>
      <c r="E49" s="32"/>
      <c r="F49" s="74">
        <f t="shared" ref="F49:J50" si="9">F25</f>
        <v>3</v>
      </c>
      <c r="G49" s="74">
        <f t="shared" si="9"/>
        <v>0</v>
      </c>
      <c r="H49" s="74">
        <f t="shared" si="9"/>
        <v>0</v>
      </c>
      <c r="I49" s="74">
        <f t="shared" si="9"/>
        <v>0</v>
      </c>
      <c r="J49" s="74">
        <f t="shared" si="9"/>
        <v>2</v>
      </c>
      <c r="K49" s="64" t="str">
        <f>IFERROR(F49/G49-1,"n/a")</f>
        <v>n/a</v>
      </c>
      <c r="L49" s="64" t="str">
        <f>IFERROR(F49/H49-1,"n/a")</f>
        <v>n/a</v>
      </c>
      <c r="M49" s="64" t="str">
        <f>IFERROR(F49/I49-1,"n/a")</f>
        <v>n/a</v>
      </c>
      <c r="N49" s="60">
        <f>IFERROR(F49/J49-1,"n/a")</f>
        <v>0.5</v>
      </c>
      <c r="O49" s="74">
        <f>'Apr-23'!O49+'May-23'!F49</f>
        <v>4</v>
      </c>
      <c r="P49" s="74">
        <f>'Apr-23'!P49+'May-23'!G49</f>
        <v>1</v>
      </c>
      <c r="Q49" s="74">
        <f>'Apr-23'!Q49+'May-23'!H49</f>
        <v>0</v>
      </c>
      <c r="R49" s="74">
        <f>'Apr-23'!R49+'May-23'!I49</f>
        <v>0</v>
      </c>
      <c r="S49" s="74">
        <f>'Apr-23'!S49+'May-23'!J49</f>
        <v>3</v>
      </c>
      <c r="T49" s="119">
        <f>IFERROR(O49/P49-1,"n/a")</f>
        <v>3</v>
      </c>
      <c r="U49" s="119" t="str">
        <f>IFERROR(O49/Q49-1,"n/a")</f>
        <v>n/a</v>
      </c>
      <c r="V49" s="119" t="str">
        <f>IFERROR(O49/R49-1,"n/a")</f>
        <v>n/a</v>
      </c>
      <c r="W49" s="120">
        <f>IFERROR(O49/S49-1,"n/a")</f>
        <v>0.33333333333333326</v>
      </c>
      <c r="X49" s="89">
        <v>9</v>
      </c>
      <c r="Y49" s="68">
        <v>0</v>
      </c>
      <c r="Z49" s="68">
        <v>0</v>
      </c>
      <c r="AA49" s="78">
        <v>16</v>
      </c>
      <c r="AC49" s="9"/>
    </row>
    <row r="50" spans="3:29">
      <c r="C50" s="33"/>
      <c r="D50" s="26" t="s">
        <v>11</v>
      </c>
      <c r="E50" s="32"/>
      <c r="F50" s="74">
        <f t="shared" si="9"/>
        <v>2124</v>
      </c>
      <c r="G50" s="74">
        <f t="shared" si="9"/>
        <v>0</v>
      </c>
      <c r="H50" s="74">
        <f t="shared" si="9"/>
        <v>0</v>
      </c>
      <c r="I50" s="74">
        <f t="shared" si="9"/>
        <v>0</v>
      </c>
      <c r="J50" s="74">
        <f t="shared" si="9"/>
        <v>2351</v>
      </c>
      <c r="K50" s="64" t="str">
        <f>IFERROR(F50/G50-1,"n/a")</f>
        <v>n/a</v>
      </c>
      <c r="L50" s="64" t="str">
        <f>IFERROR(F50/H50-1,"n/a")</f>
        <v>n/a</v>
      </c>
      <c r="M50" s="64" t="str">
        <f>IFERROR(F50/I50-1,"n/a")</f>
        <v>n/a</v>
      </c>
      <c r="N50" s="60">
        <f>IFERROR(F50/J50-1,"n/a")</f>
        <v>-9.6554657592513804E-2</v>
      </c>
      <c r="O50" s="74">
        <f>'Apr-23'!O50+'May-23'!F50</f>
        <v>4382</v>
      </c>
      <c r="P50" s="74">
        <f>'Apr-23'!P50+'May-23'!G50</f>
        <v>925</v>
      </c>
      <c r="Q50" s="74">
        <f>'Apr-23'!Q50+'May-23'!H50</f>
        <v>0</v>
      </c>
      <c r="R50" s="74">
        <f>'Apr-23'!R50+'May-23'!I50</f>
        <v>0</v>
      </c>
      <c r="S50" s="74">
        <f>'Apr-23'!S50+'May-23'!J50</f>
        <v>3410</v>
      </c>
      <c r="T50" s="119">
        <f>IFERROR(O50/P50-1,"n/a")</f>
        <v>3.7372972972972969</v>
      </c>
      <c r="U50" s="119" t="str">
        <f>IFERROR(O50/Q50-1,"n/a")</f>
        <v>n/a</v>
      </c>
      <c r="V50" s="119" t="str">
        <f>IFERROR(O50/R50-1,"n/a")</f>
        <v>n/a</v>
      </c>
      <c r="W50" s="120">
        <f>IFERROR(O50/S50-1,"n/a")</f>
        <v>0.28504398826979482</v>
      </c>
      <c r="X50" s="82">
        <v>15637</v>
      </c>
      <c r="Y50" s="68">
        <v>0</v>
      </c>
      <c r="Z50" s="68">
        <v>0</v>
      </c>
      <c r="AA50" s="78">
        <v>20248</v>
      </c>
      <c r="AC50" s="9"/>
    </row>
    <row r="51" spans="3:29" ht="15.75" thickBot="1">
      <c r="C51" s="35" t="s">
        <v>12</v>
      </c>
      <c r="D51" s="36"/>
      <c r="E51" s="37"/>
      <c r="F51" s="75">
        <f>F37+F40+F43+F46+F49</f>
        <v>430</v>
      </c>
      <c r="G51" s="75">
        <f t="shared" ref="G51:J52" si="10">G37+G40+G43+G46+G49</f>
        <v>348</v>
      </c>
      <c r="H51" s="75">
        <f t="shared" si="10"/>
        <v>18</v>
      </c>
      <c r="I51" s="75">
        <f t="shared" si="10"/>
        <v>0</v>
      </c>
      <c r="J51" s="75">
        <f t="shared" si="10"/>
        <v>313</v>
      </c>
      <c r="K51" s="66">
        <f>IFERROR(F51/G51-1,"n/a")</f>
        <v>0.23563218390804597</v>
      </c>
      <c r="L51" s="66">
        <f>IFERROR(F51/H51-1,"n/a")</f>
        <v>22.888888888888889</v>
      </c>
      <c r="M51" s="66" t="str">
        <f>IFERROR(F51/I51-1,"n/a")</f>
        <v>n/a</v>
      </c>
      <c r="N51" s="62">
        <f>IFERROR(F51/J51-1,"n/a")</f>
        <v>0.37380191693290743</v>
      </c>
      <c r="O51" s="75">
        <f t="shared" ref="O51:S52" si="11">O37+O40+O43+O46+O49</f>
        <v>814</v>
      </c>
      <c r="P51" s="75">
        <f t="shared" si="11"/>
        <v>676</v>
      </c>
      <c r="Q51" s="75">
        <f t="shared" si="11"/>
        <v>25</v>
      </c>
      <c r="R51" s="75">
        <f t="shared" si="11"/>
        <v>42</v>
      </c>
      <c r="S51" s="75">
        <f t="shared" si="11"/>
        <v>605</v>
      </c>
      <c r="T51" s="66">
        <f>IFERROR(O51/P51-1,"n/a")</f>
        <v>0.20414201183431957</v>
      </c>
      <c r="U51" s="66">
        <f>IFERROR(O51/Q51-1,"n/a")</f>
        <v>31.560000000000002</v>
      </c>
      <c r="V51" s="66">
        <f>IFERROR(O51/R51-1,"n/a")</f>
        <v>18.38095238095238</v>
      </c>
      <c r="W51" s="62">
        <f>IFERROR(O51/S51-1,"n/a")</f>
        <v>0.34545454545454546</v>
      </c>
      <c r="X51" s="46">
        <f t="shared" ref="X51:Z52" si="12">X37+X40+X43+X46+X49</f>
        <v>3856</v>
      </c>
      <c r="Y51" s="46">
        <f t="shared" si="12"/>
        <v>1673</v>
      </c>
      <c r="Z51" s="46">
        <f t="shared" si="12"/>
        <v>669</v>
      </c>
      <c r="AA51" s="80">
        <f>AA37+AA40+AA43+AA46+AA49</f>
        <v>3241</v>
      </c>
      <c r="AC51" s="9"/>
    </row>
    <row r="52" spans="3:29" ht="16.5" thickTop="1" thickBot="1">
      <c r="C52" s="38" t="s">
        <v>13</v>
      </c>
      <c r="D52" s="39"/>
      <c r="E52" s="40"/>
      <c r="F52" s="76">
        <f>F38+F41+F44+F47+F50</f>
        <v>1044083</v>
      </c>
      <c r="G52" s="76">
        <f t="shared" si="10"/>
        <v>573599</v>
      </c>
      <c r="H52" s="76">
        <f t="shared" si="10"/>
        <v>24481</v>
      </c>
      <c r="I52" s="76">
        <f t="shared" si="10"/>
        <v>0</v>
      </c>
      <c r="J52" s="76">
        <f t="shared" si="10"/>
        <v>837624</v>
      </c>
      <c r="K52" s="67">
        <f>IFERROR(F52/G52-1,"n/a")</f>
        <v>0.82023155549434357</v>
      </c>
      <c r="L52" s="67">
        <f>IFERROR(F52/H52-1,"n/a")</f>
        <v>41.648707160655199</v>
      </c>
      <c r="M52" s="67" t="str">
        <f>IFERROR(F52/I52-1,"n/a")</f>
        <v>n/a</v>
      </c>
      <c r="N52" s="63">
        <f>IFERROR(F52/J52-1,"n/a")</f>
        <v>0.24648171494608562</v>
      </c>
      <c r="O52" s="76">
        <f t="shared" si="11"/>
        <v>2002647</v>
      </c>
      <c r="P52" s="76">
        <f t="shared" si="11"/>
        <v>1081064</v>
      </c>
      <c r="Q52" s="76">
        <f t="shared" si="11"/>
        <v>30483</v>
      </c>
      <c r="R52" s="76">
        <f t="shared" si="11"/>
        <v>0</v>
      </c>
      <c r="S52" s="76">
        <f t="shared" si="11"/>
        <v>1628862</v>
      </c>
      <c r="T52" s="67">
        <f>IFERROR(O52/P52-1,"n/a")</f>
        <v>0.85247774414835753</v>
      </c>
      <c r="U52" s="117">
        <f>IFERROR(O52/Q52-1,"n/a")</f>
        <v>64.697175474854831</v>
      </c>
      <c r="V52" s="117" t="str">
        <f>IFERROR(O52/R52-1,"n/a")</f>
        <v>n/a</v>
      </c>
      <c r="W52" s="118">
        <f>IFERROR(O52/S52-1,"n/a")</f>
        <v>0.22947616188480047</v>
      </c>
      <c r="X52" s="47">
        <f t="shared" si="12"/>
        <v>9237323</v>
      </c>
      <c r="Y52" s="47">
        <f t="shared" si="12"/>
        <v>2410085</v>
      </c>
      <c r="Z52" s="47">
        <f t="shared" si="12"/>
        <v>1324261</v>
      </c>
      <c r="AA52" s="81">
        <f>AA38+AA41+AA44+AA47+AA50</f>
        <v>8638971</v>
      </c>
      <c r="AC52" s="9"/>
    </row>
    <row r="53" spans="3:29" ht="15.75" thickTop="1">
      <c r="AC53" s="9"/>
    </row>
    <row r="54" spans="3:29">
      <c r="P54" s="111"/>
      <c r="Q54" s="111"/>
      <c r="R54" s="111"/>
      <c r="S54" s="111"/>
      <c r="AC54" s="9"/>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66"/>
  <sheetViews>
    <sheetView showGridLines="0" topLeftCell="A2" zoomScaleNormal="100" workbookViewId="0"/>
  </sheetViews>
  <sheetFormatPr defaultColWidth="0" defaultRowHeight="15" customHeight="1" zeroHeight="1"/>
  <cols>
    <col min="1" max="2" width="4.140625" customWidth="1"/>
    <col min="3" max="3" width="3.85546875" customWidth="1"/>
    <col min="4" max="4" width="8.85546875" customWidth="1"/>
    <col min="5" max="5" width="10.855468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5" width="11" bestFit="1" customWidth="1"/>
    <col min="16" max="18" width="10.42578125" bestFit="1" customWidth="1"/>
    <col min="19" max="19" width="11" bestFit="1" customWidth="1"/>
    <col min="20" max="20" width="9.140625" bestFit="1" customWidth="1"/>
    <col min="21" max="21" width="8.85546875" bestFit="1" customWidth="1"/>
    <col min="22" max="22" width="9" bestFit="1" customWidth="1"/>
    <col min="23" max="23" width="7.85546875" customWidth="1"/>
    <col min="24" max="24" width="12.42578125" bestFit="1" customWidth="1"/>
    <col min="25" max="26" width="12" bestFit="1" customWidth="1"/>
    <col min="27" max="27" width="12.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45058</v>
      </c>
      <c r="AB3" s="25"/>
      <c r="AC3" s="9"/>
    </row>
    <row r="4" spans="1:29" ht="15.75">
      <c r="A4" s="9"/>
      <c r="B4" s="11" t="s">
        <v>7</v>
      </c>
      <c r="C4" s="26"/>
      <c r="D4" s="24"/>
      <c r="E4" s="58" t="s">
        <v>112</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c r="A9" s="9"/>
      <c r="C9" s="27" t="s">
        <v>7</v>
      </c>
      <c r="D9" s="28"/>
      <c r="E9" s="28"/>
      <c r="F9" s="170" t="s">
        <v>45</v>
      </c>
      <c r="G9" s="170"/>
      <c r="H9" s="170"/>
      <c r="I9" s="170"/>
      <c r="J9" s="170"/>
      <c r="K9" s="170"/>
      <c r="L9" s="170"/>
      <c r="M9" s="170"/>
      <c r="N9" s="171"/>
      <c r="O9" s="169" t="s">
        <v>46</v>
      </c>
      <c r="P9" s="170"/>
      <c r="Q9" s="170"/>
      <c r="R9" s="170"/>
      <c r="S9" s="170"/>
      <c r="T9" s="170"/>
      <c r="U9" s="170"/>
      <c r="V9" s="170"/>
      <c r="W9" s="171"/>
      <c r="X9" s="169" t="s">
        <v>57</v>
      </c>
      <c r="Y9" s="170"/>
      <c r="Z9" s="170"/>
      <c r="AA9" s="172"/>
      <c r="AB9" s="9"/>
      <c r="AC9" s="9"/>
    </row>
    <row r="10" spans="1:29"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9"/>
      <c r="AC10" s="9"/>
    </row>
    <row r="11" spans="1:29" ht="26.25"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c r="AC11" s="48"/>
    </row>
    <row r="12" spans="1:29">
      <c r="A12" s="9"/>
      <c r="B12" s="12"/>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9"/>
      <c r="AC12" s="9"/>
    </row>
    <row r="13" spans="1:29">
      <c r="A13" s="9"/>
      <c r="B13" s="12"/>
      <c r="C13" s="33"/>
      <c r="D13" s="26" t="s">
        <v>5</v>
      </c>
      <c r="E13" s="32"/>
      <c r="F13" s="73">
        <v>129</v>
      </c>
      <c r="G13" s="71">
        <v>136</v>
      </c>
      <c r="H13" s="71">
        <v>0</v>
      </c>
      <c r="I13" s="71">
        <v>42</v>
      </c>
      <c r="J13" s="71">
        <v>129</v>
      </c>
      <c r="K13" s="64">
        <f>IFERROR(F13/G13-1,"n/a")</f>
        <v>-5.1470588235294157E-2</v>
      </c>
      <c r="L13" s="64" t="str">
        <f t="shared" ref="L13:L28" si="0">IFERROR(F13/H13-1,"n/a")</f>
        <v>n/a</v>
      </c>
      <c r="M13" s="64">
        <f>IFERROR(F13/I13-1,"n/a")</f>
        <v>2.0714285714285716</v>
      </c>
      <c r="N13" s="60">
        <f>IFERROR(F13/J13-1,"n/a")</f>
        <v>0</v>
      </c>
      <c r="O13" s="68">
        <f>'Mar-23'!O13+'Apr-23'!F13</f>
        <v>659</v>
      </c>
      <c r="P13" s="68">
        <f>'Mar-23'!$P$13+G13</f>
        <v>666</v>
      </c>
      <c r="Q13" s="68">
        <f>'Mar-23'!Q13+'Apr-23'!H13</f>
        <v>0</v>
      </c>
      <c r="R13" s="68">
        <f>'Mar-23'!R13+'Apr-23'!I13</f>
        <v>551</v>
      </c>
      <c r="S13" s="68">
        <f>'Mar-23'!S13+'Apr-23'!J13</f>
        <v>645</v>
      </c>
      <c r="T13" s="64">
        <f>IFERROR(O13/P13-1,"n/a")</f>
        <v>-1.0510510510510551E-2</v>
      </c>
      <c r="U13" s="64" t="str">
        <f>IFERROR(O13/Q13-1,"n/a")</f>
        <v>n/a</v>
      </c>
      <c r="V13" s="64">
        <f>IFERROR(O13/R13-1,"n/a")</f>
        <v>0.19600725952813058</v>
      </c>
      <c r="W13" s="60">
        <f>IFERROR(O13/S13-1,"n/a")</f>
        <v>2.170542635658923E-2</v>
      </c>
      <c r="X13" s="68">
        <v>1486</v>
      </c>
      <c r="Y13" s="68">
        <v>522</v>
      </c>
      <c r="Z13" s="70">
        <v>551</v>
      </c>
      <c r="AA13" s="78">
        <v>1591</v>
      </c>
      <c r="AB13" s="9"/>
      <c r="AC13" s="9"/>
    </row>
    <row r="14" spans="1:29">
      <c r="A14" s="9"/>
      <c r="B14" s="12"/>
      <c r="C14" s="33"/>
      <c r="D14" s="26" t="s">
        <v>11</v>
      </c>
      <c r="E14" s="32"/>
      <c r="F14" s="73">
        <v>449751</v>
      </c>
      <c r="G14" s="71">
        <v>297788</v>
      </c>
      <c r="H14" s="71">
        <v>0</v>
      </c>
      <c r="I14" s="71">
        <v>0</v>
      </c>
      <c r="J14" s="71">
        <v>394045</v>
      </c>
      <c r="K14" s="64">
        <f>IFERROR(F14/G14-1,"n/a")</f>
        <v>0.51030598949588302</v>
      </c>
      <c r="L14" s="64" t="str">
        <f t="shared" si="0"/>
        <v>n/a</v>
      </c>
      <c r="M14" s="64" t="str">
        <f>IFERROR(F14/I14-1,"n/a")</f>
        <v>n/a</v>
      </c>
      <c r="N14" s="60">
        <f>IFERROR(F14/J14-1,"n/a")</f>
        <v>0.14136964052329049</v>
      </c>
      <c r="O14" s="68">
        <f>'Mar-23'!$O$14+F14</f>
        <v>1987935</v>
      </c>
      <c r="P14" s="68">
        <f>'Mar-23'!P14+'Apr-23'!G14</f>
        <v>1057446</v>
      </c>
      <c r="Q14" s="68">
        <f>'Mar-23'!Q14+'Apr-23'!H14</f>
        <v>0</v>
      </c>
      <c r="R14" s="68">
        <f>'Mar-23'!R14+'Apr-23'!I14</f>
        <v>1092884</v>
      </c>
      <c r="S14" s="68">
        <f>'Mar-23'!S14+'Apr-23'!J14</f>
        <v>1845149</v>
      </c>
      <c r="T14" s="64">
        <f>IFERROR(O14/P14-1,"n/a")</f>
        <v>0.87993996856577072</v>
      </c>
      <c r="U14" s="64" t="str">
        <f>IFERROR(O14/Q14-1,"n/a")</f>
        <v>n/a</v>
      </c>
      <c r="V14" s="64">
        <f>IFERROR(O14/R14-1,"n/a")</f>
        <v>0.81898078844598321</v>
      </c>
      <c r="W14" s="60">
        <f>IFERROR(O14/S14-1,"n/a")</f>
        <v>7.7384536424971673E-2</v>
      </c>
      <c r="X14" s="68">
        <v>3592413</v>
      </c>
      <c r="Y14" s="68">
        <v>768312</v>
      </c>
      <c r="Z14" s="70">
        <v>1092884</v>
      </c>
      <c r="AA14" s="78">
        <v>4592479</v>
      </c>
      <c r="AB14" s="9"/>
      <c r="AC14" s="9"/>
    </row>
    <row r="15" spans="1:29">
      <c r="A15" s="9"/>
      <c r="B15" s="12"/>
      <c r="C15" s="31" t="s">
        <v>108</v>
      </c>
      <c r="D15" s="26"/>
      <c r="E15" s="32"/>
      <c r="F15" s="97"/>
      <c r="G15" s="26"/>
      <c r="H15" s="26"/>
      <c r="I15" s="26"/>
      <c r="J15" s="26"/>
      <c r="K15" s="64"/>
      <c r="L15" s="64"/>
      <c r="M15" s="64"/>
      <c r="N15" s="61"/>
      <c r="O15" s="87"/>
      <c r="P15" s="87"/>
      <c r="Q15" s="87"/>
      <c r="R15" s="87"/>
      <c r="S15" s="87"/>
      <c r="T15" s="64"/>
      <c r="U15" s="64"/>
      <c r="V15" s="65"/>
      <c r="W15" s="61"/>
      <c r="X15" s="43"/>
      <c r="Y15" s="43"/>
      <c r="Z15" s="44"/>
      <c r="AA15" s="79"/>
      <c r="AB15" s="9"/>
      <c r="AC15" s="9"/>
    </row>
    <row r="16" spans="1:29">
      <c r="A16" s="9"/>
      <c r="B16" s="12"/>
      <c r="C16" s="33"/>
      <c r="D16" s="26" t="s">
        <v>5</v>
      </c>
      <c r="E16" s="32"/>
      <c r="F16" s="74">
        <v>46</v>
      </c>
      <c r="G16" s="71">
        <v>56</v>
      </c>
      <c r="H16" s="71">
        <v>5</v>
      </c>
      <c r="I16" s="71">
        <v>0</v>
      </c>
      <c r="J16" s="71">
        <v>51</v>
      </c>
      <c r="K16" s="64">
        <f>IFERROR(F16/G16-1,"n/a")</f>
        <v>-0.1785714285714286</v>
      </c>
      <c r="L16" s="64">
        <f t="shared" si="0"/>
        <v>8.1999999999999993</v>
      </c>
      <c r="M16" s="64" t="str">
        <f>IFERROR(F16/I16-1,"n/a")</f>
        <v>n/a</v>
      </c>
      <c r="N16" s="60">
        <f>IFERROR(F16/J16-1,"n/a")</f>
        <v>-9.8039215686274495E-2</v>
      </c>
      <c r="O16" s="68">
        <f>'Mar-23'!$O$16+F16</f>
        <v>73</v>
      </c>
      <c r="P16" s="68">
        <f>'Mar-23'!P16+'Apr-23'!G16</f>
        <v>92</v>
      </c>
      <c r="Q16" s="68">
        <f>'Mar-23'!Q16+'Apr-23'!H16</f>
        <v>17</v>
      </c>
      <c r="R16" s="68">
        <f>'Mar-23'!R16+'Apr-23'!I16</f>
        <v>10</v>
      </c>
      <c r="S16" s="68">
        <f>'Mar-23'!S16+'Apr-23'!J16</f>
        <v>74</v>
      </c>
      <c r="T16" s="64">
        <f>IFERROR(O16/P16-1,"n/a")</f>
        <v>-0.20652173913043481</v>
      </c>
      <c r="U16" s="64">
        <f>IFERROR(O16/Q16-1,"n/a")</f>
        <v>3.2941176470588234</v>
      </c>
      <c r="V16" s="64">
        <f>IFERROR(O16/R16-1,"n/a")</f>
        <v>6.3</v>
      </c>
      <c r="W16" s="60">
        <f>IFERROR(O16/S16-1,"n/a")</f>
        <v>-1.3513513513513487E-2</v>
      </c>
      <c r="X16" s="68">
        <v>572</v>
      </c>
      <c r="Y16" s="68">
        <v>202</v>
      </c>
      <c r="Z16" s="70">
        <v>54</v>
      </c>
      <c r="AA16" s="78">
        <v>586</v>
      </c>
      <c r="AB16" s="9"/>
      <c r="AC16" s="9"/>
    </row>
    <row r="17" spans="1:29">
      <c r="A17" s="9"/>
      <c r="B17" s="12"/>
      <c r="C17" s="33"/>
      <c r="D17" s="26" t="s">
        <v>11</v>
      </c>
      <c r="E17" s="32"/>
      <c r="F17" s="74">
        <v>107348</v>
      </c>
      <c r="G17" s="71">
        <v>60367</v>
      </c>
      <c r="H17" s="71">
        <v>6002</v>
      </c>
      <c r="I17" s="71">
        <v>0</v>
      </c>
      <c r="J17" s="71">
        <v>147331</v>
      </c>
      <c r="K17" s="64">
        <f>IFERROR(F17/G17-1,"n/a")</f>
        <v>0.7782563321019762</v>
      </c>
      <c r="L17" s="64">
        <f t="shared" si="0"/>
        <v>16.885371542819062</v>
      </c>
      <c r="M17" s="64" t="str">
        <f>IFERROR(F17/I17-1,"n/a")</f>
        <v>n/a</v>
      </c>
      <c r="N17" s="60">
        <f>IFERROR(F17/J17-1,"n/a")</f>
        <v>-0.27138212596127087</v>
      </c>
      <c r="O17" s="68">
        <f>'Mar-23'!O17+'Apr-23'!F17</f>
        <v>190403</v>
      </c>
      <c r="P17" s="68">
        <f>'Mar-23'!P17+'Apr-23'!G17</f>
        <v>96875</v>
      </c>
      <c r="Q17" s="68">
        <f>'Mar-23'!Q17+'Apr-23'!H17</f>
        <v>16105</v>
      </c>
      <c r="R17" s="68">
        <f>'Mar-23'!R17+'Apr-23'!I17</f>
        <v>41113</v>
      </c>
      <c r="S17" s="68">
        <f>'Mar-23'!S17+'Apr-23'!J17</f>
        <v>227705</v>
      </c>
      <c r="T17" s="64">
        <f>IFERROR(O17/P17-1,"n/a")</f>
        <v>0.96545032258064523</v>
      </c>
      <c r="U17" s="64">
        <f>IFERROR(O17/Q17-1,"n/a")</f>
        <v>10.822601676497982</v>
      </c>
      <c r="V17" s="64">
        <f>IFERROR(O17/R17-1,"n/a")</f>
        <v>3.6312115389292927</v>
      </c>
      <c r="W17" s="60">
        <f>IFERROR(O17/S17-1,"n/a")</f>
        <v>-0.16381721964822904</v>
      </c>
      <c r="X17" s="68">
        <v>965963</v>
      </c>
      <c r="Y17" s="68">
        <v>301521</v>
      </c>
      <c r="Z17" s="70">
        <v>70675</v>
      </c>
      <c r="AA17" s="78">
        <v>1400932</v>
      </c>
      <c r="AB17" s="9"/>
      <c r="AC17" s="9"/>
    </row>
    <row r="18" spans="1:29">
      <c r="A18" s="9"/>
      <c r="B18" s="12"/>
      <c r="C18" s="31" t="s">
        <v>109</v>
      </c>
      <c r="D18" s="26"/>
      <c r="E18" s="32"/>
      <c r="F18" s="72"/>
      <c r="G18" s="72"/>
      <c r="H18" s="72"/>
      <c r="I18" s="72"/>
      <c r="J18" s="72"/>
      <c r="K18" s="64"/>
      <c r="L18" s="64"/>
      <c r="M18" s="64"/>
      <c r="N18" s="60"/>
      <c r="O18" s="87"/>
      <c r="P18" s="87"/>
      <c r="Q18" s="87"/>
      <c r="R18" s="87"/>
      <c r="S18" s="87"/>
      <c r="T18" s="64"/>
      <c r="U18" s="64"/>
      <c r="V18" s="64"/>
      <c r="W18" s="60"/>
      <c r="X18" s="43"/>
      <c r="Y18" s="43"/>
      <c r="Z18" s="44"/>
      <c r="AA18" s="79"/>
      <c r="AB18" s="9"/>
      <c r="AC18" s="9"/>
    </row>
    <row r="19" spans="1:29">
      <c r="A19" s="9"/>
      <c r="B19" s="12"/>
      <c r="C19" s="33"/>
      <c r="D19" s="26" t="s">
        <v>5</v>
      </c>
      <c r="E19" s="32"/>
      <c r="F19" s="73">
        <v>47</v>
      </c>
      <c r="G19" s="71">
        <v>35</v>
      </c>
      <c r="H19" s="71">
        <v>2</v>
      </c>
      <c r="I19" s="71">
        <v>0</v>
      </c>
      <c r="J19" s="71">
        <v>21</v>
      </c>
      <c r="K19" s="64">
        <f>IFERROR(F19/G19-1,"n/a")</f>
        <v>0.34285714285714275</v>
      </c>
      <c r="L19" s="64">
        <f t="shared" si="0"/>
        <v>22.5</v>
      </c>
      <c r="M19" s="64" t="str">
        <f>IFERROR(F19/I19-1,"n/a")</f>
        <v>n/a</v>
      </c>
      <c r="N19" s="60">
        <f>IFERROR(F19/J19-1,"n/a")</f>
        <v>1.2380952380952381</v>
      </c>
      <c r="O19" s="68">
        <f>'Mar-23'!O19+'Apr-23'!F19</f>
        <v>70</v>
      </c>
      <c r="P19" s="68">
        <f>'Mar-23'!P19+'Apr-23'!G19</f>
        <v>47</v>
      </c>
      <c r="Q19" s="68">
        <f>'Mar-23'!Q19+'Apr-23'!H19</f>
        <v>2</v>
      </c>
      <c r="R19" s="68">
        <f>'Mar-23'!R19+'Apr-23'!I19</f>
        <v>3</v>
      </c>
      <c r="S19" s="68">
        <f>'Mar-23'!S19+'Apr-23'!J19</f>
        <v>27</v>
      </c>
      <c r="T19" s="64">
        <f>IFERROR(O19/P19-1,"n/a")</f>
        <v>0.4893617021276595</v>
      </c>
      <c r="U19" s="64">
        <f>IFERROR(O19/Q19-1,"n/a")</f>
        <v>34</v>
      </c>
      <c r="V19" s="64">
        <f>IFERROR(O19/R19-1,"n/a")</f>
        <v>22.333333333333332</v>
      </c>
      <c r="W19" s="60">
        <f>IFERROR(O19/S19-1,"n/a")</f>
        <v>1.5925925925925926</v>
      </c>
      <c r="X19" s="68">
        <v>658</v>
      </c>
      <c r="Y19" s="68">
        <v>47</v>
      </c>
      <c r="Z19" s="70">
        <v>9</v>
      </c>
      <c r="AA19" s="78">
        <v>290</v>
      </c>
      <c r="AB19" s="9"/>
      <c r="AC19" s="9"/>
    </row>
    <row r="20" spans="1:29">
      <c r="A20" s="9"/>
      <c r="B20" s="12"/>
      <c r="C20" s="33"/>
      <c r="D20" s="26" t="s">
        <v>11</v>
      </c>
      <c r="E20" s="32"/>
      <c r="F20" s="73">
        <f>61254+257+4791</f>
        <v>66302</v>
      </c>
      <c r="G20" s="71">
        <f>27021+5555</f>
        <v>32576</v>
      </c>
      <c r="H20" s="71">
        <v>0</v>
      </c>
      <c r="I20" s="71">
        <v>0</v>
      </c>
      <c r="J20" s="71">
        <f>29071+6992</f>
        <v>36063</v>
      </c>
      <c r="K20" s="64">
        <f>IFERROR(F20/G20-1,"n/a")</f>
        <v>1.0353020628683693</v>
      </c>
      <c r="L20" s="64" t="str">
        <f t="shared" si="0"/>
        <v>n/a</v>
      </c>
      <c r="M20" s="64" t="str">
        <f>IFERROR(F20/I20-1,"n/a")</f>
        <v>n/a</v>
      </c>
      <c r="N20" s="60">
        <f t="shared" ref="N20:N28" si="1">IFERROR(F20/J20-1,"n/a")</f>
        <v>0.83850483875440207</v>
      </c>
      <c r="O20" s="68">
        <f>'Mar-23'!O20+'Apr-23'!F20</f>
        <v>87148</v>
      </c>
      <c r="P20" s="68">
        <f>'Mar-23'!P20+'Apr-23'!G20</f>
        <v>35661</v>
      </c>
      <c r="Q20" s="68">
        <f>'Mar-23'!Q20+'Apr-23'!H20</f>
        <v>0</v>
      </c>
      <c r="R20" s="68">
        <f>'Mar-23'!R20+'Apr-23'!I20</f>
        <v>1753</v>
      </c>
      <c r="S20" s="68">
        <f>'Mar-23'!S20+'Apr-23'!J20</f>
        <v>42547</v>
      </c>
      <c r="T20" s="64">
        <f>IFERROR(O20/P20-1,"n/a")</f>
        <v>1.443790134881243</v>
      </c>
      <c r="U20" s="64" t="str">
        <f>IFERROR(O20/Q20-1,"n/a")</f>
        <v>n/a</v>
      </c>
      <c r="V20" s="64">
        <f>IFERROR(O20/R20-1,"n/a")</f>
        <v>48.71363377067884</v>
      </c>
      <c r="W20" s="60">
        <f>IFERROR(O20/S20-1,"n/a")</f>
        <v>1.0482760241615154</v>
      </c>
      <c r="X20" s="68">
        <v>887495</v>
      </c>
      <c r="Y20" s="68">
        <v>17541</v>
      </c>
      <c r="Z20" s="70">
        <v>10047</v>
      </c>
      <c r="AA20" s="78">
        <v>585930</v>
      </c>
      <c r="AB20" s="9"/>
      <c r="AC20" s="9"/>
    </row>
    <row r="21" spans="1:29">
      <c r="A21" s="9"/>
      <c r="B21" s="12"/>
      <c r="C21" s="31" t="s">
        <v>110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9"/>
      <c r="AC21" s="9"/>
    </row>
    <row r="22" spans="1:29">
      <c r="A22" s="9"/>
      <c r="B22" s="12"/>
      <c r="C22" s="33"/>
      <c r="D22" s="26" t="s">
        <v>5</v>
      </c>
      <c r="E22" s="34"/>
      <c r="F22" s="74">
        <f>152+9</f>
        <v>161</v>
      </c>
      <c r="G22" s="71">
        <v>100</v>
      </c>
      <c r="H22" s="71">
        <v>0</v>
      </c>
      <c r="I22" s="71">
        <v>0</v>
      </c>
      <c r="J22" s="71">
        <v>90</v>
      </c>
      <c r="K22" s="64">
        <f>IFERROR(F22/G22-1,"n/a")</f>
        <v>0.6100000000000001</v>
      </c>
      <c r="L22" s="64" t="str">
        <f t="shared" si="0"/>
        <v>n/a</v>
      </c>
      <c r="M22" s="64" t="str">
        <f>IFERROR(F22/I22-1,"n/a")</f>
        <v>n/a</v>
      </c>
      <c r="N22" s="60">
        <f t="shared" si="1"/>
        <v>0.78888888888888897</v>
      </c>
      <c r="O22" s="68">
        <f>'Mar-23'!O22+'Apr-23'!F22</f>
        <v>448</v>
      </c>
      <c r="P22" s="68">
        <f>'Mar-23'!P22+'Apr-23'!G22</f>
        <v>153</v>
      </c>
      <c r="Q22" s="68">
        <f>'Mar-23'!Q22+'Apr-23'!H22</f>
        <v>0</v>
      </c>
      <c r="R22" s="68">
        <f>'Mar-23'!R22+'Apr-23'!I22</f>
        <v>205</v>
      </c>
      <c r="S22" s="68">
        <f>'Mar-23'!S22+'Apr-23'!J22</f>
        <v>413</v>
      </c>
      <c r="T22" s="64">
        <f>IFERROR(O22/P22-1,"n/a")</f>
        <v>1.9281045751633985</v>
      </c>
      <c r="U22" s="64" t="str">
        <f>IFERROR(O22/Q22-1,"n/a")</f>
        <v>n/a</v>
      </c>
      <c r="V22" s="64">
        <f>IFERROR(O22/R22-1,"n/a")</f>
        <v>1.1853658536585368</v>
      </c>
      <c r="W22" s="60">
        <f>IFERROR(O22/S22-1,"n/a")</f>
        <v>8.4745762711864403E-2</v>
      </c>
      <c r="X22" s="68">
        <v>895</v>
      </c>
      <c r="Y22" s="68">
        <v>283</v>
      </c>
      <c r="Z22" s="70">
        <v>43</v>
      </c>
      <c r="AA22" s="78">
        <v>827</v>
      </c>
      <c r="AB22" s="9"/>
      <c r="AC22" s="9"/>
    </row>
    <row r="23" spans="1:29">
      <c r="A23" s="9"/>
      <c r="B23" s="12"/>
      <c r="C23" s="33"/>
      <c r="D23" s="26" t="s">
        <v>11</v>
      </c>
      <c r="E23" s="32"/>
      <c r="F23" s="73">
        <v>332905</v>
      </c>
      <c r="G23" s="71">
        <v>115809</v>
      </c>
      <c r="H23" s="71">
        <v>0</v>
      </c>
      <c r="I23" s="71">
        <v>0</v>
      </c>
      <c r="J23" s="71">
        <v>212740</v>
      </c>
      <c r="K23" s="64">
        <f>IFERROR(F23/G23-1,"n/a")</f>
        <v>1.8746038736194941</v>
      </c>
      <c r="L23" s="64" t="str">
        <f t="shared" si="0"/>
        <v>n/a</v>
      </c>
      <c r="M23" s="64" t="str">
        <f>IFERROR(F23/I23-1,"n/a")</f>
        <v>n/a</v>
      </c>
      <c r="N23" s="60">
        <f t="shared" si="1"/>
        <v>0.56484441101814431</v>
      </c>
      <c r="O23" s="68">
        <f>'Mar-23'!O23+'Apr-23'!F23</f>
        <v>1169179</v>
      </c>
      <c r="P23" s="68">
        <f>'Mar-23'!P23+'Apr-23'!G23</f>
        <v>184263</v>
      </c>
      <c r="Q23" s="68">
        <f>'Mar-23'!Q23+'Apr-23'!H23</f>
        <v>0</v>
      </c>
      <c r="R23" s="68">
        <f>'Mar-23'!R23+'Apr-23'!I23</f>
        <v>545974</v>
      </c>
      <c r="S23" s="68">
        <f>'Mar-23'!S23+'Apr-23'!J23</f>
        <v>1132555</v>
      </c>
      <c r="T23" s="64">
        <f>IFERROR(O23/P23-1,"n/a")</f>
        <v>5.3451642489268059</v>
      </c>
      <c r="U23" s="64" t="str">
        <f>IFERROR(O23/Q23-1,"n/a")</f>
        <v>n/a</v>
      </c>
      <c r="V23" s="64">
        <f>IFERROR(O23/R23-1,"n/a")</f>
        <v>1.1414554539227142</v>
      </c>
      <c r="W23" s="60">
        <f>IFERROR(O23/S23-1,"n/a")</f>
        <v>3.2337502372953297E-2</v>
      </c>
      <c r="X23" s="68">
        <v>2165161</v>
      </c>
      <c r="Y23" s="68">
        <v>465109</v>
      </c>
      <c r="Z23" s="70">
        <v>140552</v>
      </c>
      <c r="AA23" s="78">
        <v>2552942</v>
      </c>
      <c r="AB23" s="9"/>
      <c r="AC23" s="9"/>
    </row>
    <row r="24" spans="1:29">
      <c r="A24" s="9"/>
      <c r="B24" s="12"/>
      <c r="C24" s="31" t="s">
        <v>111</v>
      </c>
      <c r="D24" s="26"/>
      <c r="E24" s="32"/>
      <c r="F24" s="72"/>
      <c r="G24" s="72"/>
      <c r="H24" s="72"/>
      <c r="I24" s="72"/>
      <c r="J24" s="72"/>
      <c r="K24" s="64"/>
      <c r="L24" s="64"/>
      <c r="M24" s="64"/>
      <c r="N24" s="60"/>
      <c r="O24" s="87"/>
      <c r="P24" s="87"/>
      <c r="Q24" s="87"/>
      <c r="R24" s="87"/>
      <c r="S24" s="87"/>
      <c r="T24" s="64"/>
      <c r="U24" s="64"/>
      <c r="V24" s="64"/>
      <c r="W24" s="60"/>
      <c r="X24" s="43"/>
      <c r="Y24" s="43"/>
      <c r="Z24" s="44"/>
      <c r="AA24" s="79"/>
      <c r="AB24" s="9"/>
      <c r="AC24" s="9"/>
    </row>
    <row r="25" spans="1:29">
      <c r="B25" s="12"/>
      <c r="C25" s="33"/>
      <c r="D25" s="26" t="s">
        <v>5</v>
      </c>
      <c r="E25" s="32"/>
      <c r="F25" s="71">
        <v>1</v>
      </c>
      <c r="G25" s="71">
        <v>1</v>
      </c>
      <c r="H25" s="71">
        <v>0</v>
      </c>
      <c r="I25" s="71">
        <v>0</v>
      </c>
      <c r="J25" s="71">
        <v>1</v>
      </c>
      <c r="K25" s="64">
        <f>IFERROR(F25/G25-1,"n/a")</f>
        <v>0</v>
      </c>
      <c r="L25" s="64" t="str">
        <f t="shared" si="0"/>
        <v>n/a</v>
      </c>
      <c r="M25" s="64" t="str">
        <f>IFERROR(F25/I25-1,"n/a")</f>
        <v>n/a</v>
      </c>
      <c r="N25" s="60">
        <f t="shared" si="1"/>
        <v>0</v>
      </c>
      <c r="O25" s="68">
        <f>'Mar-23'!O25+'Apr-23'!F25</f>
        <v>1</v>
      </c>
      <c r="P25" s="68">
        <f>'Mar-23'!P25+'Apr-23'!G25</f>
        <v>1</v>
      </c>
      <c r="Q25" s="68">
        <f>'Mar-23'!Q25+'Apr-23'!H25</f>
        <v>0</v>
      </c>
      <c r="R25" s="68">
        <f>'Mar-23'!R25+'Apr-23'!I25</f>
        <v>0</v>
      </c>
      <c r="S25" s="68">
        <f>'Mar-23'!S25+'Apr-23'!J25</f>
        <v>1</v>
      </c>
      <c r="T25" s="64">
        <f>IFERROR(O25/P25-1,"n/a")</f>
        <v>0</v>
      </c>
      <c r="U25" s="64" t="str">
        <f>IFERROR(O25/Q25-1,"n/a")</f>
        <v>n/a</v>
      </c>
      <c r="V25" s="64" t="str">
        <f>IFERROR(O25/R25-1,"n/a")</f>
        <v>n/a</v>
      </c>
      <c r="W25" s="60">
        <f>IFERROR(O25/S25-1,"n/a")</f>
        <v>0</v>
      </c>
      <c r="X25" s="68">
        <v>9</v>
      </c>
      <c r="Y25" s="68">
        <v>0</v>
      </c>
      <c r="Z25" s="68">
        <v>0</v>
      </c>
      <c r="AA25" s="78">
        <v>16</v>
      </c>
      <c r="AB25" s="9"/>
      <c r="AC25" s="9"/>
    </row>
    <row r="26" spans="1:29">
      <c r="A26" s="9"/>
      <c r="B26" s="12"/>
      <c r="C26" s="33"/>
      <c r="D26" s="26" t="s">
        <v>11</v>
      </c>
      <c r="E26" s="32"/>
      <c r="F26" s="71">
        <v>2258</v>
      </c>
      <c r="G26" s="71">
        <v>925</v>
      </c>
      <c r="H26" s="71">
        <v>0</v>
      </c>
      <c r="I26" s="71">
        <v>0</v>
      </c>
      <c r="J26" s="71">
        <v>1059</v>
      </c>
      <c r="K26" s="64">
        <f>IFERROR(F26/G26-1,"n/a")</f>
        <v>1.441081081081081</v>
      </c>
      <c r="L26" s="64" t="str">
        <f t="shared" si="0"/>
        <v>n/a</v>
      </c>
      <c r="M26" s="64" t="str">
        <f>IFERROR(F26/I26-1,"n/a")</f>
        <v>n/a</v>
      </c>
      <c r="N26" s="60">
        <f t="shared" si="1"/>
        <v>1.1322001888574125</v>
      </c>
      <c r="O26" s="68">
        <f>'Mar-23'!O26+'Apr-23'!F26</f>
        <v>2258</v>
      </c>
      <c r="P26" s="68">
        <f>'Mar-23'!P26+'Apr-23'!G26</f>
        <v>925</v>
      </c>
      <c r="Q26" s="68">
        <f>'Mar-23'!Q26+'Apr-23'!H26</f>
        <v>0</v>
      </c>
      <c r="R26" s="68">
        <f>'Mar-23'!R26+'Apr-23'!I26</f>
        <v>0</v>
      </c>
      <c r="S26" s="68">
        <f>'Mar-23'!S26+'Apr-23'!J26</f>
        <v>1059</v>
      </c>
      <c r="T26" s="64">
        <f>IFERROR(O26/P26-1,"n/a")</f>
        <v>1.441081081081081</v>
      </c>
      <c r="U26" s="64" t="str">
        <f>IFERROR(O26/Q26-1,"n/a")</f>
        <v>n/a</v>
      </c>
      <c r="V26" s="64" t="str">
        <f>IFERROR(O26/R26-1,"n/a")</f>
        <v>n/a</v>
      </c>
      <c r="W26" s="60">
        <f>IFERROR(O26/S26-1,"n/a")</f>
        <v>1.1322001888574125</v>
      </c>
      <c r="X26" s="68">
        <v>15637</v>
      </c>
      <c r="Y26" s="68">
        <v>0</v>
      </c>
      <c r="Z26" s="68">
        <v>0</v>
      </c>
      <c r="AA26" s="78">
        <v>20248</v>
      </c>
      <c r="AB26" s="9"/>
      <c r="AC26" s="9"/>
    </row>
    <row r="27" spans="1:29" ht="15.75" thickBot="1">
      <c r="A27" s="9"/>
      <c r="B27" s="12"/>
      <c r="C27" s="35" t="s">
        <v>12</v>
      </c>
      <c r="D27" s="36"/>
      <c r="E27" s="37"/>
      <c r="F27" s="75">
        <f t="shared" ref="F27:J28" si="2">F13+F16+F19+F22+F25</f>
        <v>384</v>
      </c>
      <c r="G27" s="75">
        <f t="shared" si="2"/>
        <v>328</v>
      </c>
      <c r="H27" s="75">
        <f t="shared" si="2"/>
        <v>7</v>
      </c>
      <c r="I27" s="75">
        <f t="shared" si="2"/>
        <v>42</v>
      </c>
      <c r="J27" s="75">
        <f t="shared" si="2"/>
        <v>292</v>
      </c>
      <c r="K27" s="66">
        <f>IFERROR(F27/G27-1,"n/a")</f>
        <v>0.1707317073170731</v>
      </c>
      <c r="L27" s="66">
        <f t="shared" si="0"/>
        <v>53.857142857142854</v>
      </c>
      <c r="M27" s="66">
        <f>IFERROR(F27/I27-1,"n/a")</f>
        <v>8.1428571428571423</v>
      </c>
      <c r="N27" s="62">
        <f t="shared" si="1"/>
        <v>0.31506849315068486</v>
      </c>
      <c r="O27" s="75">
        <f t="shared" ref="O27:S28" si="3">O13+O16+O19+O22+O25</f>
        <v>1251</v>
      </c>
      <c r="P27" s="75">
        <f t="shared" si="3"/>
        <v>959</v>
      </c>
      <c r="Q27" s="75">
        <f t="shared" si="3"/>
        <v>19</v>
      </c>
      <c r="R27" s="75">
        <f t="shared" si="3"/>
        <v>769</v>
      </c>
      <c r="S27" s="75">
        <f t="shared" si="3"/>
        <v>1160</v>
      </c>
      <c r="T27" s="66">
        <f>IFERROR(O27/P27-1,"n/a")</f>
        <v>0.30448383733055273</v>
      </c>
      <c r="U27" s="66">
        <f>IFERROR(O27/Q27-1,"n/a")</f>
        <v>64.84210526315789</v>
      </c>
      <c r="V27" s="66">
        <f>IFERROR(O27/R27-1,"n/a")</f>
        <v>0.62678803641092329</v>
      </c>
      <c r="W27" s="62">
        <f>IFERROR(O27/S27-1,"n/a")</f>
        <v>7.8448275862069039E-2</v>
      </c>
      <c r="X27" s="75">
        <f>X13+X16+X19+X22+X25</f>
        <v>3620</v>
      </c>
      <c r="Y27" s="46">
        <f t="shared" ref="Y27:AA28" si="4">Y13+Y16+Y19+Y22+Y25</f>
        <v>1054</v>
      </c>
      <c r="Z27" s="46">
        <f t="shared" si="4"/>
        <v>657</v>
      </c>
      <c r="AA27" s="80">
        <f t="shared" si="4"/>
        <v>3310</v>
      </c>
      <c r="AB27" s="9"/>
      <c r="AC27" s="9"/>
    </row>
    <row r="28" spans="1:29" ht="16.5" thickTop="1" thickBot="1">
      <c r="A28" s="9"/>
      <c r="B28" s="12"/>
      <c r="C28" s="38" t="s">
        <v>13</v>
      </c>
      <c r="D28" s="39"/>
      <c r="E28" s="40"/>
      <c r="F28" s="76">
        <f t="shared" si="2"/>
        <v>958564</v>
      </c>
      <c r="G28" s="76">
        <f t="shared" si="2"/>
        <v>507465</v>
      </c>
      <c r="H28" s="76">
        <f t="shared" si="2"/>
        <v>6002</v>
      </c>
      <c r="I28" s="76">
        <f t="shared" si="2"/>
        <v>0</v>
      </c>
      <c r="J28" s="76">
        <f t="shared" si="2"/>
        <v>791238</v>
      </c>
      <c r="K28" s="67">
        <f>IFERROR(F28/G28-1,"n/a")</f>
        <v>0.88892632989467257</v>
      </c>
      <c r="L28" s="67">
        <f t="shared" si="0"/>
        <v>158.70743085638119</v>
      </c>
      <c r="M28" s="67" t="str">
        <f>IFERROR(F28/I28-1,"n/a")</f>
        <v>n/a</v>
      </c>
      <c r="N28" s="63">
        <f t="shared" si="1"/>
        <v>0.21147366531941092</v>
      </c>
      <c r="O28" s="76">
        <f t="shared" si="3"/>
        <v>3436923</v>
      </c>
      <c r="P28" s="76">
        <f t="shared" si="3"/>
        <v>1375170</v>
      </c>
      <c r="Q28" s="76">
        <f t="shared" si="3"/>
        <v>16105</v>
      </c>
      <c r="R28" s="76">
        <f t="shared" si="3"/>
        <v>1681724</v>
      </c>
      <c r="S28" s="76">
        <f t="shared" si="3"/>
        <v>3249015</v>
      </c>
      <c r="T28" s="67">
        <f>IFERROR(O28/P28-1,"n/a")</f>
        <v>1.499271362813325</v>
      </c>
      <c r="U28" s="67">
        <f>IFERROR(O28/Q28-1,"n/a")</f>
        <v>212.40720273207077</v>
      </c>
      <c r="V28" s="67">
        <f>IFERROR(O28/R28-1,"n/a")</f>
        <v>1.0436902844937697</v>
      </c>
      <c r="W28" s="63">
        <f>IFERROR(O28/S28-1,"n/a")</f>
        <v>5.7835374721261656E-2</v>
      </c>
      <c r="X28" s="76">
        <f>X14+X17+X20+X23+X26</f>
        <v>7626669</v>
      </c>
      <c r="Y28" s="47">
        <f t="shared" si="4"/>
        <v>1552483</v>
      </c>
      <c r="Z28" s="47">
        <f t="shared" si="4"/>
        <v>1314158</v>
      </c>
      <c r="AA28" s="81">
        <f t="shared" si="4"/>
        <v>9152531</v>
      </c>
      <c r="AB28" s="9"/>
      <c r="AC28" s="9"/>
    </row>
    <row r="29" spans="1:29" ht="15.75" thickTop="1">
      <c r="A29" s="9"/>
      <c r="B29" s="9"/>
      <c r="C29" s="9"/>
      <c r="D29" s="9"/>
      <c r="E29" s="9"/>
      <c r="F29" s="41"/>
      <c r="G29" s="41"/>
      <c r="H29" s="41"/>
      <c r="I29" s="41"/>
      <c r="J29" s="41"/>
      <c r="K29" s="41"/>
      <c r="L29" s="41"/>
      <c r="M29" s="41"/>
      <c r="N29" s="9"/>
      <c r="O29" s="41"/>
      <c r="P29" s="9"/>
      <c r="Q29" s="9"/>
      <c r="R29" s="9"/>
      <c r="S29" s="9"/>
      <c r="T29" s="9"/>
      <c r="U29" s="9"/>
      <c r="V29" s="9"/>
      <c r="W29" s="9"/>
      <c r="X29" s="9"/>
      <c r="Y29" s="9"/>
      <c r="Z29" s="9"/>
      <c r="AA29" s="9"/>
      <c r="AB29" s="9"/>
      <c r="AC29" s="9"/>
    </row>
    <row r="30" spans="1:29">
      <c r="A30" s="9"/>
      <c r="B30" s="9"/>
      <c r="C30" s="9"/>
      <c r="D30" s="9"/>
      <c r="E30" s="9"/>
      <c r="F30" s="41"/>
      <c r="G30" s="41"/>
      <c r="H30" s="41"/>
      <c r="I30" s="41"/>
      <c r="J30" s="41"/>
      <c r="K30" s="41"/>
      <c r="L30" s="41"/>
      <c r="M30" s="41"/>
      <c r="N30" s="9"/>
      <c r="O30" s="9"/>
      <c r="P30" s="9"/>
      <c r="Q30" s="9"/>
      <c r="R30" s="9"/>
      <c r="S30" s="9"/>
      <c r="T30" s="9"/>
      <c r="U30" s="9"/>
      <c r="V30" s="9"/>
      <c r="W30" s="9"/>
      <c r="X30" s="9"/>
      <c r="Y30" s="9"/>
      <c r="Z30" s="9"/>
      <c r="AA30" s="9"/>
      <c r="AB30" s="9"/>
      <c r="AC30" s="9"/>
    </row>
    <row r="31" spans="1:29">
      <c r="A31" s="9"/>
      <c r="B31" s="10"/>
      <c r="C31" s="86"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9"/>
    </row>
    <row r="32" spans="1:29">
      <c r="A32" s="9"/>
      <c r="B32" s="10"/>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9"/>
    </row>
    <row r="33" spans="1:29">
      <c r="A33" s="9"/>
      <c r="B33" s="9"/>
      <c r="C33" s="27" t="s">
        <v>7</v>
      </c>
      <c r="D33" s="28"/>
      <c r="E33" s="28"/>
      <c r="F33" s="170" t="str">
        <f>F9</f>
        <v>April</v>
      </c>
      <c r="G33" s="170"/>
      <c r="H33" s="170"/>
      <c r="I33" s="170"/>
      <c r="J33" s="170"/>
      <c r="K33" s="170"/>
      <c r="L33" s="170"/>
      <c r="M33" s="170"/>
      <c r="N33" s="171"/>
      <c r="O33" s="176" t="s">
        <v>113</v>
      </c>
      <c r="P33" s="177"/>
      <c r="Q33" s="177"/>
      <c r="R33" s="177"/>
      <c r="S33" s="177"/>
      <c r="T33" s="177"/>
      <c r="U33" s="177"/>
      <c r="V33" s="177"/>
      <c r="W33" s="178"/>
      <c r="X33" s="169" t="s">
        <v>58</v>
      </c>
      <c r="Y33" s="170"/>
      <c r="Z33" s="170"/>
      <c r="AA33" s="172"/>
    </row>
    <row r="34" spans="1:29">
      <c r="A34" s="9"/>
      <c r="B34" s="9"/>
      <c r="C34" s="29"/>
      <c r="D34" s="30"/>
      <c r="E34" s="30"/>
      <c r="F34" s="175"/>
      <c r="G34" s="173"/>
      <c r="H34" s="173"/>
      <c r="I34" s="173"/>
      <c r="J34" s="173"/>
      <c r="K34" s="173"/>
      <c r="L34" s="173"/>
      <c r="M34" s="173"/>
      <c r="N34" s="174"/>
      <c r="O34" s="175"/>
      <c r="P34" s="173"/>
      <c r="Q34" s="173"/>
      <c r="R34" s="173"/>
      <c r="S34" s="173"/>
      <c r="T34" s="173"/>
      <c r="U34" s="173"/>
      <c r="V34" s="173"/>
      <c r="W34" s="174"/>
      <c r="X34" s="175"/>
      <c r="Y34" s="173"/>
      <c r="Z34" s="173"/>
      <c r="AA34" s="174"/>
    </row>
    <row r="35" spans="1:29" ht="22.5">
      <c r="A35" s="9"/>
      <c r="B35" s="9"/>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9"/>
    </row>
    <row r="36" spans="1:29">
      <c r="A36" s="9"/>
      <c r="B36" s="9"/>
      <c r="C36" s="31" t="s">
        <v>107</v>
      </c>
      <c r="D36" s="26"/>
      <c r="E36" s="32"/>
      <c r="F36" s="26"/>
      <c r="G36" s="26"/>
      <c r="H36" s="26"/>
      <c r="I36" s="26"/>
      <c r="J36" s="26"/>
      <c r="K36" s="26"/>
      <c r="L36" s="26"/>
      <c r="M36" s="26"/>
      <c r="N36" s="32"/>
      <c r="O36" s="26"/>
      <c r="P36" s="26"/>
      <c r="Q36" s="26"/>
      <c r="R36" s="26"/>
      <c r="S36" s="9"/>
      <c r="T36" s="26"/>
      <c r="U36" s="9"/>
      <c r="V36" s="26"/>
      <c r="W36" s="32"/>
      <c r="X36" s="33"/>
      <c r="Y36" s="26"/>
      <c r="Z36" s="88"/>
      <c r="AA36" s="85"/>
      <c r="AC36" s="9"/>
    </row>
    <row r="37" spans="1:29">
      <c r="A37" s="9"/>
      <c r="B37" s="9"/>
      <c r="C37" s="33"/>
      <c r="D37" s="26" t="s">
        <v>5</v>
      </c>
      <c r="E37" s="32"/>
      <c r="F37" s="74">
        <f t="shared" ref="F37:J38" si="5">F13</f>
        <v>129</v>
      </c>
      <c r="G37" s="74">
        <f t="shared" si="5"/>
        <v>136</v>
      </c>
      <c r="H37" s="74">
        <f t="shared" si="5"/>
        <v>0</v>
      </c>
      <c r="I37" s="74">
        <f t="shared" si="5"/>
        <v>42</v>
      </c>
      <c r="J37" s="74">
        <f t="shared" si="5"/>
        <v>129</v>
      </c>
      <c r="K37" s="64">
        <f>IFERROR(F37/G37-1,"n/a")</f>
        <v>-5.1470588235294157E-2</v>
      </c>
      <c r="L37" s="64" t="str">
        <f>IFERROR(F37/H37-1,"n/a")</f>
        <v>n/a</v>
      </c>
      <c r="M37" s="64">
        <f>IFERROR(F37/I37-1,"n/a")</f>
        <v>2.0714285714285716</v>
      </c>
      <c r="N37" s="60">
        <f>IFERROR(F37/J37-1,"n/a")</f>
        <v>0</v>
      </c>
      <c r="O37" s="74">
        <f t="shared" ref="O37:S38" si="6">F37</f>
        <v>129</v>
      </c>
      <c r="P37" s="74">
        <f t="shared" si="6"/>
        <v>136</v>
      </c>
      <c r="Q37" s="74">
        <f t="shared" si="6"/>
        <v>0</v>
      </c>
      <c r="R37" s="74">
        <f t="shared" si="6"/>
        <v>42</v>
      </c>
      <c r="S37" s="74">
        <f t="shared" si="6"/>
        <v>129</v>
      </c>
      <c r="T37" s="119">
        <f>IFERROR(O37/P37-1,"n/a")</f>
        <v>-5.1470588235294157E-2</v>
      </c>
      <c r="U37" s="119" t="str">
        <f>IFERROR(O37/Q37-1,"n/a")</f>
        <v>n/a</v>
      </c>
      <c r="V37" s="119">
        <f>IFERROR(O37/R37-1,"n/a")</f>
        <v>2.0714285714285716</v>
      </c>
      <c r="W37" s="120">
        <f>IFERROR(O37/S37-1,"n/a")</f>
        <v>0</v>
      </c>
      <c r="X37" s="89">
        <v>1486</v>
      </c>
      <c r="Y37" s="89">
        <v>1052</v>
      </c>
      <c r="Z37" s="70">
        <v>551</v>
      </c>
      <c r="AA37" s="78">
        <v>1584</v>
      </c>
      <c r="AC37" s="9"/>
    </row>
    <row r="38" spans="1:29">
      <c r="A38" s="9"/>
      <c r="B38" s="9"/>
      <c r="C38" s="33"/>
      <c r="D38" s="26" t="s">
        <v>11</v>
      </c>
      <c r="E38" s="32"/>
      <c r="F38" s="74">
        <f t="shared" si="5"/>
        <v>449751</v>
      </c>
      <c r="G38" s="74">
        <f t="shared" si="5"/>
        <v>297788</v>
      </c>
      <c r="H38" s="74">
        <f t="shared" si="5"/>
        <v>0</v>
      </c>
      <c r="I38" s="74">
        <f t="shared" si="5"/>
        <v>0</v>
      </c>
      <c r="J38" s="74">
        <f t="shared" si="5"/>
        <v>394045</v>
      </c>
      <c r="K38" s="64">
        <f>IFERROR(F38/G38-1,"n/a")</f>
        <v>0.51030598949588302</v>
      </c>
      <c r="L38" s="64" t="str">
        <f>IFERROR(F38/H38-1,"n/a")</f>
        <v>n/a</v>
      </c>
      <c r="M38" s="64" t="str">
        <f>IFERROR(F38/I38-1,"n/a")</f>
        <v>n/a</v>
      </c>
      <c r="N38" s="60">
        <f>IFERROR(F38/J38-1,"n/a")</f>
        <v>0.14136964052329049</v>
      </c>
      <c r="O38" s="74">
        <f t="shared" si="6"/>
        <v>449751</v>
      </c>
      <c r="P38" s="74">
        <f t="shared" si="6"/>
        <v>297788</v>
      </c>
      <c r="Q38" s="74">
        <f t="shared" si="6"/>
        <v>0</v>
      </c>
      <c r="R38" s="74">
        <f t="shared" si="6"/>
        <v>0</v>
      </c>
      <c r="S38" s="74">
        <f t="shared" si="6"/>
        <v>394045</v>
      </c>
      <c r="T38" s="119">
        <f>IFERROR(O38/P38-1,"n/a")</f>
        <v>0.51030598949588302</v>
      </c>
      <c r="U38" s="119" t="str">
        <f>IFERROR(O38/Q38-1,"n/a")</f>
        <v>n/a</v>
      </c>
      <c r="V38" s="119" t="str">
        <f>IFERROR(O38/R38-1,"n/a")</f>
        <v>n/a</v>
      </c>
      <c r="W38" s="120">
        <f>IFERROR(O38/S38-1,"n/a")</f>
        <v>0.14136964052329049</v>
      </c>
      <c r="X38" s="89">
        <v>4370939</v>
      </c>
      <c r="Y38" s="89">
        <v>1527970</v>
      </c>
      <c r="Z38" s="84">
        <v>1092884</v>
      </c>
      <c r="AA38" s="78">
        <v>4234259</v>
      </c>
      <c r="AC38" s="9"/>
    </row>
    <row r="39" spans="1:29">
      <c r="A39" s="9"/>
      <c r="B39" s="9"/>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9"/>
    </row>
    <row r="40" spans="1:29">
      <c r="A40" s="9"/>
      <c r="B40" s="9"/>
      <c r="C40" s="33"/>
      <c r="D40" s="26" t="s">
        <v>5</v>
      </c>
      <c r="E40" s="32"/>
      <c r="F40" s="74">
        <f t="shared" ref="F40:J41" si="7">F16</f>
        <v>46</v>
      </c>
      <c r="G40" s="74">
        <f t="shared" si="7"/>
        <v>56</v>
      </c>
      <c r="H40" s="74">
        <f t="shared" si="7"/>
        <v>5</v>
      </c>
      <c r="I40" s="74">
        <f t="shared" si="7"/>
        <v>0</v>
      </c>
      <c r="J40" s="74">
        <f t="shared" si="7"/>
        <v>51</v>
      </c>
      <c r="K40" s="64">
        <f>IFERROR(F40/G40-1,"n/a")</f>
        <v>-0.1785714285714286</v>
      </c>
      <c r="L40" s="64">
        <f>IFERROR(F40/H40-1,"n/a")</f>
        <v>8.1999999999999993</v>
      </c>
      <c r="M40" s="64" t="str">
        <f>IFERROR(F40/I40-1,"n/a")</f>
        <v>n/a</v>
      </c>
      <c r="N40" s="60">
        <f>IFERROR(F40/J40-1,"n/a")</f>
        <v>-9.8039215686274495E-2</v>
      </c>
      <c r="O40" s="74">
        <f t="shared" ref="O40:S41" si="8">F40</f>
        <v>46</v>
      </c>
      <c r="P40" s="74">
        <f t="shared" si="8"/>
        <v>56</v>
      </c>
      <c r="Q40" s="74">
        <f t="shared" si="8"/>
        <v>5</v>
      </c>
      <c r="R40" s="74">
        <f t="shared" si="8"/>
        <v>0</v>
      </c>
      <c r="S40" s="74">
        <f t="shared" si="8"/>
        <v>51</v>
      </c>
      <c r="T40" s="119">
        <f>IFERROR(O40/P40-1,"n/a")</f>
        <v>-0.1785714285714286</v>
      </c>
      <c r="U40" s="119">
        <f>IFERROR(O40/Q40-1,"n/a")</f>
        <v>8.1999999999999993</v>
      </c>
      <c r="V40" s="119" t="str">
        <f>IFERROR(O40/R40-1,"n/a")</f>
        <v>n/a</v>
      </c>
      <c r="W40" s="120">
        <f>IFERROR(O40/S40-1,"n/a")</f>
        <v>-9.8039215686274495E-2</v>
      </c>
      <c r="X40" s="89">
        <v>563</v>
      </c>
      <c r="Y40" s="89">
        <v>226</v>
      </c>
      <c r="Z40" s="70">
        <v>66</v>
      </c>
      <c r="AA40" s="78">
        <v>573</v>
      </c>
      <c r="AC40" s="9"/>
    </row>
    <row r="41" spans="1:29">
      <c r="A41" s="9"/>
      <c r="B41" s="9"/>
      <c r="C41" s="33"/>
      <c r="D41" s="26" t="s">
        <v>11</v>
      </c>
      <c r="E41" s="32"/>
      <c r="F41" s="74">
        <f t="shared" si="7"/>
        <v>107348</v>
      </c>
      <c r="G41" s="74">
        <f t="shared" si="7"/>
        <v>60367</v>
      </c>
      <c r="H41" s="74">
        <f t="shared" si="7"/>
        <v>6002</v>
      </c>
      <c r="I41" s="74">
        <f t="shared" si="7"/>
        <v>0</v>
      </c>
      <c r="J41" s="74">
        <f t="shared" si="7"/>
        <v>147331</v>
      </c>
      <c r="K41" s="64">
        <f>IFERROR(F41/G41-1,"n/a")</f>
        <v>0.7782563321019762</v>
      </c>
      <c r="L41" s="64">
        <f>IFERROR(F41/H41-1,"n/a")</f>
        <v>16.885371542819062</v>
      </c>
      <c r="M41" s="64" t="str">
        <f>IFERROR(F41/I41-1,"n/a")</f>
        <v>n/a</v>
      </c>
      <c r="N41" s="60">
        <f>IFERROR(F41/J41-1,"n/a")</f>
        <v>-0.27138212596127087</v>
      </c>
      <c r="O41" s="74">
        <f t="shared" si="8"/>
        <v>107348</v>
      </c>
      <c r="P41" s="74">
        <f t="shared" si="8"/>
        <v>60367</v>
      </c>
      <c r="Q41" s="74">
        <f t="shared" si="8"/>
        <v>6002</v>
      </c>
      <c r="R41" s="74">
        <f t="shared" si="8"/>
        <v>0</v>
      </c>
      <c r="S41" s="74">
        <f t="shared" si="8"/>
        <v>147331</v>
      </c>
      <c r="T41" s="119">
        <f>IFERROR(O41/P41-1,"n/a")</f>
        <v>0.7782563321019762</v>
      </c>
      <c r="U41" s="119">
        <f>IFERROR(O41/Q41-1,"n/a")</f>
        <v>16.885371542819062</v>
      </c>
      <c r="V41" s="119" t="str">
        <f>IFERROR(O41/R41-1,"n/a")</f>
        <v>n/a</v>
      </c>
      <c r="W41" s="120">
        <f>IFERROR(O41/S41-1,"n/a")</f>
        <v>-0.27138212596127087</v>
      </c>
      <c r="X41" s="89">
        <v>1012510</v>
      </c>
      <c r="Y41" s="89">
        <v>327926</v>
      </c>
      <c r="Z41" s="84">
        <v>80778</v>
      </c>
      <c r="AA41" s="78">
        <v>1361671</v>
      </c>
      <c r="AC41" s="9"/>
    </row>
    <row r="42" spans="1:29">
      <c r="A42" s="9"/>
      <c r="B42" s="9"/>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9"/>
    </row>
    <row r="43" spans="1:29">
      <c r="A43" s="9"/>
      <c r="B43" s="9"/>
      <c r="C43" s="33"/>
      <c r="D43" s="26" t="s">
        <v>5</v>
      </c>
      <c r="E43" s="32"/>
      <c r="F43" s="74">
        <f t="shared" ref="F43:J44" si="9">F19</f>
        <v>47</v>
      </c>
      <c r="G43" s="74">
        <f t="shared" si="9"/>
        <v>35</v>
      </c>
      <c r="H43" s="74">
        <f t="shared" si="9"/>
        <v>2</v>
      </c>
      <c r="I43" s="74">
        <f t="shared" si="9"/>
        <v>0</v>
      </c>
      <c r="J43" s="74">
        <f t="shared" si="9"/>
        <v>21</v>
      </c>
      <c r="K43" s="64">
        <f>IFERROR(F43/G43-1,"n/a")</f>
        <v>0.34285714285714275</v>
      </c>
      <c r="L43" s="64">
        <f>IFERROR(F43/H43-1,"n/a")</f>
        <v>22.5</v>
      </c>
      <c r="M43" s="64" t="str">
        <f>IFERROR(F43/I43-1,"n/a")</f>
        <v>n/a</v>
      </c>
      <c r="N43" s="60">
        <f>IFERROR(F43/J43-1,"n/a")</f>
        <v>1.2380952380952381</v>
      </c>
      <c r="O43" s="74">
        <f t="shared" ref="O43:S44" si="10">F43</f>
        <v>47</v>
      </c>
      <c r="P43" s="74">
        <f t="shared" si="10"/>
        <v>35</v>
      </c>
      <c r="Q43" s="74">
        <f t="shared" si="10"/>
        <v>2</v>
      </c>
      <c r="R43" s="74">
        <f t="shared" si="10"/>
        <v>0</v>
      </c>
      <c r="S43" s="74">
        <f t="shared" si="10"/>
        <v>21</v>
      </c>
      <c r="T43" s="119">
        <f>IFERROR(O43/P43-1,"n/a")</f>
        <v>0.34285714285714275</v>
      </c>
      <c r="U43" s="119">
        <f>IFERROR(O43/Q43-1,"n/a")</f>
        <v>22.5</v>
      </c>
      <c r="V43" s="119" t="str">
        <f>IFERROR(O43/R43-1,"n/a")</f>
        <v>n/a</v>
      </c>
      <c r="W43" s="120">
        <f>IFERROR(O43/S43-1,"n/a")</f>
        <v>1.2380952380952381</v>
      </c>
      <c r="X43" s="89">
        <v>669</v>
      </c>
      <c r="Y43" s="89">
        <v>59</v>
      </c>
      <c r="Z43" s="70">
        <v>9</v>
      </c>
      <c r="AA43" s="78">
        <v>287</v>
      </c>
      <c r="AC43" s="9"/>
    </row>
    <row r="44" spans="1:29">
      <c r="A44" s="9"/>
      <c r="B44" s="9"/>
      <c r="C44" s="33"/>
      <c r="D44" s="26" t="s">
        <v>11</v>
      </c>
      <c r="E44" s="32"/>
      <c r="F44" s="74">
        <f t="shared" si="9"/>
        <v>66302</v>
      </c>
      <c r="G44" s="74">
        <f t="shared" si="9"/>
        <v>32576</v>
      </c>
      <c r="H44" s="74">
        <f t="shared" si="9"/>
        <v>0</v>
      </c>
      <c r="I44" s="74">
        <f t="shared" si="9"/>
        <v>0</v>
      </c>
      <c r="J44" s="74">
        <f t="shared" si="9"/>
        <v>36063</v>
      </c>
      <c r="K44" s="64">
        <f>IFERROR(F44/G44-1,"n/a")</f>
        <v>1.0353020628683693</v>
      </c>
      <c r="L44" s="64" t="str">
        <f>IFERROR(F44/H44-1,"n/a")</f>
        <v>n/a</v>
      </c>
      <c r="M44" s="64" t="str">
        <f>IFERROR(F44/I44-1,"n/a")</f>
        <v>n/a</v>
      </c>
      <c r="N44" s="60">
        <f>IFERROR(F44/J44-1,"n/a")</f>
        <v>0.83850483875440207</v>
      </c>
      <c r="O44" s="74">
        <f t="shared" si="10"/>
        <v>66302</v>
      </c>
      <c r="P44" s="74">
        <f t="shared" si="10"/>
        <v>32576</v>
      </c>
      <c r="Q44" s="74">
        <f t="shared" si="10"/>
        <v>0</v>
      </c>
      <c r="R44" s="74">
        <f t="shared" si="10"/>
        <v>0</v>
      </c>
      <c r="S44" s="74">
        <f t="shared" si="10"/>
        <v>36063</v>
      </c>
      <c r="T44" s="119">
        <f>IFERROR(O44/P44-1,"n/a")</f>
        <v>1.0353020628683693</v>
      </c>
      <c r="U44" s="119" t="str">
        <f>IFERROR(O44/Q44-1,"n/a")</f>
        <v>n/a</v>
      </c>
      <c r="V44" s="119" t="str">
        <f>IFERROR(O44/R44-1,"n/a")</f>
        <v>n/a</v>
      </c>
      <c r="W44" s="120">
        <f>IFERROR(O44/S44-1,"n/a")</f>
        <v>0.83850483875440207</v>
      </c>
      <c r="X44" s="82">
        <f>709768+195488</f>
        <v>905256</v>
      </c>
      <c r="Y44" s="82">
        <v>20626</v>
      </c>
      <c r="Z44" s="84">
        <v>10047</v>
      </c>
      <c r="AA44" s="78">
        <v>581199</v>
      </c>
      <c r="AC44" s="9"/>
    </row>
    <row r="45" spans="1:29">
      <c r="A45" s="9"/>
      <c r="B45" s="9"/>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9"/>
    </row>
    <row r="46" spans="1:29">
      <c r="A46" s="9"/>
      <c r="B46" s="9"/>
      <c r="C46" s="33"/>
      <c r="D46" s="26" t="s">
        <v>5</v>
      </c>
      <c r="E46" s="34"/>
      <c r="F46" s="74">
        <f t="shared" ref="F46:J47" si="11">F22</f>
        <v>161</v>
      </c>
      <c r="G46" s="74">
        <f t="shared" si="11"/>
        <v>100</v>
      </c>
      <c r="H46" s="74">
        <f t="shared" si="11"/>
        <v>0</v>
      </c>
      <c r="I46" s="74">
        <f t="shared" si="11"/>
        <v>0</v>
      </c>
      <c r="J46" s="74">
        <f t="shared" si="11"/>
        <v>90</v>
      </c>
      <c r="K46" s="64">
        <f>IFERROR(F46/G46-1,"n/a")</f>
        <v>0.6100000000000001</v>
      </c>
      <c r="L46" s="64" t="str">
        <f>IFERROR(F46/H46-1,"n/a")</f>
        <v>n/a</v>
      </c>
      <c r="M46" s="64" t="str">
        <f>IFERROR(F46/I46-1,"n/a")</f>
        <v>n/a</v>
      </c>
      <c r="N46" s="60">
        <f>IFERROR(F46/J46-1,"n/a")</f>
        <v>0.78888888888888897</v>
      </c>
      <c r="O46" s="74">
        <f t="shared" ref="O46:S47" si="12">F46</f>
        <v>161</v>
      </c>
      <c r="P46" s="74">
        <f t="shared" si="12"/>
        <v>100</v>
      </c>
      <c r="Q46" s="74">
        <f t="shared" si="12"/>
        <v>0</v>
      </c>
      <c r="R46" s="74">
        <f t="shared" si="12"/>
        <v>0</v>
      </c>
      <c r="S46" s="74">
        <f t="shared" si="12"/>
        <v>90</v>
      </c>
      <c r="T46" s="119">
        <f>IFERROR(O46/P46-1,"n/a")</f>
        <v>0.6100000000000001</v>
      </c>
      <c r="U46" s="119" t="str">
        <f>IFERROR(O46/Q46-1,"n/a")</f>
        <v>n/a</v>
      </c>
      <c r="V46" s="119" t="str">
        <f>IFERROR(O46/R46-1,"n/a")</f>
        <v>n/a</v>
      </c>
      <c r="W46" s="120">
        <f>IFERROR(O46/S46-1,"n/a")</f>
        <v>0.78888888888888897</v>
      </c>
      <c r="X46" s="89">
        <v>1129</v>
      </c>
      <c r="Y46" s="89">
        <v>336</v>
      </c>
      <c r="Z46" s="84">
        <v>43</v>
      </c>
      <c r="AA46" s="78">
        <v>781</v>
      </c>
      <c r="AC46" s="9"/>
    </row>
    <row r="47" spans="1:29">
      <c r="A47" s="9"/>
      <c r="B47" s="9"/>
      <c r="C47" s="33"/>
      <c r="D47" s="26" t="s">
        <v>11</v>
      </c>
      <c r="E47" s="32"/>
      <c r="F47" s="74">
        <f t="shared" si="11"/>
        <v>332905</v>
      </c>
      <c r="G47" s="74">
        <f t="shared" si="11"/>
        <v>115809</v>
      </c>
      <c r="H47" s="74">
        <f t="shared" si="11"/>
        <v>0</v>
      </c>
      <c r="I47" s="74">
        <f t="shared" si="11"/>
        <v>0</v>
      </c>
      <c r="J47" s="74">
        <f t="shared" si="11"/>
        <v>212740</v>
      </c>
      <c r="K47" s="64">
        <f>IFERROR(F47/G47-1,"n/a")</f>
        <v>1.8746038736194941</v>
      </c>
      <c r="L47" s="64" t="str">
        <f>IFERROR(F47/H47-1,"n/a")</f>
        <v>n/a</v>
      </c>
      <c r="M47" s="64" t="str">
        <f>IFERROR(F47/I47-1,"n/a")</f>
        <v>n/a</v>
      </c>
      <c r="N47" s="60">
        <f>IFERROR(F47/J47-1,"n/a")</f>
        <v>0.56484441101814431</v>
      </c>
      <c r="O47" s="74">
        <f t="shared" si="12"/>
        <v>332905</v>
      </c>
      <c r="P47" s="74">
        <f t="shared" si="12"/>
        <v>115809</v>
      </c>
      <c r="Q47" s="74">
        <f t="shared" si="12"/>
        <v>0</v>
      </c>
      <c r="R47" s="74">
        <f t="shared" si="12"/>
        <v>0</v>
      </c>
      <c r="S47" s="74">
        <f t="shared" si="12"/>
        <v>212740</v>
      </c>
      <c r="T47" s="119">
        <f>IFERROR(O47/P47-1,"n/a")</f>
        <v>1.8746038736194941</v>
      </c>
      <c r="U47" s="119" t="str">
        <f>IFERROR(O47/Q47-1,"n/a")</f>
        <v>n/a</v>
      </c>
      <c r="V47" s="119" t="str">
        <f>IFERROR(O47/R47-1,"n/a")</f>
        <v>n/a</v>
      </c>
      <c r="W47" s="120">
        <f>IFERROR(O47/S47-1,"n/a")</f>
        <v>0.56484441101814431</v>
      </c>
      <c r="X47" s="82">
        <v>2932981</v>
      </c>
      <c r="Y47" s="82">
        <v>533563</v>
      </c>
      <c r="Z47" s="84">
        <v>140552</v>
      </c>
      <c r="AA47" s="78">
        <v>2441594</v>
      </c>
      <c r="AC47" s="9"/>
    </row>
    <row r="48" spans="1:29">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9"/>
    </row>
    <row r="49" spans="3:29">
      <c r="C49" s="33"/>
      <c r="D49" s="26" t="s">
        <v>5</v>
      </c>
      <c r="E49" s="32"/>
      <c r="F49" s="74">
        <f t="shared" ref="F49:J50" si="13">F25</f>
        <v>1</v>
      </c>
      <c r="G49" s="74">
        <f t="shared" si="13"/>
        <v>1</v>
      </c>
      <c r="H49" s="74">
        <f t="shared" si="13"/>
        <v>0</v>
      </c>
      <c r="I49" s="74">
        <f t="shared" si="13"/>
        <v>0</v>
      </c>
      <c r="J49" s="74">
        <f t="shared" si="13"/>
        <v>1</v>
      </c>
      <c r="K49" s="64">
        <f>IFERROR(F49/G49-1,"n/a")</f>
        <v>0</v>
      </c>
      <c r="L49" s="64" t="str">
        <f>IFERROR(F49/H49-1,"n/a")</f>
        <v>n/a</v>
      </c>
      <c r="M49" s="64" t="str">
        <f>IFERROR(F49/I49-1,"n/a")</f>
        <v>n/a</v>
      </c>
      <c r="N49" s="60">
        <f>IFERROR(F49/J49-1,"n/a")</f>
        <v>0</v>
      </c>
      <c r="O49" s="74">
        <f t="shared" ref="O49:S50" si="14">F49</f>
        <v>1</v>
      </c>
      <c r="P49" s="74">
        <f t="shared" si="14"/>
        <v>1</v>
      </c>
      <c r="Q49" s="74">
        <f t="shared" si="14"/>
        <v>0</v>
      </c>
      <c r="R49" s="74">
        <f t="shared" si="14"/>
        <v>0</v>
      </c>
      <c r="S49" s="74">
        <f t="shared" si="14"/>
        <v>1</v>
      </c>
      <c r="T49" s="119">
        <f>IFERROR(O49/P49-1,"n/a")</f>
        <v>0</v>
      </c>
      <c r="U49" s="119" t="str">
        <f>IFERROR(O49/Q49-1,"n/a")</f>
        <v>n/a</v>
      </c>
      <c r="V49" s="119" t="str">
        <f>IFERROR(O49/R49-1,"n/a")</f>
        <v>n/a</v>
      </c>
      <c r="W49" s="120">
        <f>IFERROR(O49/S49-1,"n/a")</f>
        <v>0</v>
      </c>
      <c r="X49" s="89">
        <v>9</v>
      </c>
      <c r="Y49" s="68">
        <v>0</v>
      </c>
      <c r="Z49" s="68">
        <v>0</v>
      </c>
      <c r="AA49" s="78">
        <v>16</v>
      </c>
      <c r="AC49" s="9"/>
    </row>
    <row r="50" spans="3:29">
      <c r="C50" s="33"/>
      <c r="D50" s="26" t="s">
        <v>11</v>
      </c>
      <c r="E50" s="32"/>
      <c r="F50" s="74">
        <f t="shared" si="13"/>
        <v>2258</v>
      </c>
      <c r="G50" s="74">
        <f t="shared" si="13"/>
        <v>925</v>
      </c>
      <c r="H50" s="74">
        <f t="shared" si="13"/>
        <v>0</v>
      </c>
      <c r="I50" s="74">
        <f t="shared" si="13"/>
        <v>0</v>
      </c>
      <c r="J50" s="74">
        <f t="shared" si="13"/>
        <v>1059</v>
      </c>
      <c r="K50" s="64">
        <f>IFERROR(F50/G50-1,"n/a")</f>
        <v>1.441081081081081</v>
      </c>
      <c r="L50" s="64" t="str">
        <f>IFERROR(F50/H50-1,"n/a")</f>
        <v>n/a</v>
      </c>
      <c r="M50" s="64" t="str">
        <f>IFERROR(F50/I50-1,"n/a")</f>
        <v>n/a</v>
      </c>
      <c r="N50" s="60">
        <f>IFERROR(F50/J50-1,"n/a")</f>
        <v>1.1322001888574125</v>
      </c>
      <c r="O50" s="74">
        <f t="shared" si="14"/>
        <v>2258</v>
      </c>
      <c r="P50" s="74">
        <f t="shared" si="14"/>
        <v>925</v>
      </c>
      <c r="Q50" s="74">
        <f t="shared" si="14"/>
        <v>0</v>
      </c>
      <c r="R50" s="74">
        <f t="shared" si="14"/>
        <v>0</v>
      </c>
      <c r="S50" s="74">
        <f t="shared" si="14"/>
        <v>1059</v>
      </c>
      <c r="T50" s="119">
        <f>IFERROR(O50/P50-1,"n/a")</f>
        <v>1.441081081081081</v>
      </c>
      <c r="U50" s="119" t="str">
        <f>IFERROR(O50/Q50-1,"n/a")</f>
        <v>n/a</v>
      </c>
      <c r="V50" s="119" t="str">
        <f>IFERROR(O50/R50-1,"n/a")</f>
        <v>n/a</v>
      </c>
      <c r="W50" s="120">
        <f>IFERROR(O50/S50-1,"n/a")</f>
        <v>1.1322001888574125</v>
      </c>
      <c r="X50" s="82">
        <v>15637</v>
      </c>
      <c r="Y50" s="68">
        <v>0</v>
      </c>
      <c r="Z50" s="68">
        <v>0</v>
      </c>
      <c r="AA50" s="78">
        <v>20248</v>
      </c>
      <c r="AC50" s="9"/>
    </row>
    <row r="51" spans="3:29" ht="15.75" thickBot="1">
      <c r="C51" s="35" t="s">
        <v>12</v>
      </c>
      <c r="D51" s="36"/>
      <c r="E51" s="37"/>
      <c r="F51" s="75">
        <f>F37+F40+F43+F46+F49</f>
        <v>384</v>
      </c>
      <c r="G51" s="75">
        <f t="shared" ref="G51:J52" si="15">G37+G40+G43+G46+G49</f>
        <v>328</v>
      </c>
      <c r="H51" s="75">
        <f t="shared" si="15"/>
        <v>7</v>
      </c>
      <c r="I51" s="75">
        <f t="shared" si="15"/>
        <v>42</v>
      </c>
      <c r="J51" s="75">
        <f t="shared" si="15"/>
        <v>292</v>
      </c>
      <c r="K51" s="66">
        <f>IFERROR(F51/G51-1,"n/a")</f>
        <v>0.1707317073170731</v>
      </c>
      <c r="L51" s="66">
        <f>IFERROR(F51/H51-1,"n/a")</f>
        <v>53.857142857142854</v>
      </c>
      <c r="M51" s="66">
        <f>IFERROR(F51/I51-1,"n/a")</f>
        <v>8.1428571428571423</v>
      </c>
      <c r="N51" s="62">
        <f>IFERROR(F51/J51-1,"n/a")</f>
        <v>0.31506849315068486</v>
      </c>
      <c r="O51" s="75">
        <f>O37+O40+O43+O46+O49</f>
        <v>384</v>
      </c>
      <c r="P51" s="75">
        <f t="shared" ref="P51:S52" si="16">P37+P40+P43+P46+P49</f>
        <v>328</v>
      </c>
      <c r="Q51" s="75">
        <f t="shared" si="16"/>
        <v>7</v>
      </c>
      <c r="R51" s="75">
        <f t="shared" si="16"/>
        <v>42</v>
      </c>
      <c r="S51" s="75">
        <f t="shared" si="16"/>
        <v>292</v>
      </c>
      <c r="T51" s="66">
        <f>IFERROR(O51/P51-1,"n/a")</f>
        <v>0.1707317073170731</v>
      </c>
      <c r="U51" s="66">
        <f>IFERROR(O51/Q51-1,"n/a")</f>
        <v>53.857142857142854</v>
      </c>
      <c r="V51" s="66">
        <f>IFERROR(O51/R51-1,"n/a")</f>
        <v>8.1428571428571423</v>
      </c>
      <c r="W51" s="62">
        <f>IFERROR(O51/S51-1,"n/a")</f>
        <v>0.31506849315068486</v>
      </c>
      <c r="X51" s="46">
        <f t="shared" ref="X51:AA52" si="17">X37+X40+X43+X46+X49</f>
        <v>3856</v>
      </c>
      <c r="Y51" s="46">
        <f t="shared" si="17"/>
        <v>1673</v>
      </c>
      <c r="Z51" s="46">
        <f t="shared" si="17"/>
        <v>669</v>
      </c>
      <c r="AA51" s="80">
        <f t="shared" si="17"/>
        <v>3241</v>
      </c>
      <c r="AC51" s="9"/>
    </row>
    <row r="52" spans="3:29" ht="16.5" thickTop="1" thickBot="1">
      <c r="C52" s="38" t="s">
        <v>13</v>
      </c>
      <c r="D52" s="39"/>
      <c r="E52" s="40"/>
      <c r="F52" s="76">
        <f>F38+F41+F44+F47+F50</f>
        <v>958564</v>
      </c>
      <c r="G52" s="76">
        <f t="shared" si="15"/>
        <v>507465</v>
      </c>
      <c r="H52" s="76">
        <f t="shared" si="15"/>
        <v>6002</v>
      </c>
      <c r="I52" s="76">
        <f t="shared" si="15"/>
        <v>0</v>
      </c>
      <c r="J52" s="76">
        <f t="shared" si="15"/>
        <v>791238</v>
      </c>
      <c r="K52" s="67">
        <f>IFERROR(F52/G52-1,"n/a")</f>
        <v>0.88892632989467257</v>
      </c>
      <c r="L52" s="67">
        <f>IFERROR(F52/H52-1,"n/a")</f>
        <v>158.70743085638119</v>
      </c>
      <c r="M52" s="67" t="str">
        <f>IFERROR(F52/I52-1,"n/a")</f>
        <v>n/a</v>
      </c>
      <c r="N52" s="63">
        <f>IFERROR(F52/J52-1,"n/a")</f>
        <v>0.21147366531941092</v>
      </c>
      <c r="O52" s="76">
        <f>O38+O41+O44+O47+O50</f>
        <v>958564</v>
      </c>
      <c r="P52" s="76">
        <f t="shared" si="16"/>
        <v>507465</v>
      </c>
      <c r="Q52" s="76">
        <f t="shared" si="16"/>
        <v>6002</v>
      </c>
      <c r="R52" s="76">
        <f t="shared" si="16"/>
        <v>0</v>
      </c>
      <c r="S52" s="76">
        <f t="shared" si="16"/>
        <v>791238</v>
      </c>
      <c r="T52" s="67">
        <f>IFERROR(O52/P52-1,"n/a")</f>
        <v>0.88892632989467257</v>
      </c>
      <c r="U52" s="117">
        <f>IFERROR(O52/Q52-1,"n/a")</f>
        <v>158.70743085638119</v>
      </c>
      <c r="V52" s="117" t="str">
        <f>IFERROR(O52/R52-1,"n/a")</f>
        <v>n/a</v>
      </c>
      <c r="W52" s="118">
        <f>IFERROR(O52/S52-1,"n/a")</f>
        <v>0.21147366531941092</v>
      </c>
      <c r="X52" s="47">
        <f t="shared" si="17"/>
        <v>9237323</v>
      </c>
      <c r="Y52" s="47">
        <f t="shared" si="17"/>
        <v>2410085</v>
      </c>
      <c r="Z52" s="47">
        <f t="shared" si="17"/>
        <v>1324261</v>
      </c>
      <c r="AA52" s="81">
        <f t="shared" si="17"/>
        <v>8638971</v>
      </c>
      <c r="AC52" s="9"/>
    </row>
    <row r="53" spans="3:29" ht="15.75" thickTop="1">
      <c r="AC53" s="9"/>
    </row>
    <row r="54" spans="3:29">
      <c r="P54" s="111"/>
      <c r="Q54" s="111"/>
      <c r="R54" s="111"/>
      <c r="S54" s="111"/>
      <c r="AC54" s="9"/>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X33:AA33"/>
    <mergeCell ref="F34:N34"/>
    <mergeCell ref="O34:W34"/>
    <mergeCell ref="F9:N9"/>
    <mergeCell ref="O9:W9"/>
    <mergeCell ref="X9:AA9"/>
    <mergeCell ref="F33:N33"/>
    <mergeCell ref="O33:W33"/>
    <mergeCell ref="X34:AA3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66"/>
  <sheetViews>
    <sheetView showGridLines="0" topLeftCell="M37" zoomScaleNormal="100" workbookViewId="0">
      <selection activeCell="Z51" sqref="Z51"/>
    </sheetView>
  </sheetViews>
  <sheetFormatPr defaultColWidth="0" defaultRowHeight="15" customHeight="1" zeroHeight="1"/>
  <cols>
    <col min="1" max="2" width="4.140625" customWidth="1"/>
    <col min="3" max="3" width="3.85546875" customWidth="1"/>
    <col min="4" max="4" width="8.85546875" customWidth="1"/>
    <col min="5" max="5" width="10.85546875" bestFit="1" customWidth="1"/>
    <col min="6" max="10" width="8.85546875" customWidth="1"/>
    <col min="11" max="11" width="8" customWidth="1"/>
    <col min="12" max="12" width="8.85546875" bestFit="1" customWidth="1"/>
    <col min="13" max="14" width="8" customWidth="1"/>
    <col min="15" max="19" width="10.42578125" bestFit="1" customWidth="1"/>
    <col min="20" max="20" width="8.140625" bestFit="1" customWidth="1"/>
    <col min="21" max="21" width="8.85546875" bestFit="1" customWidth="1"/>
    <col min="22" max="22" width="9" bestFit="1" customWidth="1"/>
    <col min="23" max="23" width="7.85546875" customWidth="1"/>
    <col min="24" max="26" width="10.42578125" bestFit="1" customWidth="1"/>
    <col min="27" max="27" width="11.140625" bestFit="1" customWidth="1"/>
    <col min="28" max="28" width="3.42578125" customWidth="1"/>
    <col min="29" max="16384" width="8.85546875" hidden="1"/>
  </cols>
  <sheetData>
    <row r="1" spans="1:28">
      <c r="A1" s="9"/>
      <c r="B1" s="9"/>
      <c r="C1" s="9"/>
      <c r="D1" s="9"/>
      <c r="E1" s="9"/>
      <c r="F1" s="9"/>
      <c r="G1" s="9"/>
      <c r="H1" s="9"/>
      <c r="I1" s="9"/>
      <c r="J1" s="9"/>
      <c r="K1" s="9"/>
      <c r="L1" s="9"/>
      <c r="M1" s="9"/>
      <c r="N1" s="9"/>
      <c r="O1" s="9"/>
      <c r="P1" s="9"/>
      <c r="Q1" s="9"/>
      <c r="R1" s="9"/>
      <c r="S1" s="9"/>
      <c r="T1" s="9"/>
      <c r="U1" s="9"/>
      <c r="V1" s="9"/>
      <c r="W1" s="9"/>
      <c r="X1" s="9"/>
      <c r="Y1" s="9"/>
      <c r="Z1" s="9"/>
      <c r="AA1" s="9"/>
      <c r="AB1" s="9"/>
    </row>
    <row r="2" spans="1:28"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9"/>
    </row>
    <row r="3" spans="1:28">
      <c r="A3" s="9"/>
      <c r="B3" s="10"/>
      <c r="C3" s="24"/>
      <c r="D3" s="24"/>
      <c r="E3" s="24"/>
      <c r="F3" s="24"/>
      <c r="G3" s="24"/>
      <c r="H3" s="24"/>
      <c r="I3" s="24"/>
      <c r="J3" s="24"/>
      <c r="K3" s="24"/>
      <c r="L3" s="24"/>
      <c r="M3" s="24"/>
      <c r="N3" s="24"/>
      <c r="O3" s="24"/>
      <c r="P3" s="24"/>
      <c r="Q3" s="24"/>
      <c r="R3" s="24"/>
      <c r="S3" s="24"/>
      <c r="T3" s="24"/>
      <c r="U3" s="24"/>
      <c r="V3" s="24"/>
      <c r="W3" s="24"/>
      <c r="X3" s="24"/>
      <c r="Y3" s="24"/>
      <c r="Z3" s="24"/>
      <c r="AA3" s="25">
        <v>45028</v>
      </c>
      <c r="AB3" s="9"/>
    </row>
    <row r="4" spans="1:28" ht="15.75">
      <c r="A4" s="9"/>
      <c r="B4" s="11" t="s">
        <v>7</v>
      </c>
      <c r="C4" s="26"/>
      <c r="D4" s="24"/>
      <c r="E4" s="58" t="s">
        <v>105</v>
      </c>
      <c r="F4" s="24"/>
      <c r="G4" s="24"/>
      <c r="H4" s="24"/>
      <c r="I4" s="24"/>
      <c r="J4" s="24"/>
      <c r="K4" s="24"/>
      <c r="L4" s="24"/>
      <c r="M4" s="24"/>
      <c r="N4" s="24"/>
      <c r="O4" s="24"/>
      <c r="P4" s="24"/>
      <c r="Q4" s="24"/>
      <c r="R4" s="24"/>
      <c r="S4" s="24"/>
      <c r="T4" s="24"/>
      <c r="U4" s="24"/>
      <c r="V4" s="24"/>
      <c r="W4" s="24"/>
      <c r="X4" s="24"/>
      <c r="Y4" s="24"/>
      <c r="Z4" s="24"/>
      <c r="AA4" s="24"/>
      <c r="AB4" s="9"/>
    </row>
    <row r="5" spans="1:28">
      <c r="A5" s="9"/>
      <c r="B5" s="10"/>
      <c r="C5" s="24"/>
      <c r="D5" s="24"/>
      <c r="E5" s="24"/>
      <c r="F5" s="24"/>
      <c r="G5" s="24"/>
      <c r="H5" s="24"/>
      <c r="I5" s="24"/>
      <c r="J5" s="24"/>
      <c r="K5" s="24"/>
      <c r="L5" s="24"/>
      <c r="M5" s="24"/>
      <c r="N5" s="24"/>
      <c r="O5" s="24"/>
      <c r="P5" s="24"/>
      <c r="Q5" s="24"/>
      <c r="R5" s="24"/>
      <c r="S5" s="24"/>
      <c r="T5" s="24"/>
      <c r="U5" s="24"/>
      <c r="V5" s="24"/>
      <c r="W5" s="24"/>
      <c r="X5" s="24"/>
      <c r="Y5" s="24"/>
      <c r="Z5" s="24"/>
      <c r="AA5" s="24"/>
      <c r="AB5" s="9"/>
    </row>
    <row r="6" spans="1:28">
      <c r="A6" s="9"/>
      <c r="B6" s="10"/>
      <c r="C6" s="24"/>
      <c r="D6" s="24"/>
      <c r="E6" s="24"/>
      <c r="F6" s="24"/>
      <c r="G6" s="24"/>
      <c r="H6" s="24"/>
      <c r="I6" s="24"/>
      <c r="J6" s="24"/>
      <c r="K6" s="24"/>
      <c r="L6" s="24"/>
      <c r="M6" s="24"/>
      <c r="N6" s="24"/>
      <c r="O6" s="24"/>
      <c r="P6" s="24"/>
      <c r="Q6" s="24"/>
      <c r="R6" s="24"/>
      <c r="S6" s="24"/>
      <c r="T6" s="24"/>
      <c r="U6" s="24"/>
      <c r="V6" s="24"/>
      <c r="W6" s="24"/>
      <c r="X6" s="24"/>
      <c r="Y6" s="24"/>
      <c r="Z6" s="24"/>
      <c r="AA6" s="24"/>
      <c r="AB6" s="9"/>
    </row>
    <row r="7" spans="1:28">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9"/>
    </row>
    <row r="8" spans="1:28">
      <c r="A8" s="9"/>
      <c r="B8" s="10"/>
      <c r="C8" s="24"/>
      <c r="D8" s="24"/>
      <c r="E8" s="24"/>
      <c r="F8" s="24"/>
      <c r="G8" s="24"/>
      <c r="H8" s="24"/>
      <c r="I8" s="24"/>
      <c r="J8" s="24"/>
      <c r="K8" s="24"/>
      <c r="L8" s="24"/>
      <c r="M8" s="24"/>
      <c r="N8" s="24"/>
      <c r="O8" s="24"/>
      <c r="P8" s="24"/>
      <c r="Q8" s="24"/>
      <c r="R8" s="24"/>
      <c r="S8" s="24"/>
      <c r="T8" s="24"/>
      <c r="U8" s="24"/>
      <c r="V8" s="24"/>
      <c r="W8" s="24"/>
      <c r="X8" s="24"/>
      <c r="Y8" s="24"/>
      <c r="Z8" s="24"/>
      <c r="AA8" s="24"/>
      <c r="AB8" s="9"/>
    </row>
    <row r="9" spans="1:28">
      <c r="A9" s="9"/>
      <c r="C9" s="27" t="s">
        <v>7</v>
      </c>
      <c r="D9" s="28"/>
      <c r="E9" s="28"/>
      <c r="F9" s="170" t="s">
        <v>41</v>
      </c>
      <c r="G9" s="170"/>
      <c r="H9" s="170"/>
      <c r="I9" s="170"/>
      <c r="J9" s="170"/>
      <c r="K9" s="170"/>
      <c r="L9" s="170"/>
      <c r="M9" s="170"/>
      <c r="N9" s="171"/>
      <c r="O9" s="169" t="s">
        <v>43</v>
      </c>
      <c r="P9" s="170"/>
      <c r="Q9" s="170"/>
      <c r="R9" s="170"/>
      <c r="S9" s="170"/>
      <c r="T9" s="170"/>
      <c r="U9" s="170"/>
      <c r="V9" s="170"/>
      <c r="W9" s="171"/>
      <c r="X9" s="169" t="s">
        <v>57</v>
      </c>
      <c r="Y9" s="170"/>
      <c r="Z9" s="170"/>
      <c r="AA9" s="172"/>
      <c r="AB9" s="9"/>
    </row>
    <row r="10" spans="1:28"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9"/>
    </row>
    <row r="11" spans="1:28" ht="26.25"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row>
    <row r="12" spans="1:28">
      <c r="A12" s="9"/>
      <c r="B12" s="12"/>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9"/>
    </row>
    <row r="13" spans="1:28">
      <c r="A13" s="9"/>
      <c r="B13" s="12"/>
      <c r="C13" s="33"/>
      <c r="D13" s="26" t="s">
        <v>5</v>
      </c>
      <c r="E13" s="32"/>
      <c r="F13" s="73">
        <v>181</v>
      </c>
      <c r="G13" s="71">
        <v>204</v>
      </c>
      <c r="H13" s="71">
        <v>0</v>
      </c>
      <c r="I13" s="71">
        <v>147</v>
      </c>
      <c r="J13" s="71">
        <v>170</v>
      </c>
      <c r="K13" s="64">
        <f>IFERROR(F13/G13-1,"n/a")</f>
        <v>-0.11274509803921573</v>
      </c>
      <c r="L13" s="64" t="str">
        <f t="shared" ref="L13:L28" si="0">IFERROR(F13/H13-1,"n/a")</f>
        <v>n/a</v>
      </c>
      <c r="M13" s="64">
        <f>IFERROR(F13/I13-1,"n/a")</f>
        <v>0.23129251700680276</v>
      </c>
      <c r="N13" s="60">
        <f>IFERROR(F13/J13-1,"n/a")</f>
        <v>6.4705882352941169E-2</v>
      </c>
      <c r="O13" s="68">
        <v>530</v>
      </c>
      <c r="P13" s="68">
        <v>530</v>
      </c>
      <c r="Q13" s="68">
        <v>0</v>
      </c>
      <c r="R13" s="68">
        <v>509</v>
      </c>
      <c r="S13" s="68">
        <v>516</v>
      </c>
      <c r="T13" s="64">
        <f>IFERROR(O13/P13-1,"n/a")</f>
        <v>0</v>
      </c>
      <c r="U13" s="64" t="str">
        <f>IFERROR(O13/Q13-1,"n/a")</f>
        <v>n/a</v>
      </c>
      <c r="V13" s="64">
        <f>IFERROR(O13/R13-1,"n/a")</f>
        <v>4.1257367387033339E-2</v>
      </c>
      <c r="W13" s="60">
        <f>IFERROR(O13/S13-1,"n/a")</f>
        <v>2.7131782945736482E-2</v>
      </c>
      <c r="X13" s="68">
        <v>1486</v>
      </c>
      <c r="Y13" s="68">
        <v>522</v>
      </c>
      <c r="Z13" s="70">
        <v>551</v>
      </c>
      <c r="AA13" s="78">
        <v>1591</v>
      </c>
      <c r="AB13" s="9"/>
    </row>
    <row r="14" spans="1:28">
      <c r="A14" s="9"/>
      <c r="B14" s="12"/>
      <c r="C14" s="33"/>
      <c r="D14" s="26" t="s">
        <v>11</v>
      </c>
      <c r="E14" s="32"/>
      <c r="F14" s="73">
        <v>565574</v>
      </c>
      <c r="G14" s="71">
        <v>344501</v>
      </c>
      <c r="H14" s="71">
        <v>0</v>
      </c>
      <c r="I14" s="71">
        <v>196286</v>
      </c>
      <c r="J14" s="71">
        <v>500596</v>
      </c>
      <c r="K14" s="64">
        <f>IFERROR(F14/G14-1,"n/a")</f>
        <v>0.64171947251241646</v>
      </c>
      <c r="L14" s="64" t="str">
        <f t="shared" si="0"/>
        <v>n/a</v>
      </c>
      <c r="M14" s="64">
        <f>IFERROR(F14/I14-1,"n/a")</f>
        <v>1.8813771741234731</v>
      </c>
      <c r="N14" s="60">
        <f>IFERROR(F14/J14-1,"n/a")</f>
        <v>0.1298012768779615</v>
      </c>
      <c r="O14" s="68">
        <v>1538184</v>
      </c>
      <c r="P14" s="68">
        <v>759658</v>
      </c>
      <c r="Q14" s="68">
        <v>0</v>
      </c>
      <c r="R14" s="68">
        <v>1092884</v>
      </c>
      <c r="S14" s="68">
        <v>1451104</v>
      </c>
      <c r="T14" s="64">
        <f>IFERROR(O14/P14-1,"n/a")</f>
        <v>1.0248374926611712</v>
      </c>
      <c r="U14" s="64" t="str">
        <f>IFERROR(O14/Q14-1,"n/a")</f>
        <v>n/a</v>
      </c>
      <c r="V14" s="64">
        <f>IFERROR(O14/R14-1,"n/a")</f>
        <v>0.40745403903799482</v>
      </c>
      <c r="W14" s="60">
        <f>IFERROR(O14/S14-1,"n/a")</f>
        <v>6.0009482435442241E-2</v>
      </c>
      <c r="X14" s="68">
        <v>3592413</v>
      </c>
      <c r="Y14" s="68">
        <v>768312</v>
      </c>
      <c r="Z14" s="70">
        <v>1092884</v>
      </c>
      <c r="AA14" s="78">
        <v>4592479</v>
      </c>
      <c r="AB14" s="9"/>
    </row>
    <row r="15" spans="1:28">
      <c r="A15" s="9"/>
      <c r="B15" s="12"/>
      <c r="C15" s="31" t="s">
        <v>108</v>
      </c>
      <c r="D15" s="26"/>
      <c r="E15" s="32"/>
      <c r="F15" s="97"/>
      <c r="G15" s="26"/>
      <c r="H15" s="26"/>
      <c r="I15" s="26"/>
      <c r="J15" s="26"/>
      <c r="K15" s="64"/>
      <c r="L15" s="64"/>
      <c r="M15" s="64"/>
      <c r="N15" s="61"/>
      <c r="O15" s="87"/>
      <c r="P15" s="87"/>
      <c r="Q15" s="87"/>
      <c r="R15" s="87"/>
      <c r="S15" s="87"/>
      <c r="T15" s="64"/>
      <c r="U15" s="64"/>
      <c r="V15" s="65"/>
      <c r="W15" s="61"/>
      <c r="X15" s="43"/>
      <c r="Y15" s="43"/>
      <c r="Z15" s="44"/>
      <c r="AA15" s="79"/>
      <c r="AB15" s="9"/>
    </row>
    <row r="16" spans="1:28">
      <c r="A16" s="9"/>
      <c r="B16" s="12"/>
      <c r="C16" s="33"/>
      <c r="D16" s="26" t="s">
        <v>5</v>
      </c>
      <c r="E16" s="32"/>
      <c r="F16" s="74">
        <v>16</v>
      </c>
      <c r="G16" s="71">
        <v>26</v>
      </c>
      <c r="H16" s="71">
        <v>5</v>
      </c>
      <c r="I16" s="71">
        <v>1</v>
      </c>
      <c r="J16" s="71">
        <v>10</v>
      </c>
      <c r="K16" s="64">
        <f>IFERROR(F16/G16-1,"n/a")</f>
        <v>-0.38461538461538458</v>
      </c>
      <c r="L16" s="64">
        <f t="shared" si="0"/>
        <v>2.2000000000000002</v>
      </c>
      <c r="M16" s="64">
        <f>IFERROR(F16/I16-1,"n/a")</f>
        <v>15</v>
      </c>
      <c r="N16" s="60">
        <f>IFERROR(F16/J16-1,"n/a")</f>
        <v>0.60000000000000009</v>
      </c>
      <c r="O16" s="68">
        <v>27</v>
      </c>
      <c r="P16" s="68">
        <v>36</v>
      </c>
      <c r="Q16" s="68">
        <v>12</v>
      </c>
      <c r="R16" s="68">
        <v>10</v>
      </c>
      <c r="S16" s="68">
        <v>23</v>
      </c>
      <c r="T16" s="64">
        <f>IFERROR(O16/P16-1,"n/a")</f>
        <v>-0.25</v>
      </c>
      <c r="U16" s="64">
        <f>IFERROR(O16/Q16-1,"n/a")</f>
        <v>1.25</v>
      </c>
      <c r="V16" s="64">
        <f>IFERROR(O16/R16-1,"n/a")</f>
        <v>1.7000000000000002</v>
      </c>
      <c r="W16" s="60">
        <f>IFERROR(O16/S16-1,"n/a")</f>
        <v>0.17391304347826098</v>
      </c>
      <c r="X16" s="68">
        <v>572</v>
      </c>
      <c r="Y16" s="68">
        <v>202</v>
      </c>
      <c r="Z16" s="70">
        <v>54</v>
      </c>
      <c r="AA16" s="78">
        <v>586</v>
      </c>
      <c r="AB16" s="9"/>
    </row>
    <row r="17" spans="1:28">
      <c r="A17" s="9"/>
      <c r="B17" s="12"/>
      <c r="C17" s="33"/>
      <c r="D17" s="26" t="s">
        <v>11</v>
      </c>
      <c r="E17" s="32"/>
      <c r="F17" s="74">
        <v>43135</v>
      </c>
      <c r="G17" s="71">
        <v>28377</v>
      </c>
      <c r="H17" s="71">
        <v>4146</v>
      </c>
      <c r="I17" s="71">
        <v>565</v>
      </c>
      <c r="J17" s="71">
        <v>32801</v>
      </c>
      <c r="K17" s="64">
        <f>IFERROR(F17/G17-1,"n/a")</f>
        <v>0.52006907002149627</v>
      </c>
      <c r="L17" s="64">
        <f t="shared" si="0"/>
        <v>9.4040038591413406</v>
      </c>
      <c r="M17" s="64">
        <f>IFERROR(F17/I17-1,"n/a")</f>
        <v>75.345132743362825</v>
      </c>
      <c r="N17" s="60">
        <f>IFERROR(F17/J17-1,"n/a")</f>
        <v>0.31505137038504927</v>
      </c>
      <c r="O17" s="68">
        <v>83055</v>
      </c>
      <c r="P17" s="68">
        <v>36508</v>
      </c>
      <c r="Q17" s="68">
        <v>10103</v>
      </c>
      <c r="R17" s="68">
        <v>41113</v>
      </c>
      <c r="S17" s="68">
        <v>80374</v>
      </c>
      <c r="T17" s="64">
        <f>IFERROR(O17/P17-1,"n/a")</f>
        <v>1.2749808261203026</v>
      </c>
      <c r="U17" s="64">
        <f>IFERROR(O17/Q17-1,"n/a")</f>
        <v>7.2208254973770174</v>
      </c>
      <c r="V17" s="64">
        <f>IFERROR(O17/R17-1,"n/a")</f>
        <v>1.0201639384136403</v>
      </c>
      <c r="W17" s="60">
        <f>IFERROR(O17/S17-1,"n/a")</f>
        <v>3.335655809092497E-2</v>
      </c>
      <c r="X17" s="68">
        <v>965963</v>
      </c>
      <c r="Y17" s="68">
        <v>301521</v>
      </c>
      <c r="Z17" s="70">
        <v>70675</v>
      </c>
      <c r="AA17" s="78">
        <v>1400932</v>
      </c>
      <c r="AB17" s="9"/>
    </row>
    <row r="18" spans="1:28">
      <c r="A18" s="9"/>
      <c r="B18" s="12"/>
      <c r="C18" s="31" t="s">
        <v>109</v>
      </c>
      <c r="D18" s="26"/>
      <c r="E18" s="32"/>
      <c r="F18" s="72"/>
      <c r="G18" s="72"/>
      <c r="H18" s="72"/>
      <c r="I18" s="72"/>
      <c r="J18" s="72"/>
      <c r="K18" s="64"/>
      <c r="L18" s="64"/>
      <c r="M18" s="64"/>
      <c r="N18" s="60"/>
      <c r="O18" s="87"/>
      <c r="P18" s="87"/>
      <c r="Q18" s="87"/>
      <c r="R18" s="87"/>
      <c r="S18" s="87"/>
      <c r="T18" s="64"/>
      <c r="U18" s="64"/>
      <c r="V18" s="64"/>
      <c r="W18" s="60"/>
      <c r="X18" s="43"/>
      <c r="Y18" s="43"/>
      <c r="Z18" s="44"/>
      <c r="AA18" s="79"/>
      <c r="AB18" s="9"/>
    </row>
    <row r="19" spans="1:28">
      <c r="A19" s="9"/>
      <c r="B19" s="12"/>
      <c r="C19" s="33"/>
      <c r="D19" s="26" t="s">
        <v>5</v>
      </c>
      <c r="E19" s="32"/>
      <c r="F19" s="73">
        <v>17</v>
      </c>
      <c r="G19" s="71">
        <v>6</v>
      </c>
      <c r="H19" s="71">
        <v>0</v>
      </c>
      <c r="I19" s="71">
        <v>2</v>
      </c>
      <c r="J19" s="71">
        <v>5</v>
      </c>
      <c r="K19" s="64">
        <f>IFERROR(F19/G19-1,"n/a")</f>
        <v>1.8333333333333335</v>
      </c>
      <c r="L19" s="64" t="str">
        <f t="shared" si="0"/>
        <v>n/a</v>
      </c>
      <c r="M19" s="64">
        <f>IFERROR(F19/I19-1,"n/a")</f>
        <v>7.5</v>
      </c>
      <c r="N19" s="60">
        <f>IFERROR(F19/J19-1,"n/a")</f>
        <v>2.4</v>
      </c>
      <c r="O19" s="68">
        <v>23</v>
      </c>
      <c r="P19" s="68">
        <v>12</v>
      </c>
      <c r="Q19" s="68">
        <v>0</v>
      </c>
      <c r="R19" s="68">
        <v>3</v>
      </c>
      <c r="S19" s="68">
        <v>6</v>
      </c>
      <c r="T19" s="64">
        <f>IFERROR(O19/P19-1,"n/a")</f>
        <v>0.91666666666666674</v>
      </c>
      <c r="U19" s="64" t="str">
        <f>IFERROR(O19/Q19-1,"n/a")</f>
        <v>n/a</v>
      </c>
      <c r="V19" s="64">
        <f>IFERROR(O19/R19-1,"n/a")</f>
        <v>6.666666666666667</v>
      </c>
      <c r="W19" s="60">
        <f>IFERROR(O19/S19-1,"n/a")</f>
        <v>2.8333333333333335</v>
      </c>
      <c r="X19" s="68">
        <v>658</v>
      </c>
      <c r="Y19" s="68">
        <v>47</v>
      </c>
      <c r="Z19" s="70">
        <v>9</v>
      </c>
      <c r="AA19" s="78">
        <v>290</v>
      </c>
      <c r="AB19" s="9"/>
    </row>
    <row r="20" spans="1:28">
      <c r="A20" s="9"/>
      <c r="B20" s="12"/>
      <c r="C20" s="33"/>
      <c r="D20" s="26" t="s">
        <v>11</v>
      </c>
      <c r="E20" s="32"/>
      <c r="F20" s="73">
        <v>14734</v>
      </c>
      <c r="G20" s="71">
        <v>595</v>
      </c>
      <c r="H20" s="71">
        <v>0</v>
      </c>
      <c r="I20" s="71">
        <v>887</v>
      </c>
      <c r="J20" s="71">
        <v>4876</v>
      </c>
      <c r="K20" s="64">
        <f>IFERROR(F20/G20-1,"n/a")</f>
        <v>23.763025210084034</v>
      </c>
      <c r="L20" s="64" t="str">
        <f t="shared" si="0"/>
        <v>n/a</v>
      </c>
      <c r="M20" s="64">
        <f>IFERROR(F20/I20-1,"n/a")</f>
        <v>15.611048478015782</v>
      </c>
      <c r="N20" s="60">
        <f t="shared" ref="N20:N28" si="1">IFERROR(F20/J20-1,"n/a")</f>
        <v>2.0217391304347827</v>
      </c>
      <c r="O20" s="68">
        <v>20846</v>
      </c>
      <c r="P20" s="68">
        <v>3085</v>
      </c>
      <c r="Q20" s="68">
        <v>0</v>
      </c>
      <c r="R20" s="68">
        <v>1753</v>
      </c>
      <c r="S20" s="68">
        <v>6484</v>
      </c>
      <c r="T20" s="64">
        <f>IFERROR(O20/P20-1,"n/a")</f>
        <v>5.7572123176661263</v>
      </c>
      <c r="U20" s="64" t="str">
        <f>IFERROR(O20/Q20-1,"n/a")</f>
        <v>n/a</v>
      </c>
      <c r="V20" s="64">
        <f>IFERROR(O20/R20-1,"n/a")</f>
        <v>10.891614375356532</v>
      </c>
      <c r="W20" s="60">
        <f>IFERROR(O20/S20-1,"n/a")</f>
        <v>2.2149907464528069</v>
      </c>
      <c r="X20" s="68">
        <v>887495</v>
      </c>
      <c r="Y20" s="68">
        <v>17541</v>
      </c>
      <c r="Z20" s="70">
        <v>10047</v>
      </c>
      <c r="AA20" s="78">
        <v>585930</v>
      </c>
      <c r="AB20" s="9"/>
    </row>
    <row r="21" spans="1:28">
      <c r="A21" s="9"/>
      <c r="B21" s="12"/>
      <c r="C21" s="31" t="s">
        <v>110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9"/>
    </row>
    <row r="22" spans="1:28">
      <c r="A22" s="9"/>
      <c r="B22" s="12"/>
      <c r="C22" s="33"/>
      <c r="D22" s="26" t="s">
        <v>5</v>
      </c>
      <c r="E22" s="34"/>
      <c r="F22" s="74">
        <v>108</v>
      </c>
      <c r="G22" s="71">
        <v>24</v>
      </c>
      <c r="H22" s="71">
        <v>0</v>
      </c>
      <c r="I22" s="71">
        <v>10</v>
      </c>
      <c r="J22" s="71">
        <v>44</v>
      </c>
      <c r="K22" s="64">
        <f>IFERROR(F22/G22-1,"n/a")</f>
        <v>3.5</v>
      </c>
      <c r="L22" s="64" t="str">
        <f t="shared" si="0"/>
        <v>n/a</v>
      </c>
      <c r="M22" s="64">
        <f>IFERROR(F22/I22-1,"n/a")</f>
        <v>9.8000000000000007</v>
      </c>
      <c r="N22" s="60">
        <f t="shared" si="1"/>
        <v>1.4545454545454546</v>
      </c>
      <c r="O22" s="68">
        <v>287</v>
      </c>
      <c r="P22" s="68">
        <v>53</v>
      </c>
      <c r="Q22" s="68">
        <v>0</v>
      </c>
      <c r="R22" s="68">
        <v>205</v>
      </c>
      <c r="S22" s="68">
        <v>323</v>
      </c>
      <c r="T22" s="64">
        <f>IFERROR(O22/P22-1,"n/a")</f>
        <v>4.4150943396226419</v>
      </c>
      <c r="U22" s="64" t="str">
        <f>IFERROR(O22/Q22-1,"n/a")</f>
        <v>n/a</v>
      </c>
      <c r="V22" s="64">
        <f>IFERROR(O22/R22-1,"n/a")</f>
        <v>0.39999999999999991</v>
      </c>
      <c r="W22" s="60">
        <f>IFERROR(O22/S22-1,"n/a")</f>
        <v>-0.11145510835913308</v>
      </c>
      <c r="X22" s="68">
        <v>895</v>
      </c>
      <c r="Y22" s="68">
        <v>283</v>
      </c>
      <c r="Z22" s="70">
        <v>43</v>
      </c>
      <c r="AA22" s="78">
        <v>827</v>
      </c>
      <c r="AB22" s="9"/>
    </row>
    <row r="23" spans="1:28">
      <c r="A23" s="9"/>
      <c r="B23" s="12"/>
      <c r="C23" s="33"/>
      <c r="D23" s="26" t="s">
        <v>11</v>
      </c>
      <c r="E23" s="32"/>
      <c r="F23" s="73">
        <v>297870</v>
      </c>
      <c r="G23" s="71">
        <v>32594</v>
      </c>
      <c r="H23" s="71">
        <v>0</v>
      </c>
      <c r="I23" s="71">
        <v>28535</v>
      </c>
      <c r="J23" s="71">
        <v>117674</v>
      </c>
      <c r="K23" s="64">
        <f>IFERROR(F23/G23-1,"n/a")</f>
        <v>8.1387985518807149</v>
      </c>
      <c r="L23" s="64" t="str">
        <f t="shared" si="0"/>
        <v>n/a</v>
      </c>
      <c r="M23" s="64">
        <f>IFERROR(F23/I23-1,"n/a")</f>
        <v>9.4387594182582788</v>
      </c>
      <c r="N23" s="60">
        <f t="shared" si="1"/>
        <v>1.5313153287897072</v>
      </c>
      <c r="O23" s="68">
        <v>836274</v>
      </c>
      <c r="P23" s="68">
        <v>68454</v>
      </c>
      <c r="Q23" s="68">
        <v>0</v>
      </c>
      <c r="R23" s="68">
        <v>545974</v>
      </c>
      <c r="S23" s="68">
        <v>919815</v>
      </c>
      <c r="T23" s="64">
        <f>IFERROR(O23/P23-1,"n/a")</f>
        <v>11.21658339907091</v>
      </c>
      <c r="U23" s="64" t="str">
        <f>IFERROR(O23/Q23-1,"n/a")</f>
        <v>n/a</v>
      </c>
      <c r="V23" s="64">
        <f>IFERROR(O23/R23-1,"n/a")</f>
        <v>0.53171030122313523</v>
      </c>
      <c r="W23" s="60">
        <f>IFERROR(O23/S23-1,"n/a")</f>
        <v>-9.0823698243668538E-2</v>
      </c>
      <c r="X23" s="68">
        <v>2165161</v>
      </c>
      <c r="Y23" s="68">
        <v>465109</v>
      </c>
      <c r="Z23" s="70">
        <v>140552</v>
      </c>
      <c r="AA23" s="78">
        <v>2552942</v>
      </c>
      <c r="AB23" s="9"/>
    </row>
    <row r="24" spans="1:28">
      <c r="A24" s="9"/>
      <c r="B24" s="12"/>
      <c r="C24" s="31" t="s">
        <v>111</v>
      </c>
      <c r="D24" s="26"/>
      <c r="E24" s="32"/>
      <c r="F24" s="72"/>
      <c r="G24" s="72"/>
      <c r="H24" s="72"/>
      <c r="I24" s="72"/>
      <c r="J24" s="72"/>
      <c r="K24" s="64"/>
      <c r="L24" s="64"/>
      <c r="M24" s="64"/>
      <c r="N24" s="60"/>
      <c r="O24" s="87"/>
      <c r="P24" s="87"/>
      <c r="Q24" s="87"/>
      <c r="R24" s="87"/>
      <c r="S24" s="87"/>
      <c r="T24" s="64"/>
      <c r="U24" s="64"/>
      <c r="V24" s="64"/>
      <c r="W24" s="60"/>
      <c r="X24" s="43"/>
      <c r="Y24" s="43"/>
      <c r="Z24" s="44"/>
      <c r="AA24" s="79"/>
      <c r="AB24" s="9"/>
    </row>
    <row r="25" spans="1:28">
      <c r="B25" s="12"/>
      <c r="C25" s="33"/>
      <c r="D25" s="26" t="s">
        <v>5</v>
      </c>
      <c r="E25" s="32"/>
      <c r="F25" s="71">
        <v>0</v>
      </c>
      <c r="G25" s="71">
        <v>0</v>
      </c>
      <c r="H25" s="71">
        <v>0</v>
      </c>
      <c r="I25" s="71">
        <v>0</v>
      </c>
      <c r="J25" s="71">
        <v>0</v>
      </c>
      <c r="K25" s="64" t="str">
        <f>IFERROR(F25/G25-1,"n/a")</f>
        <v>n/a</v>
      </c>
      <c r="L25" s="64" t="str">
        <f t="shared" si="0"/>
        <v>n/a</v>
      </c>
      <c r="M25" s="64" t="str">
        <f>IFERROR(F25/I25-1,"n/a")</f>
        <v>n/a</v>
      </c>
      <c r="N25" s="60" t="str">
        <f t="shared" si="1"/>
        <v>n/a</v>
      </c>
      <c r="O25" s="68">
        <v>0</v>
      </c>
      <c r="P25" s="68">
        <v>0</v>
      </c>
      <c r="Q25" s="68">
        <v>0</v>
      </c>
      <c r="R25" s="68">
        <v>0</v>
      </c>
      <c r="S25" s="68">
        <v>0</v>
      </c>
      <c r="T25" s="64" t="str">
        <f>IFERROR(O25/P25-1,"n/a")</f>
        <v>n/a</v>
      </c>
      <c r="U25" s="64" t="str">
        <f>IFERROR(O25/Q25-1,"n/a")</f>
        <v>n/a</v>
      </c>
      <c r="V25" s="64" t="str">
        <f>IFERROR(O25/R25-1,"n/a")</f>
        <v>n/a</v>
      </c>
      <c r="W25" s="60" t="str">
        <f>IFERROR(O25/S25-1,"n/a")</f>
        <v>n/a</v>
      </c>
      <c r="X25" s="68">
        <v>9</v>
      </c>
      <c r="Y25" s="68">
        <v>0</v>
      </c>
      <c r="Z25" s="68">
        <v>0</v>
      </c>
      <c r="AA25" s="78">
        <v>16</v>
      </c>
      <c r="AB25" s="9"/>
    </row>
    <row r="26" spans="1:28">
      <c r="A26" s="9"/>
      <c r="B26" s="12"/>
      <c r="C26" s="33"/>
      <c r="D26" s="26" t="s">
        <v>11</v>
      </c>
      <c r="E26" s="32"/>
      <c r="F26" s="71">
        <v>0</v>
      </c>
      <c r="G26" s="71">
        <v>0</v>
      </c>
      <c r="H26" s="71">
        <v>0</v>
      </c>
      <c r="I26" s="71">
        <v>0</v>
      </c>
      <c r="J26" s="71">
        <v>0</v>
      </c>
      <c r="K26" s="64" t="str">
        <f>IFERROR(F26/G26-1,"n/a")</f>
        <v>n/a</v>
      </c>
      <c r="L26" s="64" t="str">
        <f t="shared" si="0"/>
        <v>n/a</v>
      </c>
      <c r="M26" s="64" t="str">
        <f>IFERROR(F26/I26-1,"n/a")</f>
        <v>n/a</v>
      </c>
      <c r="N26" s="60" t="str">
        <f t="shared" si="1"/>
        <v>n/a</v>
      </c>
      <c r="O26" s="68">
        <v>0</v>
      </c>
      <c r="P26" s="68">
        <v>0</v>
      </c>
      <c r="Q26" s="68">
        <v>0</v>
      </c>
      <c r="R26" s="68">
        <v>0</v>
      </c>
      <c r="S26" s="68">
        <v>0</v>
      </c>
      <c r="T26" s="64" t="str">
        <f>IFERROR(O26/P26-1,"n/a")</f>
        <v>n/a</v>
      </c>
      <c r="U26" s="64" t="str">
        <f>IFERROR(O26/Q26-1,"n/a")</f>
        <v>n/a</v>
      </c>
      <c r="V26" s="64" t="str">
        <f>IFERROR(O26/R26-1,"n/a")</f>
        <v>n/a</v>
      </c>
      <c r="W26" s="60" t="str">
        <f>IFERROR(O26/S26-1,"n/a")</f>
        <v>n/a</v>
      </c>
      <c r="X26" s="68">
        <v>15637</v>
      </c>
      <c r="Y26" s="68">
        <v>0</v>
      </c>
      <c r="Z26" s="68">
        <v>0</v>
      </c>
      <c r="AA26" s="78">
        <v>20248</v>
      </c>
      <c r="AB26" s="9"/>
    </row>
    <row r="27" spans="1:28" ht="15.75" thickBot="1">
      <c r="A27" s="9"/>
      <c r="B27" s="12"/>
      <c r="C27" s="35" t="s">
        <v>12</v>
      </c>
      <c r="D27" s="36"/>
      <c r="E27" s="37"/>
      <c r="F27" s="75">
        <f t="shared" ref="F27:J28" si="2">F13+F16+F19+F22+F25</f>
        <v>322</v>
      </c>
      <c r="G27" s="75">
        <f t="shared" si="2"/>
        <v>260</v>
      </c>
      <c r="H27" s="75">
        <f t="shared" si="2"/>
        <v>5</v>
      </c>
      <c r="I27" s="75">
        <f t="shared" si="2"/>
        <v>160</v>
      </c>
      <c r="J27" s="75">
        <f t="shared" si="2"/>
        <v>229</v>
      </c>
      <c r="K27" s="66">
        <f>IFERROR(F27/G27-1,"n/a")</f>
        <v>0.2384615384615385</v>
      </c>
      <c r="L27" s="66">
        <f t="shared" si="0"/>
        <v>63.400000000000006</v>
      </c>
      <c r="M27" s="66">
        <f>IFERROR(F27/I27-1,"n/a")</f>
        <v>1.0125000000000002</v>
      </c>
      <c r="N27" s="62">
        <f t="shared" si="1"/>
        <v>0.40611353711790388</v>
      </c>
      <c r="O27" s="75">
        <f t="shared" ref="O27:S28" si="3">O13+O16+O19+O22+O25</f>
        <v>867</v>
      </c>
      <c r="P27" s="75">
        <f t="shared" si="3"/>
        <v>631</v>
      </c>
      <c r="Q27" s="75">
        <f t="shared" si="3"/>
        <v>12</v>
      </c>
      <c r="R27" s="75">
        <f t="shared" si="3"/>
        <v>727</v>
      </c>
      <c r="S27" s="75">
        <f t="shared" si="3"/>
        <v>868</v>
      </c>
      <c r="T27" s="66">
        <f>IFERROR(O27/P27-1,"n/a")</f>
        <v>0.37400950871632332</v>
      </c>
      <c r="U27" s="66">
        <f>IFERROR(O27/Q27-1,"n/a")</f>
        <v>71.25</v>
      </c>
      <c r="V27" s="66">
        <f>IFERROR(O27/R27-1,"n/a")</f>
        <v>0.19257221458046758</v>
      </c>
      <c r="W27" s="62">
        <f>IFERROR(O27/S27-1,"n/a")</f>
        <v>-1.1520737327188613E-3</v>
      </c>
      <c r="X27" s="75">
        <f t="shared" ref="X27:AA28" si="4">X13+X16+X19+X22+X25</f>
        <v>3620</v>
      </c>
      <c r="Y27" s="46">
        <f t="shared" si="4"/>
        <v>1054</v>
      </c>
      <c r="Z27" s="46">
        <f t="shared" si="4"/>
        <v>657</v>
      </c>
      <c r="AA27" s="80">
        <f t="shared" si="4"/>
        <v>3310</v>
      </c>
      <c r="AB27" s="9"/>
    </row>
    <row r="28" spans="1:28" ht="16.5" thickTop="1" thickBot="1">
      <c r="A28" s="9"/>
      <c r="B28" s="12"/>
      <c r="C28" s="38" t="s">
        <v>13</v>
      </c>
      <c r="D28" s="39"/>
      <c r="E28" s="40"/>
      <c r="F28" s="76">
        <f t="shared" si="2"/>
        <v>921313</v>
      </c>
      <c r="G28" s="76">
        <f t="shared" si="2"/>
        <v>406067</v>
      </c>
      <c r="H28" s="76">
        <f t="shared" si="2"/>
        <v>4146</v>
      </c>
      <c r="I28" s="76">
        <f t="shared" si="2"/>
        <v>226273</v>
      </c>
      <c r="J28" s="76">
        <f t="shared" si="2"/>
        <v>655947</v>
      </c>
      <c r="K28" s="67">
        <f>IFERROR(F28/G28-1,"n/a")</f>
        <v>1.2688694230262492</v>
      </c>
      <c r="L28" s="67">
        <f t="shared" si="0"/>
        <v>221.21731789676798</v>
      </c>
      <c r="M28" s="67">
        <f>IFERROR(F28/I28-1,"n/a")</f>
        <v>3.071687740030848</v>
      </c>
      <c r="N28" s="63">
        <f t="shared" si="1"/>
        <v>0.40455402646860184</v>
      </c>
      <c r="O28" s="76">
        <f t="shared" si="3"/>
        <v>2478359</v>
      </c>
      <c r="P28" s="76">
        <f t="shared" si="3"/>
        <v>867705</v>
      </c>
      <c r="Q28" s="76">
        <f t="shared" si="3"/>
        <v>10103</v>
      </c>
      <c r="R28" s="76">
        <f t="shared" si="3"/>
        <v>1681724</v>
      </c>
      <c r="S28" s="76">
        <f t="shared" si="3"/>
        <v>2457777</v>
      </c>
      <c r="T28" s="67">
        <f>IFERROR(O28/P28-1,"n/a")</f>
        <v>1.8562230251064591</v>
      </c>
      <c r="U28" s="67">
        <f>IFERROR(O28/Q28-1,"n/a")</f>
        <v>244.30921508462833</v>
      </c>
      <c r="V28" s="67">
        <f>IFERROR(O28/R28-1,"n/a")</f>
        <v>0.47370139214282481</v>
      </c>
      <c r="W28" s="63">
        <f>IFERROR(O28/S28-1,"n/a")</f>
        <v>8.3742341148118626E-3</v>
      </c>
      <c r="X28" s="76">
        <f t="shared" si="4"/>
        <v>7626669</v>
      </c>
      <c r="Y28" s="47">
        <f t="shared" si="4"/>
        <v>1552483</v>
      </c>
      <c r="Z28" s="47">
        <f t="shared" si="4"/>
        <v>1314158</v>
      </c>
      <c r="AA28" s="81">
        <f t="shared" si="4"/>
        <v>9152531</v>
      </c>
      <c r="AB28" s="9"/>
    </row>
    <row r="29" spans="1:28" ht="15.75" thickTop="1">
      <c r="A29" s="9"/>
      <c r="B29" s="9"/>
      <c r="C29" s="9"/>
      <c r="D29" s="9"/>
      <c r="E29" s="9"/>
      <c r="F29" s="41"/>
      <c r="G29" s="41"/>
      <c r="H29" s="41"/>
      <c r="I29" s="41"/>
      <c r="J29" s="41"/>
      <c r="K29" s="41"/>
      <c r="L29" s="41"/>
      <c r="M29" s="41"/>
      <c r="N29" s="9"/>
      <c r="O29" s="9"/>
      <c r="P29" s="9"/>
      <c r="Q29" s="9"/>
      <c r="R29" s="9"/>
      <c r="S29" s="9"/>
      <c r="T29" s="9"/>
      <c r="U29" s="9"/>
      <c r="V29" s="9"/>
      <c r="W29" s="9"/>
      <c r="X29" s="9"/>
      <c r="Y29" s="9"/>
      <c r="Z29" s="9"/>
      <c r="AA29" s="9"/>
      <c r="AB29" s="9"/>
    </row>
    <row r="30" spans="1:28">
      <c r="A30" s="9"/>
      <c r="B30" s="9"/>
      <c r="C30" s="9"/>
      <c r="D30" s="9"/>
      <c r="E30" s="9"/>
      <c r="F30" s="41"/>
      <c r="G30" s="41"/>
      <c r="H30" s="41"/>
      <c r="I30" s="41"/>
      <c r="J30" s="41"/>
      <c r="K30" s="41"/>
      <c r="L30" s="41"/>
      <c r="M30" s="41"/>
      <c r="N30" s="9"/>
      <c r="O30" s="9"/>
      <c r="P30" s="9"/>
      <c r="Q30" s="9"/>
      <c r="R30" s="9"/>
      <c r="S30" s="9"/>
      <c r="T30" s="9"/>
      <c r="U30" s="9"/>
      <c r="V30" s="9"/>
      <c r="W30" s="9"/>
      <c r="X30" s="9"/>
      <c r="Y30" s="9"/>
      <c r="Z30" s="9"/>
      <c r="AA30" s="9"/>
      <c r="AB30" s="9"/>
    </row>
    <row r="31" spans="1:28">
      <c r="A31" s="9"/>
      <c r="B31" s="10"/>
      <c r="C31" s="86"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9"/>
    </row>
    <row r="32" spans="1:28">
      <c r="A32" s="9"/>
      <c r="B32" s="10"/>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9"/>
    </row>
    <row r="33" spans="1:28">
      <c r="A33" s="9"/>
      <c r="B33" s="9"/>
      <c r="C33" s="27" t="s">
        <v>7</v>
      </c>
      <c r="D33" s="28"/>
      <c r="E33" s="28"/>
      <c r="F33" s="170" t="str">
        <f>F9</f>
        <v>March</v>
      </c>
      <c r="G33" s="170"/>
      <c r="H33" s="170"/>
      <c r="I33" s="170"/>
      <c r="J33" s="170"/>
      <c r="K33" s="170"/>
      <c r="L33" s="170"/>
      <c r="M33" s="170"/>
      <c r="N33" s="171"/>
      <c r="O33" s="169" t="s">
        <v>106</v>
      </c>
      <c r="P33" s="170"/>
      <c r="Q33" s="170"/>
      <c r="R33" s="170"/>
      <c r="S33" s="170"/>
      <c r="T33" s="170"/>
      <c r="U33" s="170"/>
      <c r="V33" s="170"/>
      <c r="W33" s="171"/>
      <c r="X33" s="169" t="s">
        <v>58</v>
      </c>
      <c r="Y33" s="170"/>
      <c r="Z33" s="170"/>
      <c r="AA33" s="172"/>
      <c r="AB33" s="9"/>
    </row>
    <row r="34" spans="1:28">
      <c r="A34" s="9"/>
      <c r="B34" s="9"/>
      <c r="C34" s="29"/>
      <c r="D34" s="30"/>
      <c r="E34" s="30"/>
      <c r="F34" s="29"/>
      <c r="G34" s="30"/>
      <c r="H34" s="30"/>
      <c r="I34" s="30"/>
      <c r="J34" s="30"/>
      <c r="K34" s="30"/>
      <c r="L34" s="30"/>
      <c r="M34" s="30"/>
      <c r="N34" s="56"/>
      <c r="O34" s="30"/>
      <c r="P34" s="30"/>
      <c r="Q34" s="30"/>
      <c r="R34" s="30"/>
      <c r="S34" s="30"/>
      <c r="T34" s="30"/>
      <c r="U34" s="30"/>
      <c r="V34" s="30"/>
      <c r="W34" s="56"/>
      <c r="X34" s="30"/>
      <c r="Y34" s="30"/>
      <c r="Z34" s="30"/>
      <c r="AA34" s="56"/>
      <c r="AB34" s="9"/>
    </row>
    <row r="35" spans="1:28" ht="33.75">
      <c r="A35" s="9"/>
      <c r="B35" s="9"/>
      <c r="C35" s="59" t="s">
        <v>29</v>
      </c>
      <c r="D35" s="50"/>
      <c r="E35" s="51"/>
      <c r="F35" s="55">
        <v>2023</v>
      </c>
      <c r="G35" s="52">
        <v>2022</v>
      </c>
      <c r="H35" s="52">
        <v>2021</v>
      </c>
      <c r="I35" s="52">
        <v>2020</v>
      </c>
      <c r="J35" s="52">
        <v>2019</v>
      </c>
      <c r="K35" s="53" t="s">
        <v>66</v>
      </c>
      <c r="L35" s="53" t="s">
        <v>67</v>
      </c>
      <c r="M35" s="53" t="s">
        <v>68</v>
      </c>
      <c r="N35" s="57" t="s">
        <v>100</v>
      </c>
      <c r="O35" s="53"/>
      <c r="P35" s="53" t="s">
        <v>53</v>
      </c>
      <c r="Q35" s="52" t="s">
        <v>54</v>
      </c>
      <c r="R35" s="52" t="s">
        <v>59</v>
      </c>
      <c r="S35" s="52" t="s">
        <v>64</v>
      </c>
      <c r="T35" s="52"/>
      <c r="U35" s="53" t="s">
        <v>66</v>
      </c>
      <c r="V35" s="53" t="s">
        <v>67</v>
      </c>
      <c r="W35" s="57" t="s">
        <v>68</v>
      </c>
      <c r="X35" s="53" t="s">
        <v>53</v>
      </c>
      <c r="Y35" s="53" t="s">
        <v>54</v>
      </c>
      <c r="Z35" s="53" t="s">
        <v>65</v>
      </c>
      <c r="AA35" s="57" t="s">
        <v>73</v>
      </c>
      <c r="AB35" s="9"/>
    </row>
    <row r="36" spans="1:28">
      <c r="A36" s="9"/>
      <c r="B36" s="9"/>
      <c r="C36" s="31" t="s">
        <v>107</v>
      </c>
      <c r="D36" s="26"/>
      <c r="E36" s="32"/>
      <c r="F36" s="26"/>
      <c r="G36" s="26"/>
      <c r="H36" s="26"/>
      <c r="I36" s="26"/>
      <c r="J36" s="26"/>
      <c r="K36" s="26"/>
      <c r="L36" s="26"/>
      <c r="M36" s="26"/>
      <c r="N36" s="32"/>
      <c r="O36" s="26"/>
      <c r="P36" s="26"/>
      <c r="Q36" s="26"/>
      <c r="R36" s="26"/>
      <c r="S36" s="9"/>
      <c r="T36" s="26"/>
      <c r="U36" s="9"/>
      <c r="V36" s="26"/>
      <c r="W36" s="32"/>
      <c r="X36" s="33"/>
      <c r="Y36" s="26"/>
      <c r="Z36" s="88"/>
      <c r="AA36" s="85"/>
      <c r="AB36" s="9"/>
    </row>
    <row r="37" spans="1:28">
      <c r="A37" s="9"/>
      <c r="B37" s="9"/>
      <c r="C37" s="33"/>
      <c r="D37" s="26" t="s">
        <v>5</v>
      </c>
      <c r="E37" s="32"/>
      <c r="F37" s="74">
        <f t="shared" ref="F37:J38" si="5">F13</f>
        <v>181</v>
      </c>
      <c r="G37" s="74">
        <f t="shared" si="5"/>
        <v>204</v>
      </c>
      <c r="H37" s="74">
        <f t="shared" si="5"/>
        <v>0</v>
      </c>
      <c r="I37" s="74">
        <f t="shared" si="5"/>
        <v>147</v>
      </c>
      <c r="J37" s="74">
        <f t="shared" si="5"/>
        <v>170</v>
      </c>
      <c r="K37" s="64">
        <f>IFERROR(F37/G37-1,"n/a")</f>
        <v>-0.11274509803921573</v>
      </c>
      <c r="L37" s="64" t="str">
        <f>IFERROR(F37/H37-1,"n/a")</f>
        <v>n/a</v>
      </c>
      <c r="M37" s="64">
        <f>IFERROR(F37/I37-1,"n/a")</f>
        <v>0.23129251700680276</v>
      </c>
      <c r="N37" s="60">
        <f>IFERROR(F37/J37-1,"n/a")</f>
        <v>6.4705882352941169E-2</v>
      </c>
      <c r="O37" s="108"/>
      <c r="P37" s="70">
        <v>1486</v>
      </c>
      <c r="Q37" s="70">
        <v>1052</v>
      </c>
      <c r="R37" s="82">
        <v>42</v>
      </c>
      <c r="S37" s="70">
        <v>1584</v>
      </c>
      <c r="T37" s="108"/>
      <c r="U37" s="64">
        <f>IFERROR(P37/Q37-1,"n/a")</f>
        <v>0.4125475285171103</v>
      </c>
      <c r="V37" s="64">
        <f>IFERROR(P37/R37-1,"n/a")</f>
        <v>34.38095238095238</v>
      </c>
      <c r="W37" s="60">
        <f>IFERROR(P37/S37-1,"n/a")</f>
        <v>-6.1868686868686851E-2</v>
      </c>
      <c r="X37" s="89">
        <v>1486</v>
      </c>
      <c r="Y37" s="89">
        <v>1052</v>
      </c>
      <c r="Z37" s="70">
        <v>551</v>
      </c>
      <c r="AA37" s="78">
        <v>1584</v>
      </c>
      <c r="AB37" s="9"/>
    </row>
    <row r="38" spans="1:28">
      <c r="A38" s="9"/>
      <c r="B38" s="9"/>
      <c r="C38" s="33"/>
      <c r="D38" s="26" t="s">
        <v>11</v>
      </c>
      <c r="E38" s="32"/>
      <c r="F38" s="74">
        <f t="shared" si="5"/>
        <v>565574</v>
      </c>
      <c r="G38" s="74">
        <f t="shared" si="5"/>
        <v>344501</v>
      </c>
      <c r="H38" s="74">
        <f t="shared" si="5"/>
        <v>0</v>
      </c>
      <c r="I38" s="74">
        <f t="shared" si="5"/>
        <v>196286</v>
      </c>
      <c r="J38" s="74">
        <f t="shared" si="5"/>
        <v>500596</v>
      </c>
      <c r="K38" s="64">
        <f>IFERROR(F38/G38-1,"n/a")</f>
        <v>0.64171947251241646</v>
      </c>
      <c r="L38" s="64" t="str">
        <f>IFERROR(F38/H38-1,"n/a")</f>
        <v>n/a</v>
      </c>
      <c r="M38" s="64">
        <f>IFERROR(F38/I38-1,"n/a")</f>
        <v>1.8813771741234731</v>
      </c>
      <c r="N38" s="60">
        <f>IFERROR(F38/J38-1,"n/a")</f>
        <v>0.1298012768779615</v>
      </c>
      <c r="O38" s="109"/>
      <c r="P38" s="70">
        <v>4370939</v>
      </c>
      <c r="Q38" s="82">
        <v>1527970</v>
      </c>
      <c r="R38" s="82">
        <v>0</v>
      </c>
      <c r="S38" s="82">
        <v>4234259</v>
      </c>
      <c r="T38" s="109"/>
      <c r="U38" s="64">
        <f>IFERROR(P38/Q38-1,"n/a")</f>
        <v>1.8606183367474491</v>
      </c>
      <c r="V38" s="64" t="str">
        <f>IFERROR(P38/R38-1,"n/a")</f>
        <v>n/a</v>
      </c>
      <c r="W38" s="60">
        <f>IFERROR(P38/S38-1,"n/a")</f>
        <v>3.2279555879789035E-2</v>
      </c>
      <c r="X38" s="89">
        <v>4370939</v>
      </c>
      <c r="Y38" s="89">
        <v>1527970</v>
      </c>
      <c r="Z38" s="84">
        <v>1092884</v>
      </c>
      <c r="AA38" s="78">
        <v>4234259</v>
      </c>
      <c r="AB38" s="9"/>
    </row>
    <row r="39" spans="1:28">
      <c r="A39" s="9"/>
      <c r="B39" s="9"/>
      <c r="C39" s="31" t="s">
        <v>108</v>
      </c>
      <c r="D39" s="26"/>
      <c r="E39" s="32"/>
      <c r="F39" s="26"/>
      <c r="G39" s="26"/>
      <c r="H39" s="26"/>
      <c r="I39" s="26"/>
      <c r="J39" s="26"/>
      <c r="K39" s="64"/>
      <c r="L39" s="64"/>
      <c r="M39" s="64"/>
      <c r="N39" s="61"/>
      <c r="O39" s="110"/>
      <c r="P39" s="87"/>
      <c r="Q39" s="87"/>
      <c r="R39" s="87"/>
      <c r="S39" s="87"/>
      <c r="T39" s="110"/>
      <c r="U39" s="65"/>
      <c r="V39" s="65"/>
      <c r="W39" s="61"/>
      <c r="X39" s="90"/>
      <c r="Y39" s="90"/>
      <c r="Z39" s="44"/>
      <c r="AA39" s="79"/>
      <c r="AB39" s="9"/>
    </row>
    <row r="40" spans="1:28">
      <c r="A40" s="9"/>
      <c r="B40" s="9"/>
      <c r="C40" s="33"/>
      <c r="D40" s="26" t="s">
        <v>5</v>
      </c>
      <c r="E40" s="32"/>
      <c r="F40" s="74">
        <f t="shared" ref="F40:J41" si="6">F16</f>
        <v>16</v>
      </c>
      <c r="G40" s="74">
        <f t="shared" si="6"/>
        <v>26</v>
      </c>
      <c r="H40" s="74">
        <f t="shared" si="6"/>
        <v>5</v>
      </c>
      <c r="I40" s="74">
        <f t="shared" si="6"/>
        <v>1</v>
      </c>
      <c r="J40" s="74">
        <f t="shared" si="6"/>
        <v>10</v>
      </c>
      <c r="K40" s="64">
        <f>IFERROR(F40/G40-1,"n/a")</f>
        <v>-0.38461538461538458</v>
      </c>
      <c r="L40" s="64">
        <f>IFERROR(F40/H40-1,"n/a")</f>
        <v>2.2000000000000002</v>
      </c>
      <c r="M40" s="64">
        <f>IFERROR(F40/I40-1,"n/a")</f>
        <v>15</v>
      </c>
      <c r="N40" s="60">
        <f>IFERROR(F40/J40-1,"n/a")</f>
        <v>0.60000000000000009</v>
      </c>
      <c r="O40" s="108"/>
      <c r="P40" s="70">
        <v>563</v>
      </c>
      <c r="Q40" s="70">
        <v>226</v>
      </c>
      <c r="R40" s="70">
        <v>56</v>
      </c>
      <c r="S40" s="70">
        <v>573</v>
      </c>
      <c r="T40" s="108"/>
      <c r="U40" s="64">
        <f>IFERROR(P40/Q40-1,"n/a")</f>
        <v>1.4911504424778763</v>
      </c>
      <c r="V40" s="64">
        <f>IFERROR(P40/R40-1,"n/a")</f>
        <v>9.0535714285714288</v>
      </c>
      <c r="W40" s="60">
        <f>IFERROR(P40/S40-1,"n/a")</f>
        <v>-1.7452006980802848E-2</v>
      </c>
      <c r="X40" s="89">
        <v>563</v>
      </c>
      <c r="Y40" s="89">
        <v>226</v>
      </c>
      <c r="Z40" s="70">
        <v>66</v>
      </c>
      <c r="AA40" s="78">
        <v>573</v>
      </c>
      <c r="AB40" s="9"/>
    </row>
    <row r="41" spans="1:28">
      <c r="A41" s="9"/>
      <c r="B41" s="9"/>
      <c r="C41" s="33"/>
      <c r="D41" s="26" t="s">
        <v>11</v>
      </c>
      <c r="E41" s="32"/>
      <c r="F41" s="74">
        <f t="shared" si="6"/>
        <v>43135</v>
      </c>
      <c r="G41" s="74">
        <f t="shared" si="6"/>
        <v>28377</v>
      </c>
      <c r="H41" s="74">
        <f t="shared" si="6"/>
        <v>4146</v>
      </c>
      <c r="I41" s="74">
        <f t="shared" si="6"/>
        <v>565</v>
      </c>
      <c r="J41" s="74">
        <f t="shared" si="6"/>
        <v>32801</v>
      </c>
      <c r="K41" s="64">
        <f>IFERROR(F41/G41-1,"n/a")</f>
        <v>0.52006907002149627</v>
      </c>
      <c r="L41" s="64">
        <f>IFERROR(F41/H41-1,"n/a")</f>
        <v>9.4040038591413406</v>
      </c>
      <c r="M41" s="64">
        <f>IFERROR(F41/I41-1,"n/a")</f>
        <v>75.345132743362825</v>
      </c>
      <c r="N41" s="60">
        <f>IFERROR(F41/J41-1,"n/a")</f>
        <v>0.31505137038504927</v>
      </c>
      <c r="O41" s="109"/>
      <c r="P41" s="70">
        <v>1012510</v>
      </c>
      <c r="Q41" s="70">
        <v>327926</v>
      </c>
      <c r="R41" s="70">
        <v>39665</v>
      </c>
      <c r="S41" s="70">
        <v>1361671</v>
      </c>
      <c r="T41" s="108"/>
      <c r="U41" s="64">
        <f>IFERROR(P41/Q41-1,"n/a")</f>
        <v>2.0876173282996775</v>
      </c>
      <c r="V41" s="64">
        <f>IFERROR(P41/R41-1,"n/a")</f>
        <v>24.52653472834993</v>
      </c>
      <c r="W41" s="60">
        <f>IFERROR(P41/S41-1,"n/a")</f>
        <v>-0.25642097099813388</v>
      </c>
      <c r="X41" s="89">
        <v>1012510</v>
      </c>
      <c r="Y41" s="89">
        <v>327926</v>
      </c>
      <c r="Z41" s="84">
        <v>80778</v>
      </c>
      <c r="AA41" s="78">
        <v>1361671</v>
      </c>
      <c r="AB41" s="9"/>
    </row>
    <row r="42" spans="1:28">
      <c r="A42" s="9"/>
      <c r="B42" s="9"/>
      <c r="C42" s="31" t="s">
        <v>109</v>
      </c>
      <c r="D42" s="26"/>
      <c r="E42" s="32"/>
      <c r="F42" s="87"/>
      <c r="G42" s="87"/>
      <c r="H42" s="87"/>
      <c r="I42" s="87"/>
      <c r="J42" s="72"/>
      <c r="K42" s="64"/>
      <c r="L42" s="64"/>
      <c r="M42" s="64"/>
      <c r="N42" s="60"/>
      <c r="O42" s="110"/>
      <c r="P42" s="87"/>
      <c r="Q42" s="87"/>
      <c r="R42" s="87"/>
      <c r="S42" s="87"/>
      <c r="T42" s="110"/>
      <c r="U42" s="64"/>
      <c r="V42" s="64"/>
      <c r="W42" s="60"/>
      <c r="X42" s="90"/>
      <c r="Y42" s="90"/>
      <c r="Z42" s="44"/>
      <c r="AA42" s="79"/>
      <c r="AB42" s="9"/>
    </row>
    <row r="43" spans="1:28">
      <c r="A43" s="9"/>
      <c r="B43" s="9"/>
      <c r="C43" s="33"/>
      <c r="D43" s="26" t="s">
        <v>5</v>
      </c>
      <c r="E43" s="32"/>
      <c r="F43" s="74">
        <f t="shared" ref="F43:J44" si="7">F19</f>
        <v>17</v>
      </c>
      <c r="G43" s="74">
        <f t="shared" si="7"/>
        <v>6</v>
      </c>
      <c r="H43" s="74">
        <f t="shared" si="7"/>
        <v>0</v>
      </c>
      <c r="I43" s="74">
        <f t="shared" si="7"/>
        <v>2</v>
      </c>
      <c r="J43" s="74">
        <f t="shared" si="7"/>
        <v>5</v>
      </c>
      <c r="K43" s="64">
        <f>IFERROR(F43/G43-1,"n/a")</f>
        <v>1.8333333333333335</v>
      </c>
      <c r="L43" s="64" t="str">
        <f>IFERROR(F43/H43-1,"n/a")</f>
        <v>n/a</v>
      </c>
      <c r="M43" s="64">
        <f>IFERROR(F43/I43-1,"n/a")</f>
        <v>7.5</v>
      </c>
      <c r="N43" s="60">
        <f>IFERROR(F43/J43-1,"n/a")</f>
        <v>2.4</v>
      </c>
      <c r="O43" s="108"/>
      <c r="P43" s="70">
        <v>669</v>
      </c>
      <c r="Q43" s="70">
        <v>59</v>
      </c>
      <c r="R43" s="70">
        <v>6</v>
      </c>
      <c r="S43" s="70">
        <v>287</v>
      </c>
      <c r="T43" s="108"/>
      <c r="U43" s="64">
        <f>IFERROR(P43/Q43-1,"n/a")</f>
        <v>10.338983050847459</v>
      </c>
      <c r="V43" s="64">
        <f>IFERROR(P43/R43-1,"n/a")</f>
        <v>110.5</v>
      </c>
      <c r="W43" s="60">
        <f>IFERROR(P43/S43-1,"n/a")</f>
        <v>1.3310104529616726</v>
      </c>
      <c r="X43" s="89">
        <v>669</v>
      </c>
      <c r="Y43" s="89">
        <v>59</v>
      </c>
      <c r="Z43" s="70">
        <v>9</v>
      </c>
      <c r="AA43" s="78">
        <v>287</v>
      </c>
      <c r="AB43" s="9"/>
    </row>
    <row r="44" spans="1:28">
      <c r="A44" s="9"/>
      <c r="B44" s="9"/>
      <c r="C44" s="33"/>
      <c r="D44" s="26" t="s">
        <v>11</v>
      </c>
      <c r="E44" s="32"/>
      <c r="F44" s="74">
        <f t="shared" si="7"/>
        <v>14734</v>
      </c>
      <c r="G44" s="74">
        <f t="shared" si="7"/>
        <v>595</v>
      </c>
      <c r="H44" s="74">
        <f t="shared" si="7"/>
        <v>0</v>
      </c>
      <c r="I44" s="74">
        <f t="shared" si="7"/>
        <v>887</v>
      </c>
      <c r="J44" s="74">
        <f t="shared" si="7"/>
        <v>4876</v>
      </c>
      <c r="K44" s="64">
        <f>IFERROR(F44/G44-1,"n/a")</f>
        <v>23.763025210084034</v>
      </c>
      <c r="L44" s="64" t="str">
        <f>IFERROR(F44/H44-1,"n/a")</f>
        <v>n/a</v>
      </c>
      <c r="M44" s="64">
        <f>IFERROR(F44/I44-1,"n/a")</f>
        <v>15.611048478015782</v>
      </c>
      <c r="N44" s="60">
        <f>IFERROR(F44/J44-1,"n/a")</f>
        <v>2.0217391304347827</v>
      </c>
      <c r="O44" s="109"/>
      <c r="P44" s="70">
        <v>905256</v>
      </c>
      <c r="Q44" s="70">
        <f>19875+751</f>
        <v>20626</v>
      </c>
      <c r="R44" s="70">
        <v>8294</v>
      </c>
      <c r="S44" s="70">
        <v>581199</v>
      </c>
      <c r="T44" s="108"/>
      <c r="U44" s="64">
        <f>IFERROR(P44/Q44-1,"n/a")</f>
        <v>42.889072044991757</v>
      </c>
      <c r="V44" s="64">
        <f>IFERROR(P44/R44-1,"n/a")</f>
        <v>108.14588859416446</v>
      </c>
      <c r="W44" s="60">
        <f>IFERROR(P44/S44-1,"n/a")</f>
        <v>0.55756634130478555</v>
      </c>
      <c r="X44" s="82">
        <f>709768+195488</f>
        <v>905256</v>
      </c>
      <c r="Y44" s="82">
        <v>20626</v>
      </c>
      <c r="Z44" s="84">
        <v>10047</v>
      </c>
      <c r="AA44" s="78">
        <v>581199</v>
      </c>
      <c r="AB44" s="9"/>
    </row>
    <row r="45" spans="1:28">
      <c r="A45" s="9"/>
      <c r="B45" s="9"/>
      <c r="C45" s="31" t="s">
        <v>110</v>
      </c>
      <c r="D45" s="26"/>
      <c r="E45" s="34"/>
      <c r="F45" s="72"/>
      <c r="G45" s="72"/>
      <c r="H45" s="72"/>
      <c r="I45" s="72"/>
      <c r="J45" s="72"/>
      <c r="K45" s="64"/>
      <c r="L45" s="64"/>
      <c r="M45" s="64"/>
      <c r="N45" s="60"/>
      <c r="O45" s="110"/>
      <c r="P45" s="87"/>
      <c r="Q45" s="87"/>
      <c r="R45" s="87"/>
      <c r="S45" s="87"/>
      <c r="T45" s="110"/>
      <c r="U45" s="64"/>
      <c r="V45" s="64"/>
      <c r="W45" s="60"/>
      <c r="X45" s="90"/>
      <c r="Y45" s="90"/>
      <c r="Z45" s="44"/>
      <c r="AA45" s="79"/>
      <c r="AB45" s="9"/>
    </row>
    <row r="46" spans="1:28">
      <c r="A46" s="9"/>
      <c r="B46" s="9"/>
      <c r="C46" s="33"/>
      <c r="D46" s="26" t="s">
        <v>5</v>
      </c>
      <c r="E46" s="34"/>
      <c r="F46" s="74">
        <f t="shared" ref="F46:J47" si="8">F22</f>
        <v>108</v>
      </c>
      <c r="G46" s="74">
        <f t="shared" si="8"/>
        <v>24</v>
      </c>
      <c r="H46" s="74">
        <f t="shared" si="8"/>
        <v>0</v>
      </c>
      <c r="I46" s="74">
        <f t="shared" si="8"/>
        <v>10</v>
      </c>
      <c r="J46" s="74">
        <f t="shared" si="8"/>
        <v>44</v>
      </c>
      <c r="K46" s="64">
        <f>IFERROR(F46/G46-1,"n/a")</f>
        <v>3.5</v>
      </c>
      <c r="L46" s="64" t="str">
        <f>IFERROR(F46/H46-1,"n/a")</f>
        <v>n/a</v>
      </c>
      <c r="M46" s="64">
        <f>IFERROR(F46/I46-1,"n/a")</f>
        <v>9.8000000000000007</v>
      </c>
      <c r="N46" s="60">
        <f>IFERROR(F46/J46-1,"n/a")</f>
        <v>1.4545454545454546</v>
      </c>
      <c r="O46" s="108"/>
      <c r="P46" s="70">
        <v>1129</v>
      </c>
      <c r="Q46" s="70">
        <v>336</v>
      </c>
      <c r="R46" s="70">
        <v>55</v>
      </c>
      <c r="S46" s="70">
        <v>781</v>
      </c>
      <c r="T46" s="108"/>
      <c r="U46" s="64">
        <f>IFERROR(P46/Q46-1,"n/a")</f>
        <v>2.3601190476190474</v>
      </c>
      <c r="V46" s="64">
        <f>IFERROR(P46/R46-1,"n/a")</f>
        <v>19.527272727272727</v>
      </c>
      <c r="W46" s="60">
        <f>IFERROR(P46/S46-1,"n/a")</f>
        <v>0.4455825864276568</v>
      </c>
      <c r="X46" s="89">
        <v>1129</v>
      </c>
      <c r="Y46" s="89">
        <v>336</v>
      </c>
      <c r="Z46" s="84">
        <v>43</v>
      </c>
      <c r="AA46" s="78">
        <v>781</v>
      </c>
      <c r="AB46" s="9"/>
    </row>
    <row r="47" spans="1:28">
      <c r="A47" s="9"/>
      <c r="B47" s="9"/>
      <c r="C47" s="33"/>
      <c r="D47" s="26" t="s">
        <v>11</v>
      </c>
      <c r="E47" s="32"/>
      <c r="F47" s="74">
        <f t="shared" si="8"/>
        <v>297870</v>
      </c>
      <c r="G47" s="74">
        <f t="shared" si="8"/>
        <v>32594</v>
      </c>
      <c r="H47" s="74">
        <f t="shared" si="8"/>
        <v>0</v>
      </c>
      <c r="I47" s="74">
        <f t="shared" si="8"/>
        <v>28535</v>
      </c>
      <c r="J47" s="74">
        <f t="shared" si="8"/>
        <v>117674</v>
      </c>
      <c r="K47" s="64">
        <f>IFERROR(F47/G47-1,"n/a")</f>
        <v>8.1387985518807149</v>
      </c>
      <c r="L47" s="64" t="str">
        <f>IFERROR(F47/H47-1,"n/a")</f>
        <v>n/a</v>
      </c>
      <c r="M47" s="64">
        <f>IFERROR(F47/I47-1,"n/a")</f>
        <v>9.4387594182582788</v>
      </c>
      <c r="N47" s="60">
        <f>IFERROR(F47/J47-1,"n/a")</f>
        <v>1.5313153287897072</v>
      </c>
      <c r="O47" s="109"/>
      <c r="P47" s="70">
        <v>2932981</v>
      </c>
      <c r="Q47" s="70">
        <v>533563</v>
      </c>
      <c r="R47" s="70">
        <v>56442</v>
      </c>
      <c r="S47" s="70">
        <v>2441594</v>
      </c>
      <c r="T47" s="108"/>
      <c r="U47" s="64">
        <f>IFERROR(P47/Q47-1,"n/a")</f>
        <v>4.496972241328578</v>
      </c>
      <c r="V47" s="64">
        <f>IFERROR(P47/R47-1,"n/a")</f>
        <v>50.964512242656177</v>
      </c>
      <c r="W47" s="60">
        <f>IFERROR(P47/S47-1,"n/a")</f>
        <v>0.2012566380815155</v>
      </c>
      <c r="X47" s="82">
        <v>2932981</v>
      </c>
      <c r="Y47" s="82">
        <v>533563</v>
      </c>
      <c r="Z47" s="84">
        <v>140552</v>
      </c>
      <c r="AA47" s="78">
        <v>2441594</v>
      </c>
      <c r="AB47" s="9"/>
    </row>
    <row r="48" spans="1:28">
      <c r="C48" s="31" t="s">
        <v>111</v>
      </c>
      <c r="D48" s="26"/>
      <c r="E48" s="32"/>
      <c r="F48" s="72"/>
      <c r="G48" s="72"/>
      <c r="H48" s="72"/>
      <c r="I48" s="72"/>
      <c r="J48" s="72"/>
      <c r="K48" s="64"/>
      <c r="L48" s="64"/>
      <c r="M48" s="64"/>
      <c r="N48" s="60"/>
      <c r="O48" s="110"/>
      <c r="P48" s="87"/>
      <c r="Q48" s="87"/>
      <c r="R48" s="87"/>
      <c r="S48" s="87"/>
      <c r="T48" s="110"/>
      <c r="U48" s="64"/>
      <c r="V48" s="64"/>
      <c r="W48" s="60"/>
      <c r="X48" s="90"/>
      <c r="Y48" s="90"/>
      <c r="Z48" s="44"/>
      <c r="AA48" s="79"/>
      <c r="AB48" s="9"/>
    </row>
    <row r="49" spans="3:28">
      <c r="C49" s="33"/>
      <c r="D49" s="26" t="s">
        <v>5</v>
      </c>
      <c r="E49" s="32"/>
      <c r="F49" s="74">
        <f t="shared" ref="F49:J50" si="9">F25</f>
        <v>0</v>
      </c>
      <c r="G49" s="74">
        <f t="shared" si="9"/>
        <v>0</v>
      </c>
      <c r="H49" s="74">
        <f t="shared" si="9"/>
        <v>0</v>
      </c>
      <c r="I49" s="74">
        <f t="shared" si="9"/>
        <v>0</v>
      </c>
      <c r="J49" s="74">
        <f t="shared" si="9"/>
        <v>0</v>
      </c>
      <c r="K49" s="64" t="str">
        <f>IFERROR(F49/G49-1,"n/a")</f>
        <v>n/a</v>
      </c>
      <c r="L49" s="64" t="str">
        <f>IFERROR(F49/H49-1,"n/a")</f>
        <v>n/a</v>
      </c>
      <c r="M49" s="64" t="str">
        <f>IFERROR(F49/I49-1,"n/a")</f>
        <v>n/a</v>
      </c>
      <c r="N49" s="60" t="str">
        <f>IFERROR(F49/J49-1,"n/a")</f>
        <v>n/a</v>
      </c>
      <c r="O49" s="108"/>
      <c r="P49" s="70">
        <v>9</v>
      </c>
      <c r="Q49" s="82">
        <v>0</v>
      </c>
      <c r="R49" s="82">
        <v>0</v>
      </c>
      <c r="S49" s="70">
        <v>16</v>
      </c>
      <c r="T49" s="108"/>
      <c r="U49" s="64" t="str">
        <f>IFERROR(P49/Q49-1,"n/a")</f>
        <v>n/a</v>
      </c>
      <c r="V49" s="64" t="str">
        <f>IFERROR(P49/R49-1,"n/a")</f>
        <v>n/a</v>
      </c>
      <c r="W49" s="60">
        <f>IFERROR(P49/S49-1,"n/a")</f>
        <v>-0.4375</v>
      </c>
      <c r="X49" s="89">
        <v>9</v>
      </c>
      <c r="Y49" s="68">
        <v>0</v>
      </c>
      <c r="Z49" s="68">
        <v>0</v>
      </c>
      <c r="AA49" s="78">
        <v>16</v>
      </c>
      <c r="AB49" s="9"/>
    </row>
    <row r="50" spans="3:28">
      <c r="C50" s="33"/>
      <c r="D50" s="26" t="s">
        <v>11</v>
      </c>
      <c r="E50" s="32"/>
      <c r="F50" s="74">
        <f t="shared" si="9"/>
        <v>0</v>
      </c>
      <c r="G50" s="74">
        <f t="shared" si="9"/>
        <v>0</v>
      </c>
      <c r="H50" s="74">
        <f t="shared" si="9"/>
        <v>0</v>
      </c>
      <c r="I50" s="74">
        <f t="shared" si="9"/>
        <v>0</v>
      </c>
      <c r="J50" s="74">
        <f t="shared" si="9"/>
        <v>0</v>
      </c>
      <c r="K50" s="64" t="str">
        <f>IFERROR(F50/G50-1,"n/a")</f>
        <v>n/a</v>
      </c>
      <c r="L50" s="64" t="str">
        <f>IFERROR(F50/H50-1,"n/a")</f>
        <v>n/a</v>
      </c>
      <c r="M50" s="64" t="str">
        <f>IFERROR(F50/I50-1,"n/a")</f>
        <v>n/a</v>
      </c>
      <c r="N50" s="60" t="str">
        <f>IFERROR(F50/J50-1,"n/a")</f>
        <v>n/a</v>
      </c>
      <c r="O50" s="109"/>
      <c r="P50" s="82">
        <v>15637</v>
      </c>
      <c r="Q50" s="82">
        <v>0</v>
      </c>
      <c r="R50" s="82">
        <v>0</v>
      </c>
      <c r="S50" s="82">
        <v>20248</v>
      </c>
      <c r="T50" s="109"/>
      <c r="U50" s="64" t="str">
        <f>IFERROR(P50/Q50-1,"n/a")</f>
        <v>n/a</v>
      </c>
      <c r="V50" s="64" t="str">
        <f>IFERROR(P50/R50-1,"n/a")</f>
        <v>n/a</v>
      </c>
      <c r="W50" s="60">
        <f>IFERROR(P50/S50-1,"n/a")</f>
        <v>-0.22772619517977088</v>
      </c>
      <c r="X50" s="82">
        <v>15637</v>
      </c>
      <c r="Y50" s="68">
        <v>0</v>
      </c>
      <c r="Z50" s="68">
        <v>0</v>
      </c>
      <c r="AA50" s="78">
        <v>20248</v>
      </c>
      <c r="AB50" s="9"/>
    </row>
    <row r="51" spans="3:28" ht="15.75" thickBot="1">
      <c r="C51" s="35" t="s">
        <v>12</v>
      </c>
      <c r="D51" s="36"/>
      <c r="E51" s="37"/>
      <c r="F51" s="75">
        <f t="shared" ref="F51:J52" si="10">F37+F40+F43+F46+F49</f>
        <v>322</v>
      </c>
      <c r="G51" s="75">
        <f t="shared" si="10"/>
        <v>260</v>
      </c>
      <c r="H51" s="75">
        <f t="shared" si="10"/>
        <v>5</v>
      </c>
      <c r="I51" s="75">
        <f t="shared" si="10"/>
        <v>160</v>
      </c>
      <c r="J51" s="75">
        <f t="shared" si="10"/>
        <v>229</v>
      </c>
      <c r="K51" s="66">
        <f>IFERROR(F51/G51-1,"n/a")</f>
        <v>0.2384615384615385</v>
      </c>
      <c r="L51" s="66">
        <f>IFERROR(F51/H51-1,"n/a")</f>
        <v>63.400000000000006</v>
      </c>
      <c r="M51" s="66">
        <f>IFERROR(F51/I51-1,"n/a")</f>
        <v>1.0125000000000002</v>
      </c>
      <c r="N51" s="62">
        <f>IFERROR(F51/J51-1,"n/a")</f>
        <v>0.40611353711790388</v>
      </c>
      <c r="O51" s="46"/>
      <c r="P51" s="75">
        <f t="shared" ref="P51:S52" si="11">P37+P40+P43+P46+P49</f>
        <v>3856</v>
      </c>
      <c r="Q51" s="75">
        <f t="shared" si="11"/>
        <v>1673</v>
      </c>
      <c r="R51" s="75">
        <f t="shared" si="11"/>
        <v>159</v>
      </c>
      <c r="S51" s="75">
        <f t="shared" si="11"/>
        <v>3241</v>
      </c>
      <c r="T51" s="46"/>
      <c r="U51" s="66">
        <f>IFERROR(P51/Q51-1,"n/a")</f>
        <v>1.3048416019127318</v>
      </c>
      <c r="V51" s="66">
        <f>IFERROR(P51/R51-1,"n/a")</f>
        <v>23.251572327044027</v>
      </c>
      <c r="W51" s="62">
        <f>IFERROR(P51/S51-1,"n/a")</f>
        <v>0.18975624807158287</v>
      </c>
      <c r="X51" s="46">
        <f t="shared" ref="X51:X52" si="12">X37+X40+X43+X46+X49</f>
        <v>3856</v>
      </c>
      <c r="Y51" s="46">
        <f t="shared" ref="Y51:AA52" si="13">Y37+Y40+Y43+Y46+Y49</f>
        <v>1673</v>
      </c>
      <c r="Z51" s="46">
        <f t="shared" si="13"/>
        <v>669</v>
      </c>
      <c r="AA51" s="80">
        <f t="shared" si="13"/>
        <v>3241</v>
      </c>
      <c r="AB51" s="9"/>
    </row>
    <row r="52" spans="3:28" ht="16.5" thickTop="1" thickBot="1">
      <c r="C52" s="38" t="s">
        <v>13</v>
      </c>
      <c r="D52" s="39"/>
      <c r="E52" s="40"/>
      <c r="F52" s="76">
        <f t="shared" si="10"/>
        <v>921313</v>
      </c>
      <c r="G52" s="76">
        <f t="shared" si="10"/>
        <v>406067</v>
      </c>
      <c r="H52" s="76">
        <f t="shared" si="10"/>
        <v>4146</v>
      </c>
      <c r="I52" s="76">
        <f t="shared" si="10"/>
        <v>226273</v>
      </c>
      <c r="J52" s="76">
        <f t="shared" si="10"/>
        <v>655947</v>
      </c>
      <c r="K52" s="67">
        <f>IFERROR(F52/G52-1,"n/a")</f>
        <v>1.2688694230262492</v>
      </c>
      <c r="L52" s="67">
        <f>IFERROR(F52/H52-1,"n/a")</f>
        <v>221.21731789676798</v>
      </c>
      <c r="M52" s="67">
        <f>IFERROR(F52/I52-1,"n/a")</f>
        <v>3.071687740030848</v>
      </c>
      <c r="N52" s="63">
        <f>IFERROR(F52/J52-1,"n/a")</f>
        <v>0.40455402646860184</v>
      </c>
      <c r="O52" s="47"/>
      <c r="P52" s="76">
        <f t="shared" si="11"/>
        <v>9237323</v>
      </c>
      <c r="Q52" s="76">
        <f t="shared" si="11"/>
        <v>2410085</v>
      </c>
      <c r="R52" s="76">
        <f t="shared" si="11"/>
        <v>104401</v>
      </c>
      <c r="S52" s="76">
        <f t="shared" si="11"/>
        <v>8638971</v>
      </c>
      <c r="T52" s="47"/>
      <c r="U52" s="67">
        <f>IFERROR(P52/Q52-1,"n/a")</f>
        <v>2.8327789268843215</v>
      </c>
      <c r="V52" s="67">
        <f>IFERROR(P52/R52-1,"n/a")</f>
        <v>87.479257861514739</v>
      </c>
      <c r="W52" s="63">
        <f>IFERROR(P52/S52-1,"n/a")</f>
        <v>6.9261952609865229E-2</v>
      </c>
      <c r="X52" s="47">
        <f t="shared" si="12"/>
        <v>9237323</v>
      </c>
      <c r="Y52" s="47">
        <f t="shared" si="13"/>
        <v>2410085</v>
      </c>
      <c r="Z52" s="47">
        <f t="shared" si="13"/>
        <v>1324261</v>
      </c>
      <c r="AA52" s="81">
        <f t="shared" si="13"/>
        <v>8638971</v>
      </c>
      <c r="AB52" s="9"/>
    </row>
    <row r="53" spans="3:28" ht="15.75" thickTop="1">
      <c r="AB53" s="9"/>
    </row>
    <row r="54" spans="3:28">
      <c r="P54" s="111"/>
      <c r="Q54" s="111"/>
      <c r="R54" s="111"/>
      <c r="S54" s="111"/>
      <c r="AB54" s="9"/>
    </row>
    <row r="55" spans="3:28">
      <c r="P55" s="111"/>
      <c r="Q55" s="111"/>
      <c r="R55" s="111"/>
      <c r="S55" s="111"/>
      <c r="AB55" s="9"/>
    </row>
    <row r="56" spans="3:28" hidden="1">
      <c r="P56" s="111"/>
      <c r="Q56" s="111"/>
      <c r="R56" s="111"/>
      <c r="S56" s="111"/>
      <c r="AB56" s="9"/>
    </row>
    <row r="57" spans="3:28" hidden="1">
      <c r="P57" s="111"/>
      <c r="Q57" s="111"/>
      <c r="R57" s="111"/>
      <c r="S57" s="111"/>
      <c r="AB57" s="9"/>
    </row>
    <row r="58" spans="3:28" hidden="1">
      <c r="AB58" s="9"/>
    </row>
    <row r="59" spans="3:28" hidden="1">
      <c r="AB59" s="9"/>
    </row>
    <row r="60" spans="3:28" hidden="1">
      <c r="AB60" s="9"/>
    </row>
    <row r="61" spans="3:28" ht="15" customHeight="1"/>
    <row r="62" spans="3:28" ht="15" customHeight="1"/>
    <row r="63" spans="3:28" ht="15" customHeight="1"/>
    <row r="64" spans="3:28" ht="15" customHeight="1"/>
    <row r="65" ht="15" customHeight="1"/>
    <row r="66" ht="15" customHeight="1"/>
  </sheetData>
  <mergeCells count="6">
    <mergeCell ref="F9:N9"/>
    <mergeCell ref="O9:W9"/>
    <mergeCell ref="X9:AA9"/>
    <mergeCell ref="F33:N33"/>
    <mergeCell ref="O33:W33"/>
    <mergeCell ref="X33:AA3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66"/>
  <sheetViews>
    <sheetView showGridLines="0" topLeftCell="A32" workbookViewId="0">
      <selection activeCell="G55" sqref="G55"/>
    </sheetView>
  </sheetViews>
  <sheetFormatPr defaultColWidth="0" defaultRowHeight="15" customHeight="1" zeroHeight="1"/>
  <cols>
    <col min="1" max="2" width="4.140625" customWidth="1"/>
    <col min="3" max="3" width="3.85546875" customWidth="1"/>
    <col min="4" max="4" width="8.85546875" customWidth="1"/>
    <col min="5" max="5" width="10.85546875" bestFit="1" customWidth="1"/>
    <col min="6" max="10" width="8.85546875" customWidth="1"/>
    <col min="11" max="14" width="8" customWidth="1"/>
    <col min="15" max="19" width="10.42578125" bestFit="1" customWidth="1"/>
    <col min="20" max="21" width="8.140625" bestFit="1" customWidth="1"/>
    <col min="22" max="22" width="9" bestFit="1" customWidth="1"/>
    <col min="23" max="23" width="7.85546875" customWidth="1"/>
    <col min="24" max="26" width="10.42578125" bestFit="1" customWidth="1"/>
    <col min="27" max="27" width="11.140625" bestFit="1" customWidth="1"/>
    <col min="28" max="28" width="3.42578125" customWidth="1"/>
    <col min="29" max="16384" width="8.85546875" hidden="1"/>
  </cols>
  <sheetData>
    <row r="1" spans="1:28">
      <c r="A1" s="9"/>
      <c r="B1" s="9"/>
      <c r="C1" s="9"/>
      <c r="D1" s="9"/>
      <c r="E1" s="9"/>
      <c r="F1" s="9"/>
      <c r="G1" s="9"/>
      <c r="H1" s="9"/>
      <c r="I1" s="9"/>
      <c r="J1" s="9"/>
      <c r="K1" s="9"/>
      <c r="L1" s="9"/>
      <c r="M1" s="9"/>
      <c r="N1" s="9"/>
      <c r="O1" s="9"/>
      <c r="P1" s="9"/>
      <c r="Q1" s="9"/>
      <c r="R1" s="9"/>
      <c r="S1" s="9"/>
      <c r="T1" s="9"/>
      <c r="U1" s="9"/>
      <c r="V1" s="9"/>
      <c r="W1" s="9"/>
      <c r="X1" s="9"/>
      <c r="Y1" s="9"/>
      <c r="Z1" s="9"/>
      <c r="AA1" s="9"/>
      <c r="AB1" s="9"/>
    </row>
    <row r="2" spans="1:28"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9"/>
    </row>
    <row r="3" spans="1:28">
      <c r="A3" s="9"/>
      <c r="B3" s="10"/>
      <c r="C3" s="24"/>
      <c r="D3" s="24"/>
      <c r="E3" s="24"/>
      <c r="F3" s="24"/>
      <c r="G3" s="24"/>
      <c r="H3" s="24"/>
      <c r="I3" s="24"/>
      <c r="J3" s="24"/>
      <c r="K3" s="24"/>
      <c r="L3" s="24"/>
      <c r="M3" s="24"/>
      <c r="N3" s="24"/>
      <c r="O3" s="24"/>
      <c r="P3" s="24"/>
      <c r="Q3" s="24"/>
      <c r="R3" s="24"/>
      <c r="S3" s="24"/>
      <c r="T3" s="24"/>
      <c r="U3" s="24"/>
      <c r="V3" s="24"/>
      <c r="W3" s="24"/>
      <c r="X3" s="24"/>
      <c r="Y3" s="24"/>
      <c r="Z3" s="24"/>
      <c r="AA3" s="25">
        <v>45028</v>
      </c>
      <c r="AB3" s="9"/>
    </row>
    <row r="4" spans="1:28" ht="15.75">
      <c r="A4" s="9"/>
      <c r="B4" s="11" t="s">
        <v>7</v>
      </c>
      <c r="C4" s="26"/>
      <c r="D4" s="24"/>
      <c r="E4" s="58" t="s">
        <v>105</v>
      </c>
      <c r="F4" s="24"/>
      <c r="G4" s="24"/>
      <c r="H4" s="24"/>
      <c r="I4" s="24"/>
      <c r="J4" s="24"/>
      <c r="K4" s="24"/>
      <c r="L4" s="24"/>
      <c r="M4" s="24"/>
      <c r="N4" s="24"/>
      <c r="O4" s="24"/>
      <c r="P4" s="24"/>
      <c r="Q4" s="24"/>
      <c r="R4" s="24"/>
      <c r="S4" s="24"/>
      <c r="T4" s="24"/>
      <c r="U4" s="24"/>
      <c r="V4" s="24"/>
      <c r="W4" s="24"/>
      <c r="X4" s="24"/>
      <c r="Y4" s="24"/>
      <c r="Z4" s="24"/>
      <c r="AA4" s="24"/>
      <c r="AB4" s="9"/>
    </row>
    <row r="5" spans="1:28">
      <c r="A5" s="9"/>
      <c r="B5" s="10"/>
      <c r="C5" s="24"/>
      <c r="D5" s="24"/>
      <c r="E5" s="24"/>
      <c r="F5" s="24"/>
      <c r="G5" s="24"/>
      <c r="H5" s="24"/>
      <c r="I5" s="24"/>
      <c r="J5" s="24"/>
      <c r="K5" s="24"/>
      <c r="L5" s="24"/>
      <c r="M5" s="24"/>
      <c r="N5" s="24"/>
      <c r="O5" s="24"/>
      <c r="P5" s="24"/>
      <c r="Q5" s="24"/>
      <c r="R5" s="24"/>
      <c r="S5" s="24"/>
      <c r="T5" s="24"/>
      <c r="U5" s="24"/>
      <c r="V5" s="24"/>
      <c r="W5" s="24"/>
      <c r="X5" s="24"/>
      <c r="Y5" s="24"/>
      <c r="Z5" s="24"/>
      <c r="AA5" s="24"/>
      <c r="AB5" s="9"/>
    </row>
    <row r="6" spans="1:28">
      <c r="A6" s="9"/>
      <c r="B6" s="10"/>
      <c r="C6" s="24"/>
      <c r="D6" s="24"/>
      <c r="E6" s="24"/>
      <c r="F6" s="24"/>
      <c r="G6" s="24"/>
      <c r="H6" s="24"/>
      <c r="I6" s="24"/>
      <c r="J6" s="24"/>
      <c r="K6" s="24"/>
      <c r="L6" s="24"/>
      <c r="M6" s="24"/>
      <c r="N6" s="24"/>
      <c r="O6" s="24"/>
      <c r="P6" s="24"/>
      <c r="Q6" s="24"/>
      <c r="R6" s="24"/>
      <c r="S6" s="24"/>
      <c r="T6" s="24"/>
      <c r="U6" s="24"/>
      <c r="V6" s="24"/>
      <c r="W6" s="24"/>
      <c r="X6" s="24"/>
      <c r="Y6" s="24"/>
      <c r="Z6" s="24"/>
      <c r="AA6" s="24"/>
      <c r="AB6" s="9"/>
    </row>
    <row r="7" spans="1:28">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9"/>
    </row>
    <row r="8" spans="1:28">
      <c r="A8" s="9"/>
      <c r="B8" s="10"/>
      <c r="C8" s="24"/>
      <c r="D8" s="24"/>
      <c r="E8" s="24"/>
      <c r="F8" s="24"/>
      <c r="G8" s="24"/>
      <c r="H8" s="24"/>
      <c r="I8" s="24"/>
      <c r="J8" s="24"/>
      <c r="K8" s="24"/>
      <c r="L8" s="24"/>
      <c r="M8" s="24"/>
      <c r="N8" s="24"/>
      <c r="O8" s="24"/>
      <c r="P8" s="24"/>
      <c r="Q8" s="24"/>
      <c r="R8" s="24"/>
      <c r="S8" s="24"/>
      <c r="T8" s="24"/>
      <c r="U8" s="24"/>
      <c r="V8" s="24"/>
      <c r="W8" s="24"/>
      <c r="X8" s="24"/>
      <c r="Y8" s="24"/>
      <c r="Z8" s="24"/>
      <c r="AA8" s="24"/>
      <c r="AB8" s="9"/>
    </row>
    <row r="9" spans="1:28">
      <c r="A9" s="9"/>
      <c r="C9" s="27" t="s">
        <v>7</v>
      </c>
      <c r="D9" s="28"/>
      <c r="E9" s="28"/>
      <c r="F9" s="170" t="s">
        <v>41</v>
      </c>
      <c r="G9" s="170"/>
      <c r="H9" s="170"/>
      <c r="I9" s="170"/>
      <c r="J9" s="170"/>
      <c r="K9" s="170"/>
      <c r="L9" s="170"/>
      <c r="M9" s="170"/>
      <c r="N9" s="171"/>
      <c r="O9" s="169" t="s">
        <v>43</v>
      </c>
      <c r="P9" s="170"/>
      <c r="Q9" s="170"/>
      <c r="R9" s="170"/>
      <c r="S9" s="170"/>
      <c r="T9" s="170"/>
      <c r="U9" s="170"/>
      <c r="V9" s="170"/>
      <c r="W9" s="171"/>
      <c r="X9" s="169" t="s">
        <v>57</v>
      </c>
      <c r="Y9" s="170"/>
      <c r="Z9" s="170"/>
      <c r="AA9" s="172"/>
      <c r="AB9" s="9"/>
    </row>
    <row r="10" spans="1:28"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9"/>
    </row>
    <row r="11" spans="1:28" ht="26.25"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row>
    <row r="12" spans="1:28">
      <c r="A12" s="9"/>
      <c r="B12" s="12"/>
      <c r="C12" s="31" t="s">
        <v>14</v>
      </c>
      <c r="D12" s="26"/>
      <c r="E12" s="32"/>
      <c r="F12" s="26"/>
      <c r="G12" s="26"/>
      <c r="H12" s="26"/>
      <c r="I12" s="26"/>
      <c r="J12" s="26"/>
      <c r="K12" s="26"/>
      <c r="L12" s="26"/>
      <c r="M12" s="26"/>
      <c r="N12" s="32"/>
      <c r="O12" s="26"/>
      <c r="P12" s="26"/>
      <c r="Q12" s="26"/>
      <c r="R12" s="26"/>
      <c r="S12" s="26"/>
      <c r="T12" s="26"/>
      <c r="U12" s="26"/>
      <c r="V12" s="26"/>
      <c r="W12" s="32"/>
      <c r="X12" s="26"/>
      <c r="Y12" s="26"/>
      <c r="Z12" s="26"/>
      <c r="AA12" s="32"/>
      <c r="AB12" s="9"/>
    </row>
    <row r="13" spans="1:28">
      <c r="A13" s="9"/>
      <c r="B13" s="12"/>
      <c r="C13" s="33"/>
      <c r="D13" s="26" t="s">
        <v>5</v>
      </c>
      <c r="E13" s="32"/>
      <c r="F13" s="73">
        <v>57</v>
      </c>
      <c r="G13" s="71">
        <v>74</v>
      </c>
      <c r="H13" s="71">
        <v>0</v>
      </c>
      <c r="I13" s="71">
        <v>29</v>
      </c>
      <c r="J13" s="71">
        <v>62</v>
      </c>
      <c r="K13" s="64">
        <f>IFERROR(F13/G13-1,"n/a")</f>
        <v>-0.22972972972972971</v>
      </c>
      <c r="L13" s="64" t="str">
        <f t="shared" ref="L13:L31" si="0">IFERROR(F13/H13-1,"n/a")</f>
        <v>n/a</v>
      </c>
      <c r="M13" s="64">
        <f>IFERROR(F13/I13-1,"n/a")</f>
        <v>0.96551724137931028</v>
      </c>
      <c r="N13" s="60">
        <f>IFERROR(F13/J13-1,"n/a")</f>
        <v>-8.064516129032262E-2</v>
      </c>
      <c r="O13" s="68">
        <f>F13+'Feb-23'!O13</f>
        <v>186</v>
      </c>
      <c r="P13" s="68">
        <f>G13+'Feb-23'!P13</f>
        <v>197</v>
      </c>
      <c r="Q13" s="68">
        <f>H13+'Feb-23'!Q13</f>
        <v>0</v>
      </c>
      <c r="R13" s="68">
        <f>I13+'Feb-23'!R13</f>
        <v>145</v>
      </c>
      <c r="S13" s="68">
        <f>J13+'Feb-23'!S13</f>
        <v>200</v>
      </c>
      <c r="T13" s="64">
        <f>IFERROR(O13/P13-1,"n/a")</f>
        <v>-5.5837563451776595E-2</v>
      </c>
      <c r="U13" s="64" t="str">
        <f>IFERROR(O13/Q13-1,"n/a")</f>
        <v>n/a</v>
      </c>
      <c r="V13" s="64">
        <f>IFERROR(O13/R13-1,"n/a")</f>
        <v>0.28275862068965507</v>
      </c>
      <c r="W13" s="60">
        <f>IFERROR(O13/S13-1,"n/a")</f>
        <v>-6.9999999999999951E-2</v>
      </c>
      <c r="X13" s="68">
        <v>346</v>
      </c>
      <c r="Y13" s="68">
        <v>111</v>
      </c>
      <c r="Z13" s="70">
        <v>145</v>
      </c>
      <c r="AA13" s="78">
        <v>386</v>
      </c>
      <c r="AB13" s="9"/>
    </row>
    <row r="14" spans="1:28">
      <c r="A14" s="9"/>
      <c r="B14" s="12"/>
      <c r="C14" s="33"/>
      <c r="D14" s="26" t="s">
        <v>11</v>
      </c>
      <c r="E14" s="32"/>
      <c r="F14" s="73">
        <v>109432</v>
      </c>
      <c r="G14" s="71">
        <v>60824</v>
      </c>
      <c r="H14" s="71">
        <v>0</v>
      </c>
      <c r="I14" s="71">
        <v>48626</v>
      </c>
      <c r="J14" s="71">
        <v>108846</v>
      </c>
      <c r="K14" s="64">
        <f>IFERROR(F14/G14-1,"n/a")</f>
        <v>0.79915822701565165</v>
      </c>
      <c r="L14" s="64" t="str">
        <f t="shared" si="0"/>
        <v>n/a</v>
      </c>
      <c r="M14" s="64">
        <f>IFERROR(F14/I14-1,"n/a")</f>
        <v>1.2504832805495001</v>
      </c>
      <c r="N14" s="60">
        <f>IFERROR(F14/J14-1,"n/a")</f>
        <v>5.3837531925839954E-3</v>
      </c>
      <c r="O14" s="68">
        <f>F14+'Feb-23'!O14</f>
        <v>332650</v>
      </c>
      <c r="P14" s="68">
        <f>G14+'Feb-23'!P14</f>
        <v>156328</v>
      </c>
      <c r="Q14" s="68">
        <f>H14+'Feb-23'!Q14</f>
        <v>0</v>
      </c>
      <c r="R14" s="68">
        <f>I14+'Feb-23'!R14</f>
        <v>258885</v>
      </c>
      <c r="S14" s="68">
        <f>J14+'Feb-23'!S14</f>
        <v>385380</v>
      </c>
      <c r="T14" s="64">
        <f>IFERROR(O14/P14-1,"n/a")</f>
        <v>1.127897753441482</v>
      </c>
      <c r="U14" s="64" t="str">
        <f>IFERROR(O14/Q14-1,"n/a")</f>
        <v>n/a</v>
      </c>
      <c r="V14" s="64">
        <f>IFERROR(O14/R14-1,"n/a")</f>
        <v>0.28493346466577818</v>
      </c>
      <c r="W14" s="60">
        <f>IFERROR(O14/S14-1,"n/a")</f>
        <v>-0.13682598993201511</v>
      </c>
      <c r="X14" s="68">
        <v>380182</v>
      </c>
      <c r="Y14" s="68">
        <v>80863</v>
      </c>
      <c r="Z14" s="70">
        <v>258885</v>
      </c>
      <c r="AA14" s="78">
        <v>733296</v>
      </c>
      <c r="AB14" s="9"/>
    </row>
    <row r="15" spans="1:28">
      <c r="A15" s="9"/>
      <c r="B15" s="12"/>
      <c r="C15" s="31" t="s">
        <v>74</v>
      </c>
      <c r="D15" s="26"/>
      <c r="E15" s="32"/>
      <c r="F15" s="97"/>
      <c r="G15" s="26"/>
      <c r="H15" s="26"/>
      <c r="I15" s="26"/>
      <c r="J15" s="26"/>
      <c r="K15" s="64"/>
      <c r="L15" s="64"/>
      <c r="M15" s="64"/>
      <c r="N15" s="61"/>
      <c r="O15" s="87"/>
      <c r="P15" s="87"/>
      <c r="Q15" s="87"/>
      <c r="R15" s="87"/>
      <c r="S15" s="87"/>
      <c r="T15" s="64"/>
      <c r="U15" s="64"/>
      <c r="V15" s="65"/>
      <c r="W15" s="61"/>
      <c r="X15" s="43"/>
      <c r="Y15" s="43"/>
      <c r="Z15" s="44"/>
      <c r="AA15" s="79"/>
      <c r="AB15" s="9"/>
    </row>
    <row r="16" spans="1:28">
      <c r="A16" s="9"/>
      <c r="B16" s="12"/>
      <c r="C16" s="33"/>
      <c r="D16" s="26" t="s">
        <v>5</v>
      </c>
      <c r="E16" s="32"/>
      <c r="F16" s="74">
        <v>37</v>
      </c>
      <c r="G16" s="71">
        <v>24</v>
      </c>
      <c r="H16" s="71">
        <v>0</v>
      </c>
      <c r="I16" s="71">
        <v>10</v>
      </c>
      <c r="J16" s="71">
        <v>44</v>
      </c>
      <c r="K16" s="64">
        <f>IFERROR(F16/G16-1,"n/a")</f>
        <v>0.54166666666666674</v>
      </c>
      <c r="L16" s="64" t="str">
        <f t="shared" si="0"/>
        <v>n/a</v>
      </c>
      <c r="M16" s="64">
        <f>IFERROR(F16/I16-1,"n/a")</f>
        <v>2.7</v>
      </c>
      <c r="N16" s="60">
        <f>IFERROR(F16/J16-1,"n/a")</f>
        <v>-0.15909090909090906</v>
      </c>
      <c r="O16" s="68">
        <f>F16+'Feb-23'!O16</f>
        <v>77</v>
      </c>
      <c r="P16" s="68">
        <f>G16+'Feb-23'!P16</f>
        <v>53</v>
      </c>
      <c r="Q16" s="68">
        <f>H16+'Feb-23'!Q16</f>
        <v>0</v>
      </c>
      <c r="R16" s="68">
        <f>I16+'Feb-23'!R16</f>
        <v>43</v>
      </c>
      <c r="S16" s="68">
        <f>J16+'Feb-23'!S16</f>
        <v>89</v>
      </c>
      <c r="T16" s="64">
        <f>IFERROR(O16/P16-1,"n/a")</f>
        <v>0.45283018867924518</v>
      </c>
      <c r="U16" s="64" t="str">
        <f>IFERROR(O16/Q16-1,"n/a")</f>
        <v>n/a</v>
      </c>
      <c r="V16" s="64">
        <f>IFERROR(O16/R16-1,"n/a")</f>
        <v>0.79069767441860472</v>
      </c>
      <c r="W16" s="60">
        <f>IFERROR(O16/S16-1,"n/a")</f>
        <v>-0.1348314606741573</v>
      </c>
      <c r="X16" s="68">
        <v>778</v>
      </c>
      <c r="Y16" s="68">
        <v>283</v>
      </c>
      <c r="Z16" s="70">
        <v>43</v>
      </c>
      <c r="AA16" s="78">
        <v>827</v>
      </c>
      <c r="AB16" s="9"/>
    </row>
    <row r="17" spans="1:28">
      <c r="A17" s="9"/>
      <c r="B17" s="12"/>
      <c r="C17" s="33"/>
      <c r="D17" s="26" t="s">
        <v>11</v>
      </c>
      <c r="E17" s="32"/>
      <c r="F17" s="74">
        <v>105059</v>
      </c>
      <c r="G17" s="71">
        <v>32594</v>
      </c>
      <c r="H17" s="71">
        <v>0</v>
      </c>
      <c r="I17" s="71">
        <v>28535</v>
      </c>
      <c r="J17" s="71">
        <v>117674</v>
      </c>
      <c r="K17" s="64">
        <f>IFERROR(F17/G17-1,"n/a")</f>
        <v>2.2232619500521569</v>
      </c>
      <c r="L17" s="64" t="str">
        <f t="shared" si="0"/>
        <v>n/a</v>
      </c>
      <c r="M17" s="64">
        <f>IFERROR(F17/I17-1,"n/a")</f>
        <v>2.6817592430348696</v>
      </c>
      <c r="N17" s="60">
        <f>IFERROR(F17/J17-1,"n/a")</f>
        <v>-0.10720295052432993</v>
      </c>
      <c r="O17" s="68">
        <f>F17+'Feb-23'!O17</f>
        <v>242497</v>
      </c>
      <c r="P17" s="68">
        <f>G17+'Feb-23'!P17</f>
        <v>68454</v>
      </c>
      <c r="Q17" s="68">
        <f>H17+'Feb-23'!Q17</f>
        <v>0</v>
      </c>
      <c r="R17" s="68">
        <f>I17+'Feb-23'!R17</f>
        <v>140552</v>
      </c>
      <c r="S17" s="68">
        <f>J17+'Feb-23'!S17</f>
        <v>251900</v>
      </c>
      <c r="T17" s="64">
        <f>IFERROR(O17/P17-1,"n/a")</f>
        <v>2.542481082186578</v>
      </c>
      <c r="U17" s="64" t="str">
        <f>IFERROR(O17/Q17-1,"n/a")</f>
        <v>n/a</v>
      </c>
      <c r="V17" s="64">
        <f>IFERROR(O17/R17-1,"n/a")</f>
        <v>0.72531874324093581</v>
      </c>
      <c r="W17" s="60">
        <f>IFERROR(O17/S17-1,"n/a")</f>
        <v>-3.7328304882890073E-2</v>
      </c>
      <c r="X17" s="68">
        <v>1843624</v>
      </c>
      <c r="Y17" s="68">
        <v>465109</v>
      </c>
      <c r="Z17" s="70">
        <v>140552</v>
      </c>
      <c r="AA17" s="78">
        <v>2552942</v>
      </c>
      <c r="AB17" s="9"/>
    </row>
    <row r="18" spans="1:28">
      <c r="A18" s="9"/>
      <c r="B18" s="12"/>
      <c r="C18" s="31" t="s">
        <v>15</v>
      </c>
      <c r="D18" s="26"/>
      <c r="E18" s="32"/>
      <c r="F18" s="72"/>
      <c r="G18" s="72"/>
      <c r="H18" s="72"/>
      <c r="I18" s="72"/>
      <c r="J18" s="72"/>
      <c r="K18" s="64"/>
      <c r="L18" s="64"/>
      <c r="M18" s="64"/>
      <c r="N18" s="60"/>
      <c r="O18" s="87"/>
      <c r="P18" s="87"/>
      <c r="Q18" s="87"/>
      <c r="R18" s="87"/>
      <c r="S18" s="87"/>
      <c r="T18" s="64"/>
      <c r="U18" s="64"/>
      <c r="V18" s="64"/>
      <c r="W18" s="60"/>
      <c r="X18" s="43"/>
      <c r="Y18" s="43"/>
      <c r="Z18" s="44"/>
      <c r="AA18" s="79"/>
      <c r="AB18" s="9"/>
    </row>
    <row r="19" spans="1:28">
      <c r="A19" s="9"/>
      <c r="B19" s="12"/>
      <c r="C19" s="33"/>
      <c r="D19" s="26" t="s">
        <v>5</v>
      </c>
      <c r="E19" s="32"/>
      <c r="F19" s="73">
        <v>15</v>
      </c>
      <c r="G19" s="71">
        <v>5</v>
      </c>
      <c r="H19" s="71">
        <v>0</v>
      </c>
      <c r="I19" s="71">
        <v>2</v>
      </c>
      <c r="J19" s="71">
        <v>5</v>
      </c>
      <c r="K19" s="64">
        <f>IFERROR(F19/G19-1,"n/a")</f>
        <v>2</v>
      </c>
      <c r="L19" s="64" t="str">
        <f t="shared" si="0"/>
        <v>n/a</v>
      </c>
      <c r="M19" s="64">
        <f>IFERROR(F19/I19-1,"n/a")</f>
        <v>6.5</v>
      </c>
      <c r="N19" s="60">
        <f>IFERROR(F19/J19-1,"n/a")</f>
        <v>2</v>
      </c>
      <c r="O19" s="68">
        <f>F19+'Feb-23'!O19</f>
        <v>21</v>
      </c>
      <c r="P19" s="68">
        <f>G19+'Feb-23'!P19</f>
        <v>10</v>
      </c>
      <c r="Q19" s="68">
        <f>H19+'Feb-23'!Q19</f>
        <v>0</v>
      </c>
      <c r="R19" s="68">
        <f>I19+'Feb-23'!R19</f>
        <v>3</v>
      </c>
      <c r="S19" s="68">
        <f>J19+'Feb-23'!S19</f>
        <v>6</v>
      </c>
      <c r="T19" s="64">
        <f>IFERROR(O19/P19-1,"n/a")</f>
        <v>1.1000000000000001</v>
      </c>
      <c r="U19" s="64" t="str">
        <f>IFERROR(O19/Q19-1,"n/a")</f>
        <v>n/a</v>
      </c>
      <c r="V19" s="64">
        <f>IFERROR(O19/R19-1,"n/a")</f>
        <v>6</v>
      </c>
      <c r="W19" s="60">
        <f>IFERROR(O19/S19-1,"n/a")</f>
        <v>2.5</v>
      </c>
      <c r="X19" s="68">
        <v>475</v>
      </c>
      <c r="Y19" s="68">
        <v>23</v>
      </c>
      <c r="Z19" s="70">
        <v>4</v>
      </c>
      <c r="AA19" s="78">
        <v>191</v>
      </c>
      <c r="AB19" s="9"/>
    </row>
    <row r="20" spans="1:28">
      <c r="A20" s="9"/>
      <c r="B20" s="12"/>
      <c r="C20" s="33"/>
      <c r="D20" s="26" t="s">
        <v>11</v>
      </c>
      <c r="E20" s="32"/>
      <c r="F20" s="73">
        <v>14659</v>
      </c>
      <c r="G20" s="71">
        <v>364</v>
      </c>
      <c r="H20" s="71">
        <v>0</v>
      </c>
      <c r="I20" s="71">
        <v>887</v>
      </c>
      <c r="J20" s="71">
        <v>4555</v>
      </c>
      <c r="K20" s="64">
        <f>IFERROR(F20/G20-1,"n/a")</f>
        <v>39.271978021978022</v>
      </c>
      <c r="L20" s="64" t="str">
        <f t="shared" si="0"/>
        <v>n/a</v>
      </c>
      <c r="M20" s="64">
        <f>IFERROR(F20/I20-1,"n/a")</f>
        <v>15.526493799323564</v>
      </c>
      <c r="N20" s="60">
        <f t="shared" ref="N20:N31" si="1">IFERROR(F20/J20-1,"n/a")</f>
        <v>2.2182217343578485</v>
      </c>
      <c r="O20" s="68">
        <f>F20+'Feb-23'!O20</f>
        <v>19654</v>
      </c>
      <c r="P20" s="68">
        <f>G20+'Feb-23'!P20</f>
        <v>1472</v>
      </c>
      <c r="Q20" s="68">
        <f>H20+'Feb-23'!Q20</f>
        <v>0</v>
      </c>
      <c r="R20" s="68">
        <f>I20+'Feb-23'!R20</f>
        <v>1710</v>
      </c>
      <c r="S20" s="68">
        <f>J20+'Feb-23'!S20</f>
        <v>5138</v>
      </c>
      <c r="T20" s="64">
        <f>IFERROR(O20/P20-1,"n/a")</f>
        <v>12.351902173913043</v>
      </c>
      <c r="U20" s="64" t="str">
        <f>IFERROR(O20/Q20-1,"n/a")</f>
        <v>n/a</v>
      </c>
      <c r="V20" s="64">
        <f>IFERROR(O20/R20-1,"n/a")</f>
        <v>10.493567251461988</v>
      </c>
      <c r="W20" s="60">
        <f>IFERROR(O20/S20-1,"n/a")</f>
        <v>2.8252238224990269</v>
      </c>
      <c r="X20" s="68">
        <v>561984</v>
      </c>
      <c r="Y20" s="68">
        <v>8611</v>
      </c>
      <c r="Z20" s="70">
        <v>1753</v>
      </c>
      <c r="AA20" s="78">
        <v>254421</v>
      </c>
      <c r="AB20" s="9"/>
    </row>
    <row r="21" spans="1:28">
      <c r="A21" s="9"/>
      <c r="B21" s="12"/>
      <c r="C21" s="31" t="s">
        <v>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9"/>
    </row>
    <row r="22" spans="1:28">
      <c r="A22" s="9"/>
      <c r="B22" s="12"/>
      <c r="C22" s="33"/>
      <c r="D22" s="26" t="s">
        <v>5</v>
      </c>
      <c r="E22" s="34"/>
      <c r="F22" s="74">
        <v>124</v>
      </c>
      <c r="G22" s="71">
        <v>130</v>
      </c>
      <c r="H22" s="71">
        <v>0</v>
      </c>
      <c r="I22" s="71">
        <v>118</v>
      </c>
      <c r="J22" s="71">
        <v>108</v>
      </c>
      <c r="K22" s="64">
        <f>IFERROR(F22/G22-1,"n/a")</f>
        <v>-4.6153846153846101E-2</v>
      </c>
      <c r="L22" s="64" t="str">
        <f t="shared" si="0"/>
        <v>n/a</v>
      </c>
      <c r="M22" s="64">
        <f>IFERROR(F22/I22-1,"n/a")</f>
        <v>5.0847457627118731E-2</v>
      </c>
      <c r="N22" s="60">
        <f t="shared" si="1"/>
        <v>0.14814814814814814</v>
      </c>
      <c r="O22" s="68">
        <f>F22+'Feb-23'!O22</f>
        <v>344</v>
      </c>
      <c r="P22" s="68">
        <f>G22+'Feb-23'!P22</f>
        <v>333</v>
      </c>
      <c r="Q22" s="68">
        <f>H22+'Feb-23'!Q22</f>
        <v>0</v>
      </c>
      <c r="R22" s="68">
        <f>I22+'Feb-23'!R22</f>
        <v>364</v>
      </c>
      <c r="S22" s="68">
        <f>J22+'Feb-23'!S22</f>
        <v>316</v>
      </c>
      <c r="T22" s="64">
        <f>IFERROR(O22/P22-1,"n/a")</f>
        <v>3.3033033033033066E-2</v>
      </c>
      <c r="U22" s="64" t="str">
        <f>IFERROR(O22/Q22-1,"n/a")</f>
        <v>n/a</v>
      </c>
      <c r="V22" s="64">
        <f>IFERROR(O22/R22-1,"n/a")</f>
        <v>-5.4945054945054972E-2</v>
      </c>
      <c r="W22" s="60">
        <f>IFERROR(O22/S22-1,"n/a")</f>
        <v>8.8607594936708889E-2</v>
      </c>
      <c r="X22" s="68">
        <v>1140</v>
      </c>
      <c r="Y22" s="68">
        <v>411</v>
      </c>
      <c r="Z22" s="70">
        <v>406</v>
      </c>
      <c r="AA22" s="78">
        <v>1205</v>
      </c>
      <c r="AB22" s="9"/>
    </row>
    <row r="23" spans="1:28">
      <c r="A23" s="9"/>
      <c r="B23" s="12"/>
      <c r="C23" s="33"/>
      <c r="D23" s="26" t="s">
        <v>11</v>
      </c>
      <c r="E23" s="32"/>
      <c r="F23" s="73">
        <v>456142</v>
      </c>
      <c r="G23" s="71">
        <v>283677</v>
      </c>
      <c r="H23" s="71">
        <v>0</v>
      </c>
      <c r="I23" s="71">
        <v>147660</v>
      </c>
      <c r="J23" s="71">
        <v>391750</v>
      </c>
      <c r="K23" s="64">
        <f>IFERROR(F23/G23-1,"n/a")</f>
        <v>0.60796257715641389</v>
      </c>
      <c r="L23" s="64" t="str">
        <f t="shared" si="0"/>
        <v>n/a</v>
      </c>
      <c r="M23" s="64">
        <f>IFERROR(F23/I23-1,"n/a")</f>
        <v>2.0891372070973859</v>
      </c>
      <c r="N23" s="60">
        <f t="shared" si="1"/>
        <v>0.16437013401403955</v>
      </c>
      <c r="O23" s="68">
        <f>F23+'Feb-23'!O23</f>
        <v>1205534</v>
      </c>
      <c r="P23" s="68">
        <f>G23+'Feb-23'!P23</f>
        <v>603330</v>
      </c>
      <c r="Q23" s="68">
        <f>H23+'Feb-23'!Q23</f>
        <v>0</v>
      </c>
      <c r="R23" s="68">
        <f>I23+'Feb-23'!R23</f>
        <v>833999</v>
      </c>
      <c r="S23" s="68">
        <f>J23+'Feb-23'!S23</f>
        <v>1065724</v>
      </c>
      <c r="T23" s="64">
        <f>IFERROR(O23/P23-1,"n/a")</f>
        <v>0.99813369134636099</v>
      </c>
      <c r="U23" s="64" t="str">
        <f>IFERROR(O23/Q23-1,"n/a")</f>
        <v>n/a</v>
      </c>
      <c r="V23" s="64">
        <f>IFERROR(O23/R23-1,"n/a")</f>
        <v>0.4454861456668413</v>
      </c>
      <c r="W23" s="60">
        <f>IFERROR(O23/S23-1,"n/a")</f>
        <v>0.13118781222905751</v>
      </c>
      <c r="X23" s="68">
        <v>3212646</v>
      </c>
      <c r="Y23" s="68">
        <v>687449</v>
      </c>
      <c r="Z23" s="70">
        <v>833999</v>
      </c>
      <c r="AA23" s="78">
        <v>3859183</v>
      </c>
      <c r="AB23" s="9"/>
    </row>
    <row r="24" spans="1:28">
      <c r="A24" s="9"/>
      <c r="B24" s="12"/>
      <c r="C24" s="31" t="s">
        <v>16</v>
      </c>
      <c r="D24" s="26"/>
      <c r="E24" s="32"/>
      <c r="F24" s="72"/>
      <c r="G24" s="72"/>
      <c r="H24" s="72"/>
      <c r="I24" s="72"/>
      <c r="J24" s="72"/>
      <c r="K24" s="64"/>
      <c r="L24" s="64"/>
      <c r="M24" s="64"/>
      <c r="N24" s="60"/>
      <c r="O24" s="87"/>
      <c r="P24" s="87"/>
      <c r="Q24" s="87"/>
      <c r="R24" s="87"/>
      <c r="S24" s="87"/>
      <c r="T24" s="64"/>
      <c r="U24" s="64"/>
      <c r="V24" s="64"/>
      <c r="W24" s="60"/>
      <c r="X24" s="43"/>
      <c r="Y24" s="43"/>
      <c r="Z24" s="44"/>
      <c r="AA24" s="79"/>
      <c r="AB24" s="9"/>
    </row>
    <row r="25" spans="1:28">
      <c r="A25" s="9"/>
      <c r="B25" s="12"/>
      <c r="C25" s="33"/>
      <c r="D25" s="26" t="s">
        <v>5</v>
      </c>
      <c r="E25" s="32"/>
      <c r="F25" s="73">
        <v>11</v>
      </c>
      <c r="G25" s="71">
        <v>14</v>
      </c>
      <c r="H25" s="71">
        <v>4</v>
      </c>
      <c r="I25" s="71">
        <v>1</v>
      </c>
      <c r="J25" s="71">
        <v>9</v>
      </c>
      <c r="K25" s="64">
        <f>IFERROR(F25/G25-1,"n/a")</f>
        <v>-0.2142857142857143</v>
      </c>
      <c r="L25" s="64">
        <f t="shared" si="0"/>
        <v>1.75</v>
      </c>
      <c r="M25" s="64">
        <f>IFERROR(F25/I25-1,"n/a")</f>
        <v>10</v>
      </c>
      <c r="N25" s="60">
        <f t="shared" si="1"/>
        <v>0.22222222222222232</v>
      </c>
      <c r="O25" s="68">
        <f>F25+'Feb-23'!O25</f>
        <v>20</v>
      </c>
      <c r="P25" s="68">
        <f>G25+'Feb-23'!P25</f>
        <v>23</v>
      </c>
      <c r="Q25" s="68">
        <f>H25+'Feb-23'!Q25</f>
        <v>9</v>
      </c>
      <c r="R25" s="68">
        <f>I25+'Feb-23'!R25</f>
        <v>9</v>
      </c>
      <c r="S25" s="68">
        <f>J25+'Feb-23'!S25</f>
        <v>20</v>
      </c>
      <c r="T25" s="64">
        <f>IFERROR(O25/P25-1,"n/a")</f>
        <v>-0.13043478260869568</v>
      </c>
      <c r="U25" s="64">
        <f>IFERROR(O25/Q25-1,"n/a")</f>
        <v>1.2222222222222223</v>
      </c>
      <c r="V25" s="64">
        <f>IFERROR(O25/R25-1,"n/a")</f>
        <v>1.2222222222222223</v>
      </c>
      <c r="W25" s="60">
        <f>IFERROR(O25/S25-1,"n/a")</f>
        <v>0</v>
      </c>
      <c r="X25" s="68">
        <v>283</v>
      </c>
      <c r="Y25" s="68">
        <v>107</v>
      </c>
      <c r="Z25" s="70">
        <v>32</v>
      </c>
      <c r="AA25" s="78">
        <v>372</v>
      </c>
      <c r="AB25" s="9"/>
    </row>
    <row r="26" spans="1:28">
      <c r="A26" s="9"/>
      <c r="B26" s="12"/>
      <c r="C26" s="33"/>
      <c r="D26" s="26" t="s">
        <v>11</v>
      </c>
      <c r="E26" s="32"/>
      <c r="F26" s="73">
        <v>35490</v>
      </c>
      <c r="G26" s="71">
        <v>19157</v>
      </c>
      <c r="H26" s="71">
        <v>3290</v>
      </c>
      <c r="I26" s="71">
        <v>565</v>
      </c>
      <c r="J26" s="71">
        <v>31670</v>
      </c>
      <c r="K26" s="64">
        <f>IFERROR(F26/G26-1,"n/a")</f>
        <v>0.85258652189800066</v>
      </c>
      <c r="L26" s="64">
        <f t="shared" si="0"/>
        <v>9.787234042553191</v>
      </c>
      <c r="M26" s="64">
        <f>IFERROR(F26/I26-1,"n/a")</f>
        <v>61.814159292035399</v>
      </c>
      <c r="N26" s="60">
        <f t="shared" si="1"/>
        <v>0.12061888222292394</v>
      </c>
      <c r="O26" s="68">
        <f>F26+'Feb-23'!O26</f>
        <v>72219</v>
      </c>
      <c r="P26" s="68">
        <f>G26+'Feb-23'!P26</f>
        <v>26521</v>
      </c>
      <c r="Q26" s="68">
        <f>H26+'Feb-23'!Q26</f>
        <v>7964</v>
      </c>
      <c r="R26" s="68">
        <f>I26+'Feb-23'!R26</f>
        <v>40221</v>
      </c>
      <c r="S26" s="68">
        <f>J26+'Feb-23'!S26</f>
        <v>76275</v>
      </c>
      <c r="T26" s="64">
        <f>IFERROR(O26/P26-1,"n/a")</f>
        <v>1.7230873647298366</v>
      </c>
      <c r="U26" s="64">
        <f>IFERROR(O26/Q26-1,"n/a")</f>
        <v>8.0681818181818183</v>
      </c>
      <c r="V26" s="64">
        <f>IFERROR(O26/R26-1,"n/a")</f>
        <v>0.79555456105019773</v>
      </c>
      <c r="W26" s="60">
        <f>IFERROR(O26/S26-1,"n/a")</f>
        <v>-5.31760078662733E-2</v>
      </c>
      <c r="X26" s="68">
        <v>530405</v>
      </c>
      <c r="Y26" s="68">
        <v>147132</v>
      </c>
      <c r="Z26" s="70">
        <v>59180</v>
      </c>
      <c r="AA26" s="78">
        <v>902015</v>
      </c>
      <c r="AB26" s="9"/>
    </row>
    <row r="27" spans="1:28">
      <c r="A27" s="9"/>
      <c r="B27" s="12"/>
      <c r="C27" s="31" t="s">
        <v>17</v>
      </c>
      <c r="D27" s="26"/>
      <c r="E27" s="32"/>
      <c r="F27" s="72"/>
      <c r="G27" s="72"/>
      <c r="H27" s="72"/>
      <c r="I27" s="72"/>
      <c r="J27" s="72"/>
      <c r="K27" s="64"/>
      <c r="L27" s="64"/>
      <c r="M27" s="64"/>
      <c r="N27" s="60"/>
      <c r="O27" s="87"/>
      <c r="P27" s="87"/>
      <c r="Q27" s="87"/>
      <c r="R27" s="87"/>
      <c r="S27" s="87"/>
      <c r="T27" s="64"/>
      <c r="U27" s="64"/>
      <c r="V27" s="64"/>
      <c r="W27" s="60"/>
      <c r="X27" s="43"/>
      <c r="Y27" s="43"/>
      <c r="Z27" s="44"/>
      <c r="AA27" s="79"/>
      <c r="AB27" s="9"/>
    </row>
    <row r="28" spans="1:28">
      <c r="B28" s="12"/>
      <c r="C28" s="33"/>
      <c r="D28" s="26" t="s">
        <v>5</v>
      </c>
      <c r="E28" s="32"/>
      <c r="F28" s="74">
        <v>78</v>
      </c>
      <c r="G28" s="71">
        <v>13</v>
      </c>
      <c r="H28" s="71">
        <v>1</v>
      </c>
      <c r="I28" s="71">
        <v>0</v>
      </c>
      <c r="J28" s="71">
        <v>1</v>
      </c>
      <c r="K28" s="64">
        <f>IFERROR(F28/G28-1,"n/a")</f>
        <v>5</v>
      </c>
      <c r="L28" s="64">
        <f t="shared" si="0"/>
        <v>77</v>
      </c>
      <c r="M28" s="64" t="str">
        <f>IFERROR(F28/I28-1,"n/a")</f>
        <v>n/a</v>
      </c>
      <c r="N28" s="60">
        <f t="shared" si="1"/>
        <v>77</v>
      </c>
      <c r="O28" s="68">
        <f>F28+'Feb-23'!O28</f>
        <v>219</v>
      </c>
      <c r="P28" s="68">
        <f>G28+'Feb-23'!P28</f>
        <v>14</v>
      </c>
      <c r="Q28" s="68">
        <f>H28+'Feb-23'!Q28</f>
        <v>3</v>
      </c>
      <c r="R28" s="68">
        <f>I28+'Feb-23'!R28</f>
        <v>1</v>
      </c>
      <c r="S28" s="68">
        <f>J28+'Feb-23'!S28</f>
        <v>4</v>
      </c>
      <c r="T28" s="64">
        <f>IFERROR(O28/P28-1,"n/a")</f>
        <v>14.642857142857142</v>
      </c>
      <c r="U28" s="64">
        <f>IFERROR(O28/Q28-1,"n/a")</f>
        <v>72</v>
      </c>
      <c r="V28" s="64">
        <f>IFERROR(O28/R28-1,"n/a")</f>
        <v>218</v>
      </c>
      <c r="W28" s="60">
        <f>IFERROR(O28/S28-1,"n/a")</f>
        <v>53.75</v>
      </c>
      <c r="X28" s="68">
        <v>605</v>
      </c>
      <c r="Y28" s="68">
        <v>127</v>
      </c>
      <c r="Z28" s="70">
        <v>37</v>
      </c>
      <c r="AA28" s="78">
        <f>282+81</f>
        <v>363</v>
      </c>
      <c r="AB28" s="9"/>
    </row>
    <row r="29" spans="1:28">
      <c r="A29" s="9"/>
      <c r="B29" s="12"/>
      <c r="C29" s="33"/>
      <c r="D29" s="26" t="s">
        <v>11</v>
      </c>
      <c r="E29" s="32"/>
      <c r="F29" s="74">
        <v>200531</v>
      </c>
      <c r="G29" s="71">
        <v>10202</v>
      </c>
      <c r="H29" s="71">
        <v>856</v>
      </c>
      <c r="I29" s="71">
        <v>0</v>
      </c>
      <c r="J29" s="71">
        <v>1452</v>
      </c>
      <c r="K29" s="64">
        <f>IFERROR(F29/G29-1,"n/a")</f>
        <v>18.656047833758088</v>
      </c>
      <c r="L29" s="64">
        <f t="shared" si="0"/>
        <v>233.26518691588785</v>
      </c>
      <c r="M29" s="64" t="str">
        <f>IFERROR(F29/I29-1,"n/a")</f>
        <v>n/a</v>
      </c>
      <c r="N29" s="60">
        <f t="shared" si="1"/>
        <v>137.10674931129478</v>
      </c>
      <c r="O29" s="68">
        <f>F29+'Feb-23'!O29</f>
        <v>605805</v>
      </c>
      <c r="P29" s="68">
        <f>G29+'Feb-23'!P29</f>
        <v>12185</v>
      </c>
      <c r="Q29" s="68">
        <f>H29+'Feb-23'!Q29</f>
        <v>2139</v>
      </c>
      <c r="R29" s="68">
        <f>I29+'Feb-23'!R29</f>
        <v>892</v>
      </c>
      <c r="S29" s="68">
        <f>J29+'Feb-23'!S29</f>
        <v>6109</v>
      </c>
      <c r="T29" s="64">
        <f>IFERROR(O29/P29-1,"n/a")</f>
        <v>48.717275338530982</v>
      </c>
      <c r="U29" s="64">
        <f>IFERROR(O29/Q29-1,"n/a")</f>
        <v>282.21879382889199</v>
      </c>
      <c r="V29" s="64">
        <f>IFERROR(O29/R29-1,"n/a")</f>
        <v>678.15358744394621</v>
      </c>
      <c r="W29" s="60">
        <f>IFERROR(O29/S29-1,"n/a")</f>
        <v>98.165984612866268</v>
      </c>
      <c r="X29" s="68">
        <v>1098243</v>
      </c>
      <c r="Y29" s="68">
        <v>165083</v>
      </c>
      <c r="Z29" s="70">
        <f>20768+8294</f>
        <v>29062</v>
      </c>
      <c r="AA29" s="78">
        <f>659951+168729+38484</f>
        <v>867164</v>
      </c>
      <c r="AB29" s="9"/>
    </row>
    <row r="30" spans="1:28" ht="15.75" thickBot="1">
      <c r="A30" s="9"/>
      <c r="B30" s="12"/>
      <c r="C30" s="35" t="s">
        <v>12</v>
      </c>
      <c r="D30" s="36"/>
      <c r="E30" s="37"/>
      <c r="F30" s="75">
        <f t="shared" ref="F30:J31" si="2">F13+F16+F19+F22+F25+F28</f>
        <v>322</v>
      </c>
      <c r="G30" s="75">
        <f t="shared" si="2"/>
        <v>260</v>
      </c>
      <c r="H30" s="75">
        <f>H13+H16+H19+H22+H25+H28</f>
        <v>5</v>
      </c>
      <c r="I30" s="75">
        <f t="shared" si="2"/>
        <v>160</v>
      </c>
      <c r="J30" s="75">
        <f t="shared" si="2"/>
        <v>229</v>
      </c>
      <c r="K30" s="66">
        <f>IFERROR(F30/G30-1,"n/a")</f>
        <v>0.2384615384615385</v>
      </c>
      <c r="L30" s="66">
        <f t="shared" si="0"/>
        <v>63.400000000000006</v>
      </c>
      <c r="M30" s="66">
        <f>IFERROR(F30/I30-1,"n/a")</f>
        <v>1.0125000000000002</v>
      </c>
      <c r="N30" s="62">
        <f t="shared" si="1"/>
        <v>0.40611353711790388</v>
      </c>
      <c r="O30" s="46">
        <f t="shared" ref="O30:S31" si="3">O13+O16+O19+O22+O25+O28</f>
        <v>867</v>
      </c>
      <c r="P30" s="46">
        <f t="shared" si="3"/>
        <v>630</v>
      </c>
      <c r="Q30" s="46">
        <f t="shared" si="3"/>
        <v>12</v>
      </c>
      <c r="R30" s="46">
        <f t="shared" si="3"/>
        <v>565</v>
      </c>
      <c r="S30" s="46">
        <f t="shared" si="3"/>
        <v>635</v>
      </c>
      <c r="T30" s="66">
        <f>IFERROR(O30/P30-1,"n/a")</f>
        <v>0.37619047619047619</v>
      </c>
      <c r="U30" s="66">
        <f>IFERROR(O30/Q30-1,"n/a")</f>
        <v>71.25</v>
      </c>
      <c r="V30" s="66">
        <f>IFERROR(O30/R30-1,"n/a")</f>
        <v>0.53451327433628326</v>
      </c>
      <c r="W30" s="62">
        <f>IFERROR(O30/S30-1,"n/a")</f>
        <v>0.36535433070866152</v>
      </c>
      <c r="X30" s="46">
        <f t="shared" ref="X30:AA31" si="4">X13+X16+X19+X22+X25+X28</f>
        <v>3627</v>
      </c>
      <c r="Y30" s="46">
        <f t="shared" si="4"/>
        <v>1062</v>
      </c>
      <c r="Z30" s="46">
        <f t="shared" si="4"/>
        <v>667</v>
      </c>
      <c r="AA30" s="80">
        <f t="shared" si="4"/>
        <v>3344</v>
      </c>
      <c r="AB30" s="9"/>
    </row>
    <row r="31" spans="1:28" ht="16.5" thickTop="1" thickBot="1">
      <c r="A31" s="9"/>
      <c r="B31" s="12"/>
      <c r="C31" s="38" t="s">
        <v>13</v>
      </c>
      <c r="D31" s="39"/>
      <c r="E31" s="40"/>
      <c r="F31" s="76">
        <f t="shared" si="2"/>
        <v>921313</v>
      </c>
      <c r="G31" s="76">
        <f t="shared" si="2"/>
        <v>406818</v>
      </c>
      <c r="H31" s="76">
        <f t="shared" si="2"/>
        <v>4146</v>
      </c>
      <c r="I31" s="76">
        <f t="shared" si="2"/>
        <v>226273</v>
      </c>
      <c r="J31" s="76">
        <f t="shared" si="2"/>
        <v>655947</v>
      </c>
      <c r="K31" s="67">
        <f>IFERROR(F31/G31-1,"n/a")</f>
        <v>1.2646810121479386</v>
      </c>
      <c r="L31" s="67">
        <f t="shared" si="0"/>
        <v>221.21731789676798</v>
      </c>
      <c r="M31" s="67">
        <f>IFERROR(F31/I31-1,"n/a")</f>
        <v>3.071687740030848</v>
      </c>
      <c r="N31" s="63">
        <f t="shared" si="1"/>
        <v>0.40455402646860184</v>
      </c>
      <c r="O31" s="47">
        <f t="shared" si="3"/>
        <v>2478359</v>
      </c>
      <c r="P31" s="47">
        <f t="shared" si="3"/>
        <v>868290</v>
      </c>
      <c r="Q31" s="47">
        <f t="shared" si="3"/>
        <v>10103</v>
      </c>
      <c r="R31" s="47">
        <f t="shared" si="3"/>
        <v>1276259</v>
      </c>
      <c r="S31" s="47">
        <f t="shared" si="3"/>
        <v>1790526</v>
      </c>
      <c r="T31" s="67">
        <f>IFERROR(O31/P31-1,"n/a")</f>
        <v>1.8542986790127722</v>
      </c>
      <c r="U31" s="67">
        <f>IFERROR(O31/Q31-1,"n/a")</f>
        <v>244.30921508462833</v>
      </c>
      <c r="V31" s="67">
        <f>IFERROR(O31/R31-1,"n/a")</f>
        <v>0.94189345579541461</v>
      </c>
      <c r="W31" s="63">
        <f>IFERROR(O31/S31-1,"n/a")</f>
        <v>0.38415136110841175</v>
      </c>
      <c r="X31" s="47">
        <f t="shared" si="4"/>
        <v>7627084</v>
      </c>
      <c r="Y31" s="47">
        <f t="shared" si="4"/>
        <v>1554247</v>
      </c>
      <c r="Z31" s="47">
        <f t="shared" si="4"/>
        <v>1323431</v>
      </c>
      <c r="AA31" s="81">
        <f t="shared" si="4"/>
        <v>9169021</v>
      </c>
      <c r="AB31" s="9"/>
    </row>
    <row r="32" spans="1:28" ht="15.75" thickTop="1">
      <c r="A32" s="9"/>
      <c r="B32" s="9"/>
      <c r="C32" s="9"/>
      <c r="D32" s="9"/>
      <c r="E32" s="9"/>
      <c r="F32" s="41"/>
      <c r="G32" s="41"/>
      <c r="H32" s="41"/>
      <c r="I32" s="41"/>
      <c r="J32" s="41"/>
      <c r="K32" s="41"/>
      <c r="L32" s="41"/>
      <c r="M32" s="41"/>
      <c r="N32" s="9"/>
      <c r="O32" s="9"/>
      <c r="P32" s="9"/>
      <c r="Q32" s="9"/>
      <c r="R32" s="9"/>
      <c r="S32" s="9"/>
      <c r="T32" s="9"/>
      <c r="U32" s="9"/>
      <c r="V32" s="9"/>
      <c r="W32" s="9"/>
      <c r="X32" s="9"/>
      <c r="Y32" s="9"/>
      <c r="Z32" s="9"/>
      <c r="AA32" s="9"/>
      <c r="AB32" s="9"/>
    </row>
    <row r="33" spans="1:28">
      <c r="A33" s="9"/>
      <c r="B33" s="9"/>
      <c r="C33" s="9"/>
      <c r="D33" s="9"/>
      <c r="E33" s="9"/>
      <c r="F33" s="41"/>
      <c r="G33" s="41"/>
      <c r="H33" s="41"/>
      <c r="I33" s="41"/>
      <c r="J33" s="41"/>
      <c r="K33" s="41"/>
      <c r="L33" s="41"/>
      <c r="M33" s="41"/>
      <c r="N33" s="9"/>
      <c r="O33" s="9"/>
      <c r="P33" s="9"/>
      <c r="Q33" s="9"/>
      <c r="R33" s="9"/>
      <c r="S33" s="9"/>
      <c r="T33" s="9"/>
      <c r="U33" s="9"/>
      <c r="V33" s="9"/>
      <c r="W33" s="9"/>
      <c r="X33" s="9"/>
      <c r="Y33" s="9"/>
      <c r="Z33" s="9"/>
      <c r="AA33" s="9"/>
      <c r="AB33" s="9"/>
    </row>
    <row r="34" spans="1:28">
      <c r="A34" s="9"/>
      <c r="B34" s="10"/>
      <c r="C34" s="86" t="s">
        <v>63</v>
      </c>
      <c r="D34" s="24"/>
      <c r="E34" s="24"/>
      <c r="F34" s="24"/>
      <c r="G34" s="24"/>
      <c r="H34" s="24"/>
      <c r="I34" s="24"/>
      <c r="J34" s="95"/>
      <c r="K34" s="95"/>
      <c r="L34" s="95"/>
      <c r="M34" s="95"/>
      <c r="N34" s="24"/>
      <c r="O34" s="24"/>
      <c r="P34" s="24"/>
      <c r="Q34" s="24"/>
      <c r="R34" s="24"/>
      <c r="S34" s="24"/>
      <c r="T34" s="24"/>
      <c r="U34" s="24"/>
      <c r="V34" s="24"/>
      <c r="W34" s="24"/>
      <c r="X34" s="24"/>
      <c r="Y34" s="24"/>
      <c r="Z34" s="24"/>
      <c r="AA34" s="24"/>
      <c r="AB34" s="9"/>
    </row>
    <row r="35" spans="1:28">
      <c r="A35" s="9"/>
      <c r="B35" s="10"/>
      <c r="C35" s="24"/>
      <c r="D35" s="24"/>
      <c r="E35" s="24"/>
      <c r="F35" s="24"/>
      <c r="G35" s="24"/>
      <c r="H35" s="24"/>
      <c r="I35" s="24"/>
      <c r="J35" s="95"/>
      <c r="K35" s="95"/>
      <c r="L35" s="95"/>
      <c r="M35" s="95"/>
      <c r="N35" s="24"/>
      <c r="O35" s="24"/>
      <c r="P35" s="24"/>
      <c r="Q35" s="24"/>
      <c r="R35" s="24"/>
      <c r="S35" s="24"/>
      <c r="T35" s="24"/>
      <c r="U35" s="24"/>
      <c r="V35" s="24"/>
      <c r="W35" s="24"/>
      <c r="X35" s="24"/>
      <c r="Y35" s="24"/>
      <c r="Z35" s="24"/>
      <c r="AA35" s="24"/>
      <c r="AB35" s="9"/>
    </row>
    <row r="36" spans="1:28">
      <c r="A36" s="9"/>
      <c r="B36" s="9"/>
      <c r="C36" s="27" t="s">
        <v>7</v>
      </c>
      <c r="D36" s="28"/>
      <c r="E36" s="28"/>
      <c r="F36" s="170" t="str">
        <f>F9</f>
        <v>March</v>
      </c>
      <c r="G36" s="170"/>
      <c r="H36" s="170"/>
      <c r="I36" s="170"/>
      <c r="J36" s="170"/>
      <c r="K36" s="170"/>
      <c r="L36" s="170"/>
      <c r="M36" s="170"/>
      <c r="N36" s="171"/>
      <c r="O36" s="169" t="s">
        <v>106</v>
      </c>
      <c r="P36" s="170"/>
      <c r="Q36" s="170"/>
      <c r="R36" s="170"/>
      <c r="S36" s="170"/>
      <c r="T36" s="170"/>
      <c r="U36" s="170"/>
      <c r="V36" s="170"/>
      <c r="W36" s="171"/>
      <c r="X36" s="169" t="s">
        <v>58</v>
      </c>
      <c r="Y36" s="170"/>
      <c r="Z36" s="170"/>
      <c r="AA36" s="172"/>
      <c r="AB36" s="9"/>
    </row>
    <row r="37" spans="1:28">
      <c r="A37" s="9"/>
      <c r="B37" s="9"/>
      <c r="C37" s="29"/>
      <c r="D37" s="30"/>
      <c r="E37" s="30"/>
      <c r="F37" s="29"/>
      <c r="G37" s="30"/>
      <c r="H37" s="30"/>
      <c r="I37" s="30"/>
      <c r="J37" s="30"/>
      <c r="K37" s="30"/>
      <c r="L37" s="30"/>
      <c r="M37" s="30"/>
      <c r="N37" s="56"/>
      <c r="O37" s="30"/>
      <c r="P37" s="30"/>
      <c r="Q37" s="30"/>
      <c r="R37" s="30"/>
      <c r="S37" s="30"/>
      <c r="T37" s="30"/>
      <c r="U37" s="30"/>
      <c r="V37" s="30"/>
      <c r="W37" s="56"/>
      <c r="X37" s="30"/>
      <c r="Y37" s="30"/>
      <c r="Z37" s="30"/>
      <c r="AA37" s="56"/>
      <c r="AB37" s="9"/>
    </row>
    <row r="38" spans="1:28" ht="33.75">
      <c r="A38" s="9"/>
      <c r="B38" s="9"/>
      <c r="C38" s="59" t="s">
        <v>29</v>
      </c>
      <c r="D38" s="50"/>
      <c r="E38" s="51"/>
      <c r="F38" s="55">
        <v>2023</v>
      </c>
      <c r="G38" s="52">
        <v>2022</v>
      </c>
      <c r="H38" s="52">
        <v>2021</v>
      </c>
      <c r="I38" s="52">
        <v>2020</v>
      </c>
      <c r="J38" s="52">
        <v>2019</v>
      </c>
      <c r="K38" s="53" t="s">
        <v>66</v>
      </c>
      <c r="L38" s="53" t="s">
        <v>67</v>
      </c>
      <c r="M38" s="53" t="s">
        <v>68</v>
      </c>
      <c r="N38" s="57" t="s">
        <v>100</v>
      </c>
      <c r="O38" s="53"/>
      <c r="P38" s="53" t="s">
        <v>53</v>
      </c>
      <c r="Q38" s="52" t="s">
        <v>54</v>
      </c>
      <c r="R38" s="52" t="s">
        <v>59</v>
      </c>
      <c r="S38" s="52" t="s">
        <v>64</v>
      </c>
      <c r="T38" s="52"/>
      <c r="U38" s="53" t="s">
        <v>66</v>
      </c>
      <c r="V38" s="53" t="s">
        <v>67</v>
      </c>
      <c r="W38" s="57" t="s">
        <v>68</v>
      </c>
      <c r="X38" s="53"/>
      <c r="Y38" s="53" t="s">
        <v>54</v>
      </c>
      <c r="Z38" s="53" t="s">
        <v>65</v>
      </c>
      <c r="AA38" s="57" t="s">
        <v>73</v>
      </c>
      <c r="AB38" s="9"/>
    </row>
    <row r="39" spans="1:28">
      <c r="A39" s="9"/>
      <c r="B39" s="9"/>
      <c r="C39" s="31" t="s">
        <v>14</v>
      </c>
      <c r="D39" s="26"/>
      <c r="E39" s="32"/>
      <c r="F39" s="26"/>
      <c r="G39" s="26"/>
      <c r="H39" s="26"/>
      <c r="I39" s="26"/>
      <c r="J39" s="26"/>
      <c r="K39" s="26"/>
      <c r="L39" s="26"/>
      <c r="M39" s="26"/>
      <c r="N39" s="32"/>
      <c r="O39" s="26"/>
      <c r="P39" s="26"/>
      <c r="Q39" s="26"/>
      <c r="R39" s="26"/>
      <c r="S39" s="9"/>
      <c r="T39" s="26"/>
      <c r="U39" s="9"/>
      <c r="V39" s="26"/>
      <c r="W39" s="32"/>
      <c r="X39" s="33"/>
      <c r="Y39" s="26"/>
      <c r="Z39" s="88"/>
      <c r="AA39" s="85"/>
      <c r="AB39" s="9"/>
    </row>
    <row r="40" spans="1:28">
      <c r="A40" s="9"/>
      <c r="B40" s="9"/>
      <c r="C40" s="33"/>
      <c r="D40" s="26" t="s">
        <v>5</v>
      </c>
      <c r="E40" s="32"/>
      <c r="F40" s="74">
        <f t="shared" ref="F40:J41" si="5">F13</f>
        <v>57</v>
      </c>
      <c r="G40" s="74">
        <f t="shared" si="5"/>
        <v>74</v>
      </c>
      <c r="H40" s="74">
        <f t="shared" si="5"/>
        <v>0</v>
      </c>
      <c r="I40" s="74">
        <f t="shared" si="5"/>
        <v>29</v>
      </c>
      <c r="J40" s="74">
        <f t="shared" si="5"/>
        <v>62</v>
      </c>
      <c r="K40" s="64">
        <f>IFERROR(F40/G40-1,"n/a")</f>
        <v>-0.22972972972972971</v>
      </c>
      <c r="L40" s="64" t="str">
        <f>IFERROR(F40/H40-1,"n/a")</f>
        <v>n/a</v>
      </c>
      <c r="M40" s="64">
        <f>IFERROR(F40/I40-1,"n/a")</f>
        <v>0.96551724137931028</v>
      </c>
      <c r="N40" s="60">
        <f>IFERROR(F40/J40-1,"n/a")</f>
        <v>-8.064516129032262E-2</v>
      </c>
      <c r="O40" s="108"/>
      <c r="P40" s="70">
        <f>+O13-'Mar-22'!M10+'Dec-22'!M13</f>
        <v>335</v>
      </c>
      <c r="Q40" s="70">
        <f>+P13-'Mar-22'!N10+'Dec-22'!N13</f>
        <v>308</v>
      </c>
      <c r="R40" s="82">
        <f>+Q13-'Mar-22'!O10+'Dec-22'!O13</f>
        <v>0</v>
      </c>
      <c r="S40" s="70">
        <f>+R13-'Mar-22'!P10+'Dec-22'!P13</f>
        <v>331</v>
      </c>
      <c r="T40" s="108"/>
      <c r="U40" s="64">
        <f>IFERROR(P40/Q40-1,"n/a")</f>
        <v>8.7662337662337553E-2</v>
      </c>
      <c r="V40" s="64" t="str">
        <f>IFERROR(P40/R40-1,"n/a")</f>
        <v>n/a</v>
      </c>
      <c r="W40" s="60">
        <f>IFERROR(P40/S40-1,"n/a")</f>
        <v>1.2084592145015005E-2</v>
      </c>
      <c r="X40" s="89"/>
      <c r="Y40" s="89">
        <v>308</v>
      </c>
      <c r="Z40" s="70">
        <v>145</v>
      </c>
      <c r="AA40" s="78">
        <v>331</v>
      </c>
      <c r="AB40" s="9"/>
    </row>
    <row r="41" spans="1:28">
      <c r="A41" s="9"/>
      <c r="B41" s="9"/>
      <c r="C41" s="33"/>
      <c r="D41" s="26" t="s">
        <v>11</v>
      </c>
      <c r="E41" s="32"/>
      <c r="F41" s="74">
        <f t="shared" si="5"/>
        <v>109432</v>
      </c>
      <c r="G41" s="74">
        <f t="shared" si="5"/>
        <v>60824</v>
      </c>
      <c r="H41" s="74">
        <f t="shared" si="5"/>
        <v>0</v>
      </c>
      <c r="I41" s="74">
        <f t="shared" si="5"/>
        <v>48626</v>
      </c>
      <c r="J41" s="74">
        <f t="shared" si="5"/>
        <v>108846</v>
      </c>
      <c r="K41" s="64">
        <f>IFERROR(F41/G41-1,"n/a")</f>
        <v>0.79915822701565165</v>
      </c>
      <c r="L41" s="64" t="str">
        <f>IFERROR(F41/H41-1,"n/a")</f>
        <v>n/a</v>
      </c>
      <c r="M41" s="64">
        <f>IFERROR(F41/I41-1,"n/a")</f>
        <v>1.2504832805495001</v>
      </c>
      <c r="N41" s="60">
        <f>IFERROR(F41/J41-1,"n/a")</f>
        <v>5.3837531925839954E-3</v>
      </c>
      <c r="O41" s="109"/>
      <c r="P41" s="70">
        <f>+O14-'Mar-22'!M11+'Dec-22'!M14</f>
        <v>556504</v>
      </c>
      <c r="Q41" s="82">
        <f>+P14-'Mar-22'!N11+'Dec-22'!N14</f>
        <v>237191</v>
      </c>
      <c r="R41" s="82">
        <f>+Q14-'Mar-22'!O11+'Dec-22'!O14</f>
        <v>0</v>
      </c>
      <c r="S41" s="82">
        <f>+R14-'Mar-22'!P11+'Dec-22'!P14</f>
        <v>606801</v>
      </c>
      <c r="T41" s="109"/>
      <c r="U41" s="64">
        <f>IFERROR(P41/Q41-1,"n/a")</f>
        <v>1.3462273020477169</v>
      </c>
      <c r="V41" s="64" t="str">
        <f>IFERROR(P41/R41-1,"n/a")</f>
        <v>n/a</v>
      </c>
      <c r="W41" s="60">
        <f>IFERROR(P41/S41-1,"n/a")</f>
        <v>-8.2888788911026801E-2</v>
      </c>
      <c r="X41" s="89"/>
      <c r="Y41" s="89">
        <v>237191</v>
      </c>
      <c r="Z41" s="84">
        <v>258885</v>
      </c>
      <c r="AA41" s="78">
        <v>606801</v>
      </c>
      <c r="AB41" s="9"/>
    </row>
    <row r="42" spans="1:28">
      <c r="A42" s="9"/>
      <c r="B42" s="9"/>
      <c r="C42" s="31" t="s">
        <v>74</v>
      </c>
      <c r="D42" s="26"/>
      <c r="E42" s="32"/>
      <c r="F42" s="26"/>
      <c r="G42" s="26"/>
      <c r="H42" s="26"/>
      <c r="I42" s="26"/>
      <c r="J42" s="26"/>
      <c r="K42" s="64"/>
      <c r="L42" s="64"/>
      <c r="M42" s="64"/>
      <c r="N42" s="61"/>
      <c r="O42" s="110"/>
      <c r="P42" s="87"/>
      <c r="Q42" s="87"/>
      <c r="R42" s="87"/>
      <c r="S42" s="87"/>
      <c r="T42" s="110"/>
      <c r="U42" s="65"/>
      <c r="V42" s="65"/>
      <c r="W42" s="61"/>
      <c r="X42" s="90"/>
      <c r="Y42" s="90"/>
      <c r="Z42" s="44"/>
      <c r="AA42" s="79"/>
      <c r="AB42" s="9"/>
    </row>
    <row r="43" spans="1:28">
      <c r="A43" s="9"/>
      <c r="B43" s="9"/>
      <c r="C43" s="33"/>
      <c r="D43" s="26" t="s">
        <v>5</v>
      </c>
      <c r="E43" s="32"/>
      <c r="F43" s="74">
        <f t="shared" ref="F43:J44" si="6">F16</f>
        <v>37</v>
      </c>
      <c r="G43" s="74">
        <f t="shared" si="6"/>
        <v>24</v>
      </c>
      <c r="H43" s="74">
        <f t="shared" si="6"/>
        <v>0</v>
      </c>
      <c r="I43" s="74">
        <f t="shared" si="6"/>
        <v>10</v>
      </c>
      <c r="J43" s="74">
        <f t="shared" si="6"/>
        <v>44</v>
      </c>
      <c r="K43" s="64">
        <f>IFERROR(F43/G43-1,"n/a")</f>
        <v>0.54166666666666674</v>
      </c>
      <c r="L43" s="64" t="str">
        <f>IFERROR(F43/H43-1,"n/a")</f>
        <v>n/a</v>
      </c>
      <c r="M43" s="64">
        <f>IFERROR(F43/I43-1,"n/a")</f>
        <v>2.7</v>
      </c>
      <c r="N43" s="60">
        <f>IFERROR(F43/J43-1,"n/a")</f>
        <v>-0.15909090909090906</v>
      </c>
      <c r="O43" s="108"/>
      <c r="P43" s="70">
        <f>+O16-'Mar-22'!M13+'Dec-22'!M16</f>
        <v>802</v>
      </c>
      <c r="Q43" s="70">
        <f>+P16-'Mar-22'!N13+'Dec-22'!N16</f>
        <v>336</v>
      </c>
      <c r="R43" s="70">
        <f>+Q16-'Mar-22'!O13+'Dec-22'!O16</f>
        <v>0</v>
      </c>
      <c r="S43" s="70">
        <f>+R16-'Mar-22'!P13+'Dec-22'!P16</f>
        <v>781</v>
      </c>
      <c r="T43" s="108"/>
      <c r="U43" s="64">
        <f>IFERROR(P43/Q43-1,"n/a")</f>
        <v>1.3869047619047619</v>
      </c>
      <c r="V43" s="64" t="str">
        <f>IFERROR(P43/R43-1,"n/a")</f>
        <v>n/a</v>
      </c>
      <c r="W43" s="60">
        <f>IFERROR(P43/S43-1,"n/a")</f>
        <v>2.6888604353393131E-2</v>
      </c>
      <c r="X43" s="89"/>
      <c r="Y43" s="89">
        <v>336</v>
      </c>
      <c r="Z43" s="70">
        <v>43</v>
      </c>
      <c r="AA43" s="78">
        <v>781</v>
      </c>
      <c r="AB43" s="9"/>
    </row>
    <row r="44" spans="1:28">
      <c r="A44" s="9"/>
      <c r="B44" s="9"/>
      <c r="C44" s="33"/>
      <c r="D44" s="26" t="s">
        <v>11</v>
      </c>
      <c r="E44" s="32"/>
      <c r="F44" s="74">
        <f t="shared" si="6"/>
        <v>105059</v>
      </c>
      <c r="G44" s="74">
        <f t="shared" si="6"/>
        <v>32594</v>
      </c>
      <c r="H44" s="74">
        <f t="shared" si="6"/>
        <v>0</v>
      </c>
      <c r="I44" s="74">
        <f t="shared" si="6"/>
        <v>28535</v>
      </c>
      <c r="J44" s="74">
        <f t="shared" si="6"/>
        <v>117674</v>
      </c>
      <c r="K44" s="64">
        <f>IFERROR(F44/G44-1,"n/a")</f>
        <v>2.2232619500521569</v>
      </c>
      <c r="L44" s="64" t="str">
        <f>IFERROR(F44/H44-1,"n/a")</f>
        <v>n/a</v>
      </c>
      <c r="M44" s="64">
        <f>IFERROR(F44/I44-1,"n/a")</f>
        <v>2.6817592430348696</v>
      </c>
      <c r="N44" s="60">
        <f>IFERROR(F44/J44-1,"n/a")</f>
        <v>-0.10720295052432993</v>
      </c>
      <c r="O44" s="109"/>
      <c r="P44" s="70">
        <f>+O17-'Mar-22'!M14+'Dec-22'!M17</f>
        <v>2017667</v>
      </c>
      <c r="Q44" s="70">
        <f>+P17-'Mar-22'!N14+'Dec-22'!N17</f>
        <v>533563</v>
      </c>
      <c r="R44" s="70">
        <f>+Q17-'Mar-22'!O14+'Dec-22'!O17</f>
        <v>0</v>
      </c>
      <c r="S44" s="70">
        <f>+R17-'Mar-22'!P14+'Dec-22'!P17</f>
        <v>2441594</v>
      </c>
      <c r="T44" s="108"/>
      <c r="U44" s="64">
        <f>IFERROR(P44/Q44-1,"n/a")</f>
        <v>2.7814972177606019</v>
      </c>
      <c r="V44" s="64" t="str">
        <f>IFERROR(P44/R44-1,"n/a")</f>
        <v>n/a</v>
      </c>
      <c r="W44" s="60">
        <f>IFERROR(P44/S44-1,"n/a")</f>
        <v>-0.17362714685570169</v>
      </c>
      <c r="X44" s="89"/>
      <c r="Y44" s="89">
        <v>533563</v>
      </c>
      <c r="Z44" s="84">
        <v>140552</v>
      </c>
      <c r="AA44" s="78">
        <v>2441594</v>
      </c>
      <c r="AB44" s="9"/>
    </row>
    <row r="45" spans="1:28">
      <c r="A45" s="9"/>
      <c r="B45" s="9"/>
      <c r="C45" s="31" t="s">
        <v>15</v>
      </c>
      <c r="D45" s="26"/>
      <c r="E45" s="32"/>
      <c r="F45" s="87"/>
      <c r="G45" s="87"/>
      <c r="H45" s="87"/>
      <c r="I45" s="87"/>
      <c r="J45" s="72"/>
      <c r="K45" s="64"/>
      <c r="L45" s="64"/>
      <c r="M45" s="64"/>
      <c r="N45" s="60"/>
      <c r="O45" s="110"/>
      <c r="P45" s="87"/>
      <c r="Q45" s="87"/>
      <c r="R45" s="87"/>
      <c r="S45" s="87"/>
      <c r="T45" s="110"/>
      <c r="U45" s="64"/>
      <c r="V45" s="64"/>
      <c r="W45" s="60"/>
      <c r="X45" s="90"/>
      <c r="Y45" s="90"/>
      <c r="Z45" s="44"/>
      <c r="AA45" s="79"/>
      <c r="AB45" s="9"/>
    </row>
    <row r="46" spans="1:28">
      <c r="A46" s="9"/>
      <c r="B46" s="9"/>
      <c r="C46" s="33"/>
      <c r="D46" s="26" t="s">
        <v>5</v>
      </c>
      <c r="E46" s="32"/>
      <c r="F46" s="74">
        <f t="shared" ref="F46:J47" si="7">F19</f>
        <v>15</v>
      </c>
      <c r="G46" s="74">
        <f t="shared" si="7"/>
        <v>5</v>
      </c>
      <c r="H46" s="74">
        <f t="shared" si="7"/>
        <v>0</v>
      </c>
      <c r="I46" s="74">
        <f t="shared" si="7"/>
        <v>2</v>
      </c>
      <c r="J46" s="74">
        <f t="shared" si="7"/>
        <v>5</v>
      </c>
      <c r="K46" s="64">
        <f>IFERROR(F46/G46-1,"n/a")</f>
        <v>2</v>
      </c>
      <c r="L46" s="64" t="str">
        <f>IFERROR(F46/H46-1,"n/a")</f>
        <v>n/a</v>
      </c>
      <c r="M46" s="64">
        <f>IFERROR(F46/I46-1,"n/a")</f>
        <v>6.5</v>
      </c>
      <c r="N46" s="60">
        <f>IFERROR(F46/J46-1,"n/a")</f>
        <v>2</v>
      </c>
      <c r="O46" s="108"/>
      <c r="P46" s="70">
        <f>+O19-'Mar-22'!M16+'Dec-22'!M19</f>
        <v>486</v>
      </c>
      <c r="Q46" s="70">
        <f>+P19-'Mar-22'!N16+'Dec-22'!N19</f>
        <v>33</v>
      </c>
      <c r="R46" s="70">
        <f>+Q19-'Mar-22'!O16+'Dec-22'!O19</f>
        <v>1</v>
      </c>
      <c r="S46" s="70">
        <f>+R19-'Mar-22'!P16+'Dec-22'!P19</f>
        <v>188</v>
      </c>
      <c r="T46" s="108"/>
      <c r="U46" s="64">
        <f>IFERROR(P46/Q46-1,"n/a")</f>
        <v>13.727272727272727</v>
      </c>
      <c r="V46" s="64">
        <f>IFERROR(P46/R46-1,"n/a")</f>
        <v>485</v>
      </c>
      <c r="W46" s="60">
        <f>IFERROR(P46/S46-1,"n/a")</f>
        <v>1.5851063829787235</v>
      </c>
      <c r="X46" s="89"/>
      <c r="Y46" s="89">
        <v>33</v>
      </c>
      <c r="Z46" s="70">
        <v>4</v>
      </c>
      <c r="AA46" s="78">
        <v>188</v>
      </c>
      <c r="AB46" s="9"/>
    </row>
    <row r="47" spans="1:28">
      <c r="A47" s="9"/>
      <c r="B47" s="9"/>
      <c r="C47" s="33"/>
      <c r="D47" s="26" t="s">
        <v>11</v>
      </c>
      <c r="E47" s="32"/>
      <c r="F47" s="74">
        <f t="shared" si="7"/>
        <v>14659</v>
      </c>
      <c r="G47" s="74">
        <f t="shared" si="7"/>
        <v>364</v>
      </c>
      <c r="H47" s="74">
        <f t="shared" si="7"/>
        <v>0</v>
      </c>
      <c r="I47" s="74">
        <f t="shared" si="7"/>
        <v>887</v>
      </c>
      <c r="J47" s="74">
        <f t="shared" si="7"/>
        <v>4555</v>
      </c>
      <c r="K47" s="64">
        <f>IFERROR(F47/G47-1,"n/a")</f>
        <v>39.271978021978022</v>
      </c>
      <c r="L47" s="64" t="str">
        <f>IFERROR(F47/H47-1,"n/a")</f>
        <v>n/a</v>
      </c>
      <c r="M47" s="64">
        <f>IFERROR(F47/I47-1,"n/a")</f>
        <v>15.526493799323564</v>
      </c>
      <c r="N47" s="60">
        <f>IFERROR(F47/J47-1,"n/a")</f>
        <v>2.2182217343578485</v>
      </c>
      <c r="O47" s="109"/>
      <c r="P47" s="70">
        <f>+O20-'Mar-22'!M17+'Dec-22'!M20</f>
        <v>580166</v>
      </c>
      <c r="Q47" s="70">
        <f>+P20-'Mar-22'!N17+'Dec-22'!N20</f>
        <v>10083</v>
      </c>
      <c r="R47" s="70">
        <f>+Q20-'Mar-22'!O17+'Dec-22'!O20</f>
        <v>111</v>
      </c>
      <c r="S47" s="70">
        <f>+R20-'Mar-22'!P17+'Dec-22'!P20</f>
        <v>250993</v>
      </c>
      <c r="T47" s="108"/>
      <c r="U47" s="64">
        <f>IFERROR(P47/Q47-1,"n/a")</f>
        <v>56.53902608350689</v>
      </c>
      <c r="V47" s="64">
        <f>IFERROR(P47/R47-1,"n/a")</f>
        <v>5225.7207207207211</v>
      </c>
      <c r="W47" s="60">
        <f>IFERROR(P47/S47-1,"n/a")</f>
        <v>1.311482790356703</v>
      </c>
      <c r="X47" s="82"/>
      <c r="Y47" s="82">
        <v>10083</v>
      </c>
      <c r="Z47" s="84">
        <v>1753</v>
      </c>
      <c r="AA47" s="78">
        <f>176097+74816</f>
        <v>250913</v>
      </c>
      <c r="AB47" s="9"/>
    </row>
    <row r="48" spans="1:28">
      <c r="A48" s="9"/>
      <c r="B48" s="9"/>
      <c r="C48" s="31" t="s">
        <v>10</v>
      </c>
      <c r="D48" s="26"/>
      <c r="E48" s="34"/>
      <c r="F48" s="72"/>
      <c r="G48" s="72"/>
      <c r="H48" s="72"/>
      <c r="I48" s="72"/>
      <c r="J48" s="72"/>
      <c r="K48" s="64"/>
      <c r="L48" s="64"/>
      <c r="M48" s="64"/>
      <c r="N48" s="60"/>
      <c r="O48" s="110"/>
      <c r="P48" s="87"/>
      <c r="Q48" s="87"/>
      <c r="R48" s="87"/>
      <c r="S48" s="87"/>
      <c r="T48" s="110"/>
      <c r="U48" s="64"/>
      <c r="V48" s="64"/>
      <c r="W48" s="60"/>
      <c r="X48" s="90"/>
      <c r="Y48" s="90"/>
      <c r="Z48" s="44"/>
      <c r="AA48" s="79"/>
      <c r="AB48" s="9"/>
    </row>
    <row r="49" spans="1:28">
      <c r="A49" s="9"/>
      <c r="B49" s="9"/>
      <c r="C49" s="33"/>
      <c r="D49" s="26" t="s">
        <v>5</v>
      </c>
      <c r="E49" s="34"/>
      <c r="F49" s="74">
        <f t="shared" ref="F49:J50" si="8">F22</f>
        <v>124</v>
      </c>
      <c r="G49" s="74">
        <f t="shared" si="8"/>
        <v>130</v>
      </c>
      <c r="H49" s="74">
        <f t="shared" si="8"/>
        <v>0</v>
      </c>
      <c r="I49" s="74">
        <f t="shared" si="8"/>
        <v>118</v>
      </c>
      <c r="J49" s="74">
        <f t="shared" si="8"/>
        <v>108</v>
      </c>
      <c r="K49" s="64">
        <f>IFERROR(F49/G49-1,"n/a")</f>
        <v>-4.6153846153846101E-2</v>
      </c>
      <c r="L49" s="64" t="str">
        <f>IFERROR(F49/H49-1,"n/a")</f>
        <v>n/a</v>
      </c>
      <c r="M49" s="64">
        <f>IFERROR(F49/I49-1,"n/a")</f>
        <v>5.0847457627118731E-2</v>
      </c>
      <c r="N49" s="60">
        <f>IFERROR(F49/J49-1,"n/a")</f>
        <v>0.14814814814814814</v>
      </c>
      <c r="O49" s="108"/>
      <c r="P49" s="70">
        <f>+O22-'Mar-22'!M19+'Dec-22'!M22</f>
        <v>1151</v>
      </c>
      <c r="Q49" s="70">
        <f>+P22-'Mar-22'!N19+'Dec-22'!N22</f>
        <v>744</v>
      </c>
      <c r="R49" s="70">
        <f>+Q22-'Mar-22'!O19+'Dec-22'!O22</f>
        <v>42</v>
      </c>
      <c r="S49" s="70">
        <f>+R22-'Mar-22'!P19+'Dec-22'!P22</f>
        <v>1253</v>
      </c>
      <c r="T49" s="108"/>
      <c r="U49" s="64">
        <f>IFERROR(P49/Q49-1,"n/a")</f>
        <v>0.54704301075268824</v>
      </c>
      <c r="V49" s="64">
        <f>IFERROR(P49/R49-1,"n/a")</f>
        <v>26.404761904761905</v>
      </c>
      <c r="W49" s="60">
        <f>IFERROR(P49/S49-1,"n/a")</f>
        <v>-8.1404628890662356E-2</v>
      </c>
      <c r="X49" s="89"/>
      <c r="Y49" s="89">
        <v>744</v>
      </c>
      <c r="Z49" s="84">
        <v>406</v>
      </c>
      <c r="AA49" s="78">
        <v>1253</v>
      </c>
      <c r="AB49" s="9"/>
    </row>
    <row r="50" spans="1:28">
      <c r="A50" s="9"/>
      <c r="B50" s="9"/>
      <c r="C50" s="33"/>
      <c r="D50" s="26" t="s">
        <v>11</v>
      </c>
      <c r="E50" s="32"/>
      <c r="F50" s="74">
        <f t="shared" si="8"/>
        <v>456142</v>
      </c>
      <c r="G50" s="74">
        <f t="shared" si="8"/>
        <v>283677</v>
      </c>
      <c r="H50" s="74">
        <f t="shared" si="8"/>
        <v>0</v>
      </c>
      <c r="I50" s="74">
        <f t="shared" si="8"/>
        <v>147660</v>
      </c>
      <c r="J50" s="74">
        <f t="shared" si="8"/>
        <v>391750</v>
      </c>
      <c r="K50" s="64">
        <f>IFERROR(F50/G50-1,"n/a")</f>
        <v>0.60796257715641389</v>
      </c>
      <c r="L50" s="64" t="str">
        <f>IFERROR(F50/H50-1,"n/a")</f>
        <v>n/a</v>
      </c>
      <c r="M50" s="64">
        <f>IFERROR(F50/I50-1,"n/a")</f>
        <v>2.0891372070973859</v>
      </c>
      <c r="N50" s="60">
        <f>IFERROR(F50/J50-1,"n/a")</f>
        <v>0.16437013401403955</v>
      </c>
      <c r="O50" s="109"/>
      <c r="P50" s="70">
        <f>+O23-'Mar-22'!M20+'Dec-22'!M23</f>
        <v>3814850</v>
      </c>
      <c r="Q50" s="70">
        <f>+P23-'Mar-22'!N20+'Dec-22'!N23</f>
        <v>1290779</v>
      </c>
      <c r="R50" s="70">
        <f>+Q23-'Mar-22'!O20+'Dec-22'!O23</f>
        <v>0</v>
      </c>
      <c r="S50" s="70">
        <f>+R23-'Mar-22'!P20+'Dec-22'!P23</f>
        <v>3627458</v>
      </c>
      <c r="T50" s="108"/>
      <c r="U50" s="64">
        <f>IFERROR(P50/Q50-1,"n/a")</f>
        <v>1.9554633287340435</v>
      </c>
      <c r="V50" s="64" t="str">
        <f>IFERROR(P50/R50-1,"n/a")</f>
        <v>n/a</v>
      </c>
      <c r="W50" s="60">
        <f>IFERROR(P50/S50-1,"n/a")</f>
        <v>5.1659316248458209E-2</v>
      </c>
      <c r="X50" s="82"/>
      <c r="Y50" s="82">
        <v>1290779</v>
      </c>
      <c r="Z50" s="84">
        <v>833999</v>
      </c>
      <c r="AA50" s="78">
        <v>3627458</v>
      </c>
      <c r="AB50" s="9"/>
    </row>
    <row r="51" spans="1:28">
      <c r="A51" s="9"/>
      <c r="B51" s="9"/>
      <c r="C51" s="31" t="s">
        <v>16</v>
      </c>
      <c r="D51" s="26"/>
      <c r="E51" s="32"/>
      <c r="F51" s="72"/>
      <c r="G51" s="72"/>
      <c r="H51" s="72"/>
      <c r="I51" s="72"/>
      <c r="J51" s="72"/>
      <c r="K51" s="64"/>
      <c r="L51" s="64"/>
      <c r="M51" s="64"/>
      <c r="N51" s="60"/>
      <c r="O51" s="110"/>
      <c r="P51" s="87"/>
      <c r="Q51" s="87"/>
      <c r="R51" s="87"/>
      <c r="S51" s="87"/>
      <c r="T51" s="110"/>
      <c r="U51" s="64"/>
      <c r="V51" s="64"/>
      <c r="W51" s="60"/>
      <c r="X51" s="90"/>
      <c r="Y51" s="90"/>
      <c r="Z51" s="44"/>
      <c r="AA51" s="79"/>
      <c r="AB51" s="9"/>
    </row>
    <row r="52" spans="1:28">
      <c r="A52" s="9"/>
      <c r="B52" s="9"/>
      <c r="C52" s="33"/>
      <c r="D52" s="26" t="s">
        <v>5</v>
      </c>
      <c r="E52" s="32"/>
      <c r="F52" s="74">
        <f t="shared" ref="F52:J53" si="9">F25</f>
        <v>11</v>
      </c>
      <c r="G52" s="74">
        <f t="shared" si="9"/>
        <v>14</v>
      </c>
      <c r="H52" s="74">
        <f t="shared" si="9"/>
        <v>4</v>
      </c>
      <c r="I52" s="74">
        <f t="shared" si="9"/>
        <v>1</v>
      </c>
      <c r="J52" s="74">
        <f t="shared" si="9"/>
        <v>9</v>
      </c>
      <c r="K52" s="64">
        <f>IFERROR(F52/G52-1,"n/a")</f>
        <v>-0.2142857142857143</v>
      </c>
      <c r="L52" s="64">
        <f>IFERROR(F52/H52-1,"n/a")</f>
        <v>1.75</v>
      </c>
      <c r="M52" s="64">
        <f>IFERROR(F52/I52-1,"n/a")</f>
        <v>10</v>
      </c>
      <c r="N52" s="60">
        <f>IFERROR(F52/J52-1,"n/a")</f>
        <v>0.22222222222222232</v>
      </c>
      <c r="O52" s="108"/>
      <c r="P52" s="70">
        <f>+O25-'Mar-22'!M22+'Dec-22'!M25</f>
        <v>280</v>
      </c>
      <c r="Q52" s="70">
        <f>+P25-'Mar-22'!N22+'Dec-22'!N25</f>
        <v>121</v>
      </c>
      <c r="R52" s="70">
        <f>+Q25-'Mar-22'!O22+'Dec-22'!O25</f>
        <v>32</v>
      </c>
      <c r="S52" s="70">
        <f>+R25-'Mar-22'!P22+'Dec-22'!P25</f>
        <v>361</v>
      </c>
      <c r="T52" s="108"/>
      <c r="U52" s="64">
        <f>IFERROR(P52/Q52-1,"n/a")</f>
        <v>1.3140495867768593</v>
      </c>
      <c r="V52" s="64">
        <f>IFERROR(P52/R52-1,"n/a")</f>
        <v>7.75</v>
      </c>
      <c r="W52" s="60">
        <f>IFERROR(P52/S52-1,"n/a")</f>
        <v>-0.22437673130193903</v>
      </c>
      <c r="X52" s="89"/>
      <c r="Y52" s="89">
        <v>121</v>
      </c>
      <c r="Z52" s="70">
        <v>41</v>
      </c>
      <c r="AA52" s="78">
        <v>361</v>
      </c>
      <c r="AB52" s="9"/>
    </row>
    <row r="53" spans="1:28">
      <c r="A53" s="9"/>
      <c r="B53" s="9"/>
      <c r="C53" s="33"/>
      <c r="D53" s="26" t="s">
        <v>11</v>
      </c>
      <c r="E53" s="32"/>
      <c r="F53" s="74">
        <f t="shared" si="9"/>
        <v>35490</v>
      </c>
      <c r="G53" s="74">
        <f t="shared" si="9"/>
        <v>19157</v>
      </c>
      <c r="H53" s="74">
        <f t="shared" si="9"/>
        <v>3290</v>
      </c>
      <c r="I53" s="74">
        <f t="shared" si="9"/>
        <v>565</v>
      </c>
      <c r="J53" s="74">
        <f t="shared" si="9"/>
        <v>31670</v>
      </c>
      <c r="K53" s="64">
        <f>IFERROR(F53/G53-1,"n/a")</f>
        <v>0.85258652189800066</v>
      </c>
      <c r="L53" s="64">
        <f>IFERROR(F53/H53-1,"n/a")</f>
        <v>9.787234042553191</v>
      </c>
      <c r="M53" s="64">
        <f>IFERROR(F53/I53-1,"n/a")</f>
        <v>61.814159292035399</v>
      </c>
      <c r="N53" s="60">
        <f>IFERROR(F53/J53-1,"n/a")</f>
        <v>0.12061888222292394</v>
      </c>
      <c r="O53" s="109"/>
      <c r="P53" s="70">
        <f>+O26-'Mar-22'!M23+'Dec-22'!M26</f>
        <v>576103</v>
      </c>
      <c r="Q53" s="70">
        <f>+P26-'Mar-22'!N23+'Dec-22'!N26</f>
        <v>165689</v>
      </c>
      <c r="R53" s="70">
        <f>+Q26-'Mar-22'!O23+'Dec-22'!O26</f>
        <v>26923</v>
      </c>
      <c r="S53" s="70">
        <f>+R26-'Mar-22'!P23+'Dec-22'!P26</f>
        <v>865961</v>
      </c>
      <c r="T53" s="108"/>
      <c r="U53" s="64">
        <f>IFERROR(P53/Q53-1,"n/a")</f>
        <v>2.4770141650924322</v>
      </c>
      <c r="V53" s="64">
        <f>IFERROR(P53/R53-1,"n/a")</f>
        <v>20.398172566207332</v>
      </c>
      <c r="W53" s="60">
        <f>IFERROR(P53/S53-1,"n/a")</f>
        <v>-0.33472408110757879</v>
      </c>
      <c r="X53" s="82"/>
      <c r="Y53" s="82">
        <v>165689</v>
      </c>
      <c r="Z53" s="84">
        <v>67144</v>
      </c>
      <c r="AA53" s="78">
        <v>865961</v>
      </c>
      <c r="AB53" s="9"/>
    </row>
    <row r="54" spans="1:28">
      <c r="C54" s="31" t="s">
        <v>17</v>
      </c>
      <c r="D54" s="26"/>
      <c r="E54" s="32"/>
      <c r="F54" s="72"/>
      <c r="G54" s="72"/>
      <c r="H54" s="72"/>
      <c r="I54" s="72"/>
      <c r="J54" s="72"/>
      <c r="K54" s="64"/>
      <c r="L54" s="64"/>
      <c r="M54" s="64"/>
      <c r="N54" s="60"/>
      <c r="O54" s="110"/>
      <c r="P54" s="87"/>
      <c r="Q54" s="87"/>
      <c r="R54" s="87"/>
      <c r="S54" s="87"/>
      <c r="T54" s="110"/>
      <c r="U54" s="64"/>
      <c r="V54" s="64"/>
      <c r="W54" s="60"/>
      <c r="X54" s="90"/>
      <c r="Y54" s="90"/>
      <c r="Z54" s="44"/>
      <c r="AA54" s="79"/>
      <c r="AB54" s="9"/>
    </row>
    <row r="55" spans="1:28">
      <c r="C55" s="33"/>
      <c r="D55" s="26" t="s">
        <v>5</v>
      </c>
      <c r="E55" s="32"/>
      <c r="F55" s="74">
        <f t="shared" ref="F55:J56" si="10">F28</f>
        <v>78</v>
      </c>
      <c r="G55" s="74">
        <f t="shared" si="10"/>
        <v>13</v>
      </c>
      <c r="H55" s="74">
        <f t="shared" si="10"/>
        <v>1</v>
      </c>
      <c r="I55" s="74">
        <f t="shared" si="10"/>
        <v>0</v>
      </c>
      <c r="J55" s="74">
        <f t="shared" si="10"/>
        <v>1</v>
      </c>
      <c r="K55" s="64">
        <f>IFERROR(F55/G55-1,"n/a")</f>
        <v>5</v>
      </c>
      <c r="L55" s="64">
        <f>IFERROR(F55/H55-1,"n/a")</f>
        <v>77</v>
      </c>
      <c r="M55" s="64" t="str">
        <f>IFERROR(F55/I55-1,"n/a")</f>
        <v>n/a</v>
      </c>
      <c r="N55" s="60">
        <f>IFERROR(F55/J55-1,"n/a")</f>
        <v>77</v>
      </c>
      <c r="O55" s="108"/>
      <c r="P55" s="70">
        <f>+O28-'Mar-22'!M25+'Dec-22'!M28</f>
        <v>808</v>
      </c>
      <c r="Q55" s="70">
        <f>+P28-'Mar-22'!N25+'Dec-22'!N28</f>
        <v>138</v>
      </c>
      <c r="R55" s="70">
        <f>+Q28-'Mar-22'!O25+'Dec-22'!O28</f>
        <v>39</v>
      </c>
      <c r="S55" s="70">
        <f>+R28-'Mar-22'!P25+'Dec-22'!P28</f>
        <v>360</v>
      </c>
      <c r="T55" s="108"/>
      <c r="U55" s="64">
        <f>IFERROR(P55/Q55-1,"n/a")</f>
        <v>4.8550724637681162</v>
      </c>
      <c r="V55" s="64">
        <f>IFERROR(P55/R55-1,"n/a")</f>
        <v>19.717948717948719</v>
      </c>
      <c r="W55" s="60">
        <f>IFERROR(P55/S55-1,"n/a")</f>
        <v>1.2444444444444445</v>
      </c>
      <c r="X55" s="89"/>
      <c r="Y55" s="89">
        <v>140</v>
      </c>
      <c r="Z55" s="70">
        <v>40</v>
      </c>
      <c r="AA55" s="78">
        <v>360</v>
      </c>
      <c r="AB55" s="9"/>
    </row>
    <row r="56" spans="1:28">
      <c r="C56" s="33"/>
      <c r="D56" s="26" t="s">
        <v>11</v>
      </c>
      <c r="E56" s="32"/>
      <c r="F56" s="74">
        <f t="shared" si="10"/>
        <v>200531</v>
      </c>
      <c r="G56" s="74">
        <f t="shared" si="10"/>
        <v>10202</v>
      </c>
      <c r="H56" s="74">
        <f t="shared" si="10"/>
        <v>856</v>
      </c>
      <c r="I56" s="74">
        <f t="shared" si="10"/>
        <v>0</v>
      </c>
      <c r="J56" s="74">
        <f t="shared" si="10"/>
        <v>1452</v>
      </c>
      <c r="K56" s="64">
        <f>IFERROR(F56/G56-1,"n/a")</f>
        <v>18.656047833758088</v>
      </c>
      <c r="L56" s="64">
        <f>IFERROR(F56/H56-1,"n/a")</f>
        <v>233.26518691588785</v>
      </c>
      <c r="M56" s="64" t="str">
        <f>IFERROR(F56/I56-1,"n/a")</f>
        <v>n/a</v>
      </c>
      <c r="N56" s="60">
        <f>IFERROR(F56/J56-1,"n/a")</f>
        <v>137.10674931129478</v>
      </c>
      <c r="O56" s="109"/>
      <c r="P56" s="82">
        <f>+O29-'Mar-22'!M26+'Dec-22'!M29</f>
        <v>1692448</v>
      </c>
      <c r="Q56" s="82">
        <f>+P29-'Mar-22'!N26+'Dec-22'!N29</f>
        <v>175129</v>
      </c>
      <c r="R56" s="82">
        <f>+Q29-'Mar-22'!O26+'Dec-22'!O29</f>
        <v>30309</v>
      </c>
      <c r="S56" s="82">
        <f>+R29-'Mar-22'!P26+'Dec-22'!P29</f>
        <v>861947</v>
      </c>
      <c r="T56" s="109"/>
      <c r="U56" s="64">
        <f>IFERROR(P56/Q56-1,"n/a")</f>
        <v>8.6640076743429137</v>
      </c>
      <c r="V56" s="64">
        <f>IFERROR(P56/R56-1,"n/a")</f>
        <v>54.839783562638161</v>
      </c>
      <c r="W56" s="60">
        <f>IFERROR(P56/S56-1,"n/a")</f>
        <v>0.96351747845285152</v>
      </c>
      <c r="X56" s="82"/>
      <c r="Y56" s="82">
        <v>174336</v>
      </c>
      <c r="Z56" s="84">
        <v>21928</v>
      </c>
      <c r="AA56" s="78">
        <f>706948+155011</f>
        <v>861959</v>
      </c>
      <c r="AB56" s="9"/>
    </row>
    <row r="57" spans="1:28" ht="15.75" thickBot="1">
      <c r="C57" s="35" t="s">
        <v>12</v>
      </c>
      <c r="D57" s="36"/>
      <c r="E57" s="37"/>
      <c r="F57" s="75">
        <f t="shared" ref="F57:J58" si="11">F40+F43+F46+F49+F52+F55</f>
        <v>322</v>
      </c>
      <c r="G57" s="75">
        <f t="shared" si="11"/>
        <v>260</v>
      </c>
      <c r="H57" s="75">
        <f t="shared" si="11"/>
        <v>5</v>
      </c>
      <c r="I57" s="75">
        <f t="shared" si="11"/>
        <v>160</v>
      </c>
      <c r="J57" s="75">
        <f t="shared" si="11"/>
        <v>229</v>
      </c>
      <c r="K57" s="66">
        <f>IFERROR(F57/G57-1,"n/a")</f>
        <v>0.2384615384615385</v>
      </c>
      <c r="L57" s="66">
        <f>IFERROR(F57/H57-1,"n/a")</f>
        <v>63.400000000000006</v>
      </c>
      <c r="M57" s="66">
        <f>IFERROR(F57/I57-1,"n/a")</f>
        <v>1.0125000000000002</v>
      </c>
      <c r="N57" s="62">
        <f>IFERROR(F57/J57-1,"n/a")</f>
        <v>0.40611353711790388</v>
      </c>
      <c r="O57" s="46"/>
      <c r="P57" s="46">
        <f t="shared" ref="P57:S58" si="12">P40+P43+P46+P49+P52+P55</f>
        <v>3862</v>
      </c>
      <c r="Q57" s="46">
        <f t="shared" si="12"/>
        <v>1680</v>
      </c>
      <c r="R57" s="46">
        <f t="shared" si="12"/>
        <v>114</v>
      </c>
      <c r="S57" s="46">
        <f t="shared" si="12"/>
        <v>3274</v>
      </c>
      <c r="T57" s="46"/>
      <c r="U57" s="66">
        <f>IFERROR(P57/Q57-1,"n/a")</f>
        <v>1.2988095238095236</v>
      </c>
      <c r="V57" s="66">
        <f>IFERROR(P57/R57-1,"n/a")</f>
        <v>32.877192982456137</v>
      </c>
      <c r="W57" s="62">
        <f>IFERROR(P57/S57-1,"n/a")</f>
        <v>0.17959682345754424</v>
      </c>
      <c r="X57" s="46"/>
      <c r="Y57" s="46">
        <f t="shared" ref="Y57:AA58" si="13">Y40+Y43+Y46+Y49+Y52+Y55</f>
        <v>1682</v>
      </c>
      <c r="Z57" s="46">
        <f t="shared" si="13"/>
        <v>679</v>
      </c>
      <c r="AA57" s="80">
        <f t="shared" si="13"/>
        <v>3274</v>
      </c>
      <c r="AB57" s="9"/>
    </row>
    <row r="58" spans="1:28" ht="16.5" thickTop="1" thickBot="1">
      <c r="C58" s="38" t="s">
        <v>13</v>
      </c>
      <c r="D58" s="39"/>
      <c r="E58" s="40"/>
      <c r="F58" s="76">
        <f t="shared" si="11"/>
        <v>921313</v>
      </c>
      <c r="G58" s="76">
        <f t="shared" si="11"/>
        <v>406818</v>
      </c>
      <c r="H58" s="76">
        <f t="shared" si="11"/>
        <v>4146</v>
      </c>
      <c r="I58" s="76">
        <f t="shared" si="11"/>
        <v>226273</v>
      </c>
      <c r="J58" s="76">
        <f t="shared" si="11"/>
        <v>655947</v>
      </c>
      <c r="K58" s="67">
        <f>IFERROR(F58/G58-1,"n/a")</f>
        <v>1.2646810121479386</v>
      </c>
      <c r="L58" s="67">
        <f>IFERROR(F58/H58-1,"n/a")</f>
        <v>221.21731789676798</v>
      </c>
      <c r="M58" s="67">
        <f>IFERROR(F58/I58-1,"n/a")</f>
        <v>3.071687740030848</v>
      </c>
      <c r="N58" s="63">
        <f>IFERROR(F58/J58-1,"n/a")</f>
        <v>0.40455402646860184</v>
      </c>
      <c r="O58" s="47"/>
      <c r="P58" s="47">
        <f t="shared" si="12"/>
        <v>9237738</v>
      </c>
      <c r="Q58" s="47">
        <f t="shared" si="12"/>
        <v>2412434</v>
      </c>
      <c r="R58" s="47">
        <f t="shared" si="12"/>
        <v>57343</v>
      </c>
      <c r="S58" s="47">
        <f t="shared" si="12"/>
        <v>8654754</v>
      </c>
      <c r="T58" s="47"/>
      <c r="U58" s="67">
        <f>IFERROR(P58/Q58-1,"n/a")</f>
        <v>2.8292189547983488</v>
      </c>
      <c r="V58" s="67">
        <f>IFERROR(P58/R58-1,"n/a")</f>
        <v>160.09617564480408</v>
      </c>
      <c r="W58" s="63">
        <f>IFERROR(P58/S58-1,"n/a")</f>
        <v>6.7359973489714342E-2</v>
      </c>
      <c r="X58" s="47"/>
      <c r="Y58" s="47">
        <f t="shared" si="13"/>
        <v>2411641</v>
      </c>
      <c r="Z58" s="47">
        <f t="shared" si="13"/>
        <v>1324261</v>
      </c>
      <c r="AA58" s="81">
        <f t="shared" si="13"/>
        <v>8654686</v>
      </c>
      <c r="AB58" s="9"/>
    </row>
    <row r="59" spans="1:28" ht="15.75" thickTop="1">
      <c r="AB59" s="9"/>
    </row>
    <row r="60" spans="1:28">
      <c r="P60" s="111"/>
      <c r="Q60" s="111"/>
      <c r="R60" s="111"/>
      <c r="S60" s="111"/>
      <c r="AB60" s="9"/>
    </row>
    <row r="61" spans="1:28">
      <c r="P61" s="111"/>
      <c r="Q61" s="111"/>
      <c r="R61" s="111"/>
      <c r="S61" s="111"/>
      <c r="AB61" s="9"/>
    </row>
    <row r="62" spans="1:28" hidden="1">
      <c r="P62" s="111"/>
      <c r="Q62" s="111"/>
      <c r="R62" s="111"/>
      <c r="S62" s="111"/>
      <c r="AB62" s="9"/>
    </row>
    <row r="63" spans="1:28" hidden="1">
      <c r="P63" s="111"/>
      <c r="Q63" s="111"/>
      <c r="R63" s="111"/>
      <c r="S63" s="111"/>
      <c r="AB63" s="9"/>
    </row>
    <row r="64" spans="1:28" hidden="1">
      <c r="AB64" s="9"/>
    </row>
    <row r="65" spans="28:28" hidden="1">
      <c r="AB65" s="9"/>
    </row>
    <row r="66" spans="28:28" hidden="1">
      <c r="AB66" s="9"/>
    </row>
  </sheetData>
  <mergeCells count="6">
    <mergeCell ref="F9:N9"/>
    <mergeCell ref="O9:W9"/>
    <mergeCell ref="X9:AA9"/>
    <mergeCell ref="F36:N36"/>
    <mergeCell ref="O36:W36"/>
    <mergeCell ref="X36:AA36"/>
  </mergeCells>
  <pageMargins left="0.7" right="0.7" top="0.75" bottom="0.75" header="0.3" footer="0.3"/>
  <drawing r:id="rId1"/>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66"/>
  <sheetViews>
    <sheetView showGridLines="0" topLeftCell="A43" workbookViewId="0">
      <selection activeCell="F57" sqref="F57:J58"/>
    </sheetView>
  </sheetViews>
  <sheetFormatPr defaultColWidth="0" defaultRowHeight="15" zeroHeight="1"/>
  <cols>
    <col min="1" max="2" width="4.140625" customWidth="1"/>
    <col min="3" max="3" width="3.85546875" customWidth="1"/>
    <col min="4" max="4" width="8.85546875" customWidth="1"/>
    <col min="5" max="5" width="10.85546875" bestFit="1" customWidth="1"/>
    <col min="6" max="10" width="8.85546875" customWidth="1"/>
    <col min="11" max="14" width="8" customWidth="1"/>
    <col min="15" max="19" width="10.42578125" bestFit="1" customWidth="1"/>
    <col min="20" max="21" width="8.140625" bestFit="1" customWidth="1"/>
    <col min="22" max="22" width="9" bestFit="1" customWidth="1"/>
    <col min="23" max="23" width="7.85546875" customWidth="1"/>
    <col min="24" max="26" width="10.42578125" bestFit="1" customWidth="1"/>
    <col min="27" max="27" width="11.140625" bestFit="1" customWidth="1"/>
    <col min="28" max="28" width="3.42578125" customWidth="1"/>
    <col min="29" max="16384" width="8.85546875" hidden="1"/>
  </cols>
  <sheetData>
    <row r="1" spans="1:28">
      <c r="A1" s="9"/>
      <c r="B1" s="9"/>
      <c r="C1" s="9"/>
      <c r="D1" s="9"/>
      <c r="E1" s="9"/>
      <c r="F1" s="9"/>
      <c r="G1" s="9"/>
      <c r="H1" s="9"/>
      <c r="I1" s="9"/>
      <c r="J1" s="9"/>
      <c r="K1" s="9"/>
      <c r="L1" s="9"/>
      <c r="M1" s="9"/>
      <c r="N1" s="9"/>
      <c r="O1" s="9"/>
      <c r="P1" s="9"/>
      <c r="Q1" s="9"/>
      <c r="R1" s="9"/>
      <c r="S1" s="9"/>
      <c r="T1" s="9"/>
      <c r="U1" s="9"/>
      <c r="V1" s="9"/>
      <c r="W1" s="9"/>
      <c r="X1" s="9"/>
      <c r="Y1" s="9"/>
      <c r="Z1" s="9"/>
      <c r="AA1" s="9"/>
      <c r="AB1" s="9"/>
    </row>
    <row r="2" spans="1:28"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9"/>
    </row>
    <row r="3" spans="1:28">
      <c r="A3" s="9"/>
      <c r="B3" s="10"/>
      <c r="C3" s="24"/>
      <c r="D3" s="24"/>
      <c r="E3" s="24"/>
      <c r="F3" s="24"/>
      <c r="G3" s="24"/>
      <c r="H3" s="24"/>
      <c r="I3" s="24"/>
      <c r="J3" s="24"/>
      <c r="K3" s="24"/>
      <c r="L3" s="24"/>
      <c r="M3" s="24"/>
      <c r="N3" s="24"/>
      <c r="O3" s="24"/>
      <c r="P3" s="24"/>
      <c r="Q3" s="24"/>
      <c r="R3" s="24"/>
      <c r="S3" s="24"/>
      <c r="T3" s="24"/>
      <c r="U3" s="24"/>
      <c r="V3" s="24"/>
      <c r="W3" s="24"/>
      <c r="X3" s="24"/>
      <c r="Y3" s="24"/>
      <c r="Z3" s="24"/>
      <c r="AA3" s="25">
        <v>45000</v>
      </c>
      <c r="AB3" s="9"/>
    </row>
    <row r="4" spans="1:28" ht="15.75">
      <c r="A4" s="9"/>
      <c r="B4" s="11" t="s">
        <v>7</v>
      </c>
      <c r="C4" s="26"/>
      <c r="D4" s="24"/>
      <c r="E4" s="58" t="s">
        <v>101</v>
      </c>
      <c r="F4" s="24"/>
      <c r="G4" s="24"/>
      <c r="H4" s="24"/>
      <c r="I4" s="24"/>
      <c r="J4" s="24"/>
      <c r="K4" s="24"/>
      <c r="L4" s="24"/>
      <c r="M4" s="24"/>
      <c r="N4" s="24"/>
      <c r="O4" s="24"/>
      <c r="P4" s="24"/>
      <c r="Q4" s="24"/>
      <c r="R4" s="24"/>
      <c r="S4" s="24"/>
      <c r="T4" s="24"/>
      <c r="U4" s="24"/>
      <c r="V4" s="24"/>
      <c r="W4" s="24"/>
      <c r="X4" s="24"/>
      <c r="Y4" s="24"/>
      <c r="Z4" s="24"/>
      <c r="AA4" s="24"/>
      <c r="AB4" s="9"/>
    </row>
    <row r="5" spans="1:28">
      <c r="A5" s="9"/>
      <c r="B5" s="10"/>
      <c r="C5" s="24"/>
      <c r="D5" s="24"/>
      <c r="E5" s="24"/>
      <c r="F5" s="24"/>
      <c r="G5" s="24"/>
      <c r="H5" s="24"/>
      <c r="I5" s="24"/>
      <c r="J5" s="24"/>
      <c r="K5" s="24"/>
      <c r="L5" s="24"/>
      <c r="M5" s="24"/>
      <c r="N5" s="24"/>
      <c r="O5" s="24"/>
      <c r="P5" s="24"/>
      <c r="Q5" s="24"/>
      <c r="R5" s="24"/>
      <c r="S5" s="24"/>
      <c r="T5" s="24"/>
      <c r="U5" s="24"/>
      <c r="V5" s="24"/>
      <c r="W5" s="24"/>
      <c r="X5" s="24"/>
      <c r="Y5" s="24"/>
      <c r="Z5" s="24"/>
      <c r="AA5" s="24"/>
      <c r="AB5" s="9"/>
    </row>
    <row r="6" spans="1:28">
      <c r="A6" s="9"/>
      <c r="B6" s="10"/>
      <c r="C6" s="24"/>
      <c r="D6" s="24"/>
      <c r="E6" s="24"/>
      <c r="F6" s="24"/>
      <c r="G6" s="24"/>
      <c r="H6" s="24"/>
      <c r="I6" s="24"/>
      <c r="J6" s="24"/>
      <c r="K6" s="24"/>
      <c r="L6" s="24"/>
      <c r="M6" s="24"/>
      <c r="N6" s="24"/>
      <c r="O6" s="24"/>
      <c r="P6" s="24"/>
      <c r="Q6" s="24"/>
      <c r="R6" s="24"/>
      <c r="S6" s="24"/>
      <c r="T6" s="24"/>
      <c r="U6" s="24"/>
      <c r="V6" s="24"/>
      <c r="W6" s="24"/>
      <c r="X6" s="24"/>
      <c r="Y6" s="24"/>
      <c r="Z6" s="24"/>
      <c r="AA6" s="24"/>
      <c r="AB6" s="9"/>
    </row>
    <row r="7" spans="1:28">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9"/>
    </row>
    <row r="8" spans="1:28">
      <c r="A8" s="9"/>
      <c r="B8" s="10"/>
      <c r="C8" s="24"/>
      <c r="D8" s="24"/>
      <c r="E8" s="24"/>
      <c r="F8" s="24"/>
      <c r="G8" s="24"/>
      <c r="H8" s="24"/>
      <c r="I8" s="24"/>
      <c r="J8" s="24"/>
      <c r="K8" s="24"/>
      <c r="L8" s="24"/>
      <c r="M8" s="24"/>
      <c r="N8" s="24"/>
      <c r="O8" s="24"/>
      <c r="P8" s="24"/>
      <c r="Q8" s="24"/>
      <c r="R8" s="24"/>
      <c r="S8" s="24"/>
      <c r="T8" s="24"/>
      <c r="U8" s="24"/>
      <c r="V8" s="24"/>
      <c r="W8" s="24"/>
      <c r="X8" s="24"/>
      <c r="Y8" s="24"/>
      <c r="Z8" s="24"/>
      <c r="AA8" s="24"/>
      <c r="AB8" s="9"/>
    </row>
    <row r="9" spans="1:28">
      <c r="A9" s="9"/>
      <c r="C9" s="27" t="s">
        <v>7</v>
      </c>
      <c r="D9" s="28"/>
      <c r="E9" s="28"/>
      <c r="F9" s="170" t="s">
        <v>39</v>
      </c>
      <c r="G9" s="170"/>
      <c r="H9" s="170"/>
      <c r="I9" s="170"/>
      <c r="J9" s="170"/>
      <c r="K9" s="170"/>
      <c r="L9" s="170"/>
      <c r="M9" s="170"/>
      <c r="N9" s="171"/>
      <c r="O9" s="169" t="s">
        <v>38</v>
      </c>
      <c r="P9" s="170"/>
      <c r="Q9" s="170"/>
      <c r="R9" s="170"/>
      <c r="S9" s="170"/>
      <c r="T9" s="170"/>
      <c r="U9" s="170"/>
      <c r="V9" s="170"/>
      <c r="W9" s="171"/>
      <c r="X9" s="169" t="s">
        <v>57</v>
      </c>
      <c r="Y9" s="170"/>
      <c r="Z9" s="170"/>
      <c r="AA9" s="172"/>
      <c r="AB9" s="9"/>
    </row>
    <row r="10" spans="1:28"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9"/>
    </row>
    <row r="11" spans="1:28" ht="26.25"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row>
    <row r="12" spans="1:28">
      <c r="A12" s="9"/>
      <c r="B12" s="12"/>
      <c r="C12" s="31" t="s">
        <v>14</v>
      </c>
      <c r="D12" s="26"/>
      <c r="E12" s="32"/>
      <c r="F12" s="26"/>
      <c r="G12" s="26"/>
      <c r="H12" s="26"/>
      <c r="I12" s="26"/>
      <c r="J12" s="26"/>
      <c r="K12" s="26"/>
      <c r="L12" s="26"/>
      <c r="M12" s="26"/>
      <c r="N12" s="32"/>
      <c r="O12" s="26"/>
      <c r="P12" s="26"/>
      <c r="Q12" s="26"/>
      <c r="R12" s="26"/>
      <c r="S12" s="26"/>
      <c r="T12" s="26"/>
      <c r="U12" s="26"/>
      <c r="V12" s="26"/>
      <c r="W12" s="32"/>
      <c r="X12" s="26"/>
      <c r="Y12" s="26"/>
      <c r="Z12" s="26"/>
      <c r="AA12" s="32"/>
      <c r="AB12" s="9"/>
    </row>
    <row r="13" spans="1:28">
      <c r="A13" s="9"/>
      <c r="B13" s="12"/>
      <c r="C13" s="33"/>
      <c r="D13" s="26" t="s">
        <v>5</v>
      </c>
      <c r="E13" s="32"/>
      <c r="F13" s="73">
        <v>61</v>
      </c>
      <c r="G13" s="71">
        <v>59</v>
      </c>
      <c r="H13" s="71">
        <v>0</v>
      </c>
      <c r="I13" s="71">
        <v>55</v>
      </c>
      <c r="J13" s="71">
        <v>62</v>
      </c>
      <c r="K13" s="64">
        <f>IFERROR(F13/G13-1,"n/a")</f>
        <v>3.3898305084745672E-2</v>
      </c>
      <c r="L13" s="64" t="str">
        <f t="shared" ref="L13:L31" si="0">IFERROR(F13/H13-1,"n/a")</f>
        <v>n/a</v>
      </c>
      <c r="M13" s="64">
        <f>IFERROR(F13/I13-1,"n/a")</f>
        <v>0.10909090909090913</v>
      </c>
      <c r="N13" s="60">
        <f>IFERROR(F13/J13-1,"n/a")</f>
        <v>-1.6129032258064502E-2</v>
      </c>
      <c r="O13" s="68">
        <f>F13+'Jan-23'!O13</f>
        <v>129</v>
      </c>
      <c r="P13" s="68">
        <f>G13+'Jan-23'!P13</f>
        <v>123</v>
      </c>
      <c r="Q13" s="68">
        <f>H13+'Jan-23'!Q13</f>
        <v>0</v>
      </c>
      <c r="R13" s="68">
        <f>I13+'Jan-23'!R13</f>
        <v>116</v>
      </c>
      <c r="S13" s="68">
        <f>J13+'Jan-23'!S13</f>
        <v>138</v>
      </c>
      <c r="T13" s="64">
        <f>IFERROR(O13/P13-1,"n/a")</f>
        <v>4.8780487804878092E-2</v>
      </c>
      <c r="U13" s="64" t="str">
        <f>IFERROR(O13/Q13-1,"n/a")</f>
        <v>n/a</v>
      </c>
      <c r="V13" s="64">
        <f>IFERROR(O13/R13-1,"n/a")</f>
        <v>0.11206896551724133</v>
      </c>
      <c r="W13" s="60">
        <f>IFERROR(O13/S13-1,"n/a")</f>
        <v>-6.5217391304347783E-2</v>
      </c>
      <c r="X13" s="68">
        <v>346</v>
      </c>
      <c r="Y13" s="68">
        <v>111</v>
      </c>
      <c r="Z13" s="70">
        <v>145</v>
      </c>
      <c r="AA13" s="78">
        <v>386</v>
      </c>
      <c r="AB13" s="9"/>
    </row>
    <row r="14" spans="1:28">
      <c r="A14" s="9"/>
      <c r="B14" s="12"/>
      <c r="C14" s="33"/>
      <c r="D14" s="26" t="s">
        <v>11</v>
      </c>
      <c r="E14" s="32"/>
      <c r="F14" s="73">
        <v>107254</v>
      </c>
      <c r="G14" s="71">
        <v>44710</v>
      </c>
      <c r="H14" s="71">
        <v>0</v>
      </c>
      <c r="I14" s="71">
        <v>101463</v>
      </c>
      <c r="J14" s="71">
        <v>119668</v>
      </c>
      <c r="K14" s="64">
        <f>IFERROR(F14/G14-1,"n/a")</f>
        <v>1.3988816819503467</v>
      </c>
      <c r="L14" s="64" t="str">
        <f t="shared" si="0"/>
        <v>n/a</v>
      </c>
      <c r="M14" s="64">
        <f>IFERROR(F14/I14-1,"n/a")</f>
        <v>5.7074992854538209E-2</v>
      </c>
      <c r="N14" s="60">
        <f>IFERROR(F14/J14-1,"n/a")</f>
        <v>-0.10373700571581379</v>
      </c>
      <c r="O14" s="68">
        <f>F14+'Jan-23'!O14</f>
        <v>223218</v>
      </c>
      <c r="P14" s="68">
        <f>G14+'Jan-23'!P14</f>
        <v>95504</v>
      </c>
      <c r="Q14" s="68">
        <f>H14+'Jan-23'!Q14</f>
        <v>0</v>
      </c>
      <c r="R14" s="68">
        <f>I14+'Jan-23'!R14</f>
        <v>210259</v>
      </c>
      <c r="S14" s="68">
        <f>J14+'Jan-23'!S14</f>
        <v>276534</v>
      </c>
      <c r="T14" s="64">
        <f>IFERROR(O14/P14-1,"n/a")</f>
        <v>1.3372633606969342</v>
      </c>
      <c r="U14" s="64" t="str">
        <f>IFERROR(O14/Q14-1,"n/a")</f>
        <v>n/a</v>
      </c>
      <c r="V14" s="64">
        <f>IFERROR(O14/R14-1,"n/a")</f>
        <v>6.163350914824095E-2</v>
      </c>
      <c r="W14" s="60">
        <f>IFERROR(O14/S14-1,"n/a")</f>
        <v>-0.19280088524376748</v>
      </c>
      <c r="X14" s="68">
        <v>380182</v>
      </c>
      <c r="Y14" s="68">
        <v>80863</v>
      </c>
      <c r="Z14" s="70">
        <v>258885</v>
      </c>
      <c r="AA14" s="78">
        <v>733296</v>
      </c>
      <c r="AB14" s="9"/>
    </row>
    <row r="15" spans="1:28">
      <c r="A15" s="9"/>
      <c r="B15" s="12"/>
      <c r="C15" s="31" t="s">
        <v>74</v>
      </c>
      <c r="D15" s="26"/>
      <c r="E15" s="32"/>
      <c r="F15" s="97"/>
      <c r="G15" s="26"/>
      <c r="H15" s="26"/>
      <c r="I15" s="26"/>
      <c r="J15" s="26"/>
      <c r="K15" s="64"/>
      <c r="L15" s="64"/>
      <c r="M15" s="64"/>
      <c r="N15" s="61"/>
      <c r="O15" s="87"/>
      <c r="P15" s="87"/>
      <c r="Q15" s="87"/>
      <c r="R15" s="87"/>
      <c r="S15" s="87"/>
      <c r="T15" s="64"/>
      <c r="U15" s="64"/>
      <c r="V15" s="65"/>
      <c r="W15" s="61"/>
      <c r="X15" s="43"/>
      <c r="Y15" s="43"/>
      <c r="Z15" s="44"/>
      <c r="AA15" s="79"/>
      <c r="AB15" s="9"/>
    </row>
    <row r="16" spans="1:28">
      <c r="A16" s="9"/>
      <c r="B16" s="12"/>
      <c r="C16" s="33"/>
      <c r="D16" s="26" t="s">
        <v>5</v>
      </c>
      <c r="E16" s="32"/>
      <c r="F16" s="74">
        <v>17</v>
      </c>
      <c r="G16" s="71">
        <v>13</v>
      </c>
      <c r="H16" s="71">
        <v>0</v>
      </c>
      <c r="I16" s="71">
        <v>14</v>
      </c>
      <c r="J16" s="71">
        <v>21</v>
      </c>
      <c r="K16" s="64">
        <f>IFERROR(F16/G16-1,"n/a")</f>
        <v>0.30769230769230771</v>
      </c>
      <c r="L16" s="64" t="str">
        <f t="shared" si="0"/>
        <v>n/a</v>
      </c>
      <c r="M16" s="64">
        <f>IFERROR(F16/I16-1,"n/a")</f>
        <v>0.21428571428571419</v>
      </c>
      <c r="N16" s="60">
        <f>IFERROR(F16/J16-1,"n/a")</f>
        <v>-0.19047619047619047</v>
      </c>
      <c r="O16" s="68">
        <f>F16+'Jan-23'!O16</f>
        <v>40</v>
      </c>
      <c r="P16" s="68">
        <f>G16+'Jan-23'!P16</f>
        <v>29</v>
      </c>
      <c r="Q16" s="68">
        <f>H16+'Jan-23'!Q16</f>
        <v>0</v>
      </c>
      <c r="R16" s="68">
        <f>I16+'Jan-23'!R16</f>
        <v>33</v>
      </c>
      <c r="S16" s="68">
        <f>J16+'Jan-23'!S16</f>
        <v>45</v>
      </c>
      <c r="T16" s="64">
        <f>IFERROR(O16/P16-1,"n/a")</f>
        <v>0.3793103448275863</v>
      </c>
      <c r="U16" s="64" t="str">
        <f>IFERROR(O16/Q16-1,"n/a")</f>
        <v>n/a</v>
      </c>
      <c r="V16" s="64">
        <f>IFERROR(O16/R16-1,"n/a")</f>
        <v>0.21212121212121215</v>
      </c>
      <c r="W16" s="60">
        <f>IFERROR(O16/S16-1,"n/a")</f>
        <v>-0.11111111111111116</v>
      </c>
      <c r="X16" s="68">
        <v>778</v>
      </c>
      <c r="Y16" s="68">
        <v>283</v>
      </c>
      <c r="Z16" s="70">
        <v>43</v>
      </c>
      <c r="AA16" s="78">
        <v>827</v>
      </c>
      <c r="AB16" s="9"/>
    </row>
    <row r="17" spans="1:28">
      <c r="A17" s="9"/>
      <c r="B17" s="12"/>
      <c r="C17" s="33"/>
      <c r="D17" s="26" t="s">
        <v>11</v>
      </c>
      <c r="E17" s="32"/>
      <c r="F17" s="74">
        <v>64480</v>
      </c>
      <c r="G17" s="71">
        <v>14032</v>
      </c>
      <c r="H17" s="71">
        <v>0</v>
      </c>
      <c r="I17" s="71">
        <v>47023</v>
      </c>
      <c r="J17" s="71">
        <v>59703</v>
      </c>
      <c r="K17" s="64">
        <f>IFERROR(F17/G17-1,"n/a")</f>
        <v>3.5952109464082094</v>
      </c>
      <c r="L17" s="64" t="str">
        <f t="shared" si="0"/>
        <v>n/a</v>
      </c>
      <c r="M17" s="64">
        <f>IFERROR(F17/I17-1,"n/a")</f>
        <v>0.37124385938795901</v>
      </c>
      <c r="N17" s="60">
        <f>IFERROR(F17/J17-1,"n/a")</f>
        <v>8.0012729678575534E-2</v>
      </c>
      <c r="O17" s="68">
        <f>F17+'Jan-23'!O17</f>
        <v>137438</v>
      </c>
      <c r="P17" s="68">
        <f>G17+'Jan-23'!P17</f>
        <v>35860</v>
      </c>
      <c r="Q17" s="68">
        <f>H17+'Jan-23'!Q17</f>
        <v>0</v>
      </c>
      <c r="R17" s="68">
        <f>I17+'Jan-23'!R17</f>
        <v>112017</v>
      </c>
      <c r="S17" s="68">
        <f>J17+'Jan-23'!S17</f>
        <v>134226</v>
      </c>
      <c r="T17" s="64">
        <f>IFERROR(O17/P17-1,"n/a")</f>
        <v>2.8326268823201337</v>
      </c>
      <c r="U17" s="64" t="str">
        <f>IFERROR(O17/Q17-1,"n/a")</f>
        <v>n/a</v>
      </c>
      <c r="V17" s="64">
        <f>IFERROR(O17/R17-1,"n/a")</f>
        <v>0.22693876822268044</v>
      </c>
      <c r="W17" s="60">
        <f>IFERROR(O17/S17-1,"n/a")</f>
        <v>2.3929790055577937E-2</v>
      </c>
      <c r="X17" s="68">
        <v>1843624</v>
      </c>
      <c r="Y17" s="68">
        <v>465109</v>
      </c>
      <c r="Z17" s="70">
        <v>140552</v>
      </c>
      <c r="AA17" s="78">
        <v>2552942</v>
      </c>
      <c r="AB17" s="9"/>
    </row>
    <row r="18" spans="1:28">
      <c r="A18" s="9"/>
      <c r="B18" s="12"/>
      <c r="C18" s="31" t="s">
        <v>15</v>
      </c>
      <c r="D18" s="26"/>
      <c r="E18" s="32"/>
      <c r="F18" s="72"/>
      <c r="G18" s="72"/>
      <c r="H18" s="72"/>
      <c r="I18" s="72"/>
      <c r="J18" s="72"/>
      <c r="K18" s="64"/>
      <c r="L18" s="64"/>
      <c r="M18" s="64"/>
      <c r="N18" s="60"/>
      <c r="O18" s="87"/>
      <c r="P18" s="87"/>
      <c r="Q18" s="87"/>
      <c r="R18" s="87"/>
      <c r="S18" s="87"/>
      <c r="T18" s="64"/>
      <c r="U18" s="64"/>
      <c r="V18" s="64"/>
      <c r="W18" s="60"/>
      <c r="X18" s="43"/>
      <c r="Y18" s="43"/>
      <c r="Z18" s="44"/>
      <c r="AA18" s="79"/>
      <c r="AB18" s="9"/>
    </row>
    <row r="19" spans="1:28">
      <c r="A19" s="9"/>
      <c r="B19" s="12"/>
      <c r="C19" s="33"/>
      <c r="D19" s="26" t="s">
        <v>5</v>
      </c>
      <c r="E19" s="32"/>
      <c r="F19" s="73">
        <v>2</v>
      </c>
      <c r="G19" s="71">
        <v>2</v>
      </c>
      <c r="H19" s="71">
        <v>0</v>
      </c>
      <c r="I19" s="71">
        <v>0</v>
      </c>
      <c r="J19" s="71">
        <v>1</v>
      </c>
      <c r="K19" s="64">
        <f>IFERROR(F19/G19-1,"n/a")</f>
        <v>0</v>
      </c>
      <c r="L19" s="64" t="str">
        <f t="shared" si="0"/>
        <v>n/a</v>
      </c>
      <c r="M19" s="64" t="str">
        <f>IFERROR(F19/I19-1,"n/a")</f>
        <v>n/a</v>
      </c>
      <c r="N19" s="60">
        <f>IFERROR(F19/J19-1,"n/a")</f>
        <v>1</v>
      </c>
      <c r="O19" s="68">
        <f>F19+'Jan-23'!O19</f>
        <v>6</v>
      </c>
      <c r="P19" s="68">
        <f>G19+'Jan-23'!P19</f>
        <v>5</v>
      </c>
      <c r="Q19" s="68">
        <f>H19+'Jan-23'!Q19</f>
        <v>0</v>
      </c>
      <c r="R19" s="68">
        <f>I19+'Jan-23'!R19</f>
        <v>1</v>
      </c>
      <c r="S19" s="68">
        <f>J19+'Jan-23'!S19</f>
        <v>1</v>
      </c>
      <c r="T19" s="64">
        <f>IFERROR(O19/P19-1,"n/a")</f>
        <v>0.19999999999999996</v>
      </c>
      <c r="U19" s="64" t="str">
        <f>IFERROR(O19/Q19-1,"n/a")</f>
        <v>n/a</v>
      </c>
      <c r="V19" s="64">
        <f>IFERROR(O19/R19-1,"n/a")</f>
        <v>5</v>
      </c>
      <c r="W19" s="60">
        <f>IFERROR(O19/S19-1,"n/a")</f>
        <v>5</v>
      </c>
      <c r="X19" s="68">
        <v>475</v>
      </c>
      <c r="Y19" s="68">
        <v>23</v>
      </c>
      <c r="Z19" s="70">
        <v>4</v>
      </c>
      <c r="AA19" s="78">
        <v>191</v>
      </c>
      <c r="AB19" s="9"/>
    </row>
    <row r="20" spans="1:28">
      <c r="A20" s="9"/>
      <c r="B20" s="12"/>
      <c r="C20" s="33"/>
      <c r="D20" s="26" t="s">
        <v>11</v>
      </c>
      <c r="E20" s="32"/>
      <c r="F20" s="73">
        <f>1740+20</f>
        <v>1760</v>
      </c>
      <c r="G20" s="71">
        <v>294</v>
      </c>
      <c r="H20" s="71">
        <v>0</v>
      </c>
      <c r="I20" s="71">
        <v>0</v>
      </c>
      <c r="J20" s="71">
        <v>583</v>
      </c>
      <c r="K20" s="64">
        <f>IFERROR(F20/G20-1,"n/a")</f>
        <v>4.9863945578231297</v>
      </c>
      <c r="L20" s="64" t="str">
        <f t="shared" si="0"/>
        <v>n/a</v>
      </c>
      <c r="M20" s="64" t="str">
        <f>IFERROR(F20/I20-1,"n/a")</f>
        <v>n/a</v>
      </c>
      <c r="N20" s="60">
        <f t="shared" ref="N20:N31" si="1">IFERROR(F20/J20-1,"n/a")</f>
        <v>2.0188679245283021</v>
      </c>
      <c r="O20" s="68">
        <f>F20+'Jan-23'!O20</f>
        <v>4995</v>
      </c>
      <c r="P20" s="68">
        <f>G20+'Jan-23'!P20</f>
        <v>1108</v>
      </c>
      <c r="Q20" s="68">
        <f>H20+'Jan-23'!Q20</f>
        <v>0</v>
      </c>
      <c r="R20" s="68">
        <f>I20+'Jan-23'!R20</f>
        <v>823</v>
      </c>
      <c r="S20" s="68">
        <f>J20+'Jan-23'!S20</f>
        <v>583</v>
      </c>
      <c r="T20" s="64">
        <f>IFERROR(O20/P20-1,"n/a")</f>
        <v>3.5081227436823106</v>
      </c>
      <c r="U20" s="64" t="str">
        <f>IFERROR(O20/Q20-1,"n/a")</f>
        <v>n/a</v>
      </c>
      <c r="V20" s="64">
        <f>IFERROR(O20/R20-1,"n/a")</f>
        <v>5.0692588092345083</v>
      </c>
      <c r="W20" s="60">
        <f>IFERROR(O20/S20-1,"n/a")</f>
        <v>7.5677530017152659</v>
      </c>
      <c r="X20" s="68">
        <v>561984</v>
      </c>
      <c r="Y20" s="68">
        <v>8611</v>
      </c>
      <c r="Z20" s="70">
        <v>1753</v>
      </c>
      <c r="AA20" s="78">
        <v>254421</v>
      </c>
      <c r="AB20" s="9"/>
    </row>
    <row r="21" spans="1:28">
      <c r="A21" s="9"/>
      <c r="B21" s="12"/>
      <c r="C21" s="31" t="s">
        <v>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9"/>
    </row>
    <row r="22" spans="1:28">
      <c r="A22" s="9"/>
      <c r="B22" s="12"/>
      <c r="C22" s="33"/>
      <c r="D22" s="26" t="s">
        <v>5</v>
      </c>
      <c r="E22" s="34"/>
      <c r="F22" s="74">
        <v>100</v>
      </c>
      <c r="G22" s="71">
        <v>103</v>
      </c>
      <c r="H22" s="71">
        <v>0</v>
      </c>
      <c r="I22" s="71">
        <v>120</v>
      </c>
      <c r="J22" s="71">
        <v>95</v>
      </c>
      <c r="K22" s="64">
        <f>IFERROR(F22/G22-1,"n/a")</f>
        <v>-2.9126213592232997E-2</v>
      </c>
      <c r="L22" s="64" t="str">
        <f t="shared" si="0"/>
        <v>n/a</v>
      </c>
      <c r="M22" s="64">
        <f>IFERROR(F22/I22-1,"n/a")</f>
        <v>-0.16666666666666663</v>
      </c>
      <c r="N22" s="60">
        <f t="shared" si="1"/>
        <v>5.2631578947368363E-2</v>
      </c>
      <c r="O22" s="68">
        <f>F22+'Jan-23'!O22</f>
        <v>220</v>
      </c>
      <c r="P22" s="68">
        <f>G22+'Jan-23'!P22</f>
        <v>203</v>
      </c>
      <c r="Q22" s="68">
        <f>H22+'Jan-23'!Q22</f>
        <v>0</v>
      </c>
      <c r="R22" s="68">
        <f>I22+'Jan-23'!R22</f>
        <v>246</v>
      </c>
      <c r="S22" s="68">
        <f>J22+'Jan-23'!S22</f>
        <v>208</v>
      </c>
      <c r="T22" s="64">
        <f>IFERROR(O22/P22-1,"n/a")</f>
        <v>8.3743842364532028E-2</v>
      </c>
      <c r="U22" s="64" t="str">
        <f>IFERROR(O22/Q22-1,"n/a")</f>
        <v>n/a</v>
      </c>
      <c r="V22" s="64">
        <f>IFERROR(O22/R22-1,"n/a")</f>
        <v>-0.10569105691056913</v>
      </c>
      <c r="W22" s="60">
        <f>IFERROR(O22/S22-1,"n/a")</f>
        <v>5.7692307692307709E-2</v>
      </c>
      <c r="X22" s="68">
        <v>1140</v>
      </c>
      <c r="Y22" s="68">
        <v>411</v>
      </c>
      <c r="Z22" s="70">
        <v>406</v>
      </c>
      <c r="AA22" s="78">
        <v>1205</v>
      </c>
      <c r="AB22" s="9"/>
    </row>
    <row r="23" spans="1:28">
      <c r="A23" s="9"/>
      <c r="B23" s="12"/>
      <c r="C23" s="33"/>
      <c r="D23" s="26" t="s">
        <v>11</v>
      </c>
      <c r="E23" s="32"/>
      <c r="F23" s="73">
        <v>342407</v>
      </c>
      <c r="G23" s="71">
        <v>174835</v>
      </c>
      <c r="H23" s="71">
        <v>0</v>
      </c>
      <c r="I23" s="71">
        <v>329055</v>
      </c>
      <c r="J23" s="71">
        <v>305578</v>
      </c>
      <c r="K23" s="64">
        <f>IFERROR(F23/G23-1,"n/a")</f>
        <v>0.95845797466182403</v>
      </c>
      <c r="L23" s="64" t="str">
        <f t="shared" si="0"/>
        <v>n/a</v>
      </c>
      <c r="M23" s="64">
        <f>IFERROR(F23/I23-1,"n/a")</f>
        <v>4.0576803269970041E-2</v>
      </c>
      <c r="N23" s="60">
        <f t="shared" si="1"/>
        <v>0.12052241980770861</v>
      </c>
      <c r="O23" s="68">
        <f>F23+'Jan-23'!O23</f>
        <v>749392</v>
      </c>
      <c r="P23" s="68">
        <f>G23+'Jan-23'!P23</f>
        <v>319653</v>
      </c>
      <c r="Q23" s="68">
        <f>H23+'Jan-23'!Q23</f>
        <v>0</v>
      </c>
      <c r="R23" s="68">
        <f>I23+'Jan-23'!R23</f>
        <v>686339</v>
      </c>
      <c r="S23" s="68">
        <f>J23+'Jan-23'!S23</f>
        <v>673974</v>
      </c>
      <c r="T23" s="64">
        <f>IFERROR(O23/P23-1,"n/a")</f>
        <v>1.3443922002921918</v>
      </c>
      <c r="U23" s="64" t="str">
        <f>IFERROR(O23/Q23-1,"n/a")</f>
        <v>n/a</v>
      </c>
      <c r="V23" s="64">
        <f>IFERROR(O23/R23-1,"n/a")</f>
        <v>9.1868595548264098E-2</v>
      </c>
      <c r="W23" s="60">
        <f>IFERROR(O23/S23-1,"n/a")</f>
        <v>0.11190045906815405</v>
      </c>
      <c r="X23" s="68">
        <v>3212646</v>
      </c>
      <c r="Y23" s="68">
        <v>687449</v>
      </c>
      <c r="Z23" s="70">
        <v>833999</v>
      </c>
      <c r="AA23" s="78">
        <v>3859183</v>
      </c>
      <c r="AB23" s="9"/>
    </row>
    <row r="24" spans="1:28">
      <c r="A24" s="9"/>
      <c r="B24" s="12"/>
      <c r="C24" s="31" t="s">
        <v>16</v>
      </c>
      <c r="D24" s="26"/>
      <c r="E24" s="32"/>
      <c r="F24" s="72"/>
      <c r="G24" s="72"/>
      <c r="H24" s="72"/>
      <c r="I24" s="72"/>
      <c r="J24" s="72"/>
      <c r="K24" s="64"/>
      <c r="L24" s="64"/>
      <c r="M24" s="64"/>
      <c r="N24" s="60"/>
      <c r="O24" s="87"/>
      <c r="P24" s="87"/>
      <c r="Q24" s="87"/>
      <c r="R24" s="87"/>
      <c r="S24" s="87"/>
      <c r="T24" s="64"/>
      <c r="U24" s="64"/>
      <c r="V24" s="64"/>
      <c r="W24" s="60"/>
      <c r="X24" s="43"/>
      <c r="Y24" s="43"/>
      <c r="Z24" s="44"/>
      <c r="AA24" s="79"/>
      <c r="AB24" s="9"/>
    </row>
    <row r="25" spans="1:28">
      <c r="A25" s="9"/>
      <c r="B25" s="12"/>
      <c r="C25" s="33"/>
      <c r="D25" s="26" t="s">
        <v>5</v>
      </c>
      <c r="E25" s="32"/>
      <c r="F25" s="73">
        <v>5</v>
      </c>
      <c r="G25" s="71">
        <v>6</v>
      </c>
      <c r="H25" s="71">
        <v>4</v>
      </c>
      <c r="I25" s="71">
        <v>3</v>
      </c>
      <c r="J25" s="71">
        <v>7</v>
      </c>
      <c r="K25" s="64">
        <f>IFERROR(F25/G25-1,"n/a")</f>
        <v>-0.16666666666666663</v>
      </c>
      <c r="L25" s="64">
        <f t="shared" si="0"/>
        <v>0.25</v>
      </c>
      <c r="M25" s="64">
        <f>IFERROR(F25/I25-1,"n/a")</f>
        <v>0.66666666666666674</v>
      </c>
      <c r="N25" s="60">
        <f t="shared" si="1"/>
        <v>-0.2857142857142857</v>
      </c>
      <c r="O25" s="68">
        <f>F25+'Jan-23'!O25</f>
        <v>9</v>
      </c>
      <c r="P25" s="68">
        <f>G25+'Jan-23'!P25</f>
        <v>9</v>
      </c>
      <c r="Q25" s="68">
        <f>H25+'Jan-23'!Q25</f>
        <v>5</v>
      </c>
      <c r="R25" s="68">
        <f>I25+'Jan-23'!R25</f>
        <v>8</v>
      </c>
      <c r="S25" s="68">
        <f>J25+'Jan-23'!S25</f>
        <v>11</v>
      </c>
      <c r="T25" s="64">
        <f>IFERROR(O25/P25-1,"n/a")</f>
        <v>0</v>
      </c>
      <c r="U25" s="64">
        <f>IFERROR(O25/Q25-1,"n/a")</f>
        <v>0.8</v>
      </c>
      <c r="V25" s="64">
        <f>IFERROR(O25/R25-1,"n/a")</f>
        <v>0.125</v>
      </c>
      <c r="W25" s="60">
        <f>IFERROR(O25/S25-1,"n/a")</f>
        <v>-0.18181818181818177</v>
      </c>
      <c r="X25" s="68">
        <v>283</v>
      </c>
      <c r="Y25" s="68">
        <v>107</v>
      </c>
      <c r="Z25" s="70">
        <v>32</v>
      </c>
      <c r="AA25" s="78">
        <v>372</v>
      </c>
      <c r="AB25" s="9"/>
    </row>
    <row r="26" spans="1:28">
      <c r="A26" s="9"/>
      <c r="B26" s="12"/>
      <c r="C26" s="33"/>
      <c r="D26" s="26" t="s">
        <v>11</v>
      </c>
      <c r="E26" s="32"/>
      <c r="F26" s="73">
        <v>21884</v>
      </c>
      <c r="G26" s="71">
        <v>5662</v>
      </c>
      <c r="H26" s="71">
        <v>4030</v>
      </c>
      <c r="I26" s="71">
        <v>16515</v>
      </c>
      <c r="J26" s="71">
        <v>24890</v>
      </c>
      <c r="K26" s="64">
        <f>IFERROR(F26/G26-1,"n/a")</f>
        <v>2.8650653479335926</v>
      </c>
      <c r="L26" s="64">
        <f t="shared" si="0"/>
        <v>4.4302729528535982</v>
      </c>
      <c r="M26" s="64">
        <f>IFERROR(F26/I26-1,"n/a")</f>
        <v>0.32509839539812302</v>
      </c>
      <c r="N26" s="60">
        <f t="shared" si="1"/>
        <v>-0.12077139413419047</v>
      </c>
      <c r="O26" s="68">
        <f>F26+'Jan-23'!O26</f>
        <v>36729</v>
      </c>
      <c r="P26" s="68">
        <f>G26+'Jan-23'!P26</f>
        <v>7364</v>
      </c>
      <c r="Q26" s="68">
        <f>H26+'Jan-23'!Q26</f>
        <v>4674</v>
      </c>
      <c r="R26" s="68">
        <f>I26+'Jan-23'!R26</f>
        <v>39656</v>
      </c>
      <c r="S26" s="68">
        <f>J26+'Jan-23'!S26</f>
        <v>44605</v>
      </c>
      <c r="T26" s="64">
        <f>IFERROR(O26/P26-1,"n/a")</f>
        <v>3.9876425855513311</v>
      </c>
      <c r="U26" s="64">
        <f>IFERROR(O26/Q26-1,"n/a")</f>
        <v>6.8581514762516047</v>
      </c>
      <c r="V26" s="64">
        <f>IFERROR(O26/R26-1,"n/a")</f>
        <v>-7.3809763970143272E-2</v>
      </c>
      <c r="W26" s="60">
        <f>IFERROR(O26/S26-1,"n/a")</f>
        <v>-0.17657213316892728</v>
      </c>
      <c r="X26" s="68">
        <v>530405</v>
      </c>
      <c r="Y26" s="68">
        <v>147132</v>
      </c>
      <c r="Z26" s="70">
        <v>59180</v>
      </c>
      <c r="AA26" s="78">
        <v>902015</v>
      </c>
      <c r="AB26" s="9"/>
    </row>
    <row r="27" spans="1:28">
      <c r="A27" s="9"/>
      <c r="B27" s="12"/>
      <c r="C27" s="31" t="s">
        <v>17</v>
      </c>
      <c r="D27" s="26"/>
      <c r="E27" s="32"/>
      <c r="F27" s="72"/>
      <c r="G27" s="72"/>
      <c r="H27" s="72"/>
      <c r="I27" s="72"/>
      <c r="J27" s="72"/>
      <c r="K27" s="64"/>
      <c r="L27" s="64"/>
      <c r="M27" s="64"/>
      <c r="N27" s="60"/>
      <c r="O27" s="87"/>
      <c r="P27" s="87"/>
      <c r="Q27" s="87"/>
      <c r="R27" s="87"/>
      <c r="S27" s="87"/>
      <c r="T27" s="64"/>
      <c r="U27" s="64"/>
      <c r="V27" s="64"/>
      <c r="W27" s="60"/>
      <c r="X27" s="43"/>
      <c r="Y27" s="43"/>
      <c r="Z27" s="44"/>
      <c r="AA27" s="79"/>
      <c r="AB27" s="9"/>
    </row>
    <row r="28" spans="1:28">
      <c r="B28" s="12"/>
      <c r="C28" s="33"/>
      <c r="D28" s="26" t="s">
        <v>5</v>
      </c>
      <c r="E28" s="32"/>
      <c r="F28" s="74">
        <v>57</v>
      </c>
      <c r="G28" s="71">
        <v>1</v>
      </c>
      <c r="H28" s="71">
        <v>1</v>
      </c>
      <c r="I28" s="71">
        <v>1</v>
      </c>
      <c r="J28" s="71">
        <v>2</v>
      </c>
      <c r="K28" s="64">
        <f>IFERROR(F28/G28-1,"n/a")</f>
        <v>56</v>
      </c>
      <c r="L28" s="64">
        <f t="shared" si="0"/>
        <v>56</v>
      </c>
      <c r="M28" s="64">
        <f>IFERROR(F28/I28-1,"n/a")</f>
        <v>56</v>
      </c>
      <c r="N28" s="60">
        <f t="shared" si="1"/>
        <v>27.5</v>
      </c>
      <c r="O28" s="68">
        <f>F28+'Jan-23'!O28</f>
        <v>141</v>
      </c>
      <c r="P28" s="68">
        <f>G28+'Jan-23'!P28</f>
        <v>1</v>
      </c>
      <c r="Q28" s="68">
        <f>H28+'Jan-23'!Q28</f>
        <v>2</v>
      </c>
      <c r="R28" s="68">
        <f>I28+'Jan-23'!R28</f>
        <v>1</v>
      </c>
      <c r="S28" s="68">
        <f>J28+'Jan-23'!S28</f>
        <v>3</v>
      </c>
      <c r="T28" s="64">
        <f>IFERROR(O28/P28-1,"n/a")</f>
        <v>140</v>
      </c>
      <c r="U28" s="64">
        <f>IFERROR(O28/Q28-1,"n/a")</f>
        <v>69.5</v>
      </c>
      <c r="V28" s="64">
        <f>IFERROR(O28/R28-1,"n/a")</f>
        <v>140</v>
      </c>
      <c r="W28" s="60">
        <f>IFERROR(O28/S28-1,"n/a")</f>
        <v>46</v>
      </c>
      <c r="X28" s="68">
        <v>605</v>
      </c>
      <c r="Y28" s="68">
        <v>127</v>
      </c>
      <c r="Z28" s="70">
        <v>37</v>
      </c>
      <c r="AA28" s="78">
        <f>282+81</f>
        <v>363</v>
      </c>
      <c r="AB28" s="9"/>
    </row>
    <row r="29" spans="1:28">
      <c r="A29" s="9"/>
      <c r="B29" s="12"/>
      <c r="C29" s="33"/>
      <c r="D29" s="26" t="s">
        <v>11</v>
      </c>
      <c r="E29" s="32"/>
      <c r="F29" s="74">
        <f>185364+492</f>
        <v>185856</v>
      </c>
      <c r="G29" s="71">
        <v>1983</v>
      </c>
      <c r="H29" s="71">
        <v>639</v>
      </c>
      <c r="I29" s="71">
        <v>892</v>
      </c>
      <c r="J29" s="71">
        <v>3305</v>
      </c>
      <c r="K29" s="64">
        <f>IFERROR(F29/G29-1,"n/a")</f>
        <v>92.724659606656587</v>
      </c>
      <c r="L29" s="64">
        <f t="shared" si="0"/>
        <v>289.85446009389671</v>
      </c>
      <c r="M29" s="64">
        <f>IFERROR(F29/I29-1,"n/a")</f>
        <v>207.35874439461884</v>
      </c>
      <c r="N29" s="60">
        <f t="shared" si="1"/>
        <v>55.234795763993951</v>
      </c>
      <c r="O29" s="68">
        <f>F29+'Jan-23'!O29</f>
        <v>405274</v>
      </c>
      <c r="P29" s="68">
        <f>G29+'Jan-23'!P29</f>
        <v>1983</v>
      </c>
      <c r="Q29" s="68">
        <f>H29+'Jan-23'!Q29</f>
        <v>1283</v>
      </c>
      <c r="R29" s="68">
        <f>I29+'Jan-23'!R29</f>
        <v>892</v>
      </c>
      <c r="S29" s="68">
        <f>J29+'Jan-23'!S29</f>
        <v>4657</v>
      </c>
      <c r="T29" s="64">
        <f>IFERROR(O29/P29-1,"n/a")</f>
        <v>203.37418053454363</v>
      </c>
      <c r="U29" s="64">
        <f>IFERROR(O29/Q29-1,"n/a")</f>
        <v>314.87996882307095</v>
      </c>
      <c r="V29" s="64">
        <f>IFERROR(O29/R29-1,"n/a")</f>
        <v>453.34304932735427</v>
      </c>
      <c r="W29" s="60">
        <f>IFERROR(O29/S29-1,"n/a")</f>
        <v>86.024694009018688</v>
      </c>
      <c r="X29" s="68">
        <v>1098243</v>
      </c>
      <c r="Y29" s="68">
        <v>165083</v>
      </c>
      <c r="Z29" s="70">
        <f>20768+8294</f>
        <v>29062</v>
      </c>
      <c r="AA29" s="78">
        <f>659951+168729+38484</f>
        <v>867164</v>
      </c>
      <c r="AB29" s="9"/>
    </row>
    <row r="30" spans="1:28" ht="15.75" thickBot="1">
      <c r="A30" s="9"/>
      <c r="B30" s="12"/>
      <c r="C30" s="35" t="s">
        <v>12</v>
      </c>
      <c r="D30" s="36"/>
      <c r="E30" s="37"/>
      <c r="F30" s="75">
        <f t="shared" ref="F30:J31" si="2">F13+F16+F19+F22+F25+F28</f>
        <v>242</v>
      </c>
      <c r="G30" s="75">
        <f t="shared" si="2"/>
        <v>184</v>
      </c>
      <c r="H30" s="75">
        <f>H13+H16+H19+H22+H25+H28</f>
        <v>5</v>
      </c>
      <c r="I30" s="75">
        <f t="shared" si="2"/>
        <v>193</v>
      </c>
      <c r="J30" s="75">
        <f t="shared" si="2"/>
        <v>188</v>
      </c>
      <c r="K30" s="66">
        <f>IFERROR(F30/G30-1,"n/a")</f>
        <v>0.31521739130434789</v>
      </c>
      <c r="L30" s="66">
        <f t="shared" si="0"/>
        <v>47.4</v>
      </c>
      <c r="M30" s="66">
        <f>IFERROR(F30/I30-1,"n/a")</f>
        <v>0.25388601036269431</v>
      </c>
      <c r="N30" s="62">
        <f t="shared" si="1"/>
        <v>0.2872340425531914</v>
      </c>
      <c r="O30" s="46">
        <f t="shared" ref="O30:S31" si="3">O13+O16+O19+O22+O25+O28</f>
        <v>545</v>
      </c>
      <c r="P30" s="46">
        <f t="shared" si="3"/>
        <v>370</v>
      </c>
      <c r="Q30" s="46">
        <f t="shared" si="3"/>
        <v>7</v>
      </c>
      <c r="R30" s="46">
        <f t="shared" si="3"/>
        <v>405</v>
      </c>
      <c r="S30" s="46">
        <f t="shared" si="3"/>
        <v>406</v>
      </c>
      <c r="T30" s="66">
        <f>IFERROR(O30/P30-1,"n/a")</f>
        <v>0.47297297297297303</v>
      </c>
      <c r="U30" s="66">
        <f>IFERROR(O30/Q30-1,"n/a")</f>
        <v>76.857142857142861</v>
      </c>
      <c r="V30" s="66">
        <f>IFERROR(O30/R30-1,"n/a")</f>
        <v>0.34567901234567899</v>
      </c>
      <c r="W30" s="62">
        <f>IFERROR(O30/S30-1,"n/a")</f>
        <v>0.3423645320197044</v>
      </c>
      <c r="X30" s="46">
        <f t="shared" ref="X30:AA31" si="4">X13+X16+X19+X22+X25+X28</f>
        <v>3627</v>
      </c>
      <c r="Y30" s="46">
        <f t="shared" si="4"/>
        <v>1062</v>
      </c>
      <c r="Z30" s="46">
        <f t="shared" si="4"/>
        <v>667</v>
      </c>
      <c r="AA30" s="80">
        <f t="shared" si="4"/>
        <v>3344</v>
      </c>
      <c r="AB30" s="9"/>
    </row>
    <row r="31" spans="1:28" ht="16.5" thickTop="1" thickBot="1">
      <c r="A31" s="9"/>
      <c r="B31" s="12"/>
      <c r="C31" s="38" t="s">
        <v>13</v>
      </c>
      <c r="D31" s="39"/>
      <c r="E31" s="40"/>
      <c r="F31" s="76">
        <f t="shared" si="2"/>
        <v>723641</v>
      </c>
      <c r="G31" s="76">
        <f t="shared" si="2"/>
        <v>241516</v>
      </c>
      <c r="H31" s="76">
        <f t="shared" si="2"/>
        <v>4669</v>
      </c>
      <c r="I31" s="76">
        <f t="shared" si="2"/>
        <v>494948</v>
      </c>
      <c r="J31" s="76">
        <f t="shared" si="2"/>
        <v>513727</v>
      </c>
      <c r="K31" s="67">
        <f>IFERROR(F31/G31-1,"n/a")</f>
        <v>1.9962445552261547</v>
      </c>
      <c r="L31" s="67">
        <f t="shared" si="0"/>
        <v>153.98843435425144</v>
      </c>
      <c r="M31" s="67">
        <f>IFERROR(F31/I31-1,"n/a")</f>
        <v>0.46205459967511731</v>
      </c>
      <c r="N31" s="63">
        <f t="shared" si="1"/>
        <v>0.40861002049726802</v>
      </c>
      <c r="O31" s="47">
        <f t="shared" si="3"/>
        <v>1557046</v>
      </c>
      <c r="P31" s="47">
        <f t="shared" si="3"/>
        <v>461472</v>
      </c>
      <c r="Q31" s="47">
        <f t="shared" si="3"/>
        <v>5957</v>
      </c>
      <c r="R31" s="47">
        <f t="shared" si="3"/>
        <v>1049986</v>
      </c>
      <c r="S31" s="47">
        <f t="shared" si="3"/>
        <v>1134579</v>
      </c>
      <c r="T31" s="67">
        <f>IFERROR(O31/P31-1,"n/a")</f>
        <v>2.3740855349837044</v>
      </c>
      <c r="U31" s="67">
        <f>IFERROR(O31/Q31-1,"n/a")</f>
        <v>260.38089642437467</v>
      </c>
      <c r="V31" s="67">
        <f>IFERROR(O31/R31-1,"n/a")</f>
        <v>0.48292072465728109</v>
      </c>
      <c r="W31" s="63">
        <f>IFERROR(O31/S31-1,"n/a")</f>
        <v>0.3723557372382178</v>
      </c>
      <c r="X31" s="47">
        <f t="shared" si="4"/>
        <v>7627084</v>
      </c>
      <c r="Y31" s="47">
        <f t="shared" si="4"/>
        <v>1554247</v>
      </c>
      <c r="Z31" s="47">
        <f t="shared" si="4"/>
        <v>1323431</v>
      </c>
      <c r="AA31" s="81">
        <f t="shared" si="4"/>
        <v>9169021</v>
      </c>
      <c r="AB31" s="9"/>
    </row>
    <row r="32" spans="1:28" ht="15.75" thickTop="1">
      <c r="A32" s="9"/>
      <c r="B32" s="9"/>
      <c r="C32" s="9"/>
      <c r="D32" s="9"/>
      <c r="E32" s="9"/>
      <c r="F32" s="41"/>
      <c r="G32" s="41"/>
      <c r="H32" s="41"/>
      <c r="I32" s="41"/>
      <c r="J32" s="41"/>
      <c r="K32" s="41"/>
      <c r="L32" s="41"/>
      <c r="M32" s="41"/>
      <c r="N32" s="9"/>
      <c r="O32" s="9"/>
      <c r="P32" s="9"/>
      <c r="Q32" s="9"/>
      <c r="R32" s="9"/>
      <c r="S32" s="9"/>
      <c r="T32" s="9"/>
      <c r="U32" s="9"/>
      <c r="V32" s="9"/>
      <c r="W32" s="9"/>
      <c r="X32" s="9"/>
      <c r="Y32" s="9"/>
      <c r="Z32" s="9"/>
      <c r="AA32" s="9"/>
      <c r="AB32" s="9"/>
    </row>
    <row r="33" spans="1:28">
      <c r="A33" s="9"/>
      <c r="B33" s="9"/>
      <c r="C33" s="9"/>
      <c r="D33" s="9"/>
      <c r="E33" s="9"/>
      <c r="F33" s="41"/>
      <c r="G33" s="41"/>
      <c r="H33" s="41"/>
      <c r="I33" s="41"/>
      <c r="J33" s="41"/>
      <c r="K33" s="41"/>
      <c r="L33" s="41"/>
      <c r="M33" s="41"/>
      <c r="N33" s="9"/>
      <c r="O33" s="9"/>
      <c r="P33" s="9"/>
      <c r="Q33" s="9"/>
      <c r="R33" s="9"/>
      <c r="S33" s="9"/>
      <c r="T33" s="9"/>
      <c r="U33" s="9"/>
      <c r="V33" s="9"/>
      <c r="W33" s="9"/>
      <c r="X33" s="9"/>
      <c r="Y33" s="9"/>
      <c r="Z33" s="9"/>
      <c r="AA33" s="9"/>
      <c r="AB33" s="9"/>
    </row>
    <row r="34" spans="1:28">
      <c r="A34" s="9"/>
      <c r="B34" s="10"/>
      <c r="C34" s="86" t="s">
        <v>63</v>
      </c>
      <c r="D34" s="24"/>
      <c r="E34" s="24"/>
      <c r="F34" s="24"/>
      <c r="G34" s="24"/>
      <c r="H34" s="24"/>
      <c r="I34" s="24"/>
      <c r="J34" s="95"/>
      <c r="K34" s="95"/>
      <c r="L34" s="95"/>
      <c r="M34" s="95"/>
      <c r="N34" s="24"/>
      <c r="O34" s="24"/>
      <c r="P34" s="24"/>
      <c r="Q34" s="24"/>
      <c r="R34" s="24"/>
      <c r="S34" s="24"/>
      <c r="T34" s="24"/>
      <c r="U34" s="24"/>
      <c r="V34" s="24"/>
      <c r="W34" s="24"/>
      <c r="X34" s="24"/>
      <c r="Y34" s="24"/>
      <c r="Z34" s="24"/>
      <c r="AA34" s="24"/>
      <c r="AB34" s="9"/>
    </row>
    <row r="35" spans="1:28">
      <c r="A35" s="9"/>
      <c r="B35" s="10"/>
      <c r="C35" s="24"/>
      <c r="D35" s="24"/>
      <c r="E35" s="24"/>
      <c r="F35" s="24"/>
      <c r="G35" s="24"/>
      <c r="H35" s="24"/>
      <c r="I35" s="24"/>
      <c r="J35" s="95"/>
      <c r="K35" s="95"/>
      <c r="L35" s="95"/>
      <c r="M35" s="95"/>
      <c r="N35" s="24"/>
      <c r="O35" s="24"/>
      <c r="P35" s="24"/>
      <c r="Q35" s="24"/>
      <c r="R35" s="24"/>
      <c r="S35" s="24"/>
      <c r="T35" s="24"/>
      <c r="U35" s="24"/>
      <c r="V35" s="24"/>
      <c r="W35" s="24"/>
      <c r="X35" s="24"/>
      <c r="Y35" s="24"/>
      <c r="Z35" s="24"/>
      <c r="AA35" s="24"/>
      <c r="AB35" s="9"/>
    </row>
    <row r="36" spans="1:28">
      <c r="A36" s="9"/>
      <c r="B36" s="9"/>
      <c r="C36" s="27" t="s">
        <v>7</v>
      </c>
      <c r="D36" s="28"/>
      <c r="E36" s="28"/>
      <c r="F36" s="170" t="str">
        <f>F9</f>
        <v>February</v>
      </c>
      <c r="G36" s="170"/>
      <c r="H36" s="170"/>
      <c r="I36" s="170"/>
      <c r="J36" s="170"/>
      <c r="K36" s="170"/>
      <c r="L36" s="170"/>
      <c r="M36" s="170"/>
      <c r="N36" s="171"/>
      <c r="O36" s="169" t="s">
        <v>102</v>
      </c>
      <c r="P36" s="170"/>
      <c r="Q36" s="170"/>
      <c r="R36" s="170"/>
      <c r="S36" s="170"/>
      <c r="T36" s="170"/>
      <c r="U36" s="170"/>
      <c r="V36" s="170"/>
      <c r="W36" s="171"/>
      <c r="X36" s="169" t="s">
        <v>58</v>
      </c>
      <c r="Y36" s="170"/>
      <c r="Z36" s="170"/>
      <c r="AA36" s="172"/>
      <c r="AB36" s="9"/>
    </row>
    <row r="37" spans="1:28">
      <c r="A37" s="9"/>
      <c r="B37" s="9"/>
      <c r="C37" s="29"/>
      <c r="D37" s="30"/>
      <c r="E37" s="30"/>
      <c r="F37" s="29"/>
      <c r="G37" s="30"/>
      <c r="H37" s="30"/>
      <c r="I37" s="30"/>
      <c r="J37" s="30"/>
      <c r="K37" s="30"/>
      <c r="L37" s="30"/>
      <c r="M37" s="30"/>
      <c r="N37" s="56"/>
      <c r="O37" s="30"/>
      <c r="P37" s="30"/>
      <c r="Q37" s="30"/>
      <c r="R37" s="30"/>
      <c r="S37" s="30"/>
      <c r="T37" s="30"/>
      <c r="U37" s="30"/>
      <c r="V37" s="30"/>
      <c r="W37" s="56"/>
      <c r="X37" s="30"/>
      <c r="Y37" s="30"/>
      <c r="Z37" s="30"/>
      <c r="AA37" s="56"/>
      <c r="AB37" s="9"/>
    </row>
    <row r="38" spans="1:28" ht="33.75">
      <c r="A38" s="9"/>
      <c r="B38" s="9"/>
      <c r="C38" s="59" t="s">
        <v>29</v>
      </c>
      <c r="D38" s="50"/>
      <c r="E38" s="51"/>
      <c r="F38" s="55">
        <v>2023</v>
      </c>
      <c r="G38" s="52">
        <v>2022</v>
      </c>
      <c r="H38" s="52">
        <v>2021</v>
      </c>
      <c r="I38" s="52">
        <v>2020</v>
      </c>
      <c r="J38" s="52">
        <v>2019</v>
      </c>
      <c r="K38" s="53" t="s">
        <v>66</v>
      </c>
      <c r="L38" s="53" t="s">
        <v>67</v>
      </c>
      <c r="M38" s="53" t="s">
        <v>68</v>
      </c>
      <c r="N38" s="57" t="s">
        <v>100</v>
      </c>
      <c r="O38" s="53"/>
      <c r="P38" s="53" t="s">
        <v>53</v>
      </c>
      <c r="Q38" s="52" t="s">
        <v>54</v>
      </c>
      <c r="R38" s="52" t="s">
        <v>59</v>
      </c>
      <c r="S38" s="52" t="s">
        <v>64</v>
      </c>
      <c r="T38" s="52"/>
      <c r="U38" s="53" t="s">
        <v>66</v>
      </c>
      <c r="V38" s="53" t="s">
        <v>67</v>
      </c>
      <c r="W38" s="57" t="s">
        <v>68</v>
      </c>
      <c r="X38" s="53"/>
      <c r="Y38" s="53" t="s">
        <v>54</v>
      </c>
      <c r="Z38" s="53" t="s">
        <v>65</v>
      </c>
      <c r="AA38" s="57" t="s">
        <v>73</v>
      </c>
      <c r="AB38" s="9"/>
    </row>
    <row r="39" spans="1:28">
      <c r="A39" s="9"/>
      <c r="B39" s="9"/>
      <c r="C39" s="31" t="s">
        <v>14</v>
      </c>
      <c r="D39" s="26"/>
      <c r="E39" s="32"/>
      <c r="F39" s="26"/>
      <c r="G39" s="26"/>
      <c r="H39" s="26"/>
      <c r="I39" s="26"/>
      <c r="J39" s="26"/>
      <c r="K39" s="26"/>
      <c r="L39" s="26"/>
      <c r="M39" s="26"/>
      <c r="N39" s="32"/>
      <c r="O39" s="26"/>
      <c r="P39" s="26"/>
      <c r="Q39" s="26"/>
      <c r="R39" s="26"/>
      <c r="S39" s="9"/>
      <c r="T39" s="26"/>
      <c r="U39" s="9"/>
      <c r="V39" s="26"/>
      <c r="W39" s="32"/>
      <c r="X39" s="33"/>
      <c r="Y39" s="26"/>
      <c r="Z39" s="88"/>
      <c r="AA39" s="85"/>
      <c r="AB39" s="9"/>
    </row>
    <row r="40" spans="1:28">
      <c r="A40" s="9"/>
      <c r="B40" s="9"/>
      <c r="C40" s="33"/>
      <c r="D40" s="26" t="s">
        <v>5</v>
      </c>
      <c r="E40" s="32"/>
      <c r="F40" s="74">
        <f t="shared" ref="F40:J41" si="5">F13</f>
        <v>61</v>
      </c>
      <c r="G40" s="74">
        <f t="shared" si="5"/>
        <v>59</v>
      </c>
      <c r="H40" s="74">
        <f t="shared" si="5"/>
        <v>0</v>
      </c>
      <c r="I40" s="74">
        <f t="shared" si="5"/>
        <v>55</v>
      </c>
      <c r="J40" s="74">
        <f t="shared" si="5"/>
        <v>62</v>
      </c>
      <c r="K40" s="64">
        <f>IFERROR(F40/G40-1,"n/a")</f>
        <v>3.3898305084745672E-2</v>
      </c>
      <c r="L40" s="64" t="str">
        <f>IFERROR(F40/H40-1,"n/a")</f>
        <v>n/a</v>
      </c>
      <c r="M40" s="64">
        <f>IFERROR(F40/I40-1,"n/a")</f>
        <v>0.10909090909090913</v>
      </c>
      <c r="N40" s="60">
        <f>IFERROR(F40/J40-1,"n/a")</f>
        <v>-1.6129032258064502E-2</v>
      </c>
      <c r="O40" s="108"/>
      <c r="P40" s="70">
        <f>+O13-'Mar-22'!M10+'Dec-22'!M13</f>
        <v>278</v>
      </c>
      <c r="Q40" s="70">
        <f>+P13-'Mar-22'!N10+'Dec-22'!N13</f>
        <v>234</v>
      </c>
      <c r="R40" s="82">
        <f>+Q13-'Mar-22'!O10+'Dec-22'!O13</f>
        <v>0</v>
      </c>
      <c r="S40" s="70">
        <f>+R13-'Mar-22'!P10+'Dec-22'!P13</f>
        <v>302</v>
      </c>
      <c r="T40" s="108"/>
      <c r="U40" s="64">
        <f>IFERROR(P40/Q40-1,"n/a")</f>
        <v>0.18803418803418803</v>
      </c>
      <c r="V40" s="64" t="str">
        <f>IFERROR(P40/R40-1,"n/a")</f>
        <v>n/a</v>
      </c>
      <c r="W40" s="60">
        <f>IFERROR(P40/S40-1,"n/a")</f>
        <v>-7.9470198675496651E-2</v>
      </c>
      <c r="X40" s="89"/>
      <c r="Y40" s="89">
        <v>308</v>
      </c>
      <c r="Z40" s="70">
        <v>145</v>
      </c>
      <c r="AA40" s="78">
        <v>331</v>
      </c>
      <c r="AB40" s="9"/>
    </row>
    <row r="41" spans="1:28">
      <c r="A41" s="9"/>
      <c r="B41" s="9"/>
      <c r="C41" s="33"/>
      <c r="D41" s="26" t="s">
        <v>11</v>
      </c>
      <c r="E41" s="32"/>
      <c r="F41" s="74">
        <f t="shared" si="5"/>
        <v>107254</v>
      </c>
      <c r="G41" s="74">
        <f t="shared" si="5"/>
        <v>44710</v>
      </c>
      <c r="H41" s="74">
        <f t="shared" si="5"/>
        <v>0</v>
      </c>
      <c r="I41" s="74">
        <f t="shared" si="5"/>
        <v>101463</v>
      </c>
      <c r="J41" s="74">
        <f t="shared" si="5"/>
        <v>119668</v>
      </c>
      <c r="K41" s="64">
        <f>IFERROR(F41/G41-1,"n/a")</f>
        <v>1.3988816819503467</v>
      </c>
      <c r="L41" s="64" t="str">
        <f>IFERROR(F41/H41-1,"n/a")</f>
        <v>n/a</v>
      </c>
      <c r="M41" s="64">
        <f>IFERROR(F41/I41-1,"n/a")</f>
        <v>5.7074992854538209E-2</v>
      </c>
      <c r="N41" s="60">
        <f>IFERROR(F41/J41-1,"n/a")</f>
        <v>-0.10373700571581379</v>
      </c>
      <c r="O41" s="109"/>
      <c r="P41" s="70">
        <f>+O14-'Mar-22'!M11+'Dec-22'!M14</f>
        <v>447072</v>
      </c>
      <c r="Q41" s="82">
        <f>+P14-'Mar-22'!N11+'Dec-22'!N14</f>
        <v>176367</v>
      </c>
      <c r="R41" s="82">
        <f>+Q14-'Mar-22'!O11+'Dec-22'!O14</f>
        <v>0</v>
      </c>
      <c r="S41" s="82">
        <f>+R14-'Mar-22'!P11+'Dec-22'!P14</f>
        <v>558175</v>
      </c>
      <c r="T41" s="109"/>
      <c r="U41" s="64">
        <f>IFERROR(P41/Q41-1,"n/a")</f>
        <v>1.5348959839425742</v>
      </c>
      <c r="V41" s="64" t="str">
        <f>IFERROR(P41/R41-1,"n/a")</f>
        <v>n/a</v>
      </c>
      <c r="W41" s="60">
        <f>IFERROR(P41/S41-1,"n/a")</f>
        <v>-0.19904689389528374</v>
      </c>
      <c r="X41" s="89"/>
      <c r="Y41" s="89">
        <v>237191</v>
      </c>
      <c r="Z41" s="84">
        <v>258885</v>
      </c>
      <c r="AA41" s="78">
        <v>606801</v>
      </c>
      <c r="AB41" s="9"/>
    </row>
    <row r="42" spans="1:28">
      <c r="A42" s="9"/>
      <c r="B42" s="9"/>
      <c r="C42" s="31" t="s">
        <v>74</v>
      </c>
      <c r="D42" s="26"/>
      <c r="E42" s="32"/>
      <c r="F42" s="26"/>
      <c r="G42" s="26"/>
      <c r="H42" s="26"/>
      <c r="I42" s="26"/>
      <c r="J42" s="26"/>
      <c r="K42" s="64"/>
      <c r="L42" s="64"/>
      <c r="M42" s="64"/>
      <c r="N42" s="61"/>
      <c r="O42" s="110"/>
      <c r="P42" s="87"/>
      <c r="Q42" s="87"/>
      <c r="R42" s="87"/>
      <c r="S42" s="87"/>
      <c r="T42" s="110"/>
      <c r="U42" s="65"/>
      <c r="V42" s="65"/>
      <c r="W42" s="61"/>
      <c r="X42" s="90"/>
      <c r="Y42" s="90"/>
      <c r="Z42" s="44"/>
      <c r="AA42" s="79"/>
      <c r="AB42" s="9"/>
    </row>
    <row r="43" spans="1:28">
      <c r="A43" s="9"/>
      <c r="B43" s="9"/>
      <c r="C43" s="33"/>
      <c r="D43" s="26" t="s">
        <v>5</v>
      </c>
      <c r="E43" s="32"/>
      <c r="F43" s="74">
        <f t="shared" ref="F43:J44" si="6">F16</f>
        <v>17</v>
      </c>
      <c r="G43" s="74">
        <f t="shared" si="6"/>
        <v>13</v>
      </c>
      <c r="H43" s="74">
        <f t="shared" si="6"/>
        <v>0</v>
      </c>
      <c r="I43" s="74">
        <f t="shared" si="6"/>
        <v>14</v>
      </c>
      <c r="J43" s="74">
        <f t="shared" si="6"/>
        <v>21</v>
      </c>
      <c r="K43" s="64">
        <f>IFERROR(F43/G43-1,"n/a")</f>
        <v>0.30769230769230771</v>
      </c>
      <c r="L43" s="64" t="str">
        <f>IFERROR(F43/H43-1,"n/a")</f>
        <v>n/a</v>
      </c>
      <c r="M43" s="64">
        <f>IFERROR(F43/I43-1,"n/a")</f>
        <v>0.21428571428571419</v>
      </c>
      <c r="N43" s="60">
        <f>IFERROR(F43/J43-1,"n/a")</f>
        <v>-0.19047619047619047</v>
      </c>
      <c r="O43" s="108"/>
      <c r="P43" s="70">
        <f>+O16-'Mar-22'!M13+'Dec-22'!M16</f>
        <v>765</v>
      </c>
      <c r="Q43" s="70">
        <f>+P16-'Mar-22'!N13+'Dec-22'!N16</f>
        <v>312</v>
      </c>
      <c r="R43" s="70">
        <f>+Q16-'Mar-22'!O13+'Dec-22'!O16</f>
        <v>0</v>
      </c>
      <c r="S43" s="70">
        <f>+R16-'Mar-22'!P13+'Dec-22'!P16</f>
        <v>771</v>
      </c>
      <c r="T43" s="108"/>
      <c r="U43" s="64">
        <f>IFERROR(P43/Q43-1,"n/a")</f>
        <v>1.4519230769230771</v>
      </c>
      <c r="V43" s="64" t="str">
        <f>IFERROR(P43/R43-1,"n/a")</f>
        <v>n/a</v>
      </c>
      <c r="W43" s="60">
        <f>IFERROR(P43/S43-1,"n/a")</f>
        <v>-7.7821011673151474E-3</v>
      </c>
      <c r="X43" s="89"/>
      <c r="Y43" s="89">
        <v>336</v>
      </c>
      <c r="Z43" s="70">
        <v>43</v>
      </c>
      <c r="AA43" s="78">
        <v>781</v>
      </c>
      <c r="AB43" s="9"/>
    </row>
    <row r="44" spans="1:28">
      <c r="A44" s="9"/>
      <c r="B44" s="9"/>
      <c r="C44" s="33"/>
      <c r="D44" s="26" t="s">
        <v>11</v>
      </c>
      <c r="E44" s="32"/>
      <c r="F44" s="74">
        <f t="shared" si="6"/>
        <v>64480</v>
      </c>
      <c r="G44" s="74">
        <f t="shared" si="6"/>
        <v>14032</v>
      </c>
      <c r="H44" s="74">
        <f t="shared" si="6"/>
        <v>0</v>
      </c>
      <c r="I44" s="74">
        <f t="shared" si="6"/>
        <v>47023</v>
      </c>
      <c r="J44" s="74">
        <f t="shared" si="6"/>
        <v>59703</v>
      </c>
      <c r="K44" s="64">
        <f>IFERROR(F44/G44-1,"n/a")</f>
        <v>3.5952109464082094</v>
      </c>
      <c r="L44" s="64" t="str">
        <f>IFERROR(F44/H44-1,"n/a")</f>
        <v>n/a</v>
      </c>
      <c r="M44" s="64">
        <f>IFERROR(F44/I44-1,"n/a")</f>
        <v>0.37124385938795901</v>
      </c>
      <c r="N44" s="60">
        <f>IFERROR(F44/J44-1,"n/a")</f>
        <v>8.0012729678575534E-2</v>
      </c>
      <c r="O44" s="109"/>
      <c r="P44" s="70">
        <f>+O17-'Mar-22'!M14+'Dec-22'!M17</f>
        <v>1912608</v>
      </c>
      <c r="Q44" s="70">
        <f>+P17-'Mar-22'!N14+'Dec-22'!N17</f>
        <v>500969</v>
      </c>
      <c r="R44" s="70">
        <f>+Q17-'Mar-22'!O14+'Dec-22'!O17</f>
        <v>0</v>
      </c>
      <c r="S44" s="70">
        <f>+R17-'Mar-22'!P14+'Dec-22'!P17</f>
        <v>2413059</v>
      </c>
      <c r="T44" s="108"/>
      <c r="U44" s="64">
        <f>IFERROR(P44/Q44-1,"n/a")</f>
        <v>2.8178170705173375</v>
      </c>
      <c r="V44" s="64" t="str">
        <f>IFERROR(P44/R44-1,"n/a")</f>
        <v>n/a</v>
      </c>
      <c r="W44" s="60">
        <f>IFERROR(P44/S44-1,"n/a")</f>
        <v>-0.20739277406810197</v>
      </c>
      <c r="X44" s="89"/>
      <c r="Y44" s="89">
        <v>533563</v>
      </c>
      <c r="Z44" s="84">
        <v>140552</v>
      </c>
      <c r="AA44" s="78">
        <v>2441594</v>
      </c>
      <c r="AB44" s="9"/>
    </row>
    <row r="45" spans="1:28">
      <c r="A45" s="9"/>
      <c r="B45" s="9"/>
      <c r="C45" s="31" t="s">
        <v>15</v>
      </c>
      <c r="D45" s="26"/>
      <c r="E45" s="32"/>
      <c r="F45" s="87"/>
      <c r="G45" s="87"/>
      <c r="H45" s="87"/>
      <c r="I45" s="87"/>
      <c r="J45" s="72"/>
      <c r="K45" s="64"/>
      <c r="L45" s="64"/>
      <c r="M45" s="64"/>
      <c r="N45" s="60"/>
      <c r="O45" s="110"/>
      <c r="P45" s="87"/>
      <c r="Q45" s="87"/>
      <c r="R45" s="87"/>
      <c r="S45" s="87"/>
      <c r="T45" s="110"/>
      <c r="U45" s="64"/>
      <c r="V45" s="64"/>
      <c r="W45" s="60"/>
      <c r="X45" s="90"/>
      <c r="Y45" s="90"/>
      <c r="Z45" s="44"/>
      <c r="AA45" s="79"/>
      <c r="AB45" s="9"/>
    </row>
    <row r="46" spans="1:28">
      <c r="A46" s="9"/>
      <c r="B46" s="9"/>
      <c r="C46" s="33"/>
      <c r="D46" s="26" t="s">
        <v>5</v>
      </c>
      <c r="E46" s="32"/>
      <c r="F46" s="74">
        <f t="shared" ref="F46:J47" si="7">F19</f>
        <v>2</v>
      </c>
      <c r="G46" s="74">
        <f t="shared" si="7"/>
        <v>2</v>
      </c>
      <c r="H46" s="74">
        <f t="shared" si="7"/>
        <v>0</v>
      </c>
      <c r="I46" s="74">
        <f t="shared" si="7"/>
        <v>0</v>
      </c>
      <c r="J46" s="74">
        <f t="shared" si="7"/>
        <v>1</v>
      </c>
      <c r="K46" s="64">
        <f>IFERROR(F46/G46-1,"n/a")</f>
        <v>0</v>
      </c>
      <c r="L46" s="64" t="str">
        <f>IFERROR(F46/H46-1,"n/a")</f>
        <v>n/a</v>
      </c>
      <c r="M46" s="64" t="str">
        <f>IFERROR(F46/I46-1,"n/a")</f>
        <v>n/a</v>
      </c>
      <c r="N46" s="60">
        <f>IFERROR(F46/J46-1,"n/a")</f>
        <v>1</v>
      </c>
      <c r="O46" s="108"/>
      <c r="P46" s="70">
        <f>+O19-'Mar-22'!M16+'Dec-22'!M19</f>
        <v>471</v>
      </c>
      <c r="Q46" s="70">
        <f>+P19-'Mar-22'!N16+'Dec-22'!N19</f>
        <v>28</v>
      </c>
      <c r="R46" s="70">
        <f>+Q19-'Mar-22'!O16+'Dec-22'!O19</f>
        <v>1</v>
      </c>
      <c r="S46" s="70">
        <f>+R19-'Mar-22'!P16+'Dec-22'!P19</f>
        <v>186</v>
      </c>
      <c r="T46" s="108"/>
      <c r="U46" s="64">
        <f>IFERROR(P46/Q46-1,"n/a")</f>
        <v>15.821428571428573</v>
      </c>
      <c r="V46" s="64">
        <f>IFERROR(P46/R46-1,"n/a")</f>
        <v>470</v>
      </c>
      <c r="W46" s="60">
        <f>IFERROR(P46/S46-1,"n/a")</f>
        <v>1.532258064516129</v>
      </c>
      <c r="X46" s="89"/>
      <c r="Y46" s="89">
        <v>33</v>
      </c>
      <c r="Z46" s="70">
        <v>4</v>
      </c>
      <c r="AA46" s="78">
        <v>188</v>
      </c>
      <c r="AB46" s="9"/>
    </row>
    <row r="47" spans="1:28">
      <c r="A47" s="9"/>
      <c r="B47" s="9"/>
      <c r="C47" s="33"/>
      <c r="D47" s="26" t="s">
        <v>11</v>
      </c>
      <c r="E47" s="32"/>
      <c r="F47" s="74">
        <f t="shared" si="7"/>
        <v>1760</v>
      </c>
      <c r="G47" s="74">
        <f t="shared" si="7"/>
        <v>294</v>
      </c>
      <c r="H47" s="74">
        <f t="shared" si="7"/>
        <v>0</v>
      </c>
      <c r="I47" s="74">
        <f t="shared" si="7"/>
        <v>0</v>
      </c>
      <c r="J47" s="74">
        <f t="shared" si="7"/>
        <v>583</v>
      </c>
      <c r="K47" s="64">
        <f>IFERROR(F47/G47-1,"n/a")</f>
        <v>4.9863945578231297</v>
      </c>
      <c r="L47" s="64" t="str">
        <f>IFERROR(F47/H47-1,"n/a")</f>
        <v>n/a</v>
      </c>
      <c r="M47" s="64" t="str">
        <f>IFERROR(F47/I47-1,"n/a")</f>
        <v>n/a</v>
      </c>
      <c r="N47" s="60">
        <f>IFERROR(F47/J47-1,"n/a")</f>
        <v>2.0188679245283021</v>
      </c>
      <c r="O47" s="109"/>
      <c r="P47" s="70">
        <f>+O20-'Mar-22'!M17+'Dec-22'!M20</f>
        <v>565507</v>
      </c>
      <c r="Q47" s="70">
        <f>+P20-'Mar-22'!N17+'Dec-22'!N20</f>
        <v>9719</v>
      </c>
      <c r="R47" s="70">
        <f>+Q20-'Mar-22'!O17+'Dec-22'!O20</f>
        <v>111</v>
      </c>
      <c r="S47" s="70">
        <f>+R20-'Mar-22'!P17+'Dec-22'!P20</f>
        <v>250106</v>
      </c>
      <c r="T47" s="108"/>
      <c r="U47" s="64">
        <f>IFERROR(P47/Q47-1,"n/a")</f>
        <v>57.185718695339027</v>
      </c>
      <c r="V47" s="64">
        <f>IFERROR(P47/R47-1,"n/a")</f>
        <v>5093.6576576576581</v>
      </c>
      <c r="W47" s="60">
        <f>IFERROR(P47/S47-1,"n/a")</f>
        <v>1.2610693066139955</v>
      </c>
      <c r="X47" s="82"/>
      <c r="Y47" s="82">
        <v>10083</v>
      </c>
      <c r="Z47" s="84">
        <v>1753</v>
      </c>
      <c r="AA47" s="78">
        <f>176097+74816</f>
        <v>250913</v>
      </c>
      <c r="AB47" s="9"/>
    </row>
    <row r="48" spans="1:28">
      <c r="A48" s="9"/>
      <c r="B48" s="9"/>
      <c r="C48" s="31" t="s">
        <v>10</v>
      </c>
      <c r="D48" s="26"/>
      <c r="E48" s="34"/>
      <c r="F48" s="72"/>
      <c r="G48" s="72"/>
      <c r="H48" s="72"/>
      <c r="I48" s="72"/>
      <c r="J48" s="72"/>
      <c r="K48" s="64"/>
      <c r="L48" s="64"/>
      <c r="M48" s="64"/>
      <c r="N48" s="60"/>
      <c r="O48" s="110"/>
      <c r="P48" s="87"/>
      <c r="Q48" s="87"/>
      <c r="R48" s="87"/>
      <c r="S48" s="87"/>
      <c r="T48" s="110"/>
      <c r="U48" s="64"/>
      <c r="V48" s="64"/>
      <c r="W48" s="60"/>
      <c r="X48" s="90"/>
      <c r="Y48" s="90"/>
      <c r="Z48" s="44"/>
      <c r="AA48" s="79"/>
      <c r="AB48" s="9"/>
    </row>
    <row r="49" spans="1:28">
      <c r="A49" s="9"/>
      <c r="B49" s="9"/>
      <c r="C49" s="33"/>
      <c r="D49" s="26" t="s">
        <v>5</v>
      </c>
      <c r="E49" s="34"/>
      <c r="F49" s="74">
        <f t="shared" ref="F49:J50" si="8">F22</f>
        <v>100</v>
      </c>
      <c r="G49" s="74">
        <f t="shared" si="8"/>
        <v>103</v>
      </c>
      <c r="H49" s="74">
        <f t="shared" si="8"/>
        <v>0</v>
      </c>
      <c r="I49" s="74">
        <f t="shared" si="8"/>
        <v>120</v>
      </c>
      <c r="J49" s="74">
        <f t="shared" si="8"/>
        <v>95</v>
      </c>
      <c r="K49" s="64">
        <f>IFERROR(F49/G49-1,"n/a")</f>
        <v>-2.9126213592232997E-2</v>
      </c>
      <c r="L49" s="64" t="str">
        <f>IFERROR(F49/H49-1,"n/a")</f>
        <v>n/a</v>
      </c>
      <c r="M49" s="64">
        <f>IFERROR(F49/I49-1,"n/a")</f>
        <v>-0.16666666666666663</v>
      </c>
      <c r="N49" s="60">
        <f>IFERROR(F49/J49-1,"n/a")</f>
        <v>5.2631578947368363E-2</v>
      </c>
      <c r="O49" s="108"/>
      <c r="P49" s="70">
        <f>+O22-'Mar-22'!M19+'Dec-22'!M22</f>
        <v>1027</v>
      </c>
      <c r="Q49" s="70">
        <f>+P22-'Mar-22'!N19+'Dec-22'!N22</f>
        <v>614</v>
      </c>
      <c r="R49" s="70">
        <f>+Q22-'Mar-22'!O19+'Dec-22'!O22</f>
        <v>42</v>
      </c>
      <c r="S49" s="70">
        <f>+R22-'Mar-22'!P19+'Dec-22'!P22</f>
        <v>1135</v>
      </c>
      <c r="T49" s="108"/>
      <c r="U49" s="64">
        <f>IFERROR(P49/Q49-1,"n/a")</f>
        <v>0.67263843648208477</v>
      </c>
      <c r="V49" s="64">
        <f>IFERROR(P49/R49-1,"n/a")</f>
        <v>23.452380952380953</v>
      </c>
      <c r="W49" s="60">
        <f>IFERROR(P49/S49-1,"n/a")</f>
        <v>-9.5154185022026438E-2</v>
      </c>
      <c r="X49" s="89"/>
      <c r="Y49" s="89">
        <v>744</v>
      </c>
      <c r="Z49" s="84">
        <v>406</v>
      </c>
      <c r="AA49" s="78">
        <v>1253</v>
      </c>
      <c r="AB49" s="9"/>
    </row>
    <row r="50" spans="1:28">
      <c r="A50" s="9"/>
      <c r="B50" s="9"/>
      <c r="C50" s="33"/>
      <c r="D50" s="26" t="s">
        <v>11</v>
      </c>
      <c r="E50" s="32"/>
      <c r="F50" s="74">
        <f t="shared" si="8"/>
        <v>342407</v>
      </c>
      <c r="G50" s="74">
        <f t="shared" si="8"/>
        <v>174835</v>
      </c>
      <c r="H50" s="74">
        <f t="shared" si="8"/>
        <v>0</v>
      </c>
      <c r="I50" s="74">
        <f t="shared" si="8"/>
        <v>329055</v>
      </c>
      <c r="J50" s="74">
        <f t="shared" si="8"/>
        <v>305578</v>
      </c>
      <c r="K50" s="64">
        <f>IFERROR(F50/G50-1,"n/a")</f>
        <v>0.95845797466182403</v>
      </c>
      <c r="L50" s="64" t="str">
        <f>IFERROR(F50/H50-1,"n/a")</f>
        <v>n/a</v>
      </c>
      <c r="M50" s="64">
        <f>IFERROR(F50/I50-1,"n/a")</f>
        <v>4.0576803269970041E-2</v>
      </c>
      <c r="N50" s="60">
        <f>IFERROR(F50/J50-1,"n/a")</f>
        <v>0.12052241980770861</v>
      </c>
      <c r="O50" s="109"/>
      <c r="P50" s="70">
        <f>+O23-'Mar-22'!M20+'Dec-22'!M23</f>
        <v>3358708</v>
      </c>
      <c r="Q50" s="70">
        <f>+P23-'Mar-22'!N20+'Dec-22'!N23</f>
        <v>1007102</v>
      </c>
      <c r="R50" s="70">
        <f>+Q23-'Mar-22'!O20+'Dec-22'!O23</f>
        <v>0</v>
      </c>
      <c r="S50" s="70">
        <f>+R23-'Mar-22'!P20+'Dec-22'!P23</f>
        <v>3479798</v>
      </c>
      <c r="T50" s="108"/>
      <c r="U50" s="64">
        <f>IFERROR(P50/Q50-1,"n/a")</f>
        <v>2.3350226690047284</v>
      </c>
      <c r="V50" s="64" t="str">
        <f>IFERROR(P50/R50-1,"n/a")</f>
        <v>n/a</v>
      </c>
      <c r="W50" s="60">
        <f>IFERROR(P50/S50-1,"n/a")</f>
        <v>-3.4797996895222116E-2</v>
      </c>
      <c r="X50" s="82"/>
      <c r="Y50" s="82">
        <v>1290779</v>
      </c>
      <c r="Z50" s="84">
        <v>833999</v>
      </c>
      <c r="AA50" s="78">
        <v>3627458</v>
      </c>
      <c r="AB50" s="9"/>
    </row>
    <row r="51" spans="1:28">
      <c r="A51" s="9"/>
      <c r="B51" s="9"/>
      <c r="C51" s="31" t="s">
        <v>16</v>
      </c>
      <c r="D51" s="26"/>
      <c r="E51" s="32"/>
      <c r="F51" s="72"/>
      <c r="G51" s="72"/>
      <c r="H51" s="72"/>
      <c r="I51" s="72"/>
      <c r="J51" s="72"/>
      <c r="K51" s="64"/>
      <c r="L51" s="64"/>
      <c r="M51" s="64"/>
      <c r="N51" s="60"/>
      <c r="O51" s="110"/>
      <c r="P51" s="87"/>
      <c r="Q51" s="87"/>
      <c r="R51" s="87"/>
      <c r="S51" s="87"/>
      <c r="T51" s="110"/>
      <c r="U51" s="64"/>
      <c r="V51" s="64"/>
      <c r="W51" s="60"/>
      <c r="X51" s="90"/>
      <c r="Y51" s="90"/>
      <c r="Z51" s="44"/>
      <c r="AA51" s="79"/>
      <c r="AB51" s="9"/>
    </row>
    <row r="52" spans="1:28">
      <c r="A52" s="9"/>
      <c r="B52" s="9"/>
      <c r="C52" s="33"/>
      <c r="D52" s="26" t="s">
        <v>5</v>
      </c>
      <c r="E52" s="32"/>
      <c r="F52" s="74">
        <f t="shared" ref="F52:J53" si="9">F25</f>
        <v>5</v>
      </c>
      <c r="G52" s="74">
        <f t="shared" si="9"/>
        <v>6</v>
      </c>
      <c r="H52" s="74">
        <f t="shared" si="9"/>
        <v>4</v>
      </c>
      <c r="I52" s="74">
        <f t="shared" si="9"/>
        <v>3</v>
      </c>
      <c r="J52" s="74">
        <f t="shared" si="9"/>
        <v>7</v>
      </c>
      <c r="K52" s="64">
        <f>IFERROR(F52/G52-1,"n/a")</f>
        <v>-0.16666666666666663</v>
      </c>
      <c r="L52" s="64">
        <f>IFERROR(F52/H52-1,"n/a")</f>
        <v>0.25</v>
      </c>
      <c r="M52" s="64">
        <f>IFERROR(F52/I52-1,"n/a")</f>
        <v>0.66666666666666674</v>
      </c>
      <c r="N52" s="60">
        <f>IFERROR(F52/J52-1,"n/a")</f>
        <v>-0.2857142857142857</v>
      </c>
      <c r="O52" s="108"/>
      <c r="P52" s="70">
        <f>+O25-'Mar-22'!M22+'Dec-22'!M25</f>
        <v>269</v>
      </c>
      <c r="Q52" s="70">
        <f>+P25-'Mar-22'!N22+'Dec-22'!N25</f>
        <v>107</v>
      </c>
      <c r="R52" s="70">
        <f>+Q25-'Mar-22'!O22+'Dec-22'!O25</f>
        <v>28</v>
      </c>
      <c r="S52" s="70">
        <f>+R25-'Mar-22'!P22+'Dec-22'!P25</f>
        <v>360</v>
      </c>
      <c r="T52" s="108"/>
      <c r="U52" s="64">
        <f>IFERROR(P52/Q52-1,"n/a")</f>
        <v>1.514018691588785</v>
      </c>
      <c r="V52" s="64">
        <f>IFERROR(P52/R52-1,"n/a")</f>
        <v>8.6071428571428577</v>
      </c>
      <c r="W52" s="60">
        <f>IFERROR(P52/S52-1,"n/a")</f>
        <v>-0.25277777777777777</v>
      </c>
      <c r="X52" s="89"/>
      <c r="Y52" s="89">
        <v>121</v>
      </c>
      <c r="Z52" s="70">
        <v>41</v>
      </c>
      <c r="AA52" s="78">
        <v>361</v>
      </c>
      <c r="AB52" s="9"/>
    </row>
    <row r="53" spans="1:28">
      <c r="A53" s="9"/>
      <c r="B53" s="9"/>
      <c r="C53" s="33"/>
      <c r="D53" s="26" t="s">
        <v>11</v>
      </c>
      <c r="E53" s="32"/>
      <c r="F53" s="74">
        <f t="shared" si="9"/>
        <v>21884</v>
      </c>
      <c r="G53" s="74">
        <f t="shared" si="9"/>
        <v>5662</v>
      </c>
      <c r="H53" s="74">
        <f t="shared" si="9"/>
        <v>4030</v>
      </c>
      <c r="I53" s="74">
        <f t="shared" si="9"/>
        <v>16515</v>
      </c>
      <c r="J53" s="74">
        <f t="shared" si="9"/>
        <v>24890</v>
      </c>
      <c r="K53" s="64">
        <f>IFERROR(F53/G53-1,"n/a")</f>
        <v>2.8650653479335926</v>
      </c>
      <c r="L53" s="64">
        <f>IFERROR(F53/H53-1,"n/a")</f>
        <v>4.4302729528535982</v>
      </c>
      <c r="M53" s="64">
        <f>IFERROR(F53/I53-1,"n/a")</f>
        <v>0.32509839539812302</v>
      </c>
      <c r="N53" s="60">
        <f>IFERROR(F53/J53-1,"n/a")</f>
        <v>-0.12077139413419047</v>
      </c>
      <c r="O53" s="109"/>
      <c r="P53" s="70">
        <f>+O26-'Mar-22'!M23+'Dec-22'!M26</f>
        <v>540613</v>
      </c>
      <c r="Q53" s="70">
        <f>+P26-'Mar-22'!N23+'Dec-22'!N26</f>
        <v>146532</v>
      </c>
      <c r="R53" s="70">
        <f>+Q26-'Mar-22'!O23+'Dec-22'!O26</f>
        <v>23633</v>
      </c>
      <c r="S53" s="70">
        <f>+R26-'Mar-22'!P23+'Dec-22'!P26</f>
        <v>865396</v>
      </c>
      <c r="T53" s="108"/>
      <c r="U53" s="64">
        <f>IFERROR(P53/Q53-1,"n/a")</f>
        <v>2.689385253732973</v>
      </c>
      <c r="V53" s="64">
        <f>IFERROR(P53/R53-1,"n/a")</f>
        <v>21.875343798925233</v>
      </c>
      <c r="W53" s="60">
        <f>IFERROR(P53/S53-1,"n/a")</f>
        <v>-0.37529986272180593</v>
      </c>
      <c r="X53" s="82"/>
      <c r="Y53" s="82">
        <v>165689</v>
      </c>
      <c r="Z53" s="84">
        <v>67144</v>
      </c>
      <c r="AA53" s="78">
        <v>865961</v>
      </c>
      <c r="AB53" s="9"/>
    </row>
    <row r="54" spans="1:28">
      <c r="C54" s="31" t="s">
        <v>17</v>
      </c>
      <c r="D54" s="26"/>
      <c r="E54" s="32"/>
      <c r="F54" s="72"/>
      <c r="G54" s="72"/>
      <c r="H54" s="72"/>
      <c r="I54" s="72"/>
      <c r="J54" s="72"/>
      <c r="K54" s="64"/>
      <c r="L54" s="64"/>
      <c r="M54" s="64"/>
      <c r="N54" s="60"/>
      <c r="O54" s="110"/>
      <c r="P54" s="87"/>
      <c r="Q54" s="87"/>
      <c r="R54" s="87"/>
      <c r="S54" s="87"/>
      <c r="T54" s="110"/>
      <c r="U54" s="64"/>
      <c r="V54" s="64"/>
      <c r="W54" s="60"/>
      <c r="X54" s="90"/>
      <c r="Y54" s="90"/>
      <c r="Z54" s="44"/>
      <c r="AA54" s="79"/>
      <c r="AB54" s="9"/>
    </row>
    <row r="55" spans="1:28">
      <c r="C55" s="33"/>
      <c r="D55" s="26" t="s">
        <v>5</v>
      </c>
      <c r="E55" s="32"/>
      <c r="F55" s="74">
        <f t="shared" ref="F55:J56" si="10">F28</f>
        <v>57</v>
      </c>
      <c r="G55" s="74">
        <f t="shared" si="10"/>
        <v>1</v>
      </c>
      <c r="H55" s="74">
        <f t="shared" si="10"/>
        <v>1</v>
      </c>
      <c r="I55" s="74">
        <f t="shared" si="10"/>
        <v>1</v>
      </c>
      <c r="J55" s="74">
        <f t="shared" si="10"/>
        <v>2</v>
      </c>
      <c r="K55" s="64">
        <f>IFERROR(F55/G55-1,"n/a")</f>
        <v>56</v>
      </c>
      <c r="L55" s="64">
        <f>IFERROR(F55/H55-1,"n/a")</f>
        <v>56</v>
      </c>
      <c r="M55" s="64">
        <f>IFERROR(F55/I55-1,"n/a")</f>
        <v>56</v>
      </c>
      <c r="N55" s="60">
        <f>IFERROR(F55/J55-1,"n/a")</f>
        <v>27.5</v>
      </c>
      <c r="O55" s="108"/>
      <c r="P55" s="70">
        <f>+O28-'Mar-22'!M25+'Dec-22'!M28</f>
        <v>730</v>
      </c>
      <c r="Q55" s="70">
        <f>+P28-'Mar-22'!N25+'Dec-22'!N28</f>
        <v>125</v>
      </c>
      <c r="R55" s="70">
        <f>+Q28-'Mar-22'!O25+'Dec-22'!O28</f>
        <v>38</v>
      </c>
      <c r="S55" s="70">
        <f>+R28-'Mar-22'!P25+'Dec-22'!P28</f>
        <v>360</v>
      </c>
      <c r="T55" s="108"/>
      <c r="U55" s="64">
        <f>IFERROR(P55/Q55-1,"n/a")</f>
        <v>4.84</v>
      </c>
      <c r="V55" s="64">
        <f>IFERROR(P55/R55-1,"n/a")</f>
        <v>18.210526315789473</v>
      </c>
      <c r="W55" s="60">
        <f>IFERROR(P55/S55-1,"n/a")</f>
        <v>1.0277777777777777</v>
      </c>
      <c r="X55" s="89"/>
      <c r="Y55" s="89">
        <v>140</v>
      </c>
      <c r="Z55" s="70">
        <v>40</v>
      </c>
      <c r="AA55" s="78">
        <v>360</v>
      </c>
      <c r="AB55" s="9"/>
    </row>
    <row r="56" spans="1:28">
      <c r="C56" s="33"/>
      <c r="D56" s="26" t="s">
        <v>11</v>
      </c>
      <c r="E56" s="32"/>
      <c r="F56" s="74">
        <f t="shared" si="10"/>
        <v>185856</v>
      </c>
      <c r="G56" s="74">
        <f t="shared" si="10"/>
        <v>1983</v>
      </c>
      <c r="H56" s="74">
        <f t="shared" si="10"/>
        <v>639</v>
      </c>
      <c r="I56" s="74">
        <f t="shared" si="10"/>
        <v>892</v>
      </c>
      <c r="J56" s="74">
        <f t="shared" si="10"/>
        <v>3305</v>
      </c>
      <c r="K56" s="64">
        <f>IFERROR(F56/G56-1,"n/a")</f>
        <v>92.724659606656587</v>
      </c>
      <c r="L56" s="64">
        <f>IFERROR(F56/H56-1,"n/a")</f>
        <v>289.85446009389671</v>
      </c>
      <c r="M56" s="64">
        <f>IFERROR(F56/I56-1,"n/a")</f>
        <v>207.35874439461884</v>
      </c>
      <c r="N56" s="60">
        <f>IFERROR(F56/J56-1,"n/a")</f>
        <v>55.234795763993951</v>
      </c>
      <c r="O56" s="109"/>
      <c r="P56" s="82">
        <f>+O29-'Mar-22'!M26+'Dec-22'!M29</f>
        <v>1491917</v>
      </c>
      <c r="Q56" s="82">
        <f>+P29-'Mar-22'!N26+'Dec-22'!N29</f>
        <v>164927</v>
      </c>
      <c r="R56" s="82">
        <f>+Q29-'Mar-22'!O26+'Dec-22'!O29</f>
        <v>29453</v>
      </c>
      <c r="S56" s="82">
        <f>+R29-'Mar-22'!P26+'Dec-22'!P29</f>
        <v>861947</v>
      </c>
      <c r="T56" s="109"/>
      <c r="U56" s="64">
        <f>IFERROR(P56/Q56-1,"n/a")</f>
        <v>8.0459233479054362</v>
      </c>
      <c r="V56" s="64">
        <f>IFERROR(P56/R56-1,"n/a")</f>
        <v>49.654160866465219</v>
      </c>
      <c r="W56" s="60">
        <f>IFERROR(P56/S56-1,"n/a")</f>
        <v>0.73086860328999337</v>
      </c>
      <c r="X56" s="82"/>
      <c r="Y56" s="82">
        <v>174336</v>
      </c>
      <c r="Z56" s="84">
        <v>21928</v>
      </c>
      <c r="AA56" s="78">
        <f>706948+155011</f>
        <v>861959</v>
      </c>
      <c r="AB56" s="9"/>
    </row>
    <row r="57" spans="1:28" ht="15.75" thickBot="1">
      <c r="C57" s="35" t="s">
        <v>12</v>
      </c>
      <c r="D57" s="36"/>
      <c r="E57" s="37"/>
      <c r="F57" s="75">
        <f t="shared" ref="F57:J58" si="11">F40+F43+F46+F49+F52+F55</f>
        <v>242</v>
      </c>
      <c r="G57" s="75">
        <f t="shared" si="11"/>
        <v>184</v>
      </c>
      <c r="H57" s="75">
        <f t="shared" si="11"/>
        <v>5</v>
      </c>
      <c r="I57" s="75">
        <f t="shared" si="11"/>
        <v>193</v>
      </c>
      <c r="J57" s="75">
        <f t="shared" si="11"/>
        <v>188</v>
      </c>
      <c r="K57" s="66">
        <f>IFERROR(F57/G57-1,"n/a")</f>
        <v>0.31521739130434789</v>
      </c>
      <c r="L57" s="66">
        <f>IFERROR(F57/H57-1,"n/a")</f>
        <v>47.4</v>
      </c>
      <c r="M57" s="66">
        <f>IFERROR(F57/I57-1,"n/a")</f>
        <v>0.25388601036269431</v>
      </c>
      <c r="N57" s="62">
        <f>IFERROR(F57/J57-1,"n/a")</f>
        <v>0.2872340425531914</v>
      </c>
      <c r="O57" s="46"/>
      <c r="P57" s="46">
        <f t="shared" ref="P57:S58" si="12">P40+P43+P46+P49+P52+P55</f>
        <v>3540</v>
      </c>
      <c r="Q57" s="46">
        <f t="shared" si="12"/>
        <v>1420</v>
      </c>
      <c r="R57" s="46">
        <f t="shared" si="12"/>
        <v>109</v>
      </c>
      <c r="S57" s="46">
        <f t="shared" si="12"/>
        <v>3114</v>
      </c>
      <c r="T57" s="46"/>
      <c r="U57" s="66">
        <f>IFERROR(P57/Q57-1,"n/a")</f>
        <v>1.492957746478873</v>
      </c>
      <c r="V57" s="66">
        <f>IFERROR(P57/R57-1,"n/a")</f>
        <v>31.477064220183486</v>
      </c>
      <c r="W57" s="62">
        <f>IFERROR(P57/S57-1,"n/a")</f>
        <v>0.1368015414258188</v>
      </c>
      <c r="X57" s="46"/>
      <c r="Y57" s="46">
        <f t="shared" ref="Y57:AA58" si="13">Y40+Y43+Y46+Y49+Y52+Y55</f>
        <v>1682</v>
      </c>
      <c r="Z57" s="46">
        <f t="shared" si="13"/>
        <v>679</v>
      </c>
      <c r="AA57" s="80">
        <f t="shared" si="13"/>
        <v>3274</v>
      </c>
      <c r="AB57" s="9"/>
    </row>
    <row r="58" spans="1:28" ht="16.5" thickTop="1" thickBot="1">
      <c r="C58" s="38" t="s">
        <v>13</v>
      </c>
      <c r="D58" s="39"/>
      <c r="E58" s="40"/>
      <c r="F58" s="76">
        <f t="shared" si="11"/>
        <v>723641</v>
      </c>
      <c r="G58" s="76">
        <f t="shared" si="11"/>
        <v>241516</v>
      </c>
      <c r="H58" s="76">
        <f t="shared" si="11"/>
        <v>4669</v>
      </c>
      <c r="I58" s="76">
        <f t="shared" si="11"/>
        <v>494948</v>
      </c>
      <c r="J58" s="76">
        <f t="shared" si="11"/>
        <v>513727</v>
      </c>
      <c r="K58" s="67">
        <f>IFERROR(F58/G58-1,"n/a")</f>
        <v>1.9962445552261547</v>
      </c>
      <c r="L58" s="67">
        <f>IFERROR(F58/H58-1,"n/a")</f>
        <v>153.98843435425144</v>
      </c>
      <c r="M58" s="67">
        <f>IFERROR(F58/I58-1,"n/a")</f>
        <v>0.46205459967511731</v>
      </c>
      <c r="N58" s="63">
        <f>IFERROR(F58/J58-1,"n/a")</f>
        <v>0.40861002049726802</v>
      </c>
      <c r="O58" s="47"/>
      <c r="P58" s="47">
        <f t="shared" si="12"/>
        <v>8316425</v>
      </c>
      <c r="Q58" s="47">
        <f t="shared" si="12"/>
        <v>2005616</v>
      </c>
      <c r="R58" s="47">
        <f t="shared" si="12"/>
        <v>53197</v>
      </c>
      <c r="S58" s="47">
        <f t="shared" si="12"/>
        <v>8428481</v>
      </c>
      <c r="T58" s="47"/>
      <c r="U58" s="67">
        <f>IFERROR(P58/Q58-1,"n/a")</f>
        <v>3.1465689344321151</v>
      </c>
      <c r="V58" s="67">
        <f>IFERROR(P58/R58-1,"n/a")</f>
        <v>155.33259394326748</v>
      </c>
      <c r="W58" s="63">
        <f>IFERROR(P58/S58-1,"n/a")</f>
        <v>-1.3294922299759593E-2</v>
      </c>
      <c r="X58" s="47"/>
      <c r="Y58" s="47">
        <f t="shared" si="13"/>
        <v>2411641</v>
      </c>
      <c r="Z58" s="47">
        <f t="shared" si="13"/>
        <v>1324261</v>
      </c>
      <c r="AA58" s="81">
        <f t="shared" si="13"/>
        <v>8654686</v>
      </c>
      <c r="AB58" s="9"/>
    </row>
    <row r="59" spans="1:28" ht="15.75" thickTop="1">
      <c r="AB59" s="9"/>
    </row>
    <row r="60" spans="1:28">
      <c r="P60" s="111"/>
      <c r="Q60" s="111"/>
      <c r="R60" s="111"/>
      <c r="S60" s="111"/>
      <c r="AB60" s="9"/>
    </row>
    <row r="61" spans="1:28">
      <c r="P61" s="111"/>
      <c r="Q61" s="111"/>
      <c r="R61" s="111"/>
      <c r="S61" s="111"/>
      <c r="AB61" s="9"/>
    </row>
    <row r="62" spans="1:28" hidden="1">
      <c r="P62" s="111"/>
      <c r="Q62" s="111"/>
      <c r="R62" s="111"/>
      <c r="S62" s="111"/>
      <c r="AB62" s="9"/>
    </row>
    <row r="63" spans="1:28" hidden="1">
      <c r="P63" s="111"/>
      <c r="Q63" s="111"/>
      <c r="R63" s="111"/>
      <c r="S63" s="111"/>
      <c r="AB63" s="9"/>
    </row>
    <row r="64" spans="1:28" hidden="1">
      <c r="AB64" s="9"/>
    </row>
    <row r="65" spans="28:28" hidden="1">
      <c r="AB65" s="9"/>
    </row>
    <row r="66" spans="28:28" hidden="1">
      <c r="AB66" s="9"/>
    </row>
  </sheetData>
  <mergeCells count="6">
    <mergeCell ref="F9:N9"/>
    <mergeCell ref="O9:W9"/>
    <mergeCell ref="X9:AA9"/>
    <mergeCell ref="F36:N36"/>
    <mergeCell ref="O36:W36"/>
    <mergeCell ref="X36:AA36"/>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AY68"/>
  <sheetViews>
    <sheetView showGridLines="0" topLeftCell="Q20" zoomScaleNormal="100" zoomScalePageLayoutView="40" workbookViewId="0">
      <selection activeCell="P40" sqref="P40"/>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140625" customWidth="1"/>
    <col min="12" max="12" width="9" bestFit="1" customWidth="1"/>
    <col min="13" max="14" width="9.140625" customWidth="1"/>
    <col min="15" max="15" width="11" bestFit="1" customWidth="1"/>
    <col min="16" max="16" width="11" customWidth="1"/>
    <col min="17" max="17" width="10.140625" bestFit="1" customWidth="1"/>
    <col min="18" max="18" width="12.140625" bestFit="1" customWidth="1"/>
    <col min="19" max="19" width="11.42578125" customWidth="1"/>
    <col min="20" max="20" width="9.85546875" customWidth="1"/>
    <col min="21" max="21" width="8.85546875" customWidth="1"/>
    <col min="22" max="22" width="9.140625" bestFit="1" customWidth="1"/>
    <col min="23" max="23" width="8.85546875" customWidth="1"/>
    <col min="24" max="24" width="10.42578125" bestFit="1" customWidth="1"/>
    <col min="25" max="25" width="10.42578125" customWidth="1"/>
    <col min="26" max="26" width="10.42578125" bestFit="1" customWidth="1"/>
    <col min="27" max="27" width="11.140625" bestFit="1" customWidth="1"/>
    <col min="28" max="28" width="3.140625" style="9" customWidth="1"/>
    <col min="29" max="43" width="0" style="9" hidden="1" customWidth="1"/>
    <col min="44" max="51" width="0" hidden="1" customWidth="1"/>
    <col min="52" max="16384" width="9.140625" hidden="1"/>
  </cols>
  <sheetData>
    <row r="1" spans="1:43" ht="15">
      <c r="A1" s="9"/>
      <c r="B1" s="9"/>
      <c r="C1" s="9"/>
      <c r="D1" s="9"/>
      <c r="E1" s="9"/>
      <c r="F1" s="9"/>
      <c r="G1" s="9"/>
      <c r="H1" s="9"/>
      <c r="I1" s="9"/>
      <c r="J1" s="9"/>
      <c r="K1" s="9"/>
      <c r="L1" s="9"/>
      <c r="M1" s="9"/>
      <c r="N1" s="9"/>
      <c r="O1" s="9"/>
      <c r="P1" s="9"/>
      <c r="Q1" s="9"/>
      <c r="R1" s="9"/>
      <c r="S1" s="9"/>
      <c r="T1" s="9"/>
      <c r="U1" s="9"/>
      <c r="V1" s="9"/>
      <c r="W1" s="9"/>
      <c r="X1" s="9"/>
      <c r="Y1" s="9"/>
      <c r="Z1" s="9"/>
      <c r="AA1" s="9"/>
    </row>
    <row r="2" spans="1:43" ht="19.5"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row>
    <row r="3" spans="1:43" ht="15">
      <c r="A3" s="9"/>
      <c r="B3" s="10"/>
      <c r="C3" s="24"/>
      <c r="D3" s="24"/>
      <c r="E3" s="24"/>
      <c r="F3" s="24"/>
      <c r="G3" s="24"/>
      <c r="H3" s="24"/>
      <c r="I3" s="24"/>
      <c r="J3" s="24"/>
      <c r="K3" s="24"/>
      <c r="L3" s="24"/>
      <c r="M3" s="24"/>
      <c r="N3" s="24"/>
      <c r="O3" s="24"/>
      <c r="P3" s="24"/>
      <c r="Q3" s="24"/>
      <c r="R3" s="24"/>
      <c r="S3" s="24"/>
      <c r="T3" s="24"/>
      <c r="U3" s="24"/>
      <c r="V3" s="24"/>
      <c r="W3" s="24"/>
      <c r="X3" s="24"/>
      <c r="Y3" s="24"/>
      <c r="Z3" s="24"/>
      <c r="AA3" s="25">
        <v>44972</v>
      </c>
    </row>
    <row r="4" spans="1:43" ht="15.75">
      <c r="A4" s="9"/>
      <c r="B4" s="11" t="s">
        <v>7</v>
      </c>
      <c r="C4" s="26"/>
      <c r="D4" s="24"/>
      <c r="E4" s="58" t="s">
        <v>98</v>
      </c>
      <c r="F4" s="24"/>
      <c r="G4" s="24"/>
      <c r="H4" s="24"/>
      <c r="I4" s="24"/>
      <c r="J4" s="24"/>
      <c r="K4" s="24"/>
      <c r="L4" s="24"/>
      <c r="M4" s="24"/>
      <c r="N4" s="24"/>
      <c r="O4" s="24"/>
      <c r="P4" s="24"/>
      <c r="Q4" s="24"/>
      <c r="R4" s="24"/>
      <c r="S4" s="24"/>
      <c r="T4" s="24"/>
      <c r="U4" s="24"/>
      <c r="V4" s="24"/>
      <c r="W4" s="24"/>
      <c r="X4" s="24"/>
      <c r="Y4" s="24"/>
      <c r="Z4" s="24"/>
      <c r="AA4" s="24"/>
    </row>
    <row r="5" spans="1:43" ht="15">
      <c r="A5" s="9"/>
      <c r="B5" s="10"/>
      <c r="C5" s="24"/>
      <c r="D5" s="24"/>
      <c r="E5" s="24"/>
      <c r="F5" s="24"/>
      <c r="G5" s="24"/>
      <c r="H5" s="24"/>
      <c r="I5" s="24"/>
      <c r="J5" s="24"/>
      <c r="K5" s="24"/>
      <c r="L5" s="24"/>
      <c r="M5" s="24"/>
      <c r="N5" s="24"/>
      <c r="O5" s="24"/>
      <c r="P5" s="24"/>
      <c r="Q5" s="24"/>
      <c r="R5" s="24"/>
      <c r="S5" s="24"/>
      <c r="T5" s="24"/>
      <c r="U5" s="24"/>
      <c r="V5" s="24"/>
      <c r="W5" s="24"/>
      <c r="X5" s="24"/>
      <c r="Y5" s="24"/>
      <c r="Z5" s="24"/>
      <c r="AA5" s="24"/>
    </row>
    <row r="6" spans="1:43" ht="15">
      <c r="A6" s="9"/>
      <c r="B6" s="10"/>
      <c r="C6" s="24"/>
      <c r="D6" s="24"/>
      <c r="E6" s="24"/>
      <c r="F6" s="24"/>
      <c r="G6" s="24"/>
      <c r="H6" s="24"/>
      <c r="I6" s="24"/>
      <c r="J6" s="24"/>
      <c r="K6" s="24"/>
      <c r="L6" s="24"/>
      <c r="M6" s="24"/>
      <c r="N6" s="24"/>
      <c r="O6" s="24"/>
      <c r="P6" s="24"/>
      <c r="Q6" s="24"/>
      <c r="R6" s="24"/>
      <c r="S6" s="24"/>
      <c r="T6" s="24"/>
      <c r="U6" s="24"/>
      <c r="V6" s="24"/>
      <c r="W6" s="24"/>
      <c r="X6" s="24"/>
      <c r="Y6" s="24"/>
      <c r="Z6" s="24"/>
      <c r="AA6" s="24"/>
    </row>
    <row r="7" spans="1:43"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row>
    <row r="8" spans="1:43" ht="15">
      <c r="A8" s="9"/>
      <c r="B8" s="10"/>
      <c r="C8" s="24"/>
      <c r="D8" s="24"/>
      <c r="E8" s="24"/>
      <c r="F8" s="24"/>
      <c r="G8" s="24"/>
      <c r="H8" s="24"/>
      <c r="I8" s="24"/>
      <c r="J8" s="24"/>
      <c r="K8" s="24"/>
      <c r="L8" s="24"/>
      <c r="M8" s="24"/>
      <c r="N8" s="24"/>
      <c r="O8" s="24"/>
      <c r="P8" s="24"/>
      <c r="Q8" s="24"/>
      <c r="R8" s="24"/>
      <c r="S8" s="24"/>
      <c r="T8" s="24"/>
      <c r="U8" s="24"/>
      <c r="V8" s="24"/>
      <c r="W8" s="24"/>
      <c r="X8" s="24"/>
      <c r="Y8" s="24"/>
      <c r="Z8" s="24"/>
      <c r="AA8" s="24"/>
    </row>
    <row r="9" spans="1:43" s="20" customFormat="1" ht="15">
      <c r="A9" s="9"/>
      <c r="B9"/>
      <c r="C9" s="27" t="s">
        <v>7</v>
      </c>
      <c r="D9" s="28"/>
      <c r="E9" s="28"/>
      <c r="F9" s="170" t="s">
        <v>33</v>
      </c>
      <c r="G9" s="170"/>
      <c r="H9" s="170"/>
      <c r="I9" s="170"/>
      <c r="J9" s="170"/>
      <c r="K9" s="170"/>
      <c r="L9" s="170"/>
      <c r="M9" s="170"/>
      <c r="N9" s="171"/>
      <c r="O9" s="169" t="s">
        <v>33</v>
      </c>
      <c r="P9" s="170"/>
      <c r="Q9" s="170"/>
      <c r="R9" s="170"/>
      <c r="S9" s="170"/>
      <c r="T9" s="170"/>
      <c r="U9" s="170"/>
      <c r="V9" s="170"/>
      <c r="W9" s="171"/>
      <c r="X9" s="169" t="s">
        <v>57</v>
      </c>
      <c r="Y9" s="170"/>
      <c r="Z9" s="170"/>
      <c r="AA9" s="172"/>
      <c r="AB9" s="9"/>
      <c r="AC9" s="19"/>
      <c r="AD9" s="19"/>
      <c r="AE9" s="19"/>
      <c r="AF9" s="19"/>
      <c r="AG9" s="19"/>
      <c r="AH9" s="19"/>
      <c r="AI9" s="19"/>
      <c r="AJ9" s="19"/>
      <c r="AK9" s="19"/>
      <c r="AL9" s="19"/>
      <c r="AM9" s="19"/>
      <c r="AN9" s="19"/>
      <c r="AO9" s="19"/>
      <c r="AP9" s="19"/>
      <c r="AQ9" s="19"/>
    </row>
    <row r="10" spans="1:43"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row>
    <row r="11" spans="1:43" s="54" customFormat="1" ht="27"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c r="AC11" s="48"/>
      <c r="AD11" s="48"/>
      <c r="AE11" s="48"/>
      <c r="AF11" s="48"/>
      <c r="AG11" s="48"/>
      <c r="AH11" s="48"/>
      <c r="AI11" s="48"/>
      <c r="AJ11" s="48"/>
      <c r="AK11" s="48"/>
      <c r="AL11" s="48"/>
      <c r="AM11" s="48"/>
      <c r="AN11" s="48"/>
      <c r="AO11" s="48"/>
      <c r="AP11" s="48"/>
      <c r="AQ11" s="48"/>
    </row>
    <row r="12" spans="1:43" ht="15">
      <c r="A12" s="9"/>
      <c r="B12" s="12"/>
      <c r="C12" s="31" t="s">
        <v>14</v>
      </c>
      <c r="D12" s="26"/>
      <c r="E12" s="32"/>
      <c r="F12" s="26"/>
      <c r="G12" s="26"/>
      <c r="H12" s="26"/>
      <c r="I12" s="26"/>
      <c r="J12" s="26"/>
      <c r="K12" s="26"/>
      <c r="L12" s="26"/>
      <c r="M12" s="26"/>
      <c r="N12" s="32"/>
      <c r="O12" s="26"/>
      <c r="P12" s="26"/>
      <c r="Q12" s="26"/>
      <c r="R12" s="26"/>
      <c r="S12" s="26"/>
      <c r="T12" s="26"/>
      <c r="U12" s="26"/>
      <c r="V12" s="26"/>
      <c r="W12" s="32"/>
      <c r="X12" s="26"/>
      <c r="Y12" s="26"/>
      <c r="Z12" s="26"/>
      <c r="AA12" s="32"/>
    </row>
    <row r="13" spans="1:43" ht="15">
      <c r="A13" s="9"/>
      <c r="B13" s="12"/>
      <c r="C13" s="33"/>
      <c r="D13" s="26" t="s">
        <v>5</v>
      </c>
      <c r="E13" s="32"/>
      <c r="F13" s="74">
        <v>68</v>
      </c>
      <c r="G13" s="71">
        <v>64</v>
      </c>
      <c r="H13" s="71">
        <v>0</v>
      </c>
      <c r="I13" s="71">
        <v>61</v>
      </c>
      <c r="J13" s="71">
        <v>76</v>
      </c>
      <c r="K13" s="64">
        <f>IFERROR(F13/G13-1,"n/a")</f>
        <v>6.25E-2</v>
      </c>
      <c r="L13" s="64" t="str">
        <f t="shared" ref="L13:L31" si="0">IFERROR(F13/H13-1,"n/a")</f>
        <v>n/a</v>
      </c>
      <c r="M13" s="64">
        <f>IFERROR(F13/I13-1,"n/a")</f>
        <v>0.11475409836065564</v>
      </c>
      <c r="N13" s="60">
        <f>IFERROR(F13/J13-1,"n/a")</f>
        <v>-0.10526315789473684</v>
      </c>
      <c r="O13" s="68">
        <f>F13</f>
        <v>68</v>
      </c>
      <c r="P13" s="68">
        <f t="shared" ref="P13:S14" si="1">G13</f>
        <v>64</v>
      </c>
      <c r="Q13" s="68">
        <f t="shared" si="1"/>
        <v>0</v>
      </c>
      <c r="R13" s="68">
        <f t="shared" si="1"/>
        <v>61</v>
      </c>
      <c r="S13" s="68">
        <f t="shared" si="1"/>
        <v>76</v>
      </c>
      <c r="T13" s="64">
        <f>IFERROR(O13/P13-1,"n/a")</f>
        <v>6.25E-2</v>
      </c>
      <c r="U13" s="64" t="str">
        <f>IFERROR(O13/Q13-1,"n/a")</f>
        <v>n/a</v>
      </c>
      <c r="V13" s="64">
        <f>IFERROR(O13/R13-1,"n/a")</f>
        <v>0.11475409836065564</v>
      </c>
      <c r="W13" s="60">
        <f>IFERROR(O13/S13-1,"n/a")</f>
        <v>-0.10526315789473684</v>
      </c>
      <c r="X13" s="68">
        <v>346</v>
      </c>
      <c r="Y13" s="68">
        <v>111</v>
      </c>
      <c r="Z13" s="70">
        <v>145</v>
      </c>
      <c r="AA13" s="78">
        <v>386</v>
      </c>
    </row>
    <row r="14" spans="1:43" ht="15">
      <c r="A14" s="9"/>
      <c r="B14" s="12"/>
      <c r="C14" s="33"/>
      <c r="D14" s="26" t="s">
        <v>11</v>
      </c>
      <c r="E14" s="32"/>
      <c r="F14" s="74">
        <v>115964</v>
      </c>
      <c r="G14" s="71">
        <v>50794</v>
      </c>
      <c r="H14" s="71">
        <v>0</v>
      </c>
      <c r="I14" s="71">
        <v>108796</v>
      </c>
      <c r="J14" s="71">
        <v>156866</v>
      </c>
      <c r="K14" s="64">
        <f>IFERROR(F14/G14-1,"n/a")</f>
        <v>1.2830255541993147</v>
      </c>
      <c r="L14" s="64" t="str">
        <f t="shared" si="0"/>
        <v>n/a</v>
      </c>
      <c r="M14" s="64">
        <f>IFERROR(F14/I14-1,"n/a")</f>
        <v>6.5884775175558019E-2</v>
      </c>
      <c r="N14" s="60">
        <f>IFERROR(F14/J14-1,"n/a")</f>
        <v>-0.2607448395445795</v>
      </c>
      <c r="O14" s="68">
        <f>F14</f>
        <v>115964</v>
      </c>
      <c r="P14" s="68">
        <f t="shared" si="1"/>
        <v>50794</v>
      </c>
      <c r="Q14" s="68">
        <f t="shared" si="1"/>
        <v>0</v>
      </c>
      <c r="R14" s="68">
        <f t="shared" si="1"/>
        <v>108796</v>
      </c>
      <c r="S14" s="68">
        <f t="shared" si="1"/>
        <v>156866</v>
      </c>
      <c r="T14" s="64">
        <f>IFERROR(O14/P14-1,"n/a")</f>
        <v>1.2830255541993147</v>
      </c>
      <c r="U14" s="64" t="str">
        <f>IFERROR(O14/Q14-1,"n/a")</f>
        <v>n/a</v>
      </c>
      <c r="V14" s="64">
        <f>IFERROR(O14/R14-1,"n/a")</f>
        <v>6.5884775175558019E-2</v>
      </c>
      <c r="W14" s="60">
        <f>IFERROR(O14/S14-1,"n/a")</f>
        <v>-0.2607448395445795</v>
      </c>
      <c r="X14" s="68">
        <v>380182</v>
      </c>
      <c r="Y14" s="68">
        <v>80863</v>
      </c>
      <c r="Z14" s="70">
        <v>258885</v>
      </c>
      <c r="AA14" s="78">
        <v>733296</v>
      </c>
    </row>
    <row r="15" spans="1:43" ht="15">
      <c r="A15" s="9"/>
      <c r="B15" s="12"/>
      <c r="C15" s="31" t="s">
        <v>74</v>
      </c>
      <c r="D15" s="26"/>
      <c r="E15" s="32"/>
      <c r="F15" s="97"/>
      <c r="G15" s="26"/>
      <c r="H15" s="26"/>
      <c r="I15" s="26"/>
      <c r="J15" s="26"/>
      <c r="K15" s="64"/>
      <c r="L15" s="64"/>
      <c r="M15" s="64"/>
      <c r="N15" s="61"/>
      <c r="O15" s="87"/>
      <c r="P15" s="87"/>
      <c r="Q15" s="87"/>
      <c r="R15" s="87"/>
      <c r="S15" s="87"/>
      <c r="T15" s="64"/>
      <c r="U15" s="64"/>
      <c r="V15" s="65"/>
      <c r="W15" s="61"/>
      <c r="X15" s="43"/>
      <c r="Y15" s="43"/>
      <c r="Z15" s="44"/>
      <c r="AA15" s="79"/>
    </row>
    <row r="16" spans="1:43" ht="15">
      <c r="A16" s="9"/>
      <c r="B16" s="12"/>
      <c r="C16" s="33"/>
      <c r="D16" s="26" t="s">
        <v>5</v>
      </c>
      <c r="E16" s="32"/>
      <c r="F16" s="74">
        <v>23</v>
      </c>
      <c r="G16" s="71">
        <v>16</v>
      </c>
      <c r="H16" s="71">
        <v>0</v>
      </c>
      <c r="I16" s="71">
        <v>19</v>
      </c>
      <c r="J16" s="71">
        <v>24</v>
      </c>
      <c r="K16" s="64">
        <f>IFERROR(F16/G16-1,"n/a")</f>
        <v>0.4375</v>
      </c>
      <c r="L16" s="64" t="str">
        <f t="shared" si="0"/>
        <v>n/a</v>
      </c>
      <c r="M16" s="64">
        <f>IFERROR(F16/I16-1,"n/a")</f>
        <v>0.21052631578947367</v>
      </c>
      <c r="N16" s="60">
        <f>IFERROR(F16/J16-1,"n/a")</f>
        <v>-4.166666666666663E-2</v>
      </c>
      <c r="O16" s="68">
        <f t="shared" ref="O16:S17" si="2">F16</f>
        <v>23</v>
      </c>
      <c r="P16" s="68">
        <f t="shared" si="2"/>
        <v>16</v>
      </c>
      <c r="Q16" s="68">
        <f t="shared" si="2"/>
        <v>0</v>
      </c>
      <c r="R16" s="68">
        <f t="shared" si="2"/>
        <v>19</v>
      </c>
      <c r="S16" s="68">
        <f t="shared" si="2"/>
        <v>24</v>
      </c>
      <c r="T16" s="64">
        <f>IFERROR(O16/P16-1,"n/a")</f>
        <v>0.4375</v>
      </c>
      <c r="U16" s="64" t="str">
        <f>IFERROR(O16/Q16-1,"n/a")</f>
        <v>n/a</v>
      </c>
      <c r="V16" s="64">
        <f>IFERROR(O16/R16-1,"n/a")</f>
        <v>0.21052631578947367</v>
      </c>
      <c r="W16" s="60">
        <f>IFERROR(O16/S16-1,"n/a")</f>
        <v>-4.166666666666663E-2</v>
      </c>
      <c r="X16" s="68">
        <v>778</v>
      </c>
      <c r="Y16" s="68">
        <v>283</v>
      </c>
      <c r="Z16" s="70">
        <v>43</v>
      </c>
      <c r="AA16" s="78">
        <v>827</v>
      </c>
    </row>
    <row r="17" spans="1:51" ht="15">
      <c r="A17" s="9"/>
      <c r="B17" s="12"/>
      <c r="C17" s="33"/>
      <c r="D17" s="26" t="s">
        <v>11</v>
      </c>
      <c r="E17" s="32"/>
      <c r="F17" s="74">
        <v>72958</v>
      </c>
      <c r="G17" s="71">
        <v>21828</v>
      </c>
      <c r="H17" s="71">
        <v>0</v>
      </c>
      <c r="I17" s="71">
        <v>64994</v>
      </c>
      <c r="J17" s="71">
        <v>74523</v>
      </c>
      <c r="K17" s="64">
        <f>IFERROR(F17/G17-1,"n/a")</f>
        <v>2.3424042514201942</v>
      </c>
      <c r="L17" s="64" t="str">
        <f t="shared" si="0"/>
        <v>n/a</v>
      </c>
      <c r="M17" s="64">
        <f>IFERROR(F17/I17-1,"n/a")</f>
        <v>0.1225343877896421</v>
      </c>
      <c r="N17" s="60">
        <f>IFERROR(F17/J17-1,"n/a")</f>
        <v>-2.1000228117493913E-2</v>
      </c>
      <c r="O17" s="68">
        <f t="shared" si="2"/>
        <v>72958</v>
      </c>
      <c r="P17" s="68">
        <f t="shared" si="2"/>
        <v>21828</v>
      </c>
      <c r="Q17" s="68">
        <f t="shared" si="2"/>
        <v>0</v>
      </c>
      <c r="R17" s="68">
        <f t="shared" si="2"/>
        <v>64994</v>
      </c>
      <c r="S17" s="68">
        <f t="shared" si="2"/>
        <v>74523</v>
      </c>
      <c r="T17" s="64">
        <f>IFERROR(O17/P17-1,"n/a")</f>
        <v>2.3424042514201942</v>
      </c>
      <c r="U17" s="64" t="str">
        <f>IFERROR(O17/Q17-1,"n/a")</f>
        <v>n/a</v>
      </c>
      <c r="V17" s="64">
        <f>IFERROR(O17/R17-1,"n/a")</f>
        <v>0.1225343877896421</v>
      </c>
      <c r="W17" s="60">
        <f>IFERROR(O17/S17-1,"n/a")</f>
        <v>-2.1000228117493913E-2</v>
      </c>
      <c r="X17" s="68">
        <v>1843624</v>
      </c>
      <c r="Y17" s="68">
        <v>465109</v>
      </c>
      <c r="Z17" s="70">
        <v>140552</v>
      </c>
      <c r="AA17" s="78">
        <v>2552942</v>
      </c>
    </row>
    <row r="18" spans="1:51" ht="15">
      <c r="A18" s="9"/>
      <c r="B18" s="12"/>
      <c r="C18" s="31" t="s">
        <v>15</v>
      </c>
      <c r="D18" s="26"/>
      <c r="E18" s="32"/>
      <c r="F18" s="72"/>
      <c r="G18" s="72"/>
      <c r="H18" s="72"/>
      <c r="I18" s="72"/>
      <c r="J18" s="72"/>
      <c r="K18" s="64"/>
      <c r="L18" s="64"/>
      <c r="M18" s="64"/>
      <c r="N18" s="60"/>
      <c r="O18" s="87"/>
      <c r="P18" s="87"/>
      <c r="Q18" s="87"/>
      <c r="R18" s="87"/>
      <c r="S18" s="87"/>
      <c r="T18" s="64"/>
      <c r="U18" s="64"/>
      <c r="V18" s="64"/>
      <c r="W18" s="60"/>
      <c r="X18" s="43"/>
      <c r="Y18" s="43"/>
      <c r="Z18" s="44"/>
      <c r="AA18" s="79"/>
    </row>
    <row r="19" spans="1:51" ht="15">
      <c r="A19" s="9"/>
      <c r="B19" s="12"/>
      <c r="C19" s="33"/>
      <c r="D19" s="26" t="s">
        <v>5</v>
      </c>
      <c r="E19" s="32"/>
      <c r="F19" s="74">
        <v>4</v>
      </c>
      <c r="G19" s="71">
        <v>3</v>
      </c>
      <c r="H19" s="71">
        <v>0</v>
      </c>
      <c r="I19" s="71">
        <v>1</v>
      </c>
      <c r="J19" s="71">
        <v>0</v>
      </c>
      <c r="K19" s="64">
        <f>IFERROR(F19/G19-1,"n/a")</f>
        <v>0.33333333333333326</v>
      </c>
      <c r="L19" s="64" t="str">
        <f t="shared" si="0"/>
        <v>n/a</v>
      </c>
      <c r="M19" s="64">
        <f>IFERROR(F19/I19-1,"n/a")</f>
        <v>3</v>
      </c>
      <c r="N19" s="60" t="str">
        <f>IFERROR(F19/J19-1,"n/a")</f>
        <v>n/a</v>
      </c>
      <c r="O19" s="68">
        <f>F19</f>
        <v>4</v>
      </c>
      <c r="P19" s="68">
        <f t="shared" ref="P19:S20" si="3">G19</f>
        <v>3</v>
      </c>
      <c r="Q19" s="68">
        <f t="shared" si="3"/>
        <v>0</v>
      </c>
      <c r="R19" s="68">
        <f t="shared" si="3"/>
        <v>1</v>
      </c>
      <c r="S19" s="68">
        <f t="shared" si="3"/>
        <v>0</v>
      </c>
      <c r="T19" s="64">
        <f>IFERROR(O19/P19-1,"n/a")</f>
        <v>0.33333333333333326</v>
      </c>
      <c r="U19" s="64" t="str">
        <f>IFERROR(O19/Q19-1,"n/a")</f>
        <v>n/a</v>
      </c>
      <c r="V19" s="64">
        <f>IFERROR(O19/R19-1,"n/a")</f>
        <v>3</v>
      </c>
      <c r="W19" s="60" t="str">
        <f>IFERROR(O19/S19-1,"n/a")</f>
        <v>n/a</v>
      </c>
      <c r="X19" s="68">
        <v>475</v>
      </c>
      <c r="Y19" s="68">
        <v>23</v>
      </c>
      <c r="Z19" s="70">
        <v>4</v>
      </c>
      <c r="AA19" s="78">
        <v>191</v>
      </c>
    </row>
    <row r="20" spans="1:51" ht="15">
      <c r="A20" s="9"/>
      <c r="B20" s="12"/>
      <c r="C20" s="33"/>
      <c r="D20" s="26" t="s">
        <v>11</v>
      </c>
      <c r="E20" s="32"/>
      <c r="F20" s="74">
        <v>3235</v>
      </c>
      <c r="G20" s="71">
        <v>814</v>
      </c>
      <c r="H20" s="71">
        <v>0</v>
      </c>
      <c r="I20" s="71">
        <v>823</v>
      </c>
      <c r="J20" s="71">
        <v>0</v>
      </c>
      <c r="K20" s="64">
        <f>IFERROR(F20/G20-1,"n/a")</f>
        <v>2.9742014742014744</v>
      </c>
      <c r="L20" s="64" t="str">
        <f t="shared" si="0"/>
        <v>n/a</v>
      </c>
      <c r="M20" s="64">
        <f>IFERROR(F20/I20-1,"n/a")</f>
        <v>2.9307411907654921</v>
      </c>
      <c r="N20" s="60" t="str">
        <f t="shared" ref="N20:N31" si="4">IFERROR(F20/J20-1,"n/a")</f>
        <v>n/a</v>
      </c>
      <c r="O20" s="68">
        <f>F20</f>
        <v>3235</v>
      </c>
      <c r="P20" s="68">
        <f t="shared" si="3"/>
        <v>814</v>
      </c>
      <c r="Q20" s="68">
        <f t="shared" si="3"/>
        <v>0</v>
      </c>
      <c r="R20" s="68">
        <f t="shared" si="3"/>
        <v>823</v>
      </c>
      <c r="S20" s="68">
        <f t="shared" si="3"/>
        <v>0</v>
      </c>
      <c r="T20" s="64">
        <f>IFERROR(O20/P20-1,"n/a")</f>
        <v>2.9742014742014744</v>
      </c>
      <c r="U20" s="64" t="str">
        <f>IFERROR(O20/Q20-1,"n/a")</f>
        <v>n/a</v>
      </c>
      <c r="V20" s="64">
        <f>IFERROR(O20/R20-1,"n/a")</f>
        <v>2.9307411907654921</v>
      </c>
      <c r="W20" s="60" t="str">
        <f>IFERROR(O20/S20-1,"n/a")</f>
        <v>n/a</v>
      </c>
      <c r="X20" s="68">
        <v>561984</v>
      </c>
      <c r="Y20" s="68">
        <v>8611</v>
      </c>
      <c r="Z20" s="70">
        <v>1753</v>
      </c>
      <c r="AA20" s="78">
        <v>254421</v>
      </c>
    </row>
    <row r="21" spans="1:51" ht="15">
      <c r="A21" s="9"/>
      <c r="B21" s="12"/>
      <c r="C21" s="31" t="s">
        <v>10</v>
      </c>
      <c r="D21" s="26"/>
      <c r="E21" s="34"/>
      <c r="F21" s="72"/>
      <c r="G21" s="72"/>
      <c r="H21" s="72"/>
      <c r="I21" s="72"/>
      <c r="J21" s="72"/>
      <c r="K21" s="64"/>
      <c r="L21" s="64"/>
      <c r="M21" s="64"/>
      <c r="N21" s="60"/>
      <c r="O21" s="87"/>
      <c r="P21" s="87"/>
      <c r="Q21" s="87"/>
      <c r="R21" s="87"/>
      <c r="S21" s="87"/>
      <c r="T21" s="64"/>
      <c r="U21" s="64"/>
      <c r="V21" s="64"/>
      <c r="W21" s="60"/>
      <c r="X21" s="43"/>
      <c r="Y21" s="43"/>
      <c r="Z21" s="44"/>
      <c r="AA21" s="79"/>
    </row>
    <row r="22" spans="1:51" ht="15">
      <c r="A22" s="9"/>
      <c r="B22" s="12"/>
      <c r="C22" s="33"/>
      <c r="D22" s="26" t="s">
        <v>5</v>
      </c>
      <c r="E22" s="34"/>
      <c r="F22" s="74">
        <v>120</v>
      </c>
      <c r="G22" s="71">
        <v>100</v>
      </c>
      <c r="H22" s="71">
        <v>0</v>
      </c>
      <c r="I22" s="71">
        <v>126</v>
      </c>
      <c r="J22" s="71">
        <v>113</v>
      </c>
      <c r="K22" s="64">
        <f>IFERROR(F22/G22-1,"n/a")</f>
        <v>0.19999999999999996</v>
      </c>
      <c r="L22" s="64" t="str">
        <f t="shared" si="0"/>
        <v>n/a</v>
      </c>
      <c r="M22" s="64">
        <f>IFERROR(F22/I22-1,"n/a")</f>
        <v>-4.7619047619047672E-2</v>
      </c>
      <c r="N22" s="60">
        <f t="shared" si="4"/>
        <v>6.1946902654867353E-2</v>
      </c>
      <c r="O22" s="68">
        <f>F22</f>
        <v>120</v>
      </c>
      <c r="P22" s="68">
        <f t="shared" ref="P22:S23" si="5">G22</f>
        <v>100</v>
      </c>
      <c r="Q22" s="68">
        <f t="shared" si="5"/>
        <v>0</v>
      </c>
      <c r="R22" s="68">
        <f t="shared" si="5"/>
        <v>126</v>
      </c>
      <c r="S22" s="68">
        <f t="shared" si="5"/>
        <v>113</v>
      </c>
      <c r="T22" s="64">
        <f>IFERROR(O22/P22-1,"n/a")</f>
        <v>0.19999999999999996</v>
      </c>
      <c r="U22" s="64" t="str">
        <f>IFERROR(O22/Q22-1,"n/a")</f>
        <v>n/a</v>
      </c>
      <c r="V22" s="64">
        <f>IFERROR(O22/R22-1,"n/a")</f>
        <v>-4.7619047619047672E-2</v>
      </c>
      <c r="W22" s="60">
        <f>IFERROR(O22/S22-1,"n/a")</f>
        <v>6.1946902654867353E-2</v>
      </c>
      <c r="X22" s="68">
        <v>1140</v>
      </c>
      <c r="Y22" s="68">
        <v>411</v>
      </c>
      <c r="Z22" s="70">
        <v>406</v>
      </c>
      <c r="AA22" s="78">
        <v>1205</v>
      </c>
    </row>
    <row r="23" spans="1:51" ht="15">
      <c r="A23" s="9"/>
      <c r="B23" s="12"/>
      <c r="C23" s="33"/>
      <c r="D23" s="26" t="s">
        <v>11</v>
      </c>
      <c r="E23" s="32"/>
      <c r="F23" s="74">
        <v>406985</v>
      </c>
      <c r="G23" s="71">
        <v>144818</v>
      </c>
      <c r="H23" s="71">
        <v>0</v>
      </c>
      <c r="I23" s="71">
        <v>357284</v>
      </c>
      <c r="J23" s="71">
        <v>368396</v>
      </c>
      <c r="K23" s="64">
        <f>IFERROR(F23/G23-1,"n/a")</f>
        <v>1.8103205402643319</v>
      </c>
      <c r="L23" s="64" t="str">
        <f t="shared" si="0"/>
        <v>n/a</v>
      </c>
      <c r="M23" s="64">
        <f>IFERROR(F23/I23-1,"n/a")</f>
        <v>0.13910782458772286</v>
      </c>
      <c r="N23" s="60">
        <f t="shared" si="4"/>
        <v>0.10474869433978662</v>
      </c>
      <c r="O23" s="68">
        <f>F23</f>
        <v>406985</v>
      </c>
      <c r="P23" s="68">
        <f t="shared" si="5"/>
        <v>144818</v>
      </c>
      <c r="Q23" s="68">
        <f t="shared" si="5"/>
        <v>0</v>
      </c>
      <c r="R23" s="68">
        <f t="shared" si="5"/>
        <v>357284</v>
      </c>
      <c r="S23" s="68">
        <f t="shared" si="5"/>
        <v>368396</v>
      </c>
      <c r="T23" s="64">
        <f>IFERROR(O23/P23-1,"n/a")</f>
        <v>1.8103205402643319</v>
      </c>
      <c r="U23" s="64" t="str">
        <f>IFERROR(O23/Q23-1,"n/a")</f>
        <v>n/a</v>
      </c>
      <c r="V23" s="64">
        <f>IFERROR(O23/R23-1,"n/a")</f>
        <v>0.13910782458772286</v>
      </c>
      <c r="W23" s="60">
        <f>IFERROR(O23/S23-1,"n/a")</f>
        <v>0.10474869433978662</v>
      </c>
      <c r="X23" s="68">
        <v>3212646</v>
      </c>
      <c r="Y23" s="68">
        <v>687449</v>
      </c>
      <c r="Z23" s="70">
        <v>833999</v>
      </c>
      <c r="AA23" s="78">
        <v>3859183</v>
      </c>
    </row>
    <row r="24" spans="1:51" ht="15">
      <c r="A24" s="9"/>
      <c r="B24" s="12"/>
      <c r="C24" s="31" t="s">
        <v>16</v>
      </c>
      <c r="D24" s="26"/>
      <c r="E24" s="32"/>
      <c r="F24" s="72"/>
      <c r="G24" s="72"/>
      <c r="H24" s="72"/>
      <c r="I24" s="72"/>
      <c r="J24" s="72"/>
      <c r="K24" s="64"/>
      <c r="L24" s="64"/>
      <c r="M24" s="64"/>
      <c r="N24" s="60"/>
      <c r="O24" s="87"/>
      <c r="P24" s="87"/>
      <c r="Q24" s="87"/>
      <c r="R24" s="87"/>
      <c r="S24" s="87"/>
      <c r="T24" s="64"/>
      <c r="U24" s="64"/>
      <c r="V24" s="64"/>
      <c r="W24" s="60"/>
      <c r="X24" s="43"/>
      <c r="Y24" s="43"/>
      <c r="Z24" s="44"/>
      <c r="AA24" s="79"/>
    </row>
    <row r="25" spans="1:51" ht="15">
      <c r="A25" s="9"/>
      <c r="B25" s="12"/>
      <c r="C25" s="33"/>
      <c r="D25" s="26" t="s">
        <v>5</v>
      </c>
      <c r="E25" s="32"/>
      <c r="F25" s="74">
        <v>4</v>
      </c>
      <c r="G25" s="71">
        <v>3</v>
      </c>
      <c r="H25" s="71">
        <v>1</v>
      </c>
      <c r="I25" s="71">
        <v>5</v>
      </c>
      <c r="J25" s="71">
        <v>4</v>
      </c>
      <c r="K25" s="64">
        <f>IFERROR(F25/G25-1,"n/a")</f>
        <v>0.33333333333333326</v>
      </c>
      <c r="L25" s="64">
        <f t="shared" si="0"/>
        <v>3</v>
      </c>
      <c r="M25" s="64">
        <f>IFERROR(F25/I25-1,"n/a")</f>
        <v>-0.19999999999999996</v>
      </c>
      <c r="N25" s="60">
        <f t="shared" si="4"/>
        <v>0</v>
      </c>
      <c r="O25" s="68">
        <f>F25</f>
        <v>4</v>
      </c>
      <c r="P25" s="68">
        <f t="shared" ref="P25:S26" si="6">G25</f>
        <v>3</v>
      </c>
      <c r="Q25" s="68">
        <f t="shared" si="6"/>
        <v>1</v>
      </c>
      <c r="R25" s="68">
        <f t="shared" si="6"/>
        <v>5</v>
      </c>
      <c r="S25" s="68">
        <f t="shared" si="6"/>
        <v>4</v>
      </c>
      <c r="T25" s="64">
        <f>IFERROR(O25/P25-1,"n/a")</f>
        <v>0.33333333333333326</v>
      </c>
      <c r="U25" s="64">
        <f>IFERROR(O25/Q25-1,"n/a")</f>
        <v>3</v>
      </c>
      <c r="V25" s="64">
        <f>IFERROR(O25/R25-1,"n/a")</f>
        <v>-0.19999999999999996</v>
      </c>
      <c r="W25" s="60">
        <f>IFERROR(O25/S25-1,"n/a")</f>
        <v>0</v>
      </c>
      <c r="X25" s="68">
        <v>283</v>
      </c>
      <c r="Y25" s="68">
        <v>107</v>
      </c>
      <c r="Z25" s="70">
        <v>32</v>
      </c>
      <c r="AA25" s="78">
        <v>372</v>
      </c>
    </row>
    <row r="26" spans="1:51" ht="15">
      <c r="A26" s="9"/>
      <c r="B26" s="12"/>
      <c r="C26" s="33"/>
      <c r="D26" s="26" t="s">
        <v>11</v>
      </c>
      <c r="E26" s="32"/>
      <c r="F26" s="74">
        <v>14845</v>
      </c>
      <c r="G26" s="71">
        <v>1702</v>
      </c>
      <c r="H26" s="71">
        <v>644</v>
      </c>
      <c r="I26" s="71">
        <v>23141</v>
      </c>
      <c r="J26" s="71">
        <v>19715</v>
      </c>
      <c r="K26" s="64">
        <f>IFERROR(F26/G26-1,"n/a")</f>
        <v>7.7220916568742659</v>
      </c>
      <c r="L26" s="64">
        <f t="shared" si="0"/>
        <v>22.051242236024844</v>
      </c>
      <c r="M26" s="64">
        <f>IFERROR(F26/I26-1,"n/a")</f>
        <v>-0.35849790415280236</v>
      </c>
      <c r="N26" s="60">
        <f t="shared" si="4"/>
        <v>-0.24702003550595997</v>
      </c>
      <c r="O26" s="68">
        <f>F26</f>
        <v>14845</v>
      </c>
      <c r="P26" s="68">
        <f t="shared" si="6"/>
        <v>1702</v>
      </c>
      <c r="Q26" s="68">
        <f t="shared" si="6"/>
        <v>644</v>
      </c>
      <c r="R26" s="68">
        <f t="shared" si="6"/>
        <v>23141</v>
      </c>
      <c r="S26" s="68">
        <f t="shared" si="6"/>
        <v>19715</v>
      </c>
      <c r="T26" s="64">
        <f>IFERROR(O26/P26-1,"n/a")</f>
        <v>7.7220916568742659</v>
      </c>
      <c r="U26" s="64">
        <f>IFERROR(O26/Q26-1,"n/a")</f>
        <v>22.051242236024844</v>
      </c>
      <c r="V26" s="64">
        <f>IFERROR(O26/R26-1,"n/a")</f>
        <v>-0.35849790415280236</v>
      </c>
      <c r="W26" s="60">
        <f>IFERROR(O26/S26-1,"n/a")</f>
        <v>-0.24702003550595997</v>
      </c>
      <c r="X26" s="68">
        <v>530405</v>
      </c>
      <c r="Y26" s="68">
        <v>147132</v>
      </c>
      <c r="Z26" s="70">
        <v>59180</v>
      </c>
      <c r="AA26" s="78">
        <v>902015</v>
      </c>
    </row>
    <row r="27" spans="1:51" ht="15">
      <c r="A27" s="9"/>
      <c r="B27" s="12"/>
      <c r="C27" s="31" t="s">
        <v>17</v>
      </c>
      <c r="D27" s="26"/>
      <c r="E27" s="32"/>
      <c r="F27" s="72"/>
      <c r="G27" s="72"/>
      <c r="H27" s="72"/>
      <c r="I27" s="72"/>
      <c r="J27" s="72"/>
      <c r="K27" s="64"/>
      <c r="L27" s="64"/>
      <c r="M27" s="64"/>
      <c r="N27" s="60"/>
      <c r="O27" s="87"/>
      <c r="P27" s="87"/>
      <c r="Q27" s="87"/>
      <c r="R27" s="87"/>
      <c r="S27" s="87"/>
      <c r="T27" s="64"/>
      <c r="U27" s="64"/>
      <c r="V27" s="64"/>
      <c r="W27" s="60"/>
      <c r="X27" s="43"/>
      <c r="Y27" s="43"/>
      <c r="Z27" s="44"/>
      <c r="AA27" s="79"/>
    </row>
    <row r="28" spans="1:51" ht="15">
      <c r="B28" s="12"/>
      <c r="C28" s="33"/>
      <c r="D28" s="26" t="s">
        <v>5</v>
      </c>
      <c r="E28" s="32"/>
      <c r="F28" s="74">
        <f>1+45+38</f>
        <v>84</v>
      </c>
      <c r="G28" s="71">
        <v>0</v>
      </c>
      <c r="H28" s="71">
        <v>1</v>
      </c>
      <c r="I28" s="71">
        <v>0</v>
      </c>
      <c r="J28" s="71">
        <v>1</v>
      </c>
      <c r="K28" s="64" t="str">
        <f>IFERROR(F28/G28-1,"n/a")</f>
        <v>n/a</v>
      </c>
      <c r="L28" s="64">
        <f t="shared" si="0"/>
        <v>83</v>
      </c>
      <c r="M28" s="64" t="str">
        <f>IFERROR(F28/I28-1,"n/a")</f>
        <v>n/a</v>
      </c>
      <c r="N28" s="60">
        <f t="shared" si="4"/>
        <v>83</v>
      </c>
      <c r="O28" s="68">
        <f>F28</f>
        <v>84</v>
      </c>
      <c r="P28" s="68">
        <f t="shared" ref="P28:S29" si="7">G28</f>
        <v>0</v>
      </c>
      <c r="Q28" s="68">
        <f t="shared" si="7"/>
        <v>1</v>
      </c>
      <c r="R28" s="68">
        <f t="shared" si="7"/>
        <v>0</v>
      </c>
      <c r="S28" s="68">
        <f t="shared" si="7"/>
        <v>1</v>
      </c>
      <c r="T28" s="64" t="str">
        <f>IFERROR(O28/P28-1,"n/a")</f>
        <v>n/a</v>
      </c>
      <c r="U28" s="64">
        <f>IFERROR(O28/Q28-1,"n/a")</f>
        <v>83</v>
      </c>
      <c r="V28" s="64" t="str">
        <f>IFERROR(O28/R28-1,"n/a")</f>
        <v>n/a</v>
      </c>
      <c r="W28" s="60">
        <f>IFERROR(O28/S28-1,"n/a")</f>
        <v>83</v>
      </c>
      <c r="X28" s="68">
        <v>605</v>
      </c>
      <c r="Y28" s="68">
        <v>127</v>
      </c>
      <c r="Z28" s="70">
        <v>37</v>
      </c>
      <c r="AA28" s="78">
        <f>282+81</f>
        <v>363</v>
      </c>
    </row>
    <row r="29" spans="1:51" ht="15">
      <c r="A29" s="9"/>
      <c r="B29" s="12"/>
      <c r="C29" s="33"/>
      <c r="D29" s="26" t="s">
        <v>11</v>
      </c>
      <c r="E29" s="32"/>
      <c r="F29" s="74">
        <f>954+148792+625+69047</f>
        <v>219418</v>
      </c>
      <c r="G29" s="71">
        <v>0</v>
      </c>
      <c r="H29" s="71">
        <v>644</v>
      </c>
      <c r="I29" s="71">
        <v>0</v>
      </c>
      <c r="J29" s="71">
        <v>1352</v>
      </c>
      <c r="K29" s="64" t="str">
        <f>IFERROR(F29/G29-1,"n/a")</f>
        <v>n/a</v>
      </c>
      <c r="L29" s="64">
        <f t="shared" si="0"/>
        <v>339.71118012422357</v>
      </c>
      <c r="M29" s="64" t="str">
        <f>IFERROR(F29/I29-1,"n/a")</f>
        <v>n/a</v>
      </c>
      <c r="N29" s="60">
        <f t="shared" si="4"/>
        <v>161.29142011834318</v>
      </c>
      <c r="O29" s="68">
        <f>F29</f>
        <v>219418</v>
      </c>
      <c r="P29" s="68">
        <f t="shared" si="7"/>
        <v>0</v>
      </c>
      <c r="Q29" s="68">
        <f t="shared" si="7"/>
        <v>644</v>
      </c>
      <c r="R29" s="68">
        <f t="shared" si="7"/>
        <v>0</v>
      </c>
      <c r="S29" s="68">
        <f t="shared" si="7"/>
        <v>1352</v>
      </c>
      <c r="T29" s="64" t="str">
        <f>IFERROR(O29/P29-1,"n/a")</f>
        <v>n/a</v>
      </c>
      <c r="U29" s="64">
        <f>IFERROR(O29/Q29-1,"n/a")</f>
        <v>339.71118012422357</v>
      </c>
      <c r="V29" s="64" t="str">
        <f>IFERROR(O29/R29-1,"n/a")</f>
        <v>n/a</v>
      </c>
      <c r="W29" s="60">
        <f>IFERROR(O29/S29-1,"n/a")</f>
        <v>161.29142011834318</v>
      </c>
      <c r="X29" s="68">
        <v>1098243</v>
      </c>
      <c r="Y29" s="68">
        <v>165083</v>
      </c>
      <c r="Z29" s="70">
        <f>20768+8294</f>
        <v>29062</v>
      </c>
      <c r="AA29" s="78">
        <f>659951+168729+38484</f>
        <v>867164</v>
      </c>
    </row>
    <row r="30" spans="1:51" ht="15" customHeight="1" thickBot="1">
      <c r="A30" s="9"/>
      <c r="B30" s="12"/>
      <c r="C30" s="35" t="s">
        <v>12</v>
      </c>
      <c r="D30" s="36"/>
      <c r="E30" s="37"/>
      <c r="F30" s="75">
        <f t="shared" ref="F30:J31" si="8">F13+F16+F19+F22+F25+F28</f>
        <v>303</v>
      </c>
      <c r="G30" s="75">
        <f>G13+G16+G19+G22+G25+G28</f>
        <v>186</v>
      </c>
      <c r="H30" s="75">
        <f>H13+H16+H19+H22+H25+H28</f>
        <v>2</v>
      </c>
      <c r="I30" s="75">
        <f t="shared" si="8"/>
        <v>212</v>
      </c>
      <c r="J30" s="75">
        <f t="shared" si="8"/>
        <v>218</v>
      </c>
      <c r="K30" s="66">
        <f>IFERROR(F30/G30-1,"n/a")</f>
        <v>0.62903225806451624</v>
      </c>
      <c r="L30" s="66">
        <f t="shared" si="0"/>
        <v>150.5</v>
      </c>
      <c r="M30" s="66">
        <f>IFERROR(F30/I30-1,"n/a")</f>
        <v>0.429245283018868</v>
      </c>
      <c r="N30" s="62">
        <f t="shared" si="4"/>
        <v>0.38990825688073394</v>
      </c>
      <c r="O30" s="46">
        <f t="shared" ref="O30:S31" si="9">O13+O16+O19+O22+O25+O28</f>
        <v>303</v>
      </c>
      <c r="P30" s="46">
        <f>P13+P16+P19+P22+P25+P28</f>
        <v>186</v>
      </c>
      <c r="Q30" s="46">
        <f t="shared" si="9"/>
        <v>2</v>
      </c>
      <c r="R30" s="46">
        <f t="shared" si="9"/>
        <v>212</v>
      </c>
      <c r="S30" s="46">
        <f t="shared" si="9"/>
        <v>218</v>
      </c>
      <c r="T30" s="66">
        <f>IFERROR(O30/P30-1,"n/a")</f>
        <v>0.62903225806451624</v>
      </c>
      <c r="U30" s="66">
        <f>IFERROR(O30/Q30-1,"n/a")</f>
        <v>150.5</v>
      </c>
      <c r="V30" s="66">
        <f>IFERROR(O30/R30-1,"n/a")</f>
        <v>0.429245283018868</v>
      </c>
      <c r="W30" s="62">
        <f>IFERROR(O30/S30-1,"n/a")</f>
        <v>0.38990825688073394</v>
      </c>
      <c r="X30" s="46">
        <f t="shared" ref="X30:AA31" si="10">X13+X16+X19+X22+X25+X28</f>
        <v>3627</v>
      </c>
      <c r="Y30" s="46">
        <f>Y13+Y16+Y19+Y22+Y25+Y28</f>
        <v>1062</v>
      </c>
      <c r="Z30" s="46">
        <f t="shared" si="10"/>
        <v>667</v>
      </c>
      <c r="AA30" s="80">
        <f t="shared" si="10"/>
        <v>3344</v>
      </c>
    </row>
    <row r="31" spans="1:51" s="22" customFormat="1" ht="15" customHeight="1" thickTop="1" thickBot="1">
      <c r="A31" s="9"/>
      <c r="B31" s="12"/>
      <c r="C31" s="38" t="s">
        <v>13</v>
      </c>
      <c r="D31" s="39"/>
      <c r="E31" s="40"/>
      <c r="F31" s="76">
        <f t="shared" si="8"/>
        <v>833405</v>
      </c>
      <c r="G31" s="76">
        <f>G14+G17+G20+G23+G26+G29</f>
        <v>219956</v>
      </c>
      <c r="H31" s="76">
        <f t="shared" si="8"/>
        <v>1288</v>
      </c>
      <c r="I31" s="76">
        <f t="shared" si="8"/>
        <v>555038</v>
      </c>
      <c r="J31" s="76">
        <f t="shared" si="8"/>
        <v>620852</v>
      </c>
      <c r="K31" s="67">
        <f>IFERROR(F31/G31-1,"n/a")</f>
        <v>2.78896233792213</v>
      </c>
      <c r="L31" s="67">
        <f t="shared" si="0"/>
        <v>646.05357142857144</v>
      </c>
      <c r="M31" s="67">
        <f>IFERROR(F31/I31-1,"n/a")</f>
        <v>0.50152782332020518</v>
      </c>
      <c r="N31" s="63">
        <f t="shared" si="4"/>
        <v>0.34235695463653171</v>
      </c>
      <c r="O31" s="47">
        <f t="shared" si="9"/>
        <v>833405</v>
      </c>
      <c r="P31" s="47">
        <f>P14+P17+P20+P23+P26+P29</f>
        <v>219956</v>
      </c>
      <c r="Q31" s="47">
        <f t="shared" si="9"/>
        <v>1288</v>
      </c>
      <c r="R31" s="47">
        <f t="shared" si="9"/>
        <v>555038</v>
      </c>
      <c r="S31" s="47">
        <f t="shared" si="9"/>
        <v>620852</v>
      </c>
      <c r="T31" s="67">
        <f>IFERROR(O31/P31-1,"n/a")</f>
        <v>2.78896233792213</v>
      </c>
      <c r="U31" s="67">
        <f>IFERROR(O31/Q31-1,"n/a")</f>
        <v>646.05357142857144</v>
      </c>
      <c r="V31" s="67">
        <f>IFERROR(O31/R31-1,"n/a")</f>
        <v>0.50152782332020518</v>
      </c>
      <c r="W31" s="63">
        <f>IFERROR(O31/S31-1,"n/a")</f>
        <v>0.34235695463653171</v>
      </c>
      <c r="X31" s="47">
        <f t="shared" si="10"/>
        <v>7627084</v>
      </c>
      <c r="Y31" s="47">
        <f>Y14+Y17+Y20+Y23+Y26+Y29</f>
        <v>1554247</v>
      </c>
      <c r="Z31" s="47">
        <f t="shared" si="10"/>
        <v>1323431</v>
      </c>
      <c r="AA31" s="81">
        <f t="shared" si="10"/>
        <v>9169021</v>
      </c>
      <c r="AB31" s="9"/>
      <c r="AC31" s="21"/>
      <c r="AD31" s="21"/>
      <c r="AE31" s="21"/>
      <c r="AF31" s="21"/>
      <c r="AG31" s="21"/>
      <c r="AH31" s="21"/>
      <c r="AI31" s="21"/>
      <c r="AJ31" s="21"/>
      <c r="AK31" s="21"/>
      <c r="AL31" s="21"/>
      <c r="AM31" s="21"/>
      <c r="AN31" s="21"/>
      <c r="AO31" s="21"/>
      <c r="AP31" s="21"/>
      <c r="AQ31" s="21"/>
    </row>
    <row r="32" spans="1:51" s="9" customFormat="1" ht="15" customHeight="1" thickTop="1">
      <c r="F32" s="41"/>
      <c r="G32" s="41"/>
      <c r="H32" s="41"/>
      <c r="I32" s="41"/>
      <c r="J32" s="41"/>
      <c r="K32" s="41"/>
      <c r="L32" s="41"/>
      <c r="M32" s="41"/>
      <c r="AR32"/>
      <c r="AS32"/>
      <c r="AT32"/>
      <c r="AU32"/>
      <c r="AV32"/>
      <c r="AW32"/>
      <c r="AX32"/>
      <c r="AY32"/>
    </row>
    <row r="33" spans="2:51" s="9" customFormat="1" ht="23.25" customHeight="1">
      <c r="F33" s="41"/>
      <c r="G33" s="41"/>
      <c r="H33" s="41"/>
      <c r="I33" s="41"/>
      <c r="J33" s="41"/>
      <c r="K33" s="41"/>
      <c r="L33" s="41"/>
      <c r="M33" s="41"/>
      <c r="AR33"/>
      <c r="AS33"/>
      <c r="AT33"/>
      <c r="AU33"/>
      <c r="AV33"/>
      <c r="AW33"/>
      <c r="AX33"/>
      <c r="AY33"/>
    </row>
    <row r="34" spans="2:51" s="9" customFormat="1" ht="15">
      <c r="B34" s="10"/>
      <c r="C34" s="86" t="s">
        <v>63</v>
      </c>
      <c r="D34" s="24"/>
      <c r="E34" s="24"/>
      <c r="F34" s="24"/>
      <c r="G34" s="24"/>
      <c r="H34" s="24"/>
      <c r="I34" s="24"/>
      <c r="J34" s="95"/>
      <c r="K34" s="95"/>
      <c r="L34" s="95"/>
      <c r="M34" s="95"/>
      <c r="N34" s="24"/>
      <c r="O34" s="24"/>
      <c r="P34" s="24"/>
      <c r="Q34" s="24"/>
      <c r="R34" s="24"/>
      <c r="S34" s="24"/>
      <c r="T34" s="24"/>
      <c r="U34" s="24"/>
      <c r="V34" s="24"/>
      <c r="W34" s="24"/>
      <c r="X34" s="24"/>
      <c r="Y34" s="24"/>
      <c r="Z34" s="24"/>
      <c r="AA34" s="24"/>
      <c r="AR34"/>
      <c r="AS34"/>
      <c r="AT34"/>
      <c r="AU34"/>
      <c r="AV34"/>
      <c r="AW34"/>
      <c r="AX34"/>
      <c r="AY34"/>
    </row>
    <row r="35" spans="2:51" s="9" customFormat="1" ht="15">
      <c r="B35" s="10"/>
      <c r="C35" s="24"/>
      <c r="D35" s="24"/>
      <c r="E35" s="24"/>
      <c r="F35" s="24"/>
      <c r="G35" s="24"/>
      <c r="H35" s="24"/>
      <c r="I35" s="24"/>
      <c r="J35" s="95"/>
      <c r="K35" s="95"/>
      <c r="L35" s="95"/>
      <c r="M35" s="95"/>
      <c r="N35" s="24"/>
      <c r="O35" s="24"/>
      <c r="P35" s="24"/>
      <c r="Q35" s="24"/>
      <c r="R35" s="24"/>
      <c r="S35" s="24"/>
      <c r="T35" s="24"/>
      <c r="U35" s="24"/>
      <c r="V35" s="24"/>
      <c r="W35" s="24"/>
      <c r="X35" s="24"/>
      <c r="Y35" s="24"/>
      <c r="Z35" s="24"/>
      <c r="AA35" s="24"/>
      <c r="AR35"/>
      <c r="AS35"/>
      <c r="AT35"/>
      <c r="AU35"/>
      <c r="AV35"/>
      <c r="AW35"/>
      <c r="AX35"/>
      <c r="AY35"/>
    </row>
    <row r="36" spans="2:51" s="9" customFormat="1" ht="15" customHeight="1">
      <c r="C36" s="27" t="s">
        <v>7</v>
      </c>
      <c r="D36" s="28"/>
      <c r="E36" s="28"/>
      <c r="F36" s="170" t="str">
        <f>F9</f>
        <v>January</v>
      </c>
      <c r="G36" s="170"/>
      <c r="H36" s="170"/>
      <c r="I36" s="170"/>
      <c r="J36" s="170"/>
      <c r="K36" s="170"/>
      <c r="L36" s="170"/>
      <c r="M36" s="170"/>
      <c r="N36" s="171"/>
      <c r="O36" s="169" t="s">
        <v>99</v>
      </c>
      <c r="P36" s="170"/>
      <c r="Q36" s="170"/>
      <c r="R36" s="170"/>
      <c r="S36" s="170"/>
      <c r="T36" s="170"/>
      <c r="U36" s="170"/>
      <c r="V36" s="170"/>
      <c r="W36" s="171"/>
      <c r="X36" s="169" t="s">
        <v>58</v>
      </c>
      <c r="Y36" s="170"/>
      <c r="Z36" s="170"/>
      <c r="AA36" s="172"/>
      <c r="AR36"/>
      <c r="AS36"/>
      <c r="AT36"/>
      <c r="AU36"/>
      <c r="AV36"/>
      <c r="AW36"/>
      <c r="AX36"/>
      <c r="AY36"/>
    </row>
    <row r="37" spans="2:51" s="9" customFormat="1" ht="15" customHeight="1">
      <c r="C37" s="29"/>
      <c r="D37" s="30"/>
      <c r="E37" s="30"/>
      <c r="F37" s="29"/>
      <c r="G37" s="30"/>
      <c r="H37" s="30"/>
      <c r="I37" s="30"/>
      <c r="J37" s="30"/>
      <c r="K37" s="30"/>
      <c r="L37" s="30"/>
      <c r="M37" s="30"/>
      <c r="N37" s="56"/>
      <c r="O37" s="30"/>
      <c r="P37" s="30"/>
      <c r="Q37" s="30"/>
      <c r="R37" s="30"/>
      <c r="S37" s="30"/>
      <c r="T37" s="30"/>
      <c r="U37" s="30"/>
      <c r="V37" s="30"/>
      <c r="W37" s="56"/>
      <c r="X37" s="30"/>
      <c r="Y37" s="30"/>
      <c r="Z37" s="30"/>
      <c r="AA37" s="56"/>
      <c r="AR37"/>
      <c r="AS37"/>
      <c r="AT37"/>
      <c r="AU37"/>
      <c r="AV37"/>
      <c r="AW37"/>
      <c r="AX37"/>
      <c r="AY37"/>
    </row>
    <row r="38" spans="2:51" s="9" customFormat="1" ht="33.75" customHeight="1">
      <c r="C38" s="59" t="s">
        <v>29</v>
      </c>
      <c r="D38" s="50"/>
      <c r="E38" s="51"/>
      <c r="F38" s="55">
        <v>2023</v>
      </c>
      <c r="G38" s="52">
        <v>2022</v>
      </c>
      <c r="H38" s="52">
        <v>2021</v>
      </c>
      <c r="I38" s="52">
        <v>2020</v>
      </c>
      <c r="J38" s="52">
        <v>2019</v>
      </c>
      <c r="K38" s="53" t="s">
        <v>66</v>
      </c>
      <c r="L38" s="53" t="s">
        <v>67</v>
      </c>
      <c r="M38" s="53" t="s">
        <v>68</v>
      </c>
      <c r="N38" s="57" t="s">
        <v>100</v>
      </c>
      <c r="O38" s="53"/>
      <c r="P38" s="53" t="s">
        <v>53</v>
      </c>
      <c r="Q38" s="52" t="s">
        <v>54</v>
      </c>
      <c r="R38" s="52" t="s">
        <v>59</v>
      </c>
      <c r="S38" s="52" t="s">
        <v>64</v>
      </c>
      <c r="T38" s="52"/>
      <c r="U38" s="53" t="s">
        <v>66</v>
      </c>
      <c r="V38" s="53" t="s">
        <v>67</v>
      </c>
      <c r="W38" s="57" t="s">
        <v>68</v>
      </c>
      <c r="X38" s="53"/>
      <c r="Y38" s="53" t="s">
        <v>54</v>
      </c>
      <c r="Z38" s="53" t="s">
        <v>65</v>
      </c>
      <c r="AA38" s="57" t="s">
        <v>73</v>
      </c>
    </row>
    <row r="39" spans="2:51" s="9" customFormat="1" ht="15" customHeight="1">
      <c r="C39" s="31" t="s">
        <v>14</v>
      </c>
      <c r="D39" s="26"/>
      <c r="E39" s="32"/>
      <c r="F39" s="26"/>
      <c r="G39" s="26"/>
      <c r="H39" s="26"/>
      <c r="I39" s="26"/>
      <c r="J39" s="26"/>
      <c r="K39" s="26"/>
      <c r="L39" s="26"/>
      <c r="M39" s="26"/>
      <c r="N39" s="32"/>
      <c r="O39" s="26"/>
      <c r="P39" s="26"/>
      <c r="Q39" s="26"/>
      <c r="R39" s="26"/>
      <c r="T39" s="26"/>
      <c r="V39" s="26"/>
      <c r="W39" s="32"/>
      <c r="X39" s="33"/>
      <c r="Y39" s="26"/>
      <c r="Z39" s="88"/>
      <c r="AA39" s="85"/>
    </row>
    <row r="40" spans="2:51" s="9" customFormat="1" ht="15" customHeight="1">
      <c r="C40" s="33"/>
      <c r="D40" s="26" t="s">
        <v>5</v>
      </c>
      <c r="E40" s="32"/>
      <c r="F40" s="74">
        <f t="shared" ref="F40:J41" si="11">F13</f>
        <v>68</v>
      </c>
      <c r="G40" s="74">
        <f>G13</f>
        <v>64</v>
      </c>
      <c r="H40" s="74">
        <f t="shared" si="11"/>
        <v>0</v>
      </c>
      <c r="I40" s="74">
        <f t="shared" si="11"/>
        <v>61</v>
      </c>
      <c r="J40" s="74">
        <f t="shared" si="11"/>
        <v>76</v>
      </c>
      <c r="K40" s="64">
        <f>IFERROR(F40/G40-1,"n/a")</f>
        <v>6.25E-2</v>
      </c>
      <c r="L40" s="64" t="str">
        <f>IFERROR(F40/H40-1,"n/a")</f>
        <v>n/a</v>
      </c>
      <c r="M40" s="64">
        <f>IFERROR(F40/I40-1,"n/a")</f>
        <v>0.11475409836065564</v>
      </c>
      <c r="N40" s="60">
        <f>IFERROR(F40/J40-1,"n/a")</f>
        <v>-0.10526315789473684</v>
      </c>
      <c r="O40" s="108"/>
      <c r="P40" s="70">
        <f>+O13-'Mar-22'!M10+'Dec-22'!M13</f>
        <v>217</v>
      </c>
      <c r="Q40" s="70">
        <f>+P13-'Mar-22'!N10+'Dec-22'!N13</f>
        <v>175</v>
      </c>
      <c r="R40" s="82">
        <f>+Q13-'Mar-22'!O10+'Dec-22'!O13</f>
        <v>0</v>
      </c>
      <c r="S40" s="70">
        <f>+R13-'Mar-22'!P10+'Dec-22'!P13</f>
        <v>247</v>
      </c>
      <c r="T40" s="108"/>
      <c r="U40" s="64">
        <f>IFERROR(P40/Q40-1,"n/a")</f>
        <v>0.24</v>
      </c>
      <c r="V40" s="64" t="str">
        <f>IFERROR(P40/R40-1,"n/a")</f>
        <v>n/a</v>
      </c>
      <c r="W40" s="60">
        <f>IFERROR(P40/S40-1,"n/a")</f>
        <v>-0.12145748987854255</v>
      </c>
      <c r="X40" s="89"/>
      <c r="Y40" s="89">
        <v>308</v>
      </c>
      <c r="Z40" s="70">
        <v>145</v>
      </c>
      <c r="AA40" s="78">
        <v>331</v>
      </c>
    </row>
    <row r="41" spans="2:51" s="9" customFormat="1" ht="15" customHeight="1">
      <c r="C41" s="33"/>
      <c r="D41" s="26" t="s">
        <v>11</v>
      </c>
      <c r="E41" s="32"/>
      <c r="F41" s="74">
        <f t="shared" si="11"/>
        <v>115964</v>
      </c>
      <c r="G41" s="74">
        <f>G14</f>
        <v>50794</v>
      </c>
      <c r="H41" s="74">
        <f t="shared" si="11"/>
        <v>0</v>
      </c>
      <c r="I41" s="74">
        <f t="shared" si="11"/>
        <v>108796</v>
      </c>
      <c r="J41" s="74">
        <f t="shared" si="11"/>
        <v>156866</v>
      </c>
      <c r="K41" s="64">
        <f>IFERROR(F41/G41-1,"n/a")</f>
        <v>1.2830255541993147</v>
      </c>
      <c r="L41" s="64" t="str">
        <f>IFERROR(F41/H41-1,"n/a")</f>
        <v>n/a</v>
      </c>
      <c r="M41" s="64">
        <f>IFERROR(F41/I41-1,"n/a")</f>
        <v>6.5884775175558019E-2</v>
      </c>
      <c r="N41" s="60">
        <f>IFERROR(F41/J41-1,"n/a")</f>
        <v>-0.2607448395445795</v>
      </c>
      <c r="O41" s="109"/>
      <c r="P41" s="70">
        <f>+O14-'Mar-22'!M11+'Dec-22'!M14</f>
        <v>339818</v>
      </c>
      <c r="Q41" s="82">
        <f>+P14-'Mar-22'!N11+'Dec-22'!N14</f>
        <v>131657</v>
      </c>
      <c r="R41" s="82">
        <f>+Q14-'Mar-22'!O11+'Dec-22'!O14</f>
        <v>0</v>
      </c>
      <c r="S41" s="82">
        <f>+R14-'Mar-22'!P11+'Dec-22'!P14</f>
        <v>456712</v>
      </c>
      <c r="T41" s="109"/>
      <c r="U41" s="64">
        <f>IFERROR(P41/Q41-1,"n/a")</f>
        <v>1.5810856999627823</v>
      </c>
      <c r="V41" s="64" t="str">
        <f>IFERROR(P41/R41-1,"n/a")</f>
        <v>n/a</v>
      </c>
      <c r="W41" s="60">
        <f>IFERROR(P41/S41-1,"n/a")</f>
        <v>-0.25594685491075342</v>
      </c>
      <c r="X41" s="89"/>
      <c r="Y41" s="89">
        <v>237191</v>
      </c>
      <c r="Z41" s="84">
        <v>258885</v>
      </c>
      <c r="AA41" s="78">
        <v>606801</v>
      </c>
    </row>
    <row r="42" spans="2:51" s="9" customFormat="1" ht="15" customHeight="1">
      <c r="C42" s="31" t="s">
        <v>74</v>
      </c>
      <c r="D42" s="26"/>
      <c r="E42" s="32"/>
      <c r="F42" s="26"/>
      <c r="G42" s="26"/>
      <c r="H42" s="26"/>
      <c r="I42" s="26"/>
      <c r="J42" s="26"/>
      <c r="K42" s="64"/>
      <c r="L42" s="64"/>
      <c r="M42" s="64"/>
      <c r="N42" s="61"/>
      <c r="O42" s="110"/>
      <c r="P42" s="87"/>
      <c r="Q42" s="87"/>
      <c r="R42" s="87"/>
      <c r="S42" s="87"/>
      <c r="T42" s="110"/>
      <c r="U42" s="65"/>
      <c r="V42" s="65"/>
      <c r="W42" s="61"/>
      <c r="X42" s="90"/>
      <c r="Y42" s="90"/>
      <c r="Z42" s="44"/>
      <c r="AA42" s="79"/>
    </row>
    <row r="43" spans="2:51" s="9" customFormat="1" ht="15" customHeight="1">
      <c r="C43" s="33"/>
      <c r="D43" s="26" t="s">
        <v>5</v>
      </c>
      <c r="E43" s="32"/>
      <c r="F43" s="74">
        <f t="shared" ref="F43:J44" si="12">F16</f>
        <v>23</v>
      </c>
      <c r="G43" s="74">
        <f>G16</f>
        <v>16</v>
      </c>
      <c r="H43" s="74">
        <f t="shared" si="12"/>
        <v>0</v>
      </c>
      <c r="I43" s="74">
        <f t="shared" si="12"/>
        <v>19</v>
      </c>
      <c r="J43" s="74">
        <f t="shared" si="12"/>
        <v>24</v>
      </c>
      <c r="K43" s="64">
        <f>IFERROR(F43/G43-1,"n/a")</f>
        <v>0.4375</v>
      </c>
      <c r="L43" s="64" t="str">
        <f>IFERROR(F43/H43-1,"n/a")</f>
        <v>n/a</v>
      </c>
      <c r="M43" s="64">
        <f>IFERROR(F43/I43-1,"n/a")</f>
        <v>0.21052631578947367</v>
      </c>
      <c r="N43" s="60">
        <f>IFERROR(F43/J43-1,"n/a")</f>
        <v>-4.166666666666663E-2</v>
      </c>
      <c r="O43" s="108"/>
      <c r="P43" s="70">
        <f>+O16-'Mar-22'!M13+'Dec-22'!M16</f>
        <v>748</v>
      </c>
      <c r="Q43" s="70">
        <f>+P16-'Mar-22'!N13+'Dec-22'!N16</f>
        <v>299</v>
      </c>
      <c r="R43" s="70">
        <f>+Q16-'Mar-22'!O13+'Dec-22'!O16</f>
        <v>0</v>
      </c>
      <c r="S43" s="70">
        <f>+R16-'Mar-22'!P13+'Dec-22'!P16</f>
        <v>757</v>
      </c>
      <c r="T43" s="108"/>
      <c r="U43" s="64">
        <f>IFERROR(P43/Q43-1,"n/a")</f>
        <v>1.5016722408026757</v>
      </c>
      <c r="V43" s="64" t="str">
        <f>IFERROR(P43/R43-1,"n/a")</f>
        <v>n/a</v>
      </c>
      <c r="W43" s="60">
        <f>IFERROR(P43/S43-1,"n/a")</f>
        <v>-1.1889035667106973E-2</v>
      </c>
      <c r="X43" s="89"/>
      <c r="Y43" s="89">
        <v>336</v>
      </c>
      <c r="Z43" s="70">
        <v>43</v>
      </c>
      <c r="AA43" s="78">
        <v>781</v>
      </c>
    </row>
    <row r="44" spans="2:51" s="9" customFormat="1" ht="15" customHeight="1">
      <c r="C44" s="33"/>
      <c r="D44" s="26" t="s">
        <v>11</v>
      </c>
      <c r="E44" s="32"/>
      <c r="F44" s="74">
        <f t="shared" si="12"/>
        <v>72958</v>
      </c>
      <c r="G44" s="74">
        <f>G17</f>
        <v>21828</v>
      </c>
      <c r="H44" s="74">
        <f t="shared" si="12"/>
        <v>0</v>
      </c>
      <c r="I44" s="74">
        <f t="shared" si="12"/>
        <v>64994</v>
      </c>
      <c r="J44" s="74">
        <f t="shared" si="12"/>
        <v>74523</v>
      </c>
      <c r="K44" s="64">
        <f>IFERROR(F44/G44-1,"n/a")</f>
        <v>2.3424042514201942</v>
      </c>
      <c r="L44" s="64" t="str">
        <f>IFERROR(F44/H44-1,"n/a")</f>
        <v>n/a</v>
      </c>
      <c r="M44" s="64">
        <f>IFERROR(F44/I44-1,"n/a")</f>
        <v>0.1225343877896421</v>
      </c>
      <c r="N44" s="60">
        <f>IFERROR(F44/J44-1,"n/a")</f>
        <v>-2.1000228117493913E-2</v>
      </c>
      <c r="O44" s="109"/>
      <c r="P44" s="70">
        <f>+O17-'Mar-22'!M14+'Dec-22'!M17</f>
        <v>1848128</v>
      </c>
      <c r="Q44" s="70">
        <f>+P17-'Mar-22'!N14+'Dec-22'!N17</f>
        <v>486937</v>
      </c>
      <c r="R44" s="70">
        <f>+Q17-'Mar-22'!O14+'Dec-22'!O17</f>
        <v>0</v>
      </c>
      <c r="S44" s="70">
        <f>+R17-'Mar-22'!P14+'Dec-22'!P17</f>
        <v>2366036</v>
      </c>
      <c r="T44" s="108"/>
      <c r="U44" s="64">
        <f>IFERROR(P44/Q44-1,"n/a")</f>
        <v>2.7954150126197024</v>
      </c>
      <c r="V44" s="64" t="str">
        <f>IFERROR(P44/R44-1,"n/a")</f>
        <v>n/a</v>
      </c>
      <c r="W44" s="60">
        <f>IFERROR(P44/S44-1,"n/a")</f>
        <v>-0.2188926964763005</v>
      </c>
      <c r="X44" s="89"/>
      <c r="Y44" s="89">
        <v>533563</v>
      </c>
      <c r="Z44" s="84">
        <v>140552</v>
      </c>
      <c r="AA44" s="78">
        <v>2441594</v>
      </c>
    </row>
    <row r="45" spans="2:51" s="9" customFormat="1" ht="15" customHeight="1">
      <c r="C45" s="31" t="s">
        <v>15</v>
      </c>
      <c r="D45" s="26"/>
      <c r="E45" s="32"/>
      <c r="F45" s="87"/>
      <c r="G45" s="87"/>
      <c r="H45" s="87"/>
      <c r="I45" s="87"/>
      <c r="J45" s="72"/>
      <c r="K45" s="64"/>
      <c r="L45" s="64"/>
      <c r="M45" s="64"/>
      <c r="N45" s="60"/>
      <c r="O45" s="110"/>
      <c r="P45" s="87"/>
      <c r="Q45" s="87"/>
      <c r="R45" s="87"/>
      <c r="S45" s="87"/>
      <c r="T45" s="110"/>
      <c r="U45" s="64"/>
      <c r="V45" s="64"/>
      <c r="W45" s="60"/>
      <c r="X45" s="90"/>
      <c r="Y45" s="90"/>
      <c r="Z45" s="44"/>
      <c r="AA45" s="79"/>
    </row>
    <row r="46" spans="2:51" s="9" customFormat="1" ht="15" customHeight="1">
      <c r="C46" s="33"/>
      <c r="D46" s="26" t="s">
        <v>5</v>
      </c>
      <c r="E46" s="32"/>
      <c r="F46" s="74">
        <f t="shared" ref="F46:J47" si="13">F19</f>
        <v>4</v>
      </c>
      <c r="G46" s="74">
        <f>G19</f>
        <v>3</v>
      </c>
      <c r="H46" s="74">
        <f t="shared" si="13"/>
        <v>0</v>
      </c>
      <c r="I46" s="74">
        <f t="shared" si="13"/>
        <v>1</v>
      </c>
      <c r="J46" s="74">
        <f t="shared" si="13"/>
        <v>0</v>
      </c>
      <c r="K46" s="64">
        <f>IFERROR(F46/G46-1,"n/a")</f>
        <v>0.33333333333333326</v>
      </c>
      <c r="L46" s="64" t="str">
        <f>IFERROR(F46/H46-1,"n/a")</f>
        <v>n/a</v>
      </c>
      <c r="M46" s="64">
        <f>IFERROR(F46/I46-1,"n/a")</f>
        <v>3</v>
      </c>
      <c r="N46" s="60" t="str">
        <f>IFERROR(F46/J46-1,"n/a")</f>
        <v>n/a</v>
      </c>
      <c r="O46" s="108"/>
      <c r="P46" s="70">
        <f>+O19-'Mar-22'!M16+'Dec-22'!M19</f>
        <v>469</v>
      </c>
      <c r="Q46" s="70">
        <f>+P19-'Mar-22'!N16+'Dec-22'!N19</f>
        <v>26</v>
      </c>
      <c r="R46" s="70">
        <f>+Q19-'Mar-22'!O16+'Dec-22'!O19</f>
        <v>1</v>
      </c>
      <c r="S46" s="70">
        <f>+R19-'Mar-22'!P16+'Dec-22'!P19</f>
        <v>186</v>
      </c>
      <c r="T46" s="108"/>
      <c r="U46" s="64">
        <f>IFERROR(P46/Q46-1,"n/a")</f>
        <v>17.03846153846154</v>
      </c>
      <c r="V46" s="64">
        <f>IFERROR(P46/R46-1,"n/a")</f>
        <v>468</v>
      </c>
      <c r="W46" s="60">
        <f>IFERROR(P46/S46-1,"n/a")</f>
        <v>1.521505376344086</v>
      </c>
      <c r="X46" s="89"/>
      <c r="Y46" s="89">
        <v>33</v>
      </c>
      <c r="Z46" s="70">
        <v>4</v>
      </c>
      <c r="AA46" s="78">
        <v>188</v>
      </c>
    </row>
    <row r="47" spans="2:51" s="9" customFormat="1" ht="15" customHeight="1">
      <c r="C47" s="33"/>
      <c r="D47" s="26" t="s">
        <v>11</v>
      </c>
      <c r="E47" s="32"/>
      <c r="F47" s="74">
        <f t="shared" si="13"/>
        <v>3235</v>
      </c>
      <c r="G47" s="74">
        <f>G20</f>
        <v>814</v>
      </c>
      <c r="H47" s="74">
        <f t="shared" si="13"/>
        <v>0</v>
      </c>
      <c r="I47" s="74">
        <f t="shared" si="13"/>
        <v>823</v>
      </c>
      <c r="J47" s="74">
        <f t="shared" si="13"/>
        <v>0</v>
      </c>
      <c r="K47" s="64">
        <f>IFERROR(F47/G47-1,"n/a")</f>
        <v>2.9742014742014744</v>
      </c>
      <c r="L47" s="64" t="str">
        <f>IFERROR(F47/H47-1,"n/a")</f>
        <v>n/a</v>
      </c>
      <c r="M47" s="64">
        <f>IFERROR(F47/I47-1,"n/a")</f>
        <v>2.9307411907654921</v>
      </c>
      <c r="N47" s="60" t="str">
        <f>IFERROR(F47/J47-1,"n/a")</f>
        <v>n/a</v>
      </c>
      <c r="O47" s="109"/>
      <c r="P47" s="70">
        <f>+O20-'Mar-22'!M17+'Dec-22'!M20</f>
        <v>563747</v>
      </c>
      <c r="Q47" s="70">
        <f>+P20-'Mar-22'!N17+'Dec-22'!N20</f>
        <v>9425</v>
      </c>
      <c r="R47" s="70">
        <f>+Q20-'Mar-22'!O17+'Dec-22'!O20</f>
        <v>111</v>
      </c>
      <c r="S47" s="70">
        <f>+R20-'Mar-22'!P17+'Dec-22'!P20</f>
        <v>250106</v>
      </c>
      <c r="T47" s="108"/>
      <c r="U47" s="64">
        <f>IFERROR(P47/Q47-1,"n/a")</f>
        <v>58.814005305039785</v>
      </c>
      <c r="V47" s="64">
        <f>IFERROR(P47/R47-1,"n/a")</f>
        <v>5077.801801801802</v>
      </c>
      <c r="W47" s="60">
        <f>IFERROR(P47/S47-1,"n/a")</f>
        <v>1.2540322903089089</v>
      </c>
      <c r="X47" s="82"/>
      <c r="Y47" s="82">
        <v>10083</v>
      </c>
      <c r="Z47" s="84">
        <v>1753</v>
      </c>
      <c r="AA47" s="78">
        <f>176097+74816</f>
        <v>250913</v>
      </c>
    </row>
    <row r="48" spans="2:51" s="9" customFormat="1" ht="15" customHeight="1">
      <c r="C48" s="31" t="s">
        <v>10</v>
      </c>
      <c r="D48" s="26"/>
      <c r="E48" s="34"/>
      <c r="F48" s="72"/>
      <c r="G48" s="72"/>
      <c r="H48" s="72"/>
      <c r="I48" s="72"/>
      <c r="J48" s="72"/>
      <c r="K48" s="64"/>
      <c r="L48" s="64"/>
      <c r="M48" s="64"/>
      <c r="N48" s="60"/>
      <c r="O48" s="110"/>
      <c r="P48" s="87"/>
      <c r="Q48" s="87"/>
      <c r="R48" s="87"/>
      <c r="S48" s="87"/>
      <c r="T48" s="110"/>
      <c r="U48" s="64"/>
      <c r="V48" s="64"/>
      <c r="W48" s="60"/>
      <c r="X48" s="90"/>
      <c r="Y48" s="90"/>
      <c r="Z48" s="44"/>
      <c r="AA48" s="79"/>
    </row>
    <row r="49" spans="1:51" s="9" customFormat="1" ht="15" customHeight="1">
      <c r="C49" s="33"/>
      <c r="D49" s="26" t="s">
        <v>5</v>
      </c>
      <c r="E49" s="34"/>
      <c r="F49" s="74">
        <f t="shared" ref="F49:J50" si="14">F22</f>
        <v>120</v>
      </c>
      <c r="G49" s="74">
        <f>G22</f>
        <v>100</v>
      </c>
      <c r="H49" s="74">
        <f t="shared" si="14"/>
        <v>0</v>
      </c>
      <c r="I49" s="74">
        <f t="shared" si="14"/>
        <v>126</v>
      </c>
      <c r="J49" s="74">
        <f t="shared" si="14"/>
        <v>113</v>
      </c>
      <c r="K49" s="64">
        <f>IFERROR(F49/G49-1,"n/a")</f>
        <v>0.19999999999999996</v>
      </c>
      <c r="L49" s="64" t="str">
        <f>IFERROR(F49/H49-1,"n/a")</f>
        <v>n/a</v>
      </c>
      <c r="M49" s="64">
        <f>IFERROR(F49/I49-1,"n/a")</f>
        <v>-4.7619047619047672E-2</v>
      </c>
      <c r="N49" s="60">
        <f>IFERROR(F49/J49-1,"n/a")</f>
        <v>6.1946902654867353E-2</v>
      </c>
      <c r="O49" s="108"/>
      <c r="P49" s="70">
        <f>+O22-'Mar-22'!M19+'Dec-22'!M22</f>
        <v>927</v>
      </c>
      <c r="Q49" s="70">
        <f>+P22-'Mar-22'!N19+'Dec-22'!N22</f>
        <v>511</v>
      </c>
      <c r="R49" s="70">
        <f>+Q22-'Mar-22'!O19+'Dec-22'!O22</f>
        <v>42</v>
      </c>
      <c r="S49" s="70">
        <f>+R22-'Mar-22'!P19+'Dec-22'!P22</f>
        <v>1015</v>
      </c>
      <c r="T49" s="108"/>
      <c r="U49" s="64">
        <f>IFERROR(P49/Q49-1,"n/a")</f>
        <v>0.81409001956947158</v>
      </c>
      <c r="V49" s="64">
        <f>IFERROR(P49/R49-1,"n/a")</f>
        <v>21.071428571428573</v>
      </c>
      <c r="W49" s="60">
        <f>IFERROR(P49/S49-1,"n/a")</f>
        <v>-8.6699507389162545E-2</v>
      </c>
      <c r="X49" s="89"/>
      <c r="Y49" s="89">
        <v>744</v>
      </c>
      <c r="Z49" s="84">
        <v>406</v>
      </c>
      <c r="AA49" s="78">
        <v>1253</v>
      </c>
    </row>
    <row r="50" spans="1:51" s="9" customFormat="1" ht="15" customHeight="1">
      <c r="C50" s="33"/>
      <c r="D50" s="26" t="s">
        <v>11</v>
      </c>
      <c r="E50" s="32"/>
      <c r="F50" s="74">
        <f t="shared" si="14"/>
        <v>406985</v>
      </c>
      <c r="G50" s="74">
        <f>G23</f>
        <v>144818</v>
      </c>
      <c r="H50" s="74">
        <f t="shared" si="14"/>
        <v>0</v>
      </c>
      <c r="I50" s="74">
        <f t="shared" si="14"/>
        <v>357284</v>
      </c>
      <c r="J50" s="74">
        <f t="shared" si="14"/>
        <v>368396</v>
      </c>
      <c r="K50" s="64">
        <f>IFERROR(F50/G50-1,"n/a")</f>
        <v>1.8103205402643319</v>
      </c>
      <c r="L50" s="64" t="str">
        <f>IFERROR(F50/H50-1,"n/a")</f>
        <v>n/a</v>
      </c>
      <c r="M50" s="64">
        <f>IFERROR(F50/I50-1,"n/a")</f>
        <v>0.13910782458772286</v>
      </c>
      <c r="N50" s="60">
        <f>IFERROR(F50/J50-1,"n/a")</f>
        <v>0.10474869433978662</v>
      </c>
      <c r="O50" s="109"/>
      <c r="P50" s="70">
        <f>+O23-'Mar-22'!M20+'Dec-22'!M23</f>
        <v>3016301</v>
      </c>
      <c r="Q50" s="70">
        <f>+P23-'Mar-22'!N20+'Dec-22'!N23</f>
        <v>832267</v>
      </c>
      <c r="R50" s="70">
        <f>+Q23-'Mar-22'!O20+'Dec-22'!O23</f>
        <v>0</v>
      </c>
      <c r="S50" s="70">
        <f>+R23-'Mar-22'!P20+'Dec-22'!P23</f>
        <v>3150743</v>
      </c>
      <c r="T50" s="108"/>
      <c r="U50" s="64">
        <f>IFERROR(P50/Q50-1,"n/a")</f>
        <v>2.6241987246881111</v>
      </c>
      <c r="V50" s="64" t="str">
        <f>IFERROR(P50/R50-1,"n/a")</f>
        <v>n/a</v>
      </c>
      <c r="W50" s="60">
        <f>IFERROR(P50/S50-1,"n/a")</f>
        <v>-4.2669935313670471E-2</v>
      </c>
      <c r="X50" s="82"/>
      <c r="Y50" s="82">
        <v>1290779</v>
      </c>
      <c r="Z50" s="84">
        <v>833999</v>
      </c>
      <c r="AA50" s="78">
        <v>3627458</v>
      </c>
    </row>
    <row r="51" spans="1:51" s="9" customFormat="1" ht="15" customHeight="1">
      <c r="C51" s="31" t="s">
        <v>16</v>
      </c>
      <c r="D51" s="26"/>
      <c r="E51" s="32"/>
      <c r="F51" s="72"/>
      <c r="G51" s="72"/>
      <c r="H51" s="72"/>
      <c r="I51" s="72"/>
      <c r="J51" s="72"/>
      <c r="K51" s="64"/>
      <c r="L51" s="64"/>
      <c r="M51" s="64"/>
      <c r="N51" s="60"/>
      <c r="O51" s="110"/>
      <c r="P51" s="87"/>
      <c r="Q51" s="87"/>
      <c r="R51" s="87"/>
      <c r="S51" s="87"/>
      <c r="T51" s="110"/>
      <c r="U51" s="64"/>
      <c r="V51" s="64"/>
      <c r="W51" s="60"/>
      <c r="X51" s="90"/>
      <c r="Y51" s="90"/>
      <c r="Z51" s="44"/>
      <c r="AA51" s="79"/>
    </row>
    <row r="52" spans="1:51" s="9" customFormat="1" ht="15" customHeight="1">
      <c r="C52" s="33"/>
      <c r="D52" s="26" t="s">
        <v>5</v>
      </c>
      <c r="E52" s="32"/>
      <c r="F52" s="74">
        <f t="shared" ref="F52:J53" si="15">F25</f>
        <v>4</v>
      </c>
      <c r="G52" s="74">
        <f>G25</f>
        <v>3</v>
      </c>
      <c r="H52" s="74">
        <f t="shared" si="15"/>
        <v>1</v>
      </c>
      <c r="I52" s="74">
        <f t="shared" si="15"/>
        <v>5</v>
      </c>
      <c r="J52" s="74">
        <f t="shared" si="15"/>
        <v>4</v>
      </c>
      <c r="K52" s="64">
        <f>IFERROR(F52/G52-1,"n/a")</f>
        <v>0.33333333333333326</v>
      </c>
      <c r="L52" s="64">
        <f>IFERROR(F52/H52-1,"n/a")</f>
        <v>3</v>
      </c>
      <c r="M52" s="64">
        <f>IFERROR(F52/I52-1,"n/a")</f>
        <v>-0.19999999999999996</v>
      </c>
      <c r="N52" s="60">
        <f>IFERROR(F52/J52-1,"n/a")</f>
        <v>0</v>
      </c>
      <c r="O52" s="108"/>
      <c r="P52" s="70">
        <f>+O25-'Mar-22'!M22+'Dec-22'!M25</f>
        <v>264</v>
      </c>
      <c r="Q52" s="70">
        <f>+P25-'Mar-22'!N22+'Dec-22'!N25</f>
        <v>101</v>
      </c>
      <c r="R52" s="70">
        <f>+Q25-'Mar-22'!O22+'Dec-22'!O25</f>
        <v>24</v>
      </c>
      <c r="S52" s="70">
        <f>+R25-'Mar-22'!P22+'Dec-22'!P25</f>
        <v>357</v>
      </c>
      <c r="T52" s="108"/>
      <c r="U52" s="64">
        <f>IFERROR(P52/Q52-1,"n/a")</f>
        <v>1.613861386138614</v>
      </c>
      <c r="V52" s="64">
        <f>IFERROR(P52/R52-1,"n/a")</f>
        <v>10</v>
      </c>
      <c r="W52" s="60">
        <f>IFERROR(P52/S52-1,"n/a")</f>
        <v>-0.26050420168067223</v>
      </c>
      <c r="X52" s="89"/>
      <c r="Y52" s="89">
        <v>121</v>
      </c>
      <c r="Z52" s="70">
        <v>41</v>
      </c>
      <c r="AA52" s="78">
        <v>361</v>
      </c>
    </row>
    <row r="53" spans="1:51" s="9" customFormat="1" ht="15" customHeight="1">
      <c r="C53" s="33"/>
      <c r="D53" s="26" t="s">
        <v>11</v>
      </c>
      <c r="E53" s="32"/>
      <c r="F53" s="74">
        <f t="shared" si="15"/>
        <v>14845</v>
      </c>
      <c r="G53" s="74">
        <f>G26</f>
        <v>1702</v>
      </c>
      <c r="H53" s="74">
        <f t="shared" si="15"/>
        <v>644</v>
      </c>
      <c r="I53" s="74">
        <f t="shared" si="15"/>
        <v>23141</v>
      </c>
      <c r="J53" s="74">
        <f t="shared" si="15"/>
        <v>19715</v>
      </c>
      <c r="K53" s="64">
        <f>IFERROR(F53/G53-1,"n/a")</f>
        <v>7.7220916568742659</v>
      </c>
      <c r="L53" s="64">
        <f>IFERROR(F53/H53-1,"n/a")</f>
        <v>22.051242236024844</v>
      </c>
      <c r="M53" s="64">
        <f>IFERROR(F53/I53-1,"n/a")</f>
        <v>-0.35849790415280236</v>
      </c>
      <c r="N53" s="60">
        <f>IFERROR(F53/J53-1,"n/a")</f>
        <v>-0.24702003550595997</v>
      </c>
      <c r="O53" s="109"/>
      <c r="P53" s="70">
        <f>+O26-'Mar-22'!M23+'Dec-22'!M26</f>
        <v>518729</v>
      </c>
      <c r="Q53" s="70">
        <f>+P26-'Mar-22'!N23+'Dec-22'!N26</f>
        <v>140870</v>
      </c>
      <c r="R53" s="70">
        <f>+Q26-'Mar-22'!O23+'Dec-22'!O26</f>
        <v>19603</v>
      </c>
      <c r="S53" s="70">
        <f>+R26-'Mar-22'!P23+'Dec-22'!P26</f>
        <v>848881</v>
      </c>
      <c r="T53" s="108"/>
      <c r="U53" s="64">
        <f>IFERROR(P53/Q53-1,"n/a")</f>
        <v>2.6823241286292325</v>
      </c>
      <c r="V53" s="64">
        <f>IFERROR(P53/R53-1,"n/a")</f>
        <v>25.461715043615772</v>
      </c>
      <c r="W53" s="60">
        <f>IFERROR(P53/S53-1,"n/a")</f>
        <v>-0.38892612745484934</v>
      </c>
      <c r="X53" s="82"/>
      <c r="Y53" s="82">
        <v>165689</v>
      </c>
      <c r="Z53" s="84">
        <v>67144</v>
      </c>
      <c r="AA53" s="78">
        <v>865961</v>
      </c>
    </row>
    <row r="54" spans="1:51" s="9" customFormat="1" ht="15" customHeight="1">
      <c r="A54"/>
      <c r="B54"/>
      <c r="C54" s="31" t="s">
        <v>17</v>
      </c>
      <c r="D54" s="26"/>
      <c r="E54" s="32"/>
      <c r="F54" s="72"/>
      <c r="G54" s="72"/>
      <c r="H54" s="72"/>
      <c r="I54" s="72"/>
      <c r="J54" s="72"/>
      <c r="K54" s="64"/>
      <c r="L54" s="64"/>
      <c r="M54" s="64"/>
      <c r="N54" s="60"/>
      <c r="O54" s="110"/>
      <c r="P54" s="87"/>
      <c r="Q54" s="87"/>
      <c r="R54" s="87"/>
      <c r="S54" s="87"/>
      <c r="T54" s="110"/>
      <c r="U54" s="64"/>
      <c r="V54" s="64"/>
      <c r="W54" s="60"/>
      <c r="X54" s="90"/>
      <c r="Y54" s="90"/>
      <c r="Z54" s="44"/>
      <c r="AA54" s="79"/>
      <c r="AR54"/>
      <c r="AS54"/>
      <c r="AT54"/>
      <c r="AU54"/>
      <c r="AV54"/>
      <c r="AW54"/>
      <c r="AX54"/>
      <c r="AY54"/>
    </row>
    <row r="55" spans="1:51" s="9" customFormat="1" ht="15.75" customHeight="1">
      <c r="A55"/>
      <c r="B55"/>
      <c r="C55" s="33"/>
      <c r="D55" s="26" t="s">
        <v>5</v>
      </c>
      <c r="E55" s="32"/>
      <c r="F55" s="74">
        <f t="shared" ref="F55:J56" si="16">F28</f>
        <v>84</v>
      </c>
      <c r="G55" s="74">
        <f>G28</f>
        <v>0</v>
      </c>
      <c r="H55" s="74">
        <f t="shared" si="16"/>
        <v>1</v>
      </c>
      <c r="I55" s="74">
        <f t="shared" si="16"/>
        <v>0</v>
      </c>
      <c r="J55" s="74">
        <f t="shared" si="16"/>
        <v>1</v>
      </c>
      <c r="K55" s="64" t="str">
        <f>IFERROR(F55/G55-1,"n/a")</f>
        <v>n/a</v>
      </c>
      <c r="L55" s="64">
        <f>IFERROR(F55/H55-1,"n/a")</f>
        <v>83</v>
      </c>
      <c r="M55" s="64" t="str">
        <f>IFERROR(F55/I55-1,"n/a")</f>
        <v>n/a</v>
      </c>
      <c r="N55" s="60">
        <f>IFERROR(F55/J55-1,"n/a")</f>
        <v>83</v>
      </c>
      <c r="O55" s="108"/>
      <c r="P55" s="70">
        <f>+O28-'Mar-22'!M25+'Dec-22'!M28</f>
        <v>673</v>
      </c>
      <c r="Q55" s="70">
        <f>+P28-'Mar-22'!N25+'Dec-22'!N28</f>
        <v>124</v>
      </c>
      <c r="R55" s="70">
        <f>+Q28-'Mar-22'!O25+'Dec-22'!O28</f>
        <v>37</v>
      </c>
      <c r="S55" s="70">
        <f>+R28-'Mar-22'!P25+'Dec-22'!P28</f>
        <v>359</v>
      </c>
      <c r="T55" s="108"/>
      <c r="U55" s="64">
        <f>IFERROR(P55/Q55-1,"n/a")</f>
        <v>4.42741935483871</v>
      </c>
      <c r="V55" s="64">
        <f>IFERROR(P55/R55-1,"n/a")</f>
        <v>17.189189189189189</v>
      </c>
      <c r="W55" s="60">
        <f>IFERROR(P55/S55-1,"n/a")</f>
        <v>0.87465181058495811</v>
      </c>
      <c r="X55" s="89"/>
      <c r="Y55" s="89">
        <v>140</v>
      </c>
      <c r="Z55" s="70">
        <v>40</v>
      </c>
      <c r="AA55" s="78">
        <v>360</v>
      </c>
      <c r="AR55"/>
      <c r="AS55"/>
      <c r="AT55"/>
      <c r="AU55"/>
      <c r="AV55"/>
      <c r="AW55"/>
      <c r="AX55"/>
      <c r="AY55"/>
    </row>
    <row r="56" spans="1:51" s="9" customFormat="1" ht="15.75" customHeight="1">
      <c r="A56"/>
      <c r="B56"/>
      <c r="C56" s="33"/>
      <c r="D56" s="26" t="s">
        <v>11</v>
      </c>
      <c r="E56" s="32"/>
      <c r="F56" s="74">
        <f t="shared" si="16"/>
        <v>219418</v>
      </c>
      <c r="G56" s="74">
        <f>G29</f>
        <v>0</v>
      </c>
      <c r="H56" s="74">
        <f t="shared" si="16"/>
        <v>644</v>
      </c>
      <c r="I56" s="74">
        <f t="shared" si="16"/>
        <v>0</v>
      </c>
      <c r="J56" s="74">
        <f t="shared" si="16"/>
        <v>1352</v>
      </c>
      <c r="K56" s="64" t="str">
        <f>IFERROR(F56/G56-1,"n/a")</f>
        <v>n/a</v>
      </c>
      <c r="L56" s="64">
        <f>IFERROR(F56/H56-1,"n/a")</f>
        <v>339.71118012422357</v>
      </c>
      <c r="M56" s="64" t="str">
        <f>IFERROR(F56/I56-1,"n/a")</f>
        <v>n/a</v>
      </c>
      <c r="N56" s="60">
        <f>IFERROR(F56/J56-1,"n/a")</f>
        <v>161.29142011834318</v>
      </c>
      <c r="O56" s="109"/>
      <c r="P56" s="82">
        <f>+O29-'Mar-22'!M26+'Dec-22'!M29</f>
        <v>1306061</v>
      </c>
      <c r="Q56" s="82">
        <f>+P29-'Mar-22'!N26+'Dec-22'!N29</f>
        <v>162944</v>
      </c>
      <c r="R56" s="82">
        <f>+Q29-'Mar-22'!O26+'Dec-22'!O29</f>
        <v>28814</v>
      </c>
      <c r="S56" s="82">
        <f>+R29-'Mar-22'!P26+'Dec-22'!P29</f>
        <v>861055</v>
      </c>
      <c r="T56" s="109"/>
      <c r="U56" s="64">
        <f>IFERROR(P56/Q56-1,"n/a")</f>
        <v>7.015397928122546</v>
      </c>
      <c r="V56" s="64">
        <f>IFERROR(P56/R56-1,"n/a")</f>
        <v>44.327306170611507</v>
      </c>
      <c r="W56" s="60">
        <f>IFERROR(P56/S56-1,"n/a")</f>
        <v>0.5168148376119992</v>
      </c>
      <c r="X56" s="82"/>
      <c r="Y56" s="82">
        <v>174336</v>
      </c>
      <c r="Z56" s="84">
        <v>21928</v>
      </c>
      <c r="AA56" s="78">
        <f>706948+155011</f>
        <v>861959</v>
      </c>
      <c r="AR56"/>
      <c r="AS56"/>
      <c r="AT56"/>
      <c r="AU56"/>
      <c r="AV56"/>
      <c r="AW56"/>
      <c r="AX56"/>
      <c r="AY56"/>
    </row>
    <row r="57" spans="1:51" s="9" customFormat="1" ht="27" customHeight="1" thickBot="1">
      <c r="A57"/>
      <c r="B57"/>
      <c r="C57" s="35" t="s">
        <v>12</v>
      </c>
      <c r="D57" s="36"/>
      <c r="E57" s="37"/>
      <c r="F57" s="75">
        <f t="shared" ref="F57:J58" si="17">F40+F43+F46+F49+F52+F55</f>
        <v>303</v>
      </c>
      <c r="G57" s="75">
        <f>G40+G43+G46+G49+G52+G55</f>
        <v>186</v>
      </c>
      <c r="H57" s="75">
        <f t="shared" si="17"/>
        <v>2</v>
      </c>
      <c r="I57" s="75">
        <f t="shared" si="17"/>
        <v>212</v>
      </c>
      <c r="J57" s="75">
        <f t="shared" si="17"/>
        <v>218</v>
      </c>
      <c r="K57" s="66">
        <f>IFERROR(F57/G57-1,"n/a")</f>
        <v>0.62903225806451624</v>
      </c>
      <c r="L57" s="66">
        <f>IFERROR(F57/H57-1,"n/a")</f>
        <v>150.5</v>
      </c>
      <c r="M57" s="66">
        <f>IFERROR(F57/I57-1,"n/a")</f>
        <v>0.429245283018868</v>
      </c>
      <c r="N57" s="62">
        <f>IFERROR(F57/J57-1,"n/a")</f>
        <v>0.38990825688073394</v>
      </c>
      <c r="O57" s="46"/>
      <c r="P57" s="46">
        <f>P40+P43+P46+P49+P52+P55</f>
        <v>3298</v>
      </c>
      <c r="Q57" s="46">
        <f t="shared" ref="Q57:S58" si="18">Q40+Q43+Q46+Q49+Q52+Q55</f>
        <v>1236</v>
      </c>
      <c r="R57" s="46">
        <f t="shared" si="18"/>
        <v>104</v>
      </c>
      <c r="S57" s="46">
        <f t="shared" si="18"/>
        <v>2921</v>
      </c>
      <c r="T57" s="46"/>
      <c r="U57" s="66">
        <f>IFERROR(P57/Q57-1,"n/a")</f>
        <v>1.6682847896440132</v>
      </c>
      <c r="V57" s="66">
        <f>IFERROR(P57/R57-1,"n/a")</f>
        <v>30.71153846153846</v>
      </c>
      <c r="W57" s="62">
        <f>IFERROR(P57/S57-1,"n/a")</f>
        <v>0.12906538856555971</v>
      </c>
      <c r="X57" s="46"/>
      <c r="Y57" s="46">
        <f t="shared" ref="Y57:AA58" si="19">Y40+Y43+Y46+Y49+Y52+Y55</f>
        <v>1682</v>
      </c>
      <c r="Z57" s="46">
        <f t="shared" si="19"/>
        <v>679</v>
      </c>
      <c r="AA57" s="80">
        <f t="shared" si="19"/>
        <v>3274</v>
      </c>
      <c r="AR57"/>
      <c r="AS57"/>
      <c r="AT57"/>
      <c r="AU57"/>
      <c r="AV57"/>
      <c r="AW57"/>
      <c r="AX57"/>
      <c r="AY57"/>
    </row>
    <row r="58" spans="1:51" s="9" customFormat="1" ht="27" customHeight="1" thickTop="1" thickBot="1">
      <c r="A58"/>
      <c r="B58"/>
      <c r="C58" s="38" t="s">
        <v>13</v>
      </c>
      <c r="D58" s="39"/>
      <c r="E58" s="40"/>
      <c r="F58" s="76">
        <f t="shared" si="17"/>
        <v>833405</v>
      </c>
      <c r="G58" s="76">
        <f>G41+G44+G47+G50+G53+G56</f>
        <v>219956</v>
      </c>
      <c r="H58" s="76">
        <f t="shared" si="17"/>
        <v>1288</v>
      </c>
      <c r="I58" s="76">
        <f t="shared" si="17"/>
        <v>555038</v>
      </c>
      <c r="J58" s="76">
        <f t="shared" si="17"/>
        <v>620852</v>
      </c>
      <c r="K58" s="67">
        <f>IFERROR(F58/G58-1,"n/a")</f>
        <v>2.78896233792213</v>
      </c>
      <c r="L58" s="67">
        <f>IFERROR(F58/H58-1,"n/a")</f>
        <v>646.05357142857144</v>
      </c>
      <c r="M58" s="67">
        <f>IFERROR(F58/I58-1,"n/a")</f>
        <v>0.50152782332020518</v>
      </c>
      <c r="N58" s="63">
        <f>IFERROR(F58/J58-1,"n/a")</f>
        <v>0.34235695463653171</v>
      </c>
      <c r="O58" s="47"/>
      <c r="P58" s="47">
        <f>P41+P44+P47+P50+P53+P56</f>
        <v>7592784</v>
      </c>
      <c r="Q58" s="47">
        <f t="shared" si="18"/>
        <v>1764100</v>
      </c>
      <c r="R58" s="47">
        <f t="shared" si="18"/>
        <v>48528</v>
      </c>
      <c r="S58" s="47">
        <f t="shared" si="18"/>
        <v>7933533</v>
      </c>
      <c r="T58" s="47"/>
      <c r="U58" s="67">
        <f>IFERROR(P58/Q58-1,"n/a")</f>
        <v>3.3040553256618104</v>
      </c>
      <c r="V58" s="67">
        <f>IFERROR(P58/R58-1,"n/a")</f>
        <v>155.46191889218596</v>
      </c>
      <c r="W58" s="63">
        <f>IFERROR(P58/S58-1,"n/a")</f>
        <v>-4.2950473641440667E-2</v>
      </c>
      <c r="X58" s="47"/>
      <c r="Y58" s="47">
        <f t="shared" si="19"/>
        <v>2411641</v>
      </c>
      <c r="Z58" s="47">
        <f t="shared" si="19"/>
        <v>1324261</v>
      </c>
      <c r="AA58" s="81">
        <f t="shared" si="19"/>
        <v>8654686</v>
      </c>
      <c r="AR58"/>
      <c r="AS58"/>
      <c r="AT58"/>
      <c r="AU58"/>
      <c r="AV58"/>
      <c r="AW58"/>
      <c r="AX58"/>
      <c r="AY58"/>
    </row>
    <row r="59" spans="1:51" s="9" customFormat="1" ht="12" customHeight="1" thickTop="1">
      <c r="A59"/>
      <c r="B59"/>
      <c r="C59"/>
      <c r="D59"/>
      <c r="E59"/>
      <c r="F59"/>
      <c r="G59"/>
      <c r="H59"/>
      <c r="I59"/>
      <c r="J59"/>
      <c r="K59"/>
      <c r="L59"/>
      <c r="M59"/>
      <c r="N59"/>
      <c r="O59"/>
      <c r="P59"/>
      <c r="Q59"/>
      <c r="R59"/>
      <c r="S59"/>
      <c r="T59"/>
      <c r="U59"/>
      <c r="V59"/>
      <c r="W59"/>
      <c r="X59"/>
      <c r="Y59"/>
      <c r="Z59"/>
      <c r="AA59"/>
      <c r="AR59"/>
      <c r="AS59"/>
      <c r="AT59"/>
      <c r="AU59"/>
      <c r="AV59"/>
      <c r="AW59"/>
      <c r="AX59"/>
      <c r="AY59"/>
    </row>
    <row r="60" spans="1:51" ht="27" customHeight="1">
      <c r="P60" s="111"/>
      <c r="Q60" s="111"/>
      <c r="R60" s="111"/>
      <c r="S60" s="111"/>
    </row>
    <row r="61" spans="1:51" ht="27" customHeight="1">
      <c r="P61" s="111"/>
      <c r="Q61" s="111"/>
      <c r="R61" s="111"/>
      <c r="S61" s="111"/>
    </row>
    <row r="62" spans="1:51" ht="27" customHeight="1">
      <c r="P62" s="111"/>
      <c r="Q62" s="111"/>
      <c r="R62" s="111"/>
      <c r="S62" s="111"/>
    </row>
    <row r="63" spans="1:51" ht="27" customHeight="1">
      <c r="P63" s="111"/>
      <c r="Q63" s="111"/>
      <c r="R63" s="111"/>
      <c r="S63" s="111"/>
    </row>
    <row r="64" spans="1:51" ht="27" customHeight="1"/>
    <row r="65" ht="27" customHeight="1"/>
    <row r="66" ht="27" customHeight="1"/>
    <row r="67" ht="27" customHeight="1"/>
    <row r="68" ht="27" customHeight="1"/>
  </sheetData>
  <mergeCells count="6">
    <mergeCell ref="F9:N9"/>
    <mergeCell ref="O9:W9"/>
    <mergeCell ref="X9:AA9"/>
    <mergeCell ref="F36:N36"/>
    <mergeCell ref="O36:W36"/>
    <mergeCell ref="X36:AA36"/>
  </mergeCells>
  <pageMargins left="0.7" right="0.7" top="0.75" bottom="0.75" header="0.3" footer="0.3"/>
  <pageSetup paperSize="9" scale="45" orientation="landscape" horizontalDpi="4294967293" verticalDpi="4294967293" r:id="rId1"/>
  <colBreaks count="2" manualBreakCount="2">
    <brk id="3" max="1048575" man="1"/>
    <brk id="5"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pageSetUpPr fitToPage="1"/>
  </sheetPr>
  <dimension ref="A1:AT68"/>
  <sheetViews>
    <sheetView showGridLines="0" topLeftCell="C1" zoomScaleNormal="100" zoomScalePageLayoutView="40" workbookViewId="0">
      <selection activeCell="R6" sqref="R6"/>
    </sheetView>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1.42578125" customWidth="1"/>
    <col min="17" max="17" width="8.85546875" customWidth="1"/>
    <col min="18" max="18" width="9.140625" bestFit="1" customWidth="1"/>
    <col min="19" max="19" width="8.85546875" customWidth="1"/>
    <col min="20" max="21" width="10.42578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v>44941</v>
      </c>
    </row>
    <row r="4" spans="1:38" ht="15.75">
      <c r="A4" s="9"/>
      <c r="B4" s="11" t="s">
        <v>7</v>
      </c>
      <c r="C4" s="26"/>
      <c r="D4" s="24"/>
      <c r="E4" s="58" t="s">
        <v>94</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70" t="s">
        <v>31</v>
      </c>
      <c r="G9" s="170"/>
      <c r="H9" s="170"/>
      <c r="I9" s="170"/>
      <c r="J9" s="170"/>
      <c r="K9" s="170"/>
      <c r="L9" s="171"/>
      <c r="M9" s="169" t="s">
        <v>95</v>
      </c>
      <c r="N9" s="170"/>
      <c r="O9" s="170"/>
      <c r="P9" s="170"/>
      <c r="Q9" s="170"/>
      <c r="R9" s="170"/>
      <c r="S9" s="171"/>
      <c r="T9" s="169" t="s">
        <v>57</v>
      </c>
      <c r="U9" s="170"/>
      <c r="V9" s="172"/>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96">
        <v>73</v>
      </c>
      <c r="G13" s="96">
        <v>70</v>
      </c>
      <c r="H13" s="96">
        <v>0</v>
      </c>
      <c r="I13" s="96">
        <v>69</v>
      </c>
      <c r="J13" s="64">
        <f t="shared" ref="J13:J31" si="0">IFERROR(F13/G13-1,"n/a")</f>
        <v>4.2857142857142927E-2</v>
      </c>
      <c r="K13" s="64" t="str">
        <f>IFERROR(F13/H13-1,"n/a")</f>
        <v>n/a</v>
      </c>
      <c r="L13" s="60">
        <f>IFERROR(F13/I13-1,"n/a")</f>
        <v>5.7971014492753659E-2</v>
      </c>
      <c r="M13" s="68">
        <f>F13+'Nov-22'!M13</f>
        <v>346</v>
      </c>
      <c r="N13" s="68">
        <f>G13+'Nov-22'!N13</f>
        <v>111</v>
      </c>
      <c r="O13" s="68">
        <f>H13+'Nov-22'!O13</f>
        <v>145</v>
      </c>
      <c r="P13" s="68">
        <f>I13+'Nov-22'!P13</f>
        <v>386</v>
      </c>
      <c r="Q13" s="64">
        <f>IFERROR(M13/N13-1,"n/a")</f>
        <v>2.1171171171171173</v>
      </c>
      <c r="R13" s="64">
        <f>IFERROR(M13/O13-1,"n/a")</f>
        <v>1.386206896551724</v>
      </c>
      <c r="S13" s="60">
        <f>IFERROR(M13/P13-1,"n/a")</f>
        <v>-0.10362694300518138</v>
      </c>
      <c r="T13" s="68">
        <v>111</v>
      </c>
      <c r="U13" s="70">
        <v>145</v>
      </c>
      <c r="V13" s="78">
        <v>386</v>
      </c>
    </row>
    <row r="14" spans="1:38" ht="15">
      <c r="A14" s="9"/>
      <c r="B14" s="12"/>
      <c r="C14" s="33"/>
      <c r="D14" s="26" t="s">
        <v>11</v>
      </c>
      <c r="E14" s="32"/>
      <c r="F14" s="96">
        <f>108803+415</f>
        <v>109218</v>
      </c>
      <c r="G14" s="96">
        <v>52767</v>
      </c>
      <c r="H14" s="96">
        <v>0</v>
      </c>
      <c r="I14" s="96">
        <v>120203</v>
      </c>
      <c r="J14" s="64">
        <f t="shared" si="0"/>
        <v>1.0698163624992891</v>
      </c>
      <c r="K14" s="64" t="str">
        <f>IFERROR(F14/H14-1,"n/a")</f>
        <v>n/a</v>
      </c>
      <c r="L14" s="60">
        <f>IFERROR(F14/I14-1,"n/a")</f>
        <v>-9.1387070206234489E-2</v>
      </c>
      <c r="M14" s="68">
        <f>F14+'Nov-22'!M14</f>
        <v>380182</v>
      </c>
      <c r="N14" s="68">
        <f>G14+'Nov-22'!N14</f>
        <v>80863</v>
      </c>
      <c r="O14" s="68">
        <f>H14+'Nov-22'!O14</f>
        <v>258885</v>
      </c>
      <c r="P14" s="68">
        <f>I14+'Nov-22'!P14</f>
        <v>733296</v>
      </c>
      <c r="Q14" s="64">
        <f>IFERROR(M14/N14-1,"n/a")</f>
        <v>3.7015569543548965</v>
      </c>
      <c r="R14" s="64">
        <f>IFERROR(M14/O14-1,"n/a")</f>
        <v>0.46853622264712125</v>
      </c>
      <c r="S14" s="60">
        <f>IFERROR(M14/P14-1,"n/a")</f>
        <v>-0.48154360585629818</v>
      </c>
      <c r="T14" s="68">
        <v>80863</v>
      </c>
      <c r="U14" s="70">
        <v>258885</v>
      </c>
      <c r="V14" s="78">
        <v>733296</v>
      </c>
    </row>
    <row r="15" spans="1:38" ht="15">
      <c r="A15" s="9"/>
      <c r="B15" s="12"/>
      <c r="C15" s="31" t="s">
        <v>74</v>
      </c>
      <c r="D15" s="26"/>
      <c r="E15" s="32"/>
      <c r="F15" s="97"/>
      <c r="G15" s="97"/>
      <c r="H15" s="97"/>
      <c r="I15" s="97"/>
      <c r="J15" s="64"/>
      <c r="K15" s="64"/>
      <c r="L15" s="61"/>
      <c r="M15" s="87"/>
      <c r="N15" s="87"/>
      <c r="O15" s="87"/>
      <c r="P15" s="87"/>
      <c r="Q15" s="64"/>
      <c r="R15" s="65"/>
      <c r="S15" s="61"/>
      <c r="T15" s="43"/>
      <c r="U15" s="44"/>
      <c r="V15" s="79"/>
    </row>
    <row r="16" spans="1:38" ht="15">
      <c r="A16" s="9"/>
      <c r="B16" s="12"/>
      <c r="C16" s="33"/>
      <c r="D16" s="26" t="s">
        <v>5</v>
      </c>
      <c r="E16" s="32"/>
      <c r="F16" s="96">
        <v>31</v>
      </c>
      <c r="G16" s="96">
        <v>25</v>
      </c>
      <c r="H16" s="96">
        <v>0</v>
      </c>
      <c r="I16" s="96">
        <v>20</v>
      </c>
      <c r="J16" s="64">
        <f t="shared" si="0"/>
        <v>0.24</v>
      </c>
      <c r="K16" s="64" t="str">
        <f>IFERROR(F16/H16-1,"n/a")</f>
        <v>n/a</v>
      </c>
      <c r="L16" s="60">
        <f>IFERROR(F16/I16-1,"n/a")</f>
        <v>0.55000000000000004</v>
      </c>
      <c r="M16" s="68">
        <f>F16+'Nov-22'!M16</f>
        <v>778</v>
      </c>
      <c r="N16" s="68">
        <f>G16+'Nov-22'!N16</f>
        <v>283</v>
      </c>
      <c r="O16" s="68">
        <f>H16+'Nov-22'!O16</f>
        <v>43</v>
      </c>
      <c r="P16" s="68">
        <f>I16+'Nov-22'!P16</f>
        <v>827</v>
      </c>
      <c r="Q16" s="64">
        <f>IFERROR(M16/N16-1,"n/a")</f>
        <v>1.7491166077738516</v>
      </c>
      <c r="R16" s="64">
        <f>IFERROR(M16/O16-1,"n/a")</f>
        <v>17.093023255813954</v>
      </c>
      <c r="S16" s="60">
        <f>IFERROR(M16/P16-1,"n/a")</f>
        <v>-5.9250302297460755E-2</v>
      </c>
      <c r="T16" s="68">
        <v>283</v>
      </c>
      <c r="U16" s="70">
        <v>43</v>
      </c>
      <c r="V16" s="78">
        <v>827</v>
      </c>
    </row>
    <row r="17" spans="1:46" ht="15">
      <c r="A17" s="9"/>
      <c r="B17" s="12"/>
      <c r="C17" s="33"/>
      <c r="D17" s="26" t="s">
        <v>11</v>
      </c>
      <c r="E17" s="32"/>
      <c r="F17" s="96">
        <v>88390</v>
      </c>
      <c r="G17" s="96">
        <v>39214</v>
      </c>
      <c r="H17" s="96">
        <v>0</v>
      </c>
      <c r="I17" s="96">
        <v>58943</v>
      </c>
      <c r="J17" s="64">
        <f t="shared" si="0"/>
        <v>1.2540419238027236</v>
      </c>
      <c r="K17" s="64" t="str">
        <f>IFERROR(F17/H17-1,"n/a")</f>
        <v>n/a</v>
      </c>
      <c r="L17" s="60">
        <f>IFERROR(F17/I17-1,"n/a")</f>
        <v>0.49958434419693609</v>
      </c>
      <c r="M17" s="68">
        <f>F17+'Nov-22'!M17</f>
        <v>1843624</v>
      </c>
      <c r="N17" s="68">
        <f>G17+'Nov-22'!N17</f>
        <v>465109</v>
      </c>
      <c r="O17" s="68">
        <f>H17+'Nov-22'!O17</f>
        <v>140552</v>
      </c>
      <c r="P17" s="68">
        <f>I17+'Nov-22'!P17</f>
        <v>2552942</v>
      </c>
      <c r="Q17" s="64">
        <f>IFERROR(M17/N17-1,"n/a")</f>
        <v>2.9638536343093769</v>
      </c>
      <c r="R17" s="64">
        <f>IFERROR(M17/O17-1,"n/a")</f>
        <v>12.117024304172121</v>
      </c>
      <c r="S17" s="60">
        <f>IFERROR(M17/P17-1,"n/a")</f>
        <v>-0.27784336659430575</v>
      </c>
      <c r="T17" s="68">
        <v>465109</v>
      </c>
      <c r="U17" s="70">
        <v>140552</v>
      </c>
      <c r="V17" s="78">
        <v>2552942</v>
      </c>
    </row>
    <row r="18" spans="1:46" ht="15">
      <c r="A18" s="9"/>
      <c r="B18" s="12"/>
      <c r="C18" s="31" t="s">
        <v>15</v>
      </c>
      <c r="D18" s="26"/>
      <c r="E18" s="32"/>
      <c r="F18" s="72"/>
      <c r="G18" s="98"/>
      <c r="H18" s="98"/>
      <c r="I18" s="98"/>
      <c r="J18" s="64"/>
      <c r="K18" s="64"/>
      <c r="L18" s="60"/>
      <c r="M18" s="87"/>
      <c r="N18" s="87"/>
      <c r="O18" s="87"/>
      <c r="P18" s="87"/>
      <c r="Q18" s="64"/>
      <c r="R18" s="64"/>
      <c r="S18" s="60"/>
      <c r="T18" s="43"/>
      <c r="U18" s="44"/>
      <c r="V18" s="79"/>
    </row>
    <row r="19" spans="1:46" ht="15">
      <c r="A19" s="9"/>
      <c r="B19" s="12"/>
      <c r="C19" s="33"/>
      <c r="D19" s="26" t="s">
        <v>5</v>
      </c>
      <c r="E19" s="32"/>
      <c r="F19" s="74">
        <v>9</v>
      </c>
      <c r="G19" s="96">
        <v>3</v>
      </c>
      <c r="H19" s="96">
        <v>0</v>
      </c>
      <c r="I19" s="96">
        <v>9</v>
      </c>
      <c r="J19" s="64">
        <f t="shared" si="0"/>
        <v>2</v>
      </c>
      <c r="K19" s="64" t="str">
        <f>IFERROR(F19/H19-1,"n/a")</f>
        <v>n/a</v>
      </c>
      <c r="L19" s="60">
        <f>IFERROR(F19/I19-1,"n/a")</f>
        <v>0</v>
      </c>
      <c r="M19" s="68">
        <f>F19+'Nov-22'!M19</f>
        <v>475</v>
      </c>
      <c r="N19" s="68">
        <f>G19+'Nov-22'!N19</f>
        <v>23</v>
      </c>
      <c r="O19" s="68">
        <f>H19+'Nov-22'!O19</f>
        <v>4</v>
      </c>
      <c r="P19" s="68">
        <f>I19+'Nov-22'!P19</f>
        <v>191</v>
      </c>
      <c r="Q19" s="64">
        <f>IFERROR(M19/N19-1,"n/a")</f>
        <v>19.652173913043477</v>
      </c>
      <c r="R19" s="64">
        <f>IFERROR(M19/O19-1,"n/a")</f>
        <v>117.75</v>
      </c>
      <c r="S19" s="60">
        <f>IFERROR(M19/P19-1,"n/a")</f>
        <v>1.4869109947643979</v>
      </c>
      <c r="T19" s="68">
        <v>23</v>
      </c>
      <c r="U19" s="70">
        <v>4</v>
      </c>
      <c r="V19" s="78">
        <v>191</v>
      </c>
    </row>
    <row r="20" spans="1:46" ht="15">
      <c r="A20" s="9"/>
      <c r="B20" s="12"/>
      <c r="C20" s="33"/>
      <c r="D20" s="26" t="s">
        <v>11</v>
      </c>
      <c r="E20" s="32"/>
      <c r="F20" s="74">
        <v>6157</v>
      </c>
      <c r="G20" s="96">
        <v>864</v>
      </c>
      <c r="H20" s="96">
        <v>0</v>
      </c>
      <c r="I20" s="96">
        <v>9825</v>
      </c>
      <c r="J20" s="64">
        <f t="shared" si="0"/>
        <v>6.1261574074074074</v>
      </c>
      <c r="K20" s="64" t="str">
        <f>IFERROR(F20/H20-1,"n/a")</f>
        <v>n/a</v>
      </c>
      <c r="L20" s="60">
        <f t="shared" ref="L20:L31" si="1">IFERROR(F20/I20-1,"n/a")</f>
        <v>-0.37333333333333329</v>
      </c>
      <c r="M20" s="68">
        <f>F20+'Nov-22'!M20</f>
        <v>561984</v>
      </c>
      <c r="N20" s="68">
        <f>G20+'Nov-22'!N20</f>
        <v>8611</v>
      </c>
      <c r="O20" s="68">
        <f>H20+'Nov-22'!O20</f>
        <v>1753</v>
      </c>
      <c r="P20" s="68">
        <f>I20+'Nov-22'!P20</f>
        <v>254421</v>
      </c>
      <c r="Q20" s="64">
        <f>IFERROR(M20/N20-1,"n/a")</f>
        <v>64.263500174195798</v>
      </c>
      <c r="R20" s="64">
        <f>IFERROR(M20/O20-1,"n/a")</f>
        <v>319.58414147176268</v>
      </c>
      <c r="S20" s="60">
        <f>IFERROR(M20/P20-1,"n/a")</f>
        <v>1.2088742674543376</v>
      </c>
      <c r="T20" s="68">
        <v>8611</v>
      </c>
      <c r="U20" s="70">
        <v>1753</v>
      </c>
      <c r="V20" s="78">
        <v>254421</v>
      </c>
    </row>
    <row r="21" spans="1:46" ht="15">
      <c r="A21" s="9"/>
      <c r="B21" s="12"/>
      <c r="C21" s="31" t="s">
        <v>10</v>
      </c>
      <c r="D21" s="26"/>
      <c r="E21" s="34"/>
      <c r="F21" s="72"/>
      <c r="G21" s="98"/>
      <c r="H21" s="98"/>
      <c r="I21" s="98"/>
      <c r="J21" s="64"/>
      <c r="K21" s="64"/>
      <c r="L21" s="60"/>
      <c r="M21" s="87"/>
      <c r="N21" s="87"/>
      <c r="O21" s="87"/>
      <c r="P21" s="87"/>
      <c r="Q21" s="64"/>
      <c r="R21" s="64"/>
      <c r="S21" s="60"/>
      <c r="T21" s="43"/>
      <c r="U21" s="44"/>
      <c r="V21" s="79"/>
    </row>
    <row r="22" spans="1:46" ht="15">
      <c r="A22" s="9"/>
      <c r="B22" s="12"/>
      <c r="C22" s="33"/>
      <c r="D22" s="26" t="s">
        <v>5</v>
      </c>
      <c r="E22" s="34"/>
      <c r="F22" s="74">
        <v>118</v>
      </c>
      <c r="G22" s="96">
        <v>102</v>
      </c>
      <c r="H22" s="96">
        <v>0</v>
      </c>
      <c r="I22" s="96">
        <v>131</v>
      </c>
      <c r="J22" s="64">
        <f t="shared" si="0"/>
        <v>0.15686274509803932</v>
      </c>
      <c r="K22" s="64" t="str">
        <f>IFERROR(F22/H22-1,"n/a")</f>
        <v>n/a</v>
      </c>
      <c r="L22" s="60">
        <f t="shared" si="1"/>
        <v>-9.92366412213741E-2</v>
      </c>
      <c r="M22" s="68">
        <f>F22+'Nov-22'!M22</f>
        <v>1140</v>
      </c>
      <c r="N22" s="68">
        <f>G22+'Nov-22'!N22</f>
        <v>411</v>
      </c>
      <c r="O22" s="68">
        <f>H22+'Nov-22'!O22</f>
        <v>406</v>
      </c>
      <c r="P22" s="68">
        <f>I22+'Nov-22'!P22</f>
        <v>1205</v>
      </c>
      <c r="Q22" s="64">
        <f>IFERROR(M22/N22-1,"n/a")</f>
        <v>1.7737226277372264</v>
      </c>
      <c r="R22" s="64">
        <f>IFERROR(M22/O22-1,"n/a")</f>
        <v>1.8078817733990147</v>
      </c>
      <c r="S22" s="60">
        <f>IFERROR(M22/P22-1,"n/a")</f>
        <v>-5.3941908713692976E-2</v>
      </c>
      <c r="T22" s="68">
        <v>411</v>
      </c>
      <c r="U22" s="70">
        <v>406</v>
      </c>
      <c r="V22" s="78">
        <v>1205</v>
      </c>
    </row>
    <row r="23" spans="1:46" ht="15">
      <c r="A23" s="9"/>
      <c r="B23" s="12"/>
      <c r="C23" s="33"/>
      <c r="D23" s="26" t="s">
        <v>11</v>
      </c>
      <c r="E23" s="32"/>
      <c r="F23" s="74">
        <v>409516</v>
      </c>
      <c r="G23" s="96">
        <v>200450</v>
      </c>
      <c r="H23" s="96">
        <v>0</v>
      </c>
      <c r="I23" s="96">
        <v>386408</v>
      </c>
      <c r="J23" s="64">
        <f t="shared" si="0"/>
        <v>1.0429832876028935</v>
      </c>
      <c r="K23" s="64" t="str">
        <f>IFERROR(F23/H23-1,"n/a")</f>
        <v>n/a</v>
      </c>
      <c r="L23" s="60">
        <f t="shared" si="1"/>
        <v>5.9802074491211332E-2</v>
      </c>
      <c r="M23" s="68">
        <f>F23+'Nov-22'!M23</f>
        <v>3212646</v>
      </c>
      <c r="N23" s="68">
        <f>G23+'Nov-22'!N23</f>
        <v>687449</v>
      </c>
      <c r="O23" s="68">
        <f>H23+'Nov-22'!O23</f>
        <v>833999</v>
      </c>
      <c r="P23" s="68">
        <f>I23+'Nov-22'!P23</f>
        <v>3859183</v>
      </c>
      <c r="Q23" s="64">
        <f>IFERROR(M23/N23-1,"n/a")</f>
        <v>3.6732863092389403</v>
      </c>
      <c r="R23" s="64">
        <f>IFERROR(M23/O23-1,"n/a")</f>
        <v>2.8520981440025706</v>
      </c>
      <c r="S23" s="60">
        <f>IFERROR(M23/P23-1,"n/a")</f>
        <v>-0.16753209163701233</v>
      </c>
      <c r="T23" s="68">
        <v>687449</v>
      </c>
      <c r="U23" s="70">
        <v>833999</v>
      </c>
      <c r="V23" s="78">
        <v>3859183</v>
      </c>
    </row>
    <row r="24" spans="1:46" ht="15">
      <c r="A24" s="9"/>
      <c r="B24" s="12"/>
      <c r="C24" s="31" t="s">
        <v>16</v>
      </c>
      <c r="D24" s="26"/>
      <c r="E24" s="32"/>
      <c r="F24" s="72"/>
      <c r="G24" s="98"/>
      <c r="H24" s="98"/>
      <c r="I24" s="98"/>
      <c r="J24" s="64"/>
      <c r="K24" s="64"/>
      <c r="L24" s="60"/>
      <c r="M24" s="87"/>
      <c r="N24" s="87"/>
      <c r="O24" s="87"/>
      <c r="P24" s="87"/>
      <c r="Q24" s="64"/>
      <c r="R24" s="64"/>
      <c r="S24" s="60"/>
      <c r="T24" s="43"/>
      <c r="U24" s="44"/>
      <c r="V24" s="79"/>
    </row>
    <row r="25" spans="1:46" ht="15">
      <c r="A25" s="9"/>
      <c r="B25" s="12"/>
      <c r="C25" s="33"/>
      <c r="D25" s="26" t="s">
        <v>5</v>
      </c>
      <c r="E25" s="32"/>
      <c r="F25" s="74">
        <v>5</v>
      </c>
      <c r="G25" s="96">
        <v>7</v>
      </c>
      <c r="H25" s="96">
        <v>3</v>
      </c>
      <c r="I25" s="96">
        <v>44</v>
      </c>
      <c r="J25" s="64">
        <f t="shared" si="0"/>
        <v>-0.2857142857142857</v>
      </c>
      <c r="K25" s="64">
        <f>IFERROR(F25/H25-1,"n/a")</f>
        <v>0.66666666666666674</v>
      </c>
      <c r="L25" s="60">
        <f t="shared" si="1"/>
        <v>-0.88636363636363635</v>
      </c>
      <c r="M25" s="68">
        <f>F25+'Nov-22'!M25</f>
        <v>283</v>
      </c>
      <c r="N25" s="68">
        <f>G25+'Nov-22'!N25</f>
        <v>107</v>
      </c>
      <c r="O25" s="68">
        <f>H25+'Nov-22'!O25</f>
        <v>32</v>
      </c>
      <c r="P25" s="68">
        <f>I25+'Nov-22'!P25</f>
        <v>372</v>
      </c>
      <c r="Q25" s="64">
        <f>IFERROR(M25/N25-1,"n/a")</f>
        <v>1.6448598130841123</v>
      </c>
      <c r="R25" s="64">
        <f>IFERROR(M25/O25-1,"n/a")</f>
        <v>7.84375</v>
      </c>
      <c r="S25" s="60">
        <f>IFERROR(M25/P25-1,"n/a")</f>
        <v>-0.239247311827957</v>
      </c>
      <c r="T25" s="68">
        <v>107</v>
      </c>
      <c r="U25" s="70">
        <v>32</v>
      </c>
      <c r="V25" s="78">
        <v>372</v>
      </c>
    </row>
    <row r="26" spans="1:46" ht="15">
      <c r="A26" s="9"/>
      <c r="B26" s="12"/>
      <c r="C26" s="33"/>
      <c r="D26" s="26" t="s">
        <v>11</v>
      </c>
      <c r="E26" s="32"/>
      <c r="F26" s="74">
        <v>20252</v>
      </c>
      <c r="G26" s="96">
        <v>13748</v>
      </c>
      <c r="H26" s="96">
        <v>1045</v>
      </c>
      <c r="I26" s="96">
        <v>52611</v>
      </c>
      <c r="J26" s="64">
        <f t="shared" si="0"/>
        <v>0.47308699447192315</v>
      </c>
      <c r="K26" s="64">
        <f>IFERROR(F26/H26-1,"n/a")</f>
        <v>18.379904306220094</v>
      </c>
      <c r="L26" s="60">
        <f t="shared" si="1"/>
        <v>-0.61506148904221547</v>
      </c>
      <c r="M26" s="68">
        <f>F26+'Nov-22'!M26</f>
        <v>530405</v>
      </c>
      <c r="N26" s="68">
        <f>G26+'Nov-22'!N26</f>
        <v>147132</v>
      </c>
      <c r="O26" s="68">
        <f>H26+'Nov-22'!O26</f>
        <v>59180</v>
      </c>
      <c r="P26" s="68">
        <f>I26+'Nov-22'!P26</f>
        <v>902015</v>
      </c>
      <c r="Q26" s="64">
        <f>IFERROR(M26/N26-1,"n/a")</f>
        <v>2.6049601718185031</v>
      </c>
      <c r="R26" s="64">
        <f>IFERROR(M26/O26-1,"n/a")</f>
        <v>7.9625718148022973</v>
      </c>
      <c r="S26" s="60">
        <f>IFERROR(M26/P26-1,"n/a")</f>
        <v>-0.41197762786649894</v>
      </c>
      <c r="T26" s="68">
        <v>147132</v>
      </c>
      <c r="U26" s="70">
        <v>59180</v>
      </c>
      <c r="V26" s="78">
        <v>902015</v>
      </c>
    </row>
    <row r="27" spans="1:46" ht="15">
      <c r="A27" s="9"/>
      <c r="B27" s="12"/>
      <c r="C27" s="31" t="s">
        <v>17</v>
      </c>
      <c r="D27" s="26"/>
      <c r="E27" s="32"/>
      <c r="F27" s="72"/>
      <c r="G27" s="98"/>
      <c r="H27" s="98"/>
      <c r="I27" s="98"/>
      <c r="J27" s="64"/>
      <c r="K27" s="64"/>
      <c r="L27" s="60"/>
      <c r="M27" s="87"/>
      <c r="N27" s="87"/>
      <c r="O27" s="87"/>
      <c r="P27" s="87"/>
      <c r="Q27" s="64"/>
      <c r="R27" s="64"/>
      <c r="S27" s="60"/>
      <c r="T27" s="43"/>
      <c r="U27" s="44"/>
      <c r="V27" s="79"/>
    </row>
    <row r="28" spans="1:46" ht="15">
      <c r="B28" s="12"/>
      <c r="C28" s="33"/>
      <c r="D28" s="26" t="s">
        <v>5</v>
      </c>
      <c r="E28" s="32"/>
      <c r="F28" s="74">
        <f>1+36</f>
        <v>37</v>
      </c>
      <c r="G28" s="96">
        <v>0</v>
      </c>
      <c r="H28" s="96">
        <v>5</v>
      </c>
      <c r="I28" s="96">
        <v>18</v>
      </c>
      <c r="J28" s="64" t="str">
        <f t="shared" si="0"/>
        <v>n/a</v>
      </c>
      <c r="K28" s="64">
        <f>IFERROR(F28/H28-1,"n/a")</f>
        <v>6.4</v>
      </c>
      <c r="L28" s="60">
        <f t="shared" si="1"/>
        <v>1.0555555555555554</v>
      </c>
      <c r="M28" s="68">
        <f>F28+'Nov-22'!M28</f>
        <v>605</v>
      </c>
      <c r="N28" s="68">
        <f>G28+'Nov-22'!N28</f>
        <v>127</v>
      </c>
      <c r="O28" s="68">
        <f>H28+'Nov-22'!O28</f>
        <v>37</v>
      </c>
      <c r="P28" s="68">
        <f>I28+'Nov-22'!P28</f>
        <v>363</v>
      </c>
      <c r="Q28" s="64">
        <f>IFERROR(M28/N28-1,"n/a")</f>
        <v>3.7637795275590555</v>
      </c>
      <c r="R28" s="64">
        <f>IFERROR(M28/O28-1,"n/a")</f>
        <v>15.351351351351351</v>
      </c>
      <c r="S28" s="60">
        <f>IFERROR(M28/P28-1,"n/a")</f>
        <v>0.66666666666666674</v>
      </c>
      <c r="T28" s="68">
        <v>127</v>
      </c>
      <c r="U28" s="70">
        <v>37</v>
      </c>
      <c r="V28" s="78">
        <f>282+81</f>
        <v>363</v>
      </c>
    </row>
    <row r="29" spans="1:46" ht="15">
      <c r="A29" s="9"/>
      <c r="B29" s="12"/>
      <c r="C29" s="33"/>
      <c r="D29" s="26" t="s">
        <v>11</v>
      </c>
      <c r="E29" s="32"/>
      <c r="F29" s="74">
        <f>2108+606+127100</f>
        <v>129814</v>
      </c>
      <c r="G29" s="96">
        <v>0</v>
      </c>
      <c r="H29" s="96">
        <v>10369</v>
      </c>
      <c r="I29" s="96">
        <v>10666</v>
      </c>
      <c r="J29" s="64" t="str">
        <f t="shared" si="0"/>
        <v>n/a</v>
      </c>
      <c r="K29" s="64">
        <f>IFERROR(F29/H29-1,"n/a")</f>
        <v>11.519432925065098</v>
      </c>
      <c r="L29" s="60">
        <f t="shared" si="1"/>
        <v>11.170823176448527</v>
      </c>
      <c r="M29" s="68">
        <f>F29+'Nov-22'!M29</f>
        <v>1098243</v>
      </c>
      <c r="N29" s="68">
        <f>G29+'Nov-22'!N29</f>
        <v>165083</v>
      </c>
      <c r="O29" s="68">
        <f>H29+'Nov-22'!O29</f>
        <v>29062</v>
      </c>
      <c r="P29" s="68">
        <f>I29+'Nov-22'!P29</f>
        <v>867164</v>
      </c>
      <c r="Q29" s="64">
        <f>IFERROR(M29/N29-1,"n/a")</f>
        <v>5.6526716863638287</v>
      </c>
      <c r="R29" s="64">
        <f>IFERROR(M29/O29-1,"n/a")</f>
        <v>36.789656596242516</v>
      </c>
      <c r="S29" s="60">
        <f>IFERROR(M29/P29-1,"n/a")</f>
        <v>0.2664766987559446</v>
      </c>
      <c r="T29" s="68">
        <v>165083</v>
      </c>
      <c r="U29" s="70">
        <f>20768+8294</f>
        <v>29062</v>
      </c>
      <c r="V29" s="78">
        <f>659951+168729+38484</f>
        <v>867164</v>
      </c>
    </row>
    <row r="30" spans="1:46" ht="15" customHeight="1" thickBot="1">
      <c r="A30" s="9"/>
      <c r="B30" s="12"/>
      <c r="C30" s="35" t="s">
        <v>12</v>
      </c>
      <c r="D30" s="36"/>
      <c r="E30" s="37"/>
      <c r="F30" s="75">
        <f t="shared" ref="F30:I31" si="2">F13+F16+F19+F22+F25+F28</f>
        <v>273</v>
      </c>
      <c r="G30" s="75">
        <f>G13+G16+G19+G22+G25+G28</f>
        <v>207</v>
      </c>
      <c r="H30" s="75">
        <f t="shared" si="2"/>
        <v>8</v>
      </c>
      <c r="I30" s="75">
        <f t="shared" si="2"/>
        <v>291</v>
      </c>
      <c r="J30" s="66">
        <f t="shared" si="0"/>
        <v>0.31884057971014501</v>
      </c>
      <c r="K30" s="66">
        <f>IFERROR(F30/H30-1,"n/a")</f>
        <v>33.125</v>
      </c>
      <c r="L30" s="62">
        <f t="shared" si="1"/>
        <v>-6.1855670103092786E-2</v>
      </c>
      <c r="M30" s="46">
        <f t="shared" ref="M30:P31" si="3">M13+M16+M19+M22+M25+M28</f>
        <v>3627</v>
      </c>
      <c r="N30" s="46">
        <f t="shared" si="3"/>
        <v>1062</v>
      </c>
      <c r="O30" s="46">
        <f t="shared" si="3"/>
        <v>667</v>
      </c>
      <c r="P30" s="46">
        <f t="shared" si="3"/>
        <v>3344</v>
      </c>
      <c r="Q30" s="66">
        <f>IFERROR(M30/N30-1,"n/a")</f>
        <v>2.4152542372881354</v>
      </c>
      <c r="R30" s="66">
        <f>IFERROR(M30/O30-1,"n/a")</f>
        <v>4.437781109445277</v>
      </c>
      <c r="S30" s="62">
        <f>IFERROR(M30/P30-1,"n/a")</f>
        <v>8.4629186602870776E-2</v>
      </c>
      <c r="T30" s="46">
        <f t="shared" ref="T30:V31" si="4">T13+T16+T19+T22+T25+T28</f>
        <v>1062</v>
      </c>
      <c r="U30" s="46">
        <f t="shared" si="4"/>
        <v>667</v>
      </c>
      <c r="V30" s="80">
        <f t="shared" si="4"/>
        <v>3344</v>
      </c>
    </row>
    <row r="31" spans="1:46" s="22" customFormat="1" ht="15" customHeight="1" thickTop="1" thickBot="1">
      <c r="A31" s="9"/>
      <c r="B31" s="12"/>
      <c r="C31" s="38" t="s">
        <v>13</v>
      </c>
      <c r="D31" s="39"/>
      <c r="E31" s="40"/>
      <c r="F31" s="76">
        <f t="shared" si="2"/>
        <v>763347</v>
      </c>
      <c r="G31" s="76">
        <f t="shared" si="2"/>
        <v>307043</v>
      </c>
      <c r="H31" s="76">
        <f t="shared" si="2"/>
        <v>11414</v>
      </c>
      <c r="I31" s="76">
        <f t="shared" si="2"/>
        <v>638656</v>
      </c>
      <c r="J31" s="67">
        <f t="shared" si="0"/>
        <v>1.48612409336803</v>
      </c>
      <c r="K31" s="67">
        <f>IFERROR(F31/H31-1,"n/a")</f>
        <v>65.87813211845102</v>
      </c>
      <c r="L31" s="63">
        <f t="shared" si="1"/>
        <v>0.19523969085078674</v>
      </c>
      <c r="M31" s="47">
        <f t="shared" si="3"/>
        <v>7627084</v>
      </c>
      <c r="N31" s="47">
        <f t="shared" si="3"/>
        <v>1554247</v>
      </c>
      <c r="O31" s="47">
        <f t="shared" si="3"/>
        <v>1323431</v>
      </c>
      <c r="P31" s="47">
        <f t="shared" si="3"/>
        <v>9169021</v>
      </c>
      <c r="Q31" s="67">
        <f>IFERROR(M31/N31-1,"n/a")</f>
        <v>3.9072534803026802</v>
      </c>
      <c r="R31" s="67">
        <f>IFERROR(M31/O31-1,"n/a")</f>
        <v>4.7631142084475879</v>
      </c>
      <c r="S31" s="63">
        <f>IFERROR(M31/P31-1,"n/a")</f>
        <v>-0.16816811740315574</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46" s="9" customFormat="1" ht="15" customHeight="1" thickTop="1">
      <c r="F32" s="41"/>
      <c r="G32" s="41"/>
      <c r="H32" s="41"/>
      <c r="I32" s="41"/>
      <c r="J32" s="41"/>
      <c r="K32" s="41"/>
      <c r="AM32"/>
      <c r="AN32"/>
      <c r="AO32"/>
      <c r="AP32"/>
      <c r="AQ32"/>
      <c r="AR32"/>
      <c r="AS32"/>
      <c r="AT32"/>
    </row>
    <row r="33" spans="2:46" s="9" customFormat="1" ht="23.25" customHeight="1">
      <c r="F33" s="41"/>
      <c r="G33" s="41"/>
      <c r="H33" s="41"/>
      <c r="I33" s="41"/>
      <c r="J33" s="41"/>
      <c r="K33" s="41"/>
      <c r="AM33"/>
      <c r="AN33"/>
      <c r="AO33"/>
      <c r="AP33"/>
      <c r="AQ33"/>
      <c r="AR33"/>
      <c r="AS33"/>
      <c r="AT33"/>
    </row>
    <row r="34" spans="2:46" s="9" customFormat="1" ht="15">
      <c r="B34" s="10"/>
      <c r="C34" s="86" t="s">
        <v>63</v>
      </c>
      <c r="D34" s="24"/>
      <c r="E34" s="24"/>
      <c r="F34" s="24"/>
      <c r="G34" s="24"/>
      <c r="H34" s="24"/>
      <c r="I34" s="95"/>
      <c r="J34" s="95"/>
      <c r="K34" s="95"/>
      <c r="L34" s="24"/>
      <c r="M34" s="24"/>
      <c r="N34" s="24"/>
      <c r="O34" s="24"/>
      <c r="P34" s="24"/>
      <c r="Q34" s="24"/>
      <c r="R34" s="24"/>
      <c r="S34" s="24"/>
      <c r="T34" s="24"/>
      <c r="U34" s="24"/>
      <c r="V34" s="24"/>
      <c r="AM34"/>
      <c r="AN34"/>
      <c r="AO34"/>
      <c r="AP34"/>
      <c r="AQ34"/>
      <c r="AR34"/>
      <c r="AS34"/>
      <c r="AT34"/>
    </row>
    <row r="35" spans="2:46" s="9" customFormat="1" ht="15">
      <c r="B35" s="10"/>
      <c r="C35" s="24"/>
      <c r="D35" s="24"/>
      <c r="E35" s="24"/>
      <c r="F35" s="24"/>
      <c r="G35" s="24"/>
      <c r="H35" s="24"/>
      <c r="I35" s="95"/>
      <c r="J35" s="95"/>
      <c r="K35" s="95"/>
      <c r="L35" s="24"/>
      <c r="M35" s="24"/>
      <c r="N35" s="24"/>
      <c r="O35" s="24"/>
      <c r="P35" s="24"/>
      <c r="Q35" s="24"/>
      <c r="R35" s="24"/>
      <c r="S35" s="24"/>
      <c r="T35" s="24"/>
      <c r="U35" s="24"/>
      <c r="V35" s="24"/>
      <c r="AM35"/>
      <c r="AN35"/>
      <c r="AO35"/>
      <c r="AP35"/>
      <c r="AQ35"/>
      <c r="AR35"/>
      <c r="AS35"/>
      <c r="AT35"/>
    </row>
    <row r="36" spans="2:46" s="9" customFormat="1" ht="15" customHeight="1">
      <c r="C36" s="27" t="s">
        <v>7</v>
      </c>
      <c r="D36" s="28"/>
      <c r="E36" s="28"/>
      <c r="F36" s="170" t="str">
        <f>F9</f>
        <v>December</v>
      </c>
      <c r="G36" s="170"/>
      <c r="H36" s="170"/>
      <c r="I36" s="170"/>
      <c r="J36" s="170"/>
      <c r="K36" s="170"/>
      <c r="L36" s="171"/>
      <c r="M36" s="169" t="s">
        <v>96</v>
      </c>
      <c r="N36" s="170"/>
      <c r="O36" s="170"/>
      <c r="P36" s="170"/>
      <c r="Q36" s="170"/>
      <c r="R36" s="170"/>
      <c r="S36" s="171"/>
      <c r="T36" s="169" t="s">
        <v>58</v>
      </c>
      <c r="U36" s="170"/>
      <c r="V36" s="172"/>
      <c r="AM36"/>
      <c r="AN36"/>
      <c r="AO36"/>
      <c r="AP36"/>
      <c r="AQ36"/>
      <c r="AR36"/>
      <c r="AS36"/>
      <c r="AT36"/>
    </row>
    <row r="37" spans="2:46" s="9" customFormat="1" ht="15" customHeight="1">
      <c r="C37" s="29"/>
      <c r="D37" s="30"/>
      <c r="E37" s="30"/>
      <c r="F37" s="29"/>
      <c r="G37" s="30"/>
      <c r="H37" s="30"/>
      <c r="I37" s="30"/>
      <c r="J37" s="30"/>
      <c r="K37" s="30"/>
      <c r="L37" s="56"/>
      <c r="M37" s="30"/>
      <c r="N37" s="30"/>
      <c r="O37" s="30"/>
      <c r="P37" s="30"/>
      <c r="Q37" s="30"/>
      <c r="R37" s="30"/>
      <c r="S37" s="56"/>
      <c r="T37" s="30"/>
      <c r="U37" s="30"/>
      <c r="V37" s="56"/>
      <c r="AM37"/>
      <c r="AN37"/>
      <c r="AO37"/>
      <c r="AP37"/>
      <c r="AQ37"/>
      <c r="AR37"/>
      <c r="AS37"/>
      <c r="AT37"/>
    </row>
    <row r="38" spans="2:46" s="9" customFormat="1" ht="33.7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2:46" s="9" customFormat="1" ht="15" customHeight="1">
      <c r="C39" s="31" t="s">
        <v>14</v>
      </c>
      <c r="D39" s="26"/>
      <c r="E39" s="32"/>
      <c r="F39" s="26"/>
      <c r="G39" s="26"/>
      <c r="H39" s="26"/>
      <c r="I39" s="26"/>
      <c r="J39" s="26"/>
      <c r="K39" s="26"/>
      <c r="L39" s="32"/>
      <c r="M39" s="26"/>
      <c r="N39" s="26"/>
      <c r="O39" s="26"/>
      <c r="Q39" s="26"/>
      <c r="R39" s="26"/>
      <c r="S39" s="32"/>
      <c r="T39" s="33"/>
      <c r="U39" s="88"/>
      <c r="V39" s="85"/>
    </row>
    <row r="40" spans="2:46" s="9" customFormat="1" ht="15" customHeight="1">
      <c r="C40" s="33"/>
      <c r="D40" s="26" t="s">
        <v>5</v>
      </c>
      <c r="E40" s="32"/>
      <c r="F40" s="74">
        <f t="shared" ref="F40:I41" si="5">F13</f>
        <v>73</v>
      </c>
      <c r="G40" s="74">
        <f t="shared" si="5"/>
        <v>70</v>
      </c>
      <c r="H40" s="74">
        <f t="shared" si="5"/>
        <v>0</v>
      </c>
      <c r="I40" s="74">
        <f t="shared" si="5"/>
        <v>69</v>
      </c>
      <c r="J40" s="64">
        <f>IFERROR(F40/G40-1,"n/a")</f>
        <v>4.2857142857142927E-2</v>
      </c>
      <c r="K40" s="64" t="str">
        <f>IFERROR(F40/H40-1,"n/a")</f>
        <v>n/a</v>
      </c>
      <c r="L40" s="60">
        <f>IFERROR(F40/I40-1,"n/a")</f>
        <v>5.7971014492753659E-2</v>
      </c>
      <c r="M40" s="70">
        <f>+M13-'Mar-22'!M10</f>
        <v>149</v>
      </c>
      <c r="N40" s="70">
        <f>+N13-'Mar-22'!N10</f>
        <v>111</v>
      </c>
      <c r="O40" s="82">
        <f>+O13-'Mar-22'!O10</f>
        <v>0</v>
      </c>
      <c r="P40" s="70">
        <f>+P13-'Mar-22'!P10</f>
        <v>186</v>
      </c>
      <c r="Q40" s="64">
        <f>IFERROR(M40/N40-1,"n/a")</f>
        <v>0.3423423423423424</v>
      </c>
      <c r="R40" s="64" t="str">
        <f>IFERROR(M40/O40-1,"n/a")</f>
        <v>n/a</v>
      </c>
      <c r="S40" s="60">
        <f>IFERROR(M40/P40-1,"n/a")</f>
        <v>-0.19892473118279574</v>
      </c>
      <c r="T40" s="89">
        <v>308</v>
      </c>
      <c r="U40" s="70">
        <v>145</v>
      </c>
      <c r="V40" s="78">
        <v>331</v>
      </c>
    </row>
    <row r="41" spans="2:46" s="9" customFormat="1" ht="15" customHeight="1">
      <c r="C41" s="33"/>
      <c r="D41" s="26" t="s">
        <v>11</v>
      </c>
      <c r="E41" s="32"/>
      <c r="F41" s="74">
        <f t="shared" si="5"/>
        <v>109218</v>
      </c>
      <c r="G41" s="74">
        <f t="shared" si="5"/>
        <v>52767</v>
      </c>
      <c r="H41" s="74">
        <f t="shared" si="5"/>
        <v>0</v>
      </c>
      <c r="I41" s="74">
        <f t="shared" si="5"/>
        <v>120203</v>
      </c>
      <c r="J41" s="64">
        <f>IFERROR(F41/G41-1,"n/a")</f>
        <v>1.0698163624992891</v>
      </c>
      <c r="K41" s="64" t="str">
        <f>IFERROR(F41/H41-1,"n/a")</f>
        <v>n/a</v>
      </c>
      <c r="L41" s="60">
        <f>IFERROR(F41/I41-1,"n/a")</f>
        <v>-9.1387070206234489E-2</v>
      </c>
      <c r="M41" s="82">
        <f>+M14-'Mar-22'!M11</f>
        <v>223854</v>
      </c>
      <c r="N41" s="82">
        <f>+N14-'Mar-22'!N11</f>
        <v>80863</v>
      </c>
      <c r="O41" s="82">
        <f>+O14-'Mar-22'!O11</f>
        <v>0</v>
      </c>
      <c r="P41" s="82">
        <f>+P14-'Mar-22'!P11</f>
        <v>347916</v>
      </c>
      <c r="Q41" s="64">
        <f>IFERROR(M41/N41-1,"n/a")</f>
        <v>1.768311836068412</v>
      </c>
      <c r="R41" s="64" t="str">
        <f>IFERROR(M41/O41-1,"n/a")</f>
        <v>n/a</v>
      </c>
      <c r="S41" s="60">
        <f>IFERROR(M41/P41-1,"n/a")</f>
        <v>-0.35658607250025864</v>
      </c>
      <c r="T41" s="89">
        <v>237191</v>
      </c>
      <c r="U41" s="84">
        <v>258885</v>
      </c>
      <c r="V41" s="78">
        <v>606801</v>
      </c>
    </row>
    <row r="42" spans="2:46" s="9" customFormat="1" ht="15" customHeight="1">
      <c r="C42" s="31" t="s">
        <v>20</v>
      </c>
      <c r="D42" s="26"/>
      <c r="E42" s="32"/>
      <c r="F42" s="26"/>
      <c r="G42" s="26"/>
      <c r="H42" s="26"/>
      <c r="I42" s="26"/>
      <c r="J42" s="64"/>
      <c r="K42" s="64"/>
      <c r="L42" s="61"/>
      <c r="M42" s="87"/>
      <c r="N42" s="87"/>
      <c r="O42" s="87"/>
      <c r="P42" s="87"/>
      <c r="Q42" s="65"/>
      <c r="R42" s="65"/>
      <c r="S42" s="61"/>
      <c r="T42" s="90"/>
      <c r="U42" s="44"/>
      <c r="V42" s="79"/>
    </row>
    <row r="43" spans="2:46" s="9" customFormat="1" ht="15" customHeight="1">
      <c r="C43" s="33"/>
      <c r="D43" s="26" t="s">
        <v>5</v>
      </c>
      <c r="E43" s="32"/>
      <c r="F43" s="74">
        <f t="shared" ref="F43:I44" si="6">F16</f>
        <v>31</v>
      </c>
      <c r="G43" s="74">
        <f t="shared" si="6"/>
        <v>25</v>
      </c>
      <c r="H43" s="74">
        <f t="shared" si="6"/>
        <v>0</v>
      </c>
      <c r="I43" s="74">
        <f t="shared" si="6"/>
        <v>20</v>
      </c>
      <c r="J43" s="64">
        <f>IFERROR(F43/G43-1,"n/a")</f>
        <v>0.24</v>
      </c>
      <c r="K43" s="64" t="str">
        <f>IFERROR(F43/H43-1,"n/a")</f>
        <v>n/a</v>
      </c>
      <c r="L43" s="60">
        <f>IFERROR(F43/I43-1,"n/a")</f>
        <v>0.55000000000000004</v>
      </c>
      <c r="M43" s="70">
        <f>+M16-'Mar-22'!M13</f>
        <v>725</v>
      </c>
      <c r="N43" s="70">
        <f>+N16-'Mar-22'!N13</f>
        <v>283</v>
      </c>
      <c r="O43" s="82">
        <f>+O16-'Mar-22'!O13</f>
        <v>0</v>
      </c>
      <c r="P43" s="70">
        <f>+P16-'Mar-22'!P13</f>
        <v>738</v>
      </c>
      <c r="Q43" s="64">
        <f>IFERROR(M43/N43-1,"n/a")</f>
        <v>1.5618374558303887</v>
      </c>
      <c r="R43" s="64" t="str">
        <f>IFERROR(M43/O43-1,"n/a")</f>
        <v>n/a</v>
      </c>
      <c r="S43" s="60">
        <f>IFERROR(M43/P43-1,"n/a")</f>
        <v>-1.7615176151761558E-2</v>
      </c>
      <c r="T43" s="89">
        <v>336</v>
      </c>
      <c r="U43" s="70">
        <v>43</v>
      </c>
      <c r="V43" s="78">
        <v>781</v>
      </c>
    </row>
    <row r="44" spans="2:46" s="9" customFormat="1" ht="15" customHeight="1">
      <c r="C44" s="33"/>
      <c r="D44" s="26" t="s">
        <v>11</v>
      </c>
      <c r="E44" s="32"/>
      <c r="F44" s="74">
        <f t="shared" si="6"/>
        <v>88390</v>
      </c>
      <c r="G44" s="74">
        <f t="shared" si="6"/>
        <v>39214</v>
      </c>
      <c r="H44" s="74">
        <f t="shared" si="6"/>
        <v>0</v>
      </c>
      <c r="I44" s="74">
        <f t="shared" si="6"/>
        <v>58943</v>
      </c>
      <c r="J44" s="64">
        <f>IFERROR(F44/G44-1,"n/a")</f>
        <v>1.2540419238027236</v>
      </c>
      <c r="K44" s="64" t="str">
        <f>IFERROR(F44/H44-1,"n/a")</f>
        <v>n/a</v>
      </c>
      <c r="L44" s="60">
        <f>IFERROR(F44/I44-1,"n/a")</f>
        <v>0.49958434419693609</v>
      </c>
      <c r="M44" s="82">
        <f>+M17-'Mar-22'!M14</f>
        <v>1775170</v>
      </c>
      <c r="N44" s="82">
        <f>+N17-'Mar-22'!N14</f>
        <v>465109</v>
      </c>
      <c r="O44" s="82">
        <f>+O17-'Mar-22'!O14</f>
        <v>0</v>
      </c>
      <c r="P44" s="82">
        <f>+P17-'Mar-22'!P14</f>
        <v>2301042</v>
      </c>
      <c r="Q44" s="64">
        <f>IFERROR(M44/N44-1,"n/a")</f>
        <v>2.8166752309673648</v>
      </c>
      <c r="R44" s="64" t="str">
        <f>IFERROR(M44/O44-1,"n/a")</f>
        <v>n/a</v>
      </c>
      <c r="S44" s="60">
        <f>IFERROR(M44/P44-1,"n/a")</f>
        <v>-0.22853646304587227</v>
      </c>
      <c r="T44" s="89">
        <v>533563</v>
      </c>
      <c r="U44" s="84">
        <v>140552</v>
      </c>
      <c r="V44" s="78">
        <v>2441594</v>
      </c>
    </row>
    <row r="45" spans="2:46"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2:46" s="9" customFormat="1" ht="15" customHeight="1">
      <c r="C46" s="33"/>
      <c r="D46" s="26" t="s">
        <v>5</v>
      </c>
      <c r="E46" s="32"/>
      <c r="F46" s="74">
        <f t="shared" ref="F46:I47" si="7">F19</f>
        <v>9</v>
      </c>
      <c r="G46" s="74">
        <f t="shared" si="7"/>
        <v>3</v>
      </c>
      <c r="H46" s="74">
        <f t="shared" si="7"/>
        <v>0</v>
      </c>
      <c r="I46" s="74">
        <f t="shared" si="7"/>
        <v>9</v>
      </c>
      <c r="J46" s="64">
        <f>IFERROR(F46/G46-1,"n/a")</f>
        <v>2</v>
      </c>
      <c r="K46" s="64" t="str">
        <f>IFERROR(F46/H46-1,"n/a")</f>
        <v>n/a</v>
      </c>
      <c r="L46" s="60">
        <f>IFERROR(F46/I46-1,"n/a")</f>
        <v>0</v>
      </c>
      <c r="M46" s="70">
        <f>+M19-'Mar-22'!M16</f>
        <v>465</v>
      </c>
      <c r="N46" s="82">
        <f>+N19-'Mar-22'!N16</f>
        <v>23</v>
      </c>
      <c r="O46" s="82">
        <f>+O19-'Mar-22'!O16</f>
        <v>1</v>
      </c>
      <c r="P46" s="82">
        <f>+P19-'Mar-22'!P16</f>
        <v>185</v>
      </c>
      <c r="Q46" s="64">
        <f>IFERROR(M46/N46-1,"n/a")</f>
        <v>19.217391304347824</v>
      </c>
      <c r="R46" s="64">
        <f>IFERROR(M46/O46-1,"n/a")</f>
        <v>464</v>
      </c>
      <c r="S46" s="60">
        <f>IFERROR(M46/P46-1,"n/a")</f>
        <v>1.5135135135135136</v>
      </c>
      <c r="T46" s="89">
        <v>33</v>
      </c>
      <c r="U46" s="70">
        <v>4</v>
      </c>
      <c r="V46" s="78">
        <v>188</v>
      </c>
    </row>
    <row r="47" spans="2:46" s="9" customFormat="1" ht="15" customHeight="1">
      <c r="C47" s="33"/>
      <c r="D47" s="26" t="s">
        <v>11</v>
      </c>
      <c r="E47" s="32"/>
      <c r="F47" s="74">
        <f t="shared" si="7"/>
        <v>6157</v>
      </c>
      <c r="G47" s="74">
        <f t="shared" si="7"/>
        <v>864</v>
      </c>
      <c r="H47" s="74">
        <f t="shared" si="7"/>
        <v>0</v>
      </c>
      <c r="I47" s="74">
        <f t="shared" si="7"/>
        <v>9825</v>
      </c>
      <c r="J47" s="64">
        <f>IFERROR(F47/G47-1,"n/a")</f>
        <v>6.1261574074074074</v>
      </c>
      <c r="K47" s="64" t="str">
        <f>IFERROR(F47/H47-1,"n/a")</f>
        <v>n/a</v>
      </c>
      <c r="L47" s="60">
        <f>IFERROR(F47/I47-1,"n/a")</f>
        <v>-0.37333333333333329</v>
      </c>
      <c r="M47" s="82">
        <f>+M20-'Mar-22'!M17</f>
        <v>560512</v>
      </c>
      <c r="N47" s="82">
        <f>+N20-'Mar-22'!N17</f>
        <v>8611</v>
      </c>
      <c r="O47" s="82">
        <f>+O20-'Mar-22'!O17</f>
        <v>111</v>
      </c>
      <c r="P47" s="82">
        <f>+P20-'Mar-22'!P17</f>
        <v>249283</v>
      </c>
      <c r="Q47" s="64">
        <f>IFERROR(M47/N47-1,"n/a")</f>
        <v>64.092556032981065</v>
      </c>
      <c r="R47" s="64">
        <f>IFERROR(M47/O47-1,"n/a")</f>
        <v>5048.6576576576581</v>
      </c>
      <c r="S47" s="60">
        <f>IFERROR(M47/P47-1,"n/a")</f>
        <v>1.2484966885026254</v>
      </c>
      <c r="T47" s="82">
        <v>10083</v>
      </c>
      <c r="U47" s="84">
        <v>1753</v>
      </c>
      <c r="V47" s="78">
        <f>176097+74816</f>
        <v>250913</v>
      </c>
    </row>
    <row r="48" spans="2:46"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1:46" s="9" customFormat="1" ht="15" customHeight="1">
      <c r="C49" s="33"/>
      <c r="D49" s="26" t="s">
        <v>5</v>
      </c>
      <c r="E49" s="34"/>
      <c r="F49" s="74">
        <f t="shared" ref="F49:I50" si="8">F22</f>
        <v>118</v>
      </c>
      <c r="G49" s="74">
        <f t="shared" si="8"/>
        <v>102</v>
      </c>
      <c r="H49" s="74">
        <f t="shared" si="8"/>
        <v>0</v>
      </c>
      <c r="I49" s="74">
        <f t="shared" si="8"/>
        <v>131</v>
      </c>
      <c r="J49" s="64">
        <f>IFERROR(F49/G49-1,"n/a")</f>
        <v>0.15686274509803932</v>
      </c>
      <c r="K49" s="64" t="str">
        <f>IFERROR(F49/H49-1,"n/a")</f>
        <v>n/a</v>
      </c>
      <c r="L49" s="60">
        <f>IFERROR(F49/I49-1,"n/a")</f>
        <v>-9.92366412213741E-2</v>
      </c>
      <c r="M49" s="70">
        <f>+M22-'Mar-22'!M19</f>
        <v>807</v>
      </c>
      <c r="N49" s="70">
        <f>+N22-'Mar-22'!N19</f>
        <v>411</v>
      </c>
      <c r="O49" s="70">
        <f>+O22-'Mar-22'!O19</f>
        <v>42</v>
      </c>
      <c r="P49" s="70">
        <f>+P22-'Mar-22'!P19</f>
        <v>889</v>
      </c>
      <c r="Q49" s="64">
        <f>IFERROR(M49/N49-1,"n/a")</f>
        <v>0.96350364963503643</v>
      </c>
      <c r="R49" s="64">
        <f>IFERROR(M49/O49-1,"n/a")</f>
        <v>18.214285714285715</v>
      </c>
      <c r="S49" s="60">
        <f>IFERROR(M49/P49-1,"n/a")</f>
        <v>-9.2238470191226107E-2</v>
      </c>
      <c r="T49" s="89">
        <v>744</v>
      </c>
      <c r="U49" s="84">
        <v>406</v>
      </c>
      <c r="V49" s="78">
        <v>1253</v>
      </c>
    </row>
    <row r="50" spans="1:46" s="9" customFormat="1" ht="15" customHeight="1">
      <c r="C50" s="33"/>
      <c r="D50" s="26" t="s">
        <v>11</v>
      </c>
      <c r="E50" s="32"/>
      <c r="F50" s="74">
        <f t="shared" si="8"/>
        <v>409516</v>
      </c>
      <c r="G50" s="74">
        <f t="shared" si="8"/>
        <v>200450</v>
      </c>
      <c r="H50" s="74">
        <f t="shared" si="8"/>
        <v>0</v>
      </c>
      <c r="I50" s="74">
        <f t="shared" si="8"/>
        <v>386408</v>
      </c>
      <c r="J50" s="64">
        <f>IFERROR(F50/G50-1,"n/a")</f>
        <v>1.0429832876028935</v>
      </c>
      <c r="K50" s="64" t="str">
        <f>IFERROR(F50/H50-1,"n/a")</f>
        <v>n/a</v>
      </c>
      <c r="L50" s="60">
        <f>IFERROR(F50/I50-1,"n/a")</f>
        <v>5.9802074491211332E-2</v>
      </c>
      <c r="M50" s="82">
        <f>+M23-'Mar-22'!M20</f>
        <v>2609316</v>
      </c>
      <c r="N50" s="82">
        <f>+N23-'Mar-22'!N20</f>
        <v>687449</v>
      </c>
      <c r="O50" s="82">
        <f>+O23-'Mar-22'!O20</f>
        <v>0</v>
      </c>
      <c r="P50" s="82">
        <f>+P23-'Mar-22'!P20</f>
        <v>2793459</v>
      </c>
      <c r="Q50" s="64">
        <f>IFERROR(M50/N50-1,"n/a")</f>
        <v>2.7956502955128308</v>
      </c>
      <c r="R50" s="64" t="str">
        <f>IFERROR(M50/O50-1,"n/a")</f>
        <v>n/a</v>
      </c>
      <c r="S50" s="60">
        <f>IFERROR(M50/P50-1,"n/a")</f>
        <v>-6.5919349451701303E-2</v>
      </c>
      <c r="T50" s="82">
        <v>1290779</v>
      </c>
      <c r="U50" s="84">
        <v>833999</v>
      </c>
      <c r="V50" s="78">
        <v>3627458</v>
      </c>
    </row>
    <row r="51" spans="1:46"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1:46" s="9" customFormat="1" ht="15" customHeight="1">
      <c r="C52" s="33"/>
      <c r="D52" s="26" t="s">
        <v>5</v>
      </c>
      <c r="E52" s="32"/>
      <c r="F52" s="74">
        <f t="shared" ref="F52:I53" si="9">F25</f>
        <v>5</v>
      </c>
      <c r="G52" s="74">
        <f t="shared" si="9"/>
        <v>7</v>
      </c>
      <c r="H52" s="74">
        <f t="shared" si="9"/>
        <v>3</v>
      </c>
      <c r="I52" s="74">
        <f t="shared" si="9"/>
        <v>44</v>
      </c>
      <c r="J52" s="64">
        <f>IFERROR(F52/G52-1,"n/a")</f>
        <v>-0.2857142857142857</v>
      </c>
      <c r="K52" s="64">
        <f>IFERROR(F52/H52-1,"n/a")</f>
        <v>0.66666666666666674</v>
      </c>
      <c r="L52" s="60">
        <f>IFERROR(F52/I52-1,"n/a")</f>
        <v>-0.88636363636363635</v>
      </c>
      <c r="M52" s="70">
        <f>+M25-'Mar-22'!M22</f>
        <v>260</v>
      </c>
      <c r="N52" s="70">
        <f>+N25-'Mar-22'!N22</f>
        <v>98</v>
      </c>
      <c r="O52" s="82">
        <f>+O25-'Mar-22'!O22</f>
        <v>23</v>
      </c>
      <c r="P52" s="70">
        <f>+P25-'Mar-22'!P22</f>
        <v>352</v>
      </c>
      <c r="Q52" s="64">
        <f>IFERROR(M52/N52-1,"n/a")</f>
        <v>1.6530612244897958</v>
      </c>
      <c r="R52" s="64">
        <f>IFERROR(M52/O52-1,"n/a")</f>
        <v>10.304347826086957</v>
      </c>
      <c r="S52" s="60">
        <f>IFERROR(M52/P52-1,"n/a")</f>
        <v>-0.26136363636363635</v>
      </c>
      <c r="T52" s="89">
        <v>121</v>
      </c>
      <c r="U52" s="70">
        <v>41</v>
      </c>
      <c r="V52" s="78">
        <v>361</v>
      </c>
    </row>
    <row r="53" spans="1:46" s="9" customFormat="1" ht="15" customHeight="1">
      <c r="C53" s="33"/>
      <c r="D53" s="26" t="s">
        <v>11</v>
      </c>
      <c r="E53" s="32"/>
      <c r="F53" s="74">
        <f t="shared" si="9"/>
        <v>20252</v>
      </c>
      <c r="G53" s="74">
        <f t="shared" si="9"/>
        <v>13748</v>
      </c>
      <c r="H53" s="74">
        <f t="shared" si="9"/>
        <v>1045</v>
      </c>
      <c r="I53" s="74">
        <f t="shared" si="9"/>
        <v>52611</v>
      </c>
      <c r="J53" s="64">
        <f>IFERROR(F53/G53-1,"n/a")</f>
        <v>0.47308699447192315</v>
      </c>
      <c r="K53" s="64">
        <f>IFERROR(F53/H53-1,"n/a")</f>
        <v>18.379904306220094</v>
      </c>
      <c r="L53" s="60">
        <f>IFERROR(F53/I53-1,"n/a")</f>
        <v>-0.61506148904221547</v>
      </c>
      <c r="M53" s="82">
        <f>+M26-'Mar-22'!M23</f>
        <v>503884</v>
      </c>
      <c r="N53" s="82">
        <f>+N26-'Mar-22'!N23</f>
        <v>139168</v>
      </c>
      <c r="O53" s="82">
        <f>+O26-'Mar-22'!O23</f>
        <v>18959</v>
      </c>
      <c r="P53" s="82">
        <f>+P26-'Mar-22'!P23</f>
        <v>825740</v>
      </c>
      <c r="Q53" s="64">
        <f>IFERROR(M53/N53-1,"n/a")</f>
        <v>2.6206886640607037</v>
      </c>
      <c r="R53" s="64">
        <f>IFERROR(M53/O53-1,"n/a")</f>
        <v>25.577562107706104</v>
      </c>
      <c r="S53" s="60">
        <f>IFERROR(M53/P53-1,"n/a")</f>
        <v>-0.38977886501804437</v>
      </c>
      <c r="T53" s="82">
        <v>165689</v>
      </c>
      <c r="U53" s="84">
        <v>67144</v>
      </c>
      <c r="V53" s="78">
        <v>865961</v>
      </c>
    </row>
    <row r="54" spans="1:46" s="9" customFormat="1" ht="15" customHeight="1">
      <c r="A54"/>
      <c r="B54"/>
      <c r="C54" s="31" t="s">
        <v>17</v>
      </c>
      <c r="D54" s="26"/>
      <c r="E54" s="32"/>
      <c r="F54" s="72"/>
      <c r="G54" s="72"/>
      <c r="H54" s="72"/>
      <c r="I54" s="72"/>
      <c r="J54" s="64"/>
      <c r="K54" s="64"/>
      <c r="L54" s="60"/>
      <c r="M54" s="87"/>
      <c r="N54" s="87"/>
      <c r="O54" s="87"/>
      <c r="P54" s="87"/>
      <c r="Q54" s="64"/>
      <c r="R54" s="64"/>
      <c r="S54" s="60"/>
      <c r="T54" s="90"/>
      <c r="U54" s="44"/>
      <c r="V54" s="79"/>
      <c r="AM54"/>
      <c r="AN54"/>
      <c r="AO54"/>
      <c r="AP54"/>
      <c r="AQ54"/>
      <c r="AR54"/>
      <c r="AS54"/>
      <c r="AT54"/>
    </row>
    <row r="55" spans="1:46" s="9" customFormat="1" ht="15.75" customHeight="1">
      <c r="A55"/>
      <c r="B55"/>
      <c r="C55" s="33"/>
      <c r="D55" s="26" t="s">
        <v>5</v>
      </c>
      <c r="E55" s="32"/>
      <c r="F55" s="74">
        <f t="shared" ref="F55:I56" si="10">F28</f>
        <v>37</v>
      </c>
      <c r="G55" s="74">
        <f t="shared" si="10"/>
        <v>0</v>
      </c>
      <c r="H55" s="74">
        <f t="shared" si="10"/>
        <v>5</v>
      </c>
      <c r="I55" s="74">
        <f t="shared" si="10"/>
        <v>18</v>
      </c>
      <c r="J55" s="64" t="str">
        <f>IFERROR(F55/G55-1,"n/a")</f>
        <v>n/a</v>
      </c>
      <c r="K55" s="64">
        <f>IFERROR(F55/H55-1,"n/a")</f>
        <v>6.4</v>
      </c>
      <c r="L55" s="60">
        <f>IFERROR(F55/I55-1,"n/a")</f>
        <v>1.0555555555555554</v>
      </c>
      <c r="M55" s="70">
        <f>+M28-'Mar-22'!M25</f>
        <v>589</v>
      </c>
      <c r="N55" s="70">
        <f>+N28-'Mar-22'!N25</f>
        <v>124</v>
      </c>
      <c r="O55" s="70">
        <f>+O28-'Mar-22'!O25</f>
        <v>36</v>
      </c>
      <c r="P55" s="70">
        <f>+P28-'Mar-22'!P25</f>
        <v>359</v>
      </c>
      <c r="Q55" s="64">
        <f>IFERROR(M55/N55-1,"n/a")</f>
        <v>3.75</v>
      </c>
      <c r="R55" s="64">
        <f>IFERROR(M55/O55-1,"n/a")</f>
        <v>15.361111111111111</v>
      </c>
      <c r="S55" s="60">
        <f>IFERROR(M55/P55-1,"n/a")</f>
        <v>0.64066852367688032</v>
      </c>
      <c r="T55" s="89">
        <v>140</v>
      </c>
      <c r="U55" s="70">
        <v>40</v>
      </c>
      <c r="V55" s="78">
        <v>360</v>
      </c>
      <c r="AM55"/>
      <c r="AN55"/>
      <c r="AO55"/>
      <c r="AP55"/>
      <c r="AQ55"/>
      <c r="AR55"/>
      <c r="AS55"/>
      <c r="AT55"/>
    </row>
    <row r="56" spans="1:46" s="9" customFormat="1" ht="15.75" customHeight="1">
      <c r="A56"/>
      <c r="B56"/>
      <c r="C56" s="33"/>
      <c r="D56" s="26" t="s">
        <v>11</v>
      </c>
      <c r="E56" s="32"/>
      <c r="F56" s="74">
        <f t="shared" si="10"/>
        <v>129814</v>
      </c>
      <c r="G56" s="74">
        <f t="shared" si="10"/>
        <v>0</v>
      </c>
      <c r="H56" s="74">
        <f t="shared" si="10"/>
        <v>10369</v>
      </c>
      <c r="I56" s="74">
        <f t="shared" si="10"/>
        <v>10666</v>
      </c>
      <c r="J56" s="64" t="str">
        <f>IFERROR(F56/G56-1,"n/a")</f>
        <v>n/a</v>
      </c>
      <c r="K56" s="64">
        <f>IFERROR(F56/H56-1,"n/a")</f>
        <v>11.519432925065098</v>
      </c>
      <c r="L56" s="60">
        <f>IFERROR(F56/I56-1,"n/a")</f>
        <v>11.170823176448527</v>
      </c>
      <c r="M56" s="82">
        <f>+M29-'Mar-22'!M26</f>
        <v>1086643</v>
      </c>
      <c r="N56" s="82">
        <f>+N29-'Mar-22'!N26</f>
        <v>162944</v>
      </c>
      <c r="O56" s="82">
        <f>+O29-'Mar-22'!O26</f>
        <v>28170</v>
      </c>
      <c r="P56" s="82">
        <f>+P29-'Mar-22'!P26</f>
        <v>861055</v>
      </c>
      <c r="Q56" s="64">
        <f>IFERROR(M56/N56-1,"n/a")</f>
        <v>5.6688125981932442</v>
      </c>
      <c r="R56" s="64">
        <f>IFERROR(M56/O56-1,"n/a")</f>
        <v>37.574476393326236</v>
      </c>
      <c r="S56" s="60">
        <f>IFERROR(M56/P56-1,"n/a")</f>
        <v>0.261990232911951</v>
      </c>
      <c r="T56" s="82">
        <v>174336</v>
      </c>
      <c r="U56" s="84">
        <v>21928</v>
      </c>
      <c r="V56" s="78">
        <f>706948+155011</f>
        <v>861959</v>
      </c>
      <c r="AM56"/>
      <c r="AN56"/>
      <c r="AO56"/>
      <c r="AP56"/>
      <c r="AQ56"/>
      <c r="AR56"/>
      <c r="AS56"/>
      <c r="AT56"/>
    </row>
    <row r="57" spans="1:46" s="9" customFormat="1" ht="27" customHeight="1" thickBot="1">
      <c r="A57"/>
      <c r="B57"/>
      <c r="C57" s="35" t="s">
        <v>12</v>
      </c>
      <c r="D57" s="36"/>
      <c r="E57" s="37"/>
      <c r="F57" s="75">
        <f t="shared" ref="F57:I58" si="11">F40+F43+F46+F49+F52+F55</f>
        <v>273</v>
      </c>
      <c r="G57" s="75">
        <f t="shared" si="11"/>
        <v>207</v>
      </c>
      <c r="H57" s="75">
        <f t="shared" si="11"/>
        <v>8</v>
      </c>
      <c r="I57" s="75">
        <f t="shared" si="11"/>
        <v>291</v>
      </c>
      <c r="J57" s="66">
        <f>IFERROR(F57/G57-1,"n/a")</f>
        <v>0.31884057971014501</v>
      </c>
      <c r="K57" s="66">
        <f>IFERROR(F57/H57-1,"n/a")</f>
        <v>33.125</v>
      </c>
      <c r="L57" s="62">
        <f>IFERROR(F57/I57-1,"n/a")</f>
        <v>-6.1855670103092786E-2</v>
      </c>
      <c r="M57" s="46">
        <f t="shared" ref="M57:P58" si="12">M40+M43+M46+M49+M52+M55</f>
        <v>2995</v>
      </c>
      <c r="N57" s="46">
        <f t="shared" si="12"/>
        <v>1050</v>
      </c>
      <c r="O57" s="46">
        <f t="shared" si="12"/>
        <v>102</v>
      </c>
      <c r="P57" s="46">
        <f t="shared" si="12"/>
        <v>2709</v>
      </c>
      <c r="Q57" s="66">
        <f>IFERROR(M57/N57-1,"n/a")</f>
        <v>1.8523809523809525</v>
      </c>
      <c r="R57" s="66">
        <f>IFERROR(M57/O57-1,"n/a")</f>
        <v>28.362745098039216</v>
      </c>
      <c r="S57" s="62">
        <f>IFERROR(M57/P57-1,"n/a")</f>
        <v>0.10557401255075671</v>
      </c>
      <c r="T57" s="46">
        <f t="shared" ref="T57:V58" si="13">T40+T43+T46+T49+T52+T55</f>
        <v>1682</v>
      </c>
      <c r="U57" s="46">
        <f t="shared" si="13"/>
        <v>679</v>
      </c>
      <c r="V57" s="80">
        <f t="shared" si="13"/>
        <v>3274</v>
      </c>
      <c r="AM57"/>
      <c r="AN57"/>
      <c r="AO57"/>
      <c r="AP57"/>
      <c r="AQ57"/>
      <c r="AR57"/>
      <c r="AS57"/>
      <c r="AT57"/>
    </row>
    <row r="58" spans="1:46" s="9" customFormat="1" ht="27" customHeight="1" thickTop="1" thickBot="1">
      <c r="A58"/>
      <c r="B58"/>
      <c r="C58" s="38" t="s">
        <v>13</v>
      </c>
      <c r="D58" s="39"/>
      <c r="E58" s="40"/>
      <c r="F58" s="76">
        <f t="shared" si="11"/>
        <v>763347</v>
      </c>
      <c r="G58" s="76">
        <f t="shared" si="11"/>
        <v>307043</v>
      </c>
      <c r="H58" s="76">
        <f t="shared" si="11"/>
        <v>11414</v>
      </c>
      <c r="I58" s="76">
        <f t="shared" si="11"/>
        <v>638656</v>
      </c>
      <c r="J58" s="67">
        <f>IFERROR(F58/G58-1,"n/a")</f>
        <v>1.48612409336803</v>
      </c>
      <c r="K58" s="67">
        <f>IFERROR(F58/H58-1,"n/a")</f>
        <v>65.87813211845102</v>
      </c>
      <c r="L58" s="63">
        <f>IFERROR(F58/I58-1,"n/a")</f>
        <v>0.19523969085078674</v>
      </c>
      <c r="M58" s="47">
        <f t="shared" si="12"/>
        <v>6759379</v>
      </c>
      <c r="N58" s="47">
        <f t="shared" si="12"/>
        <v>1544144</v>
      </c>
      <c r="O58" s="47">
        <f t="shared" si="12"/>
        <v>47240</v>
      </c>
      <c r="P58" s="47">
        <f t="shared" si="12"/>
        <v>7378495</v>
      </c>
      <c r="Q58" s="67">
        <f>IFERROR(M58/N58-1,"n/a")</f>
        <v>3.3774278823736648</v>
      </c>
      <c r="R58" s="67">
        <f>IFERROR(M58/O58-1,"n/a")</f>
        <v>142.08592294665539</v>
      </c>
      <c r="S58" s="63">
        <f>IFERROR(M58/P58-1,"n/a")</f>
        <v>-8.3908168264666405E-2</v>
      </c>
      <c r="T58" s="47">
        <f t="shared" si="13"/>
        <v>2411641</v>
      </c>
      <c r="U58" s="47">
        <f t="shared" si="13"/>
        <v>1324261</v>
      </c>
      <c r="V58" s="81">
        <f t="shared" si="13"/>
        <v>8654686</v>
      </c>
      <c r="AM58"/>
      <c r="AN58"/>
      <c r="AO58"/>
      <c r="AP58"/>
      <c r="AQ58"/>
      <c r="AR58"/>
      <c r="AS58"/>
      <c r="AT58"/>
    </row>
    <row r="59" spans="1:46" s="9" customFormat="1" ht="12" customHeight="1" thickTop="1">
      <c r="A59"/>
      <c r="B59"/>
      <c r="C59"/>
      <c r="D59"/>
      <c r="E59"/>
      <c r="F59"/>
      <c r="G59"/>
      <c r="H59"/>
      <c r="I59"/>
      <c r="J59"/>
      <c r="K59"/>
      <c r="L59"/>
      <c r="M59"/>
      <c r="N59"/>
      <c r="O59"/>
      <c r="P59"/>
      <c r="Q59"/>
      <c r="R59"/>
      <c r="S59"/>
      <c r="T59"/>
      <c r="U59"/>
      <c r="V59"/>
      <c r="AM59"/>
      <c r="AN59"/>
      <c r="AO59"/>
      <c r="AP59"/>
      <c r="AQ59"/>
      <c r="AR59"/>
      <c r="AS59"/>
      <c r="AT59"/>
    </row>
    <row r="60" spans="1:46" ht="27" customHeight="1"/>
    <row r="61" spans="1:46" ht="27" customHeight="1"/>
    <row r="62" spans="1:46" ht="27" customHeight="1"/>
    <row r="63" spans="1:46" ht="27" customHeight="1"/>
    <row r="64" spans="1:46" ht="27" customHeight="1"/>
    <row r="65" ht="27" customHeight="1"/>
    <row r="66" ht="27" customHeight="1"/>
    <row r="67" ht="27" customHeight="1"/>
    <row r="68" ht="27" customHeight="1"/>
  </sheetData>
  <mergeCells count="6">
    <mergeCell ref="F9:L9"/>
    <mergeCell ref="M9:S9"/>
    <mergeCell ref="T9:V9"/>
    <mergeCell ref="F36:L36"/>
    <mergeCell ref="M36:S36"/>
    <mergeCell ref="T36:V36"/>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AT68"/>
  <sheetViews>
    <sheetView showGridLines="0" zoomScale="87" zoomScaleNormal="110" zoomScalePageLayoutView="40" workbookViewId="0">
      <selection activeCell="F28" sqref="F28"/>
    </sheetView>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1.42578125" customWidth="1"/>
    <col min="17" max="17" width="8.85546875" customWidth="1"/>
    <col min="18" max="18" width="9.140625" bestFit="1" customWidth="1"/>
    <col min="19" max="19" width="8.85546875" customWidth="1"/>
    <col min="20" max="21" width="10.42578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v>44910</v>
      </c>
    </row>
    <row r="4" spans="1:38" ht="15.75">
      <c r="A4" s="9"/>
      <c r="B4" s="11" t="s">
        <v>7</v>
      </c>
      <c r="C4" s="26"/>
      <c r="D4" s="24"/>
      <c r="E4" s="58" t="s">
        <v>91</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70" t="s">
        <v>27</v>
      </c>
      <c r="G9" s="170"/>
      <c r="H9" s="170"/>
      <c r="I9" s="170"/>
      <c r="J9" s="170"/>
      <c r="K9" s="170"/>
      <c r="L9" s="171"/>
      <c r="M9" s="169" t="s">
        <v>92</v>
      </c>
      <c r="N9" s="170"/>
      <c r="O9" s="170"/>
      <c r="P9" s="170"/>
      <c r="Q9" s="170"/>
      <c r="R9" s="170"/>
      <c r="S9" s="171"/>
      <c r="T9" s="169" t="s">
        <v>57</v>
      </c>
      <c r="U9" s="170"/>
      <c r="V9" s="172"/>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73">
        <v>40</v>
      </c>
      <c r="G13" s="71">
        <v>21</v>
      </c>
      <c r="H13" s="71">
        <v>0</v>
      </c>
      <c r="I13" s="71">
        <v>51</v>
      </c>
      <c r="J13" s="64">
        <f t="shared" ref="J13:J31" si="0">IFERROR(F13/G13-1,"n/a")</f>
        <v>0.90476190476190466</v>
      </c>
      <c r="K13" s="64" t="str">
        <f>IFERROR(F13/H13-1,"n/a")</f>
        <v>n/a</v>
      </c>
      <c r="L13" s="60">
        <f>IFERROR(F13/I13-1,"n/a")</f>
        <v>-0.21568627450980393</v>
      </c>
      <c r="M13" s="68">
        <f>F13+'Oct-22'!M13</f>
        <v>273</v>
      </c>
      <c r="N13" s="68">
        <f>G13+'Oct-22'!N13</f>
        <v>41</v>
      </c>
      <c r="O13" s="68">
        <f>H13+'Oct-22'!O13</f>
        <v>145</v>
      </c>
      <c r="P13" s="68">
        <f>I13+'Oct-22'!P13</f>
        <v>317</v>
      </c>
      <c r="Q13" s="64">
        <f>IFERROR(M13/N13-1,"n/a")</f>
        <v>5.6585365853658534</v>
      </c>
      <c r="R13" s="64">
        <f>IFERROR(M13/O13-1,"n/a")</f>
        <v>0.88275862068965516</v>
      </c>
      <c r="S13" s="60">
        <f>IFERROR(M13/P13-1,"n/a")</f>
        <v>-0.13880126182965302</v>
      </c>
      <c r="T13" s="68">
        <v>111</v>
      </c>
      <c r="U13" s="70">
        <v>145</v>
      </c>
      <c r="V13" s="78">
        <v>386</v>
      </c>
    </row>
    <row r="14" spans="1:38" ht="15">
      <c r="A14" s="9"/>
      <c r="B14" s="12"/>
      <c r="C14" s="33"/>
      <c r="D14" s="26" t="s">
        <v>11</v>
      </c>
      <c r="E14" s="32"/>
      <c r="F14" s="73">
        <v>64272</v>
      </c>
      <c r="G14" s="71">
        <v>23175</v>
      </c>
      <c r="H14" s="71">
        <v>0</v>
      </c>
      <c r="I14" s="71">
        <v>89764</v>
      </c>
      <c r="J14" s="64">
        <f t="shared" si="0"/>
        <v>1.7733333333333334</v>
      </c>
      <c r="K14" s="64" t="str">
        <f>IFERROR(F14/H14-1,"n/a")</f>
        <v>n/a</v>
      </c>
      <c r="L14" s="60">
        <f>IFERROR(F14/I14-1,"n/a")</f>
        <v>-0.28398912704424939</v>
      </c>
      <c r="M14" s="68">
        <f>F14+'Oct-22'!M14</f>
        <v>270964</v>
      </c>
      <c r="N14" s="68">
        <f>G14+'Oct-22'!N14</f>
        <v>28096</v>
      </c>
      <c r="O14" s="68">
        <f>H14+'Oct-22'!O14</f>
        <v>258885</v>
      </c>
      <c r="P14" s="68">
        <f>I14+'Oct-22'!P14</f>
        <v>613093</v>
      </c>
      <c r="Q14" s="64">
        <f>IFERROR(M14/N14-1,"n/a")</f>
        <v>8.6442198177676541</v>
      </c>
      <c r="R14" s="64">
        <f>IFERROR(M14/O14-1,"n/a")</f>
        <v>4.6657782413040527E-2</v>
      </c>
      <c r="S14" s="60">
        <f>IFERROR(M14/P14-1,"n/a")</f>
        <v>-0.55803768759388861</v>
      </c>
      <c r="T14" s="68">
        <v>80863</v>
      </c>
      <c r="U14" s="70">
        <v>258885</v>
      </c>
      <c r="V14" s="78">
        <v>733296</v>
      </c>
    </row>
    <row r="15" spans="1:38" ht="15">
      <c r="A15" s="9"/>
      <c r="B15" s="12"/>
      <c r="C15" s="31" t="s">
        <v>74</v>
      </c>
      <c r="D15" s="26"/>
      <c r="E15" s="32"/>
      <c r="F15" s="26"/>
      <c r="G15" s="26"/>
      <c r="H15" s="26"/>
      <c r="I15" s="26"/>
      <c r="J15" s="64"/>
      <c r="K15" s="64"/>
      <c r="L15" s="61"/>
      <c r="M15" s="87"/>
      <c r="N15" s="87"/>
      <c r="O15" s="87"/>
      <c r="P15" s="87"/>
      <c r="Q15" s="64"/>
      <c r="R15" s="65"/>
      <c r="S15" s="61"/>
      <c r="T15" s="43"/>
      <c r="U15" s="44"/>
      <c r="V15" s="79"/>
    </row>
    <row r="16" spans="1:38" ht="15">
      <c r="A16" s="9"/>
      <c r="B16" s="12"/>
      <c r="C16" s="33"/>
      <c r="D16" s="26" t="s">
        <v>5</v>
      </c>
      <c r="E16" s="32"/>
      <c r="F16" s="74">
        <v>91</v>
      </c>
      <c r="G16" s="71">
        <v>67</v>
      </c>
      <c r="H16" s="71">
        <v>0</v>
      </c>
      <c r="I16" s="71">
        <v>95</v>
      </c>
      <c r="J16" s="64">
        <f t="shared" si="0"/>
        <v>0.35820895522388052</v>
      </c>
      <c r="K16" s="64" t="str">
        <f>IFERROR(F16/H16-1,"n/a")</f>
        <v>n/a</v>
      </c>
      <c r="L16" s="60">
        <f>IFERROR(F16/I16-1,"n/a")</f>
        <v>-4.2105263157894757E-2</v>
      </c>
      <c r="M16" s="68">
        <f>F16+'Oct-22'!M16</f>
        <v>747</v>
      </c>
      <c r="N16" s="68">
        <f>G16+'Oct-22'!N16</f>
        <v>258</v>
      </c>
      <c r="O16" s="68">
        <f>H16+'Oct-22'!O16</f>
        <v>43</v>
      </c>
      <c r="P16" s="68">
        <f>I16+'Oct-22'!P16</f>
        <v>807</v>
      </c>
      <c r="Q16" s="64">
        <f>IFERROR(M16/N16-1,"n/a")</f>
        <v>1.8953488372093021</v>
      </c>
      <c r="R16" s="64">
        <f>IFERROR(M16/O16-1,"n/a")</f>
        <v>16.372093023255815</v>
      </c>
      <c r="S16" s="60">
        <f>IFERROR(M16/P16-1,"n/a")</f>
        <v>-7.4349442379182173E-2</v>
      </c>
      <c r="T16" s="68">
        <v>283</v>
      </c>
      <c r="U16" s="70">
        <v>43</v>
      </c>
      <c r="V16" s="78">
        <v>827</v>
      </c>
    </row>
    <row r="17" spans="1:46" ht="15">
      <c r="A17" s="9"/>
      <c r="B17" s="12"/>
      <c r="C17" s="33"/>
      <c r="D17" s="26" t="s">
        <v>11</v>
      </c>
      <c r="E17" s="32"/>
      <c r="F17" s="74">
        <v>175248</v>
      </c>
      <c r="G17" s="71">
        <v>83507</v>
      </c>
      <c r="H17" s="71">
        <v>0</v>
      </c>
      <c r="I17" s="71">
        <v>263747</v>
      </c>
      <c r="J17" s="64">
        <f t="shared" si="0"/>
        <v>1.0986025123642329</v>
      </c>
      <c r="K17" s="64" t="str">
        <f>IFERROR(F17/H17-1,"n/a")</f>
        <v>n/a</v>
      </c>
      <c r="L17" s="60">
        <f>IFERROR(F17/I17-1,"n/a")</f>
        <v>-0.33554504885363623</v>
      </c>
      <c r="M17" s="68">
        <f>F17+'Oct-22'!M17</f>
        <v>1755234</v>
      </c>
      <c r="N17" s="68">
        <f>G17+'Oct-22'!N17</f>
        <v>425895</v>
      </c>
      <c r="O17" s="68">
        <f>H17+'Oct-22'!O17</f>
        <v>140552</v>
      </c>
      <c r="P17" s="68">
        <f>I17+'Oct-22'!P17</f>
        <v>2493999</v>
      </c>
      <c r="Q17" s="64">
        <f>IFERROR(M17/N17-1,"n/a")</f>
        <v>3.1212834149262143</v>
      </c>
      <c r="R17" s="64">
        <f>IFERROR(M17/O17-1,"n/a")</f>
        <v>11.488146735727701</v>
      </c>
      <c r="S17" s="60">
        <f>IFERROR(M17/P17-1,"n/a")</f>
        <v>-0.29621703938133093</v>
      </c>
      <c r="T17" s="68">
        <v>465109</v>
      </c>
      <c r="U17" s="70">
        <v>140552</v>
      </c>
      <c r="V17" s="78">
        <v>2552942</v>
      </c>
    </row>
    <row r="18" spans="1:46" ht="15">
      <c r="A18" s="9"/>
      <c r="B18" s="12"/>
      <c r="C18" s="31" t="s">
        <v>15</v>
      </c>
      <c r="D18" s="26"/>
      <c r="E18" s="32"/>
      <c r="F18" s="72"/>
      <c r="G18" s="72"/>
      <c r="H18" s="72"/>
      <c r="I18" s="72"/>
      <c r="J18" s="64"/>
      <c r="K18" s="64"/>
      <c r="L18" s="60"/>
      <c r="M18" s="87"/>
      <c r="N18" s="87"/>
      <c r="O18" s="87"/>
      <c r="P18" s="87"/>
      <c r="Q18" s="64"/>
      <c r="R18" s="64"/>
      <c r="S18" s="60"/>
      <c r="T18" s="43"/>
      <c r="U18" s="44"/>
      <c r="V18" s="79"/>
    </row>
    <row r="19" spans="1:46" ht="15">
      <c r="A19" s="9"/>
      <c r="B19" s="12"/>
      <c r="C19" s="33"/>
      <c r="D19" s="26" t="s">
        <v>5</v>
      </c>
      <c r="E19" s="32"/>
      <c r="F19" s="74">
        <v>32</v>
      </c>
      <c r="G19" s="71">
        <v>9</v>
      </c>
      <c r="H19" s="71">
        <v>0</v>
      </c>
      <c r="I19" s="71">
        <v>10</v>
      </c>
      <c r="J19" s="64">
        <f t="shared" si="0"/>
        <v>2.5555555555555554</v>
      </c>
      <c r="K19" s="64" t="str">
        <f>IFERROR(F19/H19-1,"n/a")</f>
        <v>n/a</v>
      </c>
      <c r="L19" s="60">
        <f>IFERROR(F19/I19-1,"n/a")</f>
        <v>2.2000000000000002</v>
      </c>
      <c r="M19" s="68">
        <f>F19+'Oct-22'!M19</f>
        <v>466</v>
      </c>
      <c r="N19" s="68">
        <f>G19+'Oct-22'!N19</f>
        <v>20</v>
      </c>
      <c r="O19" s="68">
        <f>H19+'Oct-22'!O19</f>
        <v>4</v>
      </c>
      <c r="P19" s="68">
        <f>I19+'Oct-22'!P19</f>
        <v>182</v>
      </c>
      <c r="Q19" s="64">
        <f>IFERROR(M19/N19-1,"n/a")</f>
        <v>22.3</v>
      </c>
      <c r="R19" s="64">
        <f>IFERROR(M19/O19-1,"n/a")</f>
        <v>115.5</v>
      </c>
      <c r="S19" s="60">
        <f>IFERROR(M19/P19-1,"n/a")</f>
        <v>1.5604395604395602</v>
      </c>
      <c r="T19" s="68">
        <v>23</v>
      </c>
      <c r="U19" s="70">
        <v>4</v>
      </c>
      <c r="V19" s="78">
        <v>191</v>
      </c>
    </row>
    <row r="20" spans="1:46" ht="15">
      <c r="A20" s="9"/>
      <c r="B20" s="12"/>
      <c r="C20" s="33"/>
      <c r="D20" s="26" t="s">
        <v>11</v>
      </c>
      <c r="E20" s="32"/>
      <c r="F20" s="74">
        <f>31191+116</f>
        <v>31307</v>
      </c>
      <c r="G20" s="71">
        <v>4212</v>
      </c>
      <c r="H20" s="71">
        <v>0</v>
      </c>
      <c r="I20" s="71">
        <v>13055</v>
      </c>
      <c r="J20" s="64">
        <f t="shared" si="0"/>
        <v>6.4328110161443499</v>
      </c>
      <c r="K20" s="64" t="str">
        <f>IFERROR(F20/H20-1,"n/a")</f>
        <v>n/a</v>
      </c>
      <c r="L20" s="60">
        <f t="shared" ref="L20:L31" si="1">IFERROR(F20/I20-1,"n/a")</f>
        <v>1.3980850248946766</v>
      </c>
      <c r="M20" s="68">
        <f>F20+'Oct-22'!M20</f>
        <v>555827</v>
      </c>
      <c r="N20" s="68">
        <f>G20+'Oct-22'!N20</f>
        <v>7747</v>
      </c>
      <c r="O20" s="68">
        <f>H20+'Oct-22'!O20</f>
        <v>1753</v>
      </c>
      <c r="P20" s="68">
        <f>I20+'Oct-22'!P20</f>
        <v>244596</v>
      </c>
      <c r="Q20" s="64">
        <f>IFERROR(M20/N20-1,"n/a")</f>
        <v>70.74738608493611</v>
      </c>
      <c r="R20" s="64">
        <f>IFERROR(M20/O20-1,"n/a")</f>
        <v>316.07187678265831</v>
      </c>
      <c r="S20" s="60">
        <f>IFERROR(M20/P20-1,"n/a")</f>
        <v>1.2724288214034569</v>
      </c>
      <c r="T20" s="68">
        <v>8611</v>
      </c>
      <c r="U20" s="70">
        <v>1753</v>
      </c>
      <c r="V20" s="78">
        <v>254421</v>
      </c>
    </row>
    <row r="21" spans="1:46" ht="15">
      <c r="A21" s="9"/>
      <c r="B21" s="12"/>
      <c r="C21" s="31" t="s">
        <v>10</v>
      </c>
      <c r="D21" s="26"/>
      <c r="E21" s="34"/>
      <c r="F21" s="72"/>
      <c r="G21" s="72"/>
      <c r="H21" s="72"/>
      <c r="I21" s="72"/>
      <c r="J21" s="64"/>
      <c r="K21" s="64"/>
      <c r="L21" s="60"/>
      <c r="M21" s="87"/>
      <c r="N21" s="87"/>
      <c r="O21" s="87"/>
      <c r="P21" s="87"/>
      <c r="Q21" s="64"/>
      <c r="R21" s="64"/>
      <c r="S21" s="60"/>
      <c r="T21" s="43"/>
      <c r="U21" s="44"/>
      <c r="V21" s="79"/>
    </row>
    <row r="22" spans="1:46" ht="15">
      <c r="A22" s="9"/>
      <c r="B22" s="12"/>
      <c r="C22" s="33"/>
      <c r="D22" s="26" t="s">
        <v>5</v>
      </c>
      <c r="E22" s="34"/>
      <c r="F22" s="74">
        <v>104</v>
      </c>
      <c r="G22" s="71">
        <v>94</v>
      </c>
      <c r="H22" s="71">
        <v>0</v>
      </c>
      <c r="I22" s="71">
        <v>121</v>
      </c>
      <c r="J22" s="64">
        <f t="shared" si="0"/>
        <v>0.1063829787234043</v>
      </c>
      <c r="K22" s="64" t="str">
        <f>IFERROR(F22/H22-1,"n/a")</f>
        <v>n/a</v>
      </c>
      <c r="L22" s="60">
        <f t="shared" si="1"/>
        <v>-0.14049586776859502</v>
      </c>
      <c r="M22" s="68">
        <f>F22+'Oct-22'!M22</f>
        <v>1022</v>
      </c>
      <c r="N22" s="68">
        <f>G22+'Oct-22'!N22</f>
        <v>309</v>
      </c>
      <c r="O22" s="68">
        <f>H22+'Oct-22'!O22</f>
        <v>406</v>
      </c>
      <c r="P22" s="68">
        <f>I22+'Oct-22'!P22</f>
        <v>1074</v>
      </c>
      <c r="Q22" s="64">
        <f>IFERROR(M22/N22-1,"n/a")</f>
        <v>2.3074433656957929</v>
      </c>
      <c r="R22" s="64">
        <f>IFERROR(M22/O22-1,"n/a")</f>
        <v>1.5172413793103448</v>
      </c>
      <c r="S22" s="60">
        <f>IFERROR(M22/P22-1,"n/a")</f>
        <v>-4.8417132216014847E-2</v>
      </c>
      <c r="T22" s="68">
        <v>411</v>
      </c>
      <c r="U22" s="70">
        <v>406</v>
      </c>
      <c r="V22" s="78">
        <v>1205</v>
      </c>
    </row>
    <row r="23" spans="1:46" ht="15">
      <c r="A23" s="9"/>
      <c r="B23" s="12"/>
      <c r="C23" s="33"/>
      <c r="D23" s="26" t="s">
        <v>11</v>
      </c>
      <c r="E23" s="32"/>
      <c r="F23" s="74">
        <v>345933</v>
      </c>
      <c r="G23" s="71">
        <v>162789</v>
      </c>
      <c r="H23" s="71">
        <v>0</v>
      </c>
      <c r="I23" s="71">
        <v>331420</v>
      </c>
      <c r="J23" s="64">
        <f t="shared" si="0"/>
        <v>1.1250391611226802</v>
      </c>
      <c r="K23" s="64" t="str">
        <f>IFERROR(F23/H23-1,"n/a")</f>
        <v>n/a</v>
      </c>
      <c r="L23" s="60">
        <f t="shared" si="1"/>
        <v>4.3790356647154693E-2</v>
      </c>
      <c r="M23" s="68">
        <f>F23+'Oct-22'!M23</f>
        <v>2803130</v>
      </c>
      <c r="N23" s="68">
        <f>G23+'Oct-22'!N23</f>
        <v>486999</v>
      </c>
      <c r="O23" s="68">
        <f>H23+'Oct-22'!O23</f>
        <v>833999</v>
      </c>
      <c r="P23" s="68">
        <f>I23+'Oct-22'!P23</f>
        <v>3472775</v>
      </c>
      <c r="Q23" s="64">
        <f>IFERROR(M23/N23-1,"n/a")</f>
        <v>4.7559255768492337</v>
      </c>
      <c r="R23" s="64">
        <f>IFERROR(M23/O23-1,"n/a")</f>
        <v>2.3610711763443359</v>
      </c>
      <c r="S23" s="60">
        <f>IFERROR(M23/P23-1,"n/a")</f>
        <v>-0.19282706193174048</v>
      </c>
      <c r="T23" s="68">
        <v>687449</v>
      </c>
      <c r="U23" s="70">
        <v>833999</v>
      </c>
      <c r="V23" s="78">
        <v>3859183</v>
      </c>
    </row>
    <row r="24" spans="1:46" ht="15">
      <c r="A24" s="9"/>
      <c r="B24" s="12"/>
      <c r="C24" s="31" t="s">
        <v>16</v>
      </c>
      <c r="D24" s="26"/>
      <c r="E24" s="32"/>
      <c r="F24" s="72"/>
      <c r="G24" s="72"/>
      <c r="H24" s="72"/>
      <c r="I24" s="72"/>
      <c r="J24" s="64"/>
      <c r="K24" s="64"/>
      <c r="L24" s="60"/>
      <c r="M24" s="87"/>
      <c r="N24" s="87"/>
      <c r="O24" s="87"/>
      <c r="P24" s="87"/>
      <c r="Q24" s="64"/>
      <c r="R24" s="64"/>
      <c r="S24" s="60"/>
      <c r="T24" s="43"/>
      <c r="U24" s="44"/>
      <c r="V24" s="79"/>
    </row>
    <row r="25" spans="1:46" ht="15">
      <c r="A25" s="9"/>
      <c r="B25" s="12"/>
      <c r="C25" s="33"/>
      <c r="D25" s="26" t="s">
        <v>5</v>
      </c>
      <c r="E25" s="32"/>
      <c r="F25" s="74">
        <v>11</v>
      </c>
      <c r="G25" s="71">
        <v>13</v>
      </c>
      <c r="H25" s="71">
        <v>5</v>
      </c>
      <c r="I25" s="71">
        <v>20</v>
      </c>
      <c r="J25" s="64">
        <f t="shared" si="0"/>
        <v>-0.15384615384615385</v>
      </c>
      <c r="K25" s="64">
        <f>IFERROR(F25/H25-1,"n/a")</f>
        <v>1.2000000000000002</v>
      </c>
      <c r="L25" s="60">
        <f t="shared" si="1"/>
        <v>-0.44999999999999996</v>
      </c>
      <c r="M25" s="68">
        <f>F25+'Oct-22'!M25</f>
        <v>278</v>
      </c>
      <c r="N25" s="68">
        <f>G25+'Oct-22'!N25</f>
        <v>100</v>
      </c>
      <c r="O25" s="68">
        <f>H25+'Oct-22'!O25</f>
        <v>29</v>
      </c>
      <c r="P25" s="68">
        <f>I25+'Oct-22'!P25</f>
        <v>328</v>
      </c>
      <c r="Q25" s="64">
        <f>IFERROR(M25/N25-1,"n/a")</f>
        <v>1.7799999999999998</v>
      </c>
      <c r="R25" s="64">
        <f>IFERROR(M25/O25-1,"n/a")</f>
        <v>8.5862068965517242</v>
      </c>
      <c r="S25" s="60">
        <f>IFERROR(M25/P25-1,"n/a")</f>
        <v>-0.15243902439024393</v>
      </c>
      <c r="T25" s="68">
        <v>107</v>
      </c>
      <c r="U25" s="70">
        <v>32</v>
      </c>
      <c r="V25" s="78">
        <v>372</v>
      </c>
    </row>
    <row r="26" spans="1:46" ht="15">
      <c r="A26" s="9"/>
      <c r="B26" s="12"/>
      <c r="C26" s="33"/>
      <c r="D26" s="26" t="s">
        <v>11</v>
      </c>
      <c r="E26" s="32"/>
      <c r="F26" s="74">
        <v>26816</v>
      </c>
      <c r="G26" s="71">
        <v>16166</v>
      </c>
      <c r="H26" s="71">
        <v>2473</v>
      </c>
      <c r="I26" s="71">
        <v>30720</v>
      </c>
      <c r="J26" s="64">
        <f t="shared" si="0"/>
        <v>0.65879005319806994</v>
      </c>
      <c r="K26" s="64">
        <f>IFERROR(F26/H26-1,"n/a")</f>
        <v>9.8435099069955516</v>
      </c>
      <c r="L26" s="60">
        <f t="shared" si="1"/>
        <v>-0.12708333333333333</v>
      </c>
      <c r="M26" s="68">
        <f>F26+'Oct-22'!M26</f>
        <v>510153</v>
      </c>
      <c r="N26" s="68">
        <f>G26+'Oct-22'!N26</f>
        <v>133384</v>
      </c>
      <c r="O26" s="68">
        <f>H26+'Oct-22'!O26</f>
        <v>58135</v>
      </c>
      <c r="P26" s="68">
        <f>I26+'Oct-22'!P26</f>
        <v>849404</v>
      </c>
      <c r="Q26" s="64">
        <f>IFERROR(M26/N26-1,"n/a")</f>
        <v>2.8246941162358303</v>
      </c>
      <c r="R26" s="64">
        <f>IFERROR(M26/O26-1,"n/a")</f>
        <v>7.7753160746538228</v>
      </c>
      <c r="S26" s="60">
        <f>IFERROR(M26/P26-1,"n/a")</f>
        <v>-0.39939887262127327</v>
      </c>
      <c r="T26" s="68">
        <v>147132</v>
      </c>
      <c r="U26" s="70">
        <v>59180</v>
      </c>
      <c r="V26" s="78">
        <v>902015</v>
      </c>
    </row>
    <row r="27" spans="1:46" ht="15">
      <c r="A27" s="9"/>
      <c r="B27" s="12"/>
      <c r="C27" s="31" t="s">
        <v>17</v>
      </c>
      <c r="D27" s="26"/>
      <c r="E27" s="32"/>
      <c r="F27" s="72"/>
      <c r="G27" s="72"/>
      <c r="H27" s="72"/>
      <c r="I27" s="72"/>
      <c r="J27" s="64"/>
      <c r="K27" s="64"/>
      <c r="L27" s="60"/>
      <c r="M27" s="87"/>
      <c r="N27" s="87"/>
      <c r="O27" s="87"/>
      <c r="P27" s="87"/>
      <c r="Q27" s="64"/>
      <c r="R27" s="64"/>
      <c r="S27" s="60"/>
      <c r="T27" s="43"/>
      <c r="U27" s="44"/>
      <c r="V27" s="79"/>
    </row>
    <row r="28" spans="1:46" ht="15">
      <c r="B28" s="12"/>
      <c r="C28" s="33"/>
      <c r="D28" s="26" t="s">
        <v>5</v>
      </c>
      <c r="E28" s="32"/>
      <c r="F28" s="74">
        <f>24+38</f>
        <v>62</v>
      </c>
      <c r="G28" s="71">
        <v>20</v>
      </c>
      <c r="H28" s="71">
        <v>8</v>
      </c>
      <c r="I28" s="71">
        <v>17</v>
      </c>
      <c r="J28" s="64">
        <f t="shared" si="0"/>
        <v>2.1</v>
      </c>
      <c r="K28" s="64">
        <f>IFERROR(F28/H28-1,"n/a")</f>
        <v>6.75</v>
      </c>
      <c r="L28" s="60">
        <f t="shared" si="1"/>
        <v>2.6470588235294117</v>
      </c>
      <c r="M28" s="68">
        <f>F28+'Oct-22'!M28</f>
        <v>568</v>
      </c>
      <c r="N28" s="68">
        <f>G28+'Oct-22'!N28</f>
        <v>127</v>
      </c>
      <c r="O28" s="68">
        <f>H28+'Oct-22'!O28</f>
        <v>32</v>
      </c>
      <c r="P28" s="68">
        <f>I28+'Oct-22'!P28</f>
        <v>345</v>
      </c>
      <c r="Q28" s="64">
        <f>IFERROR(M28/N28-1,"n/a")</f>
        <v>3.4724409448818898</v>
      </c>
      <c r="R28" s="64">
        <f>IFERROR(M28/O28-1,"n/a")</f>
        <v>16.75</v>
      </c>
      <c r="S28" s="60">
        <f>IFERROR(M28/P28-1,"n/a")</f>
        <v>0.64637681159420279</v>
      </c>
      <c r="T28" s="68">
        <v>127</v>
      </c>
      <c r="U28" s="70">
        <v>37</v>
      </c>
      <c r="V28" s="78">
        <f>282+81</f>
        <v>363</v>
      </c>
    </row>
    <row r="29" spans="1:46" ht="15">
      <c r="A29" s="9"/>
      <c r="B29" s="12"/>
      <c r="C29" s="33"/>
      <c r="D29" s="26" t="s">
        <v>11</v>
      </c>
      <c r="E29" s="32"/>
      <c r="F29" s="74">
        <f>35743+775+99553</f>
        <v>136071</v>
      </c>
      <c r="G29" s="71">
        <v>14810</v>
      </c>
      <c r="H29" s="71">
        <v>2381</v>
      </c>
      <c r="I29" s="71">
        <v>16811</v>
      </c>
      <c r="J29" s="64">
        <f t="shared" si="0"/>
        <v>8.1877785280216067</v>
      </c>
      <c r="K29" s="64">
        <f>IFERROR(F29/H29-1,"n/a")</f>
        <v>56.148677026459474</v>
      </c>
      <c r="L29" s="60">
        <f t="shared" si="1"/>
        <v>7.0941645351258114</v>
      </c>
      <c r="M29" s="68">
        <f>F29+'Oct-22'!M29</f>
        <v>968429</v>
      </c>
      <c r="N29" s="68">
        <f>G29+'Oct-22'!N29</f>
        <v>165083</v>
      </c>
      <c r="O29" s="68">
        <f>H29+'Oct-22'!O29</f>
        <v>18693</v>
      </c>
      <c r="P29" s="68">
        <f>I29+'Oct-22'!P29</f>
        <v>856498</v>
      </c>
      <c r="Q29" s="64">
        <f>IFERROR(M29/N29-1,"n/a")</f>
        <v>4.8663157320862842</v>
      </c>
      <c r="R29" s="64">
        <f>IFERROR(M29/O29-1,"n/a")</f>
        <v>50.807040068474834</v>
      </c>
      <c r="S29" s="60">
        <f>IFERROR(M29/P29-1,"n/a")</f>
        <v>0.13068448496085217</v>
      </c>
      <c r="T29" s="68">
        <v>165083</v>
      </c>
      <c r="U29" s="70">
        <f>20768+8294</f>
        <v>29062</v>
      </c>
      <c r="V29" s="78">
        <f>659951+168729+38484</f>
        <v>867164</v>
      </c>
    </row>
    <row r="30" spans="1:46" ht="15" customHeight="1" thickBot="1">
      <c r="A30" s="9"/>
      <c r="B30" s="12"/>
      <c r="C30" s="35" t="s">
        <v>12</v>
      </c>
      <c r="D30" s="36"/>
      <c r="E30" s="37"/>
      <c r="F30" s="75">
        <f t="shared" ref="F30:I31" si="2">F13+F16+F19+F22+F25+F28</f>
        <v>340</v>
      </c>
      <c r="G30" s="75">
        <f>G13+G16+G19+G22+G25+G28</f>
        <v>224</v>
      </c>
      <c r="H30" s="75">
        <f t="shared" si="2"/>
        <v>13</v>
      </c>
      <c r="I30" s="75">
        <f t="shared" si="2"/>
        <v>314</v>
      </c>
      <c r="J30" s="66">
        <f t="shared" si="0"/>
        <v>0.51785714285714279</v>
      </c>
      <c r="K30" s="66">
        <f>IFERROR(F30/H30-1,"n/a")</f>
        <v>25.153846153846153</v>
      </c>
      <c r="L30" s="62">
        <f t="shared" si="1"/>
        <v>8.2802547770700619E-2</v>
      </c>
      <c r="M30" s="46">
        <f t="shared" ref="M30:P31" si="3">M13+M16+M19+M22+M25+M28</f>
        <v>3354</v>
      </c>
      <c r="N30" s="46">
        <f t="shared" si="3"/>
        <v>855</v>
      </c>
      <c r="O30" s="46">
        <f t="shared" si="3"/>
        <v>659</v>
      </c>
      <c r="P30" s="46">
        <f t="shared" si="3"/>
        <v>3053</v>
      </c>
      <c r="Q30" s="66">
        <f>IFERROR(M30/N30-1,"n/a")</f>
        <v>2.9228070175438599</v>
      </c>
      <c r="R30" s="66">
        <f>IFERROR(M30/O30-1,"n/a")</f>
        <v>4.0895295902883158</v>
      </c>
      <c r="S30" s="62">
        <f>IFERROR(M30/P30-1,"n/a")</f>
        <v>9.8591549295774739E-2</v>
      </c>
      <c r="T30" s="46">
        <f t="shared" ref="T30:V31" si="4">T13+T16+T19+T22+T25+T28</f>
        <v>1062</v>
      </c>
      <c r="U30" s="46">
        <f t="shared" si="4"/>
        <v>667</v>
      </c>
      <c r="V30" s="80">
        <f t="shared" si="4"/>
        <v>3344</v>
      </c>
    </row>
    <row r="31" spans="1:46" s="22" customFormat="1" ht="15" customHeight="1" thickTop="1" thickBot="1">
      <c r="A31" s="9"/>
      <c r="B31" s="12"/>
      <c r="C31" s="38" t="s">
        <v>13</v>
      </c>
      <c r="D31" s="39"/>
      <c r="E31" s="40"/>
      <c r="F31" s="76">
        <f t="shared" si="2"/>
        <v>779647</v>
      </c>
      <c r="G31" s="76">
        <f t="shared" si="2"/>
        <v>304659</v>
      </c>
      <c r="H31" s="76">
        <f t="shared" si="2"/>
        <v>4854</v>
      </c>
      <c r="I31" s="76">
        <f t="shared" si="2"/>
        <v>745517</v>
      </c>
      <c r="J31" s="67">
        <f t="shared" si="0"/>
        <v>1.5590808083792043</v>
      </c>
      <c r="K31" s="67">
        <f>IFERROR(F31/H31-1,"n/a")</f>
        <v>159.61948908117017</v>
      </c>
      <c r="L31" s="63">
        <f t="shared" si="1"/>
        <v>4.5780310844689032E-2</v>
      </c>
      <c r="M31" s="47">
        <f t="shared" si="3"/>
        <v>6863737</v>
      </c>
      <c r="N31" s="47">
        <f t="shared" si="3"/>
        <v>1247204</v>
      </c>
      <c r="O31" s="47">
        <f t="shared" si="3"/>
        <v>1312017</v>
      </c>
      <c r="P31" s="47">
        <f t="shared" si="3"/>
        <v>8530365</v>
      </c>
      <c r="Q31" s="67">
        <f>IFERROR(M31/N31-1,"n/a")</f>
        <v>4.5032993800533037</v>
      </c>
      <c r="R31" s="67">
        <f>IFERROR(M31/O31-1,"n/a")</f>
        <v>4.231439074341262</v>
      </c>
      <c r="S31" s="63">
        <f>IFERROR(M31/P31-1,"n/a")</f>
        <v>-0.19537593057272462</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46" s="9" customFormat="1" ht="15" customHeight="1" thickTop="1">
      <c r="F32" s="41"/>
      <c r="G32" s="41"/>
      <c r="H32" s="41"/>
      <c r="I32" s="41"/>
      <c r="J32" s="41"/>
      <c r="K32" s="41"/>
      <c r="AM32"/>
      <c r="AN32"/>
      <c r="AO32"/>
      <c r="AP32"/>
      <c r="AQ32"/>
      <c r="AR32"/>
      <c r="AS32"/>
      <c r="AT32"/>
    </row>
    <row r="33" spans="2:46" s="9" customFormat="1" ht="23.25" customHeight="1">
      <c r="F33" s="41"/>
      <c r="G33" s="41"/>
      <c r="H33" s="41"/>
      <c r="I33" s="41"/>
      <c r="J33" s="41"/>
      <c r="K33" s="41"/>
      <c r="AM33"/>
      <c r="AN33"/>
      <c r="AO33"/>
      <c r="AP33"/>
      <c r="AQ33"/>
      <c r="AR33"/>
      <c r="AS33"/>
      <c r="AT33"/>
    </row>
    <row r="34" spans="2:46" s="9" customFormat="1" ht="15">
      <c r="B34" s="10"/>
      <c r="C34" s="86" t="s">
        <v>63</v>
      </c>
      <c r="D34" s="24"/>
      <c r="E34" s="24"/>
      <c r="F34" s="24"/>
      <c r="G34" s="24"/>
      <c r="H34" s="24"/>
      <c r="I34" s="95"/>
      <c r="J34" s="95"/>
      <c r="K34" s="95"/>
      <c r="L34" s="24"/>
      <c r="M34" s="24"/>
      <c r="N34" s="24"/>
      <c r="O34" s="24"/>
      <c r="P34" s="24"/>
      <c r="Q34" s="24"/>
      <c r="R34" s="24"/>
      <c r="S34" s="24"/>
      <c r="T34" s="24"/>
      <c r="U34" s="24"/>
      <c r="V34" s="24"/>
      <c r="AM34"/>
      <c r="AN34"/>
      <c r="AO34"/>
      <c r="AP34"/>
      <c r="AQ34"/>
      <c r="AR34"/>
      <c r="AS34"/>
      <c r="AT34"/>
    </row>
    <row r="35" spans="2:46" s="9" customFormat="1" ht="15">
      <c r="B35" s="10"/>
      <c r="C35" s="24"/>
      <c r="D35" s="24"/>
      <c r="E35" s="24"/>
      <c r="F35" s="24"/>
      <c r="G35" s="24"/>
      <c r="H35" s="24"/>
      <c r="I35" s="95"/>
      <c r="J35" s="95"/>
      <c r="K35" s="95"/>
      <c r="L35" s="24"/>
      <c r="M35" s="24"/>
      <c r="N35" s="24"/>
      <c r="O35" s="24"/>
      <c r="P35" s="24"/>
      <c r="Q35" s="24"/>
      <c r="R35" s="24"/>
      <c r="S35" s="24"/>
      <c r="T35" s="24"/>
      <c r="U35" s="24"/>
      <c r="V35" s="24"/>
      <c r="AM35"/>
      <c r="AN35"/>
      <c r="AO35"/>
      <c r="AP35"/>
      <c r="AQ35"/>
      <c r="AR35"/>
      <c r="AS35"/>
      <c r="AT35"/>
    </row>
    <row r="36" spans="2:46" s="9" customFormat="1" ht="15" customHeight="1">
      <c r="C36" s="27" t="s">
        <v>7</v>
      </c>
      <c r="D36" s="28"/>
      <c r="E36" s="28"/>
      <c r="F36" s="170" t="str">
        <f>F9</f>
        <v>November</v>
      </c>
      <c r="G36" s="170"/>
      <c r="H36" s="170"/>
      <c r="I36" s="170"/>
      <c r="J36" s="170"/>
      <c r="K36" s="170"/>
      <c r="L36" s="171"/>
      <c r="M36" s="169" t="s">
        <v>93</v>
      </c>
      <c r="N36" s="170"/>
      <c r="O36" s="170"/>
      <c r="P36" s="170"/>
      <c r="Q36" s="170"/>
      <c r="R36" s="170"/>
      <c r="S36" s="171"/>
      <c r="T36" s="169" t="s">
        <v>58</v>
      </c>
      <c r="U36" s="170"/>
      <c r="V36" s="172"/>
      <c r="AM36"/>
      <c r="AN36"/>
      <c r="AO36"/>
      <c r="AP36"/>
      <c r="AQ36"/>
      <c r="AR36"/>
      <c r="AS36"/>
      <c r="AT36"/>
    </row>
    <row r="37" spans="2:46" s="9" customFormat="1" ht="15" customHeight="1">
      <c r="C37" s="29"/>
      <c r="D37" s="30"/>
      <c r="E37" s="30"/>
      <c r="F37" s="29"/>
      <c r="G37" s="30"/>
      <c r="H37" s="30"/>
      <c r="I37" s="30"/>
      <c r="J37" s="30"/>
      <c r="K37" s="30"/>
      <c r="L37" s="56"/>
      <c r="M37" s="30"/>
      <c r="N37" s="30"/>
      <c r="O37" s="30"/>
      <c r="P37" s="30"/>
      <c r="Q37" s="30"/>
      <c r="R37" s="30"/>
      <c r="S37" s="56"/>
      <c r="T37" s="30"/>
      <c r="U37" s="30"/>
      <c r="V37" s="56"/>
      <c r="AM37"/>
      <c r="AN37"/>
      <c r="AO37"/>
      <c r="AP37"/>
      <c r="AQ37"/>
      <c r="AR37"/>
      <c r="AS37"/>
      <c r="AT37"/>
    </row>
    <row r="38" spans="2:46" s="9" customFormat="1" ht="33.7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2:46" s="9" customFormat="1" ht="15" customHeight="1">
      <c r="C39" s="31" t="s">
        <v>14</v>
      </c>
      <c r="D39" s="26"/>
      <c r="E39" s="32"/>
      <c r="F39" s="26"/>
      <c r="G39" s="26"/>
      <c r="H39" s="26"/>
      <c r="I39" s="26"/>
      <c r="J39" s="26"/>
      <c r="K39" s="26"/>
      <c r="L39" s="32"/>
      <c r="M39" s="26"/>
      <c r="N39" s="26"/>
      <c r="O39" s="26"/>
      <c r="Q39" s="26"/>
      <c r="R39" s="26"/>
      <c r="S39" s="32"/>
      <c r="T39" s="33"/>
      <c r="U39" s="88"/>
      <c r="V39" s="85"/>
    </row>
    <row r="40" spans="2:46" s="9" customFormat="1" ht="15" customHeight="1">
      <c r="C40" s="33"/>
      <c r="D40" s="26" t="s">
        <v>5</v>
      </c>
      <c r="E40" s="32"/>
      <c r="F40" s="74">
        <f t="shared" ref="F40:I41" si="5">F13</f>
        <v>40</v>
      </c>
      <c r="G40" s="74">
        <f t="shared" si="5"/>
        <v>21</v>
      </c>
      <c r="H40" s="74">
        <f t="shared" si="5"/>
        <v>0</v>
      </c>
      <c r="I40" s="74">
        <f t="shared" si="5"/>
        <v>51</v>
      </c>
      <c r="J40" s="64">
        <f>IFERROR(F40/G40-1,"n/a")</f>
        <v>0.90476190476190466</v>
      </c>
      <c r="K40" s="64" t="str">
        <f>IFERROR(F40/H40-1,"n/a")</f>
        <v>n/a</v>
      </c>
      <c r="L40" s="60">
        <f>IFERROR(F40/I40-1,"n/a")</f>
        <v>-0.21568627450980393</v>
      </c>
      <c r="M40" s="70">
        <f>+M13-'Mar-22'!M10</f>
        <v>76</v>
      </c>
      <c r="N40" s="70">
        <f>+N13-'Mar-22'!N10</f>
        <v>41</v>
      </c>
      <c r="O40" s="82">
        <f>+O13-'Mar-22'!O10</f>
        <v>0</v>
      </c>
      <c r="P40" s="70">
        <f>+P13-'Mar-22'!P10</f>
        <v>117</v>
      </c>
      <c r="Q40" s="64">
        <f>IFERROR(M40/N40-1,"n/a")</f>
        <v>0.85365853658536595</v>
      </c>
      <c r="R40" s="64" t="str">
        <f>IFERROR(M40/O40-1,"n/a")</f>
        <v>n/a</v>
      </c>
      <c r="S40" s="60">
        <f>IFERROR(M40/P40-1,"n/a")</f>
        <v>-0.3504273504273504</v>
      </c>
      <c r="T40" s="89">
        <v>308</v>
      </c>
      <c r="U40" s="70">
        <v>145</v>
      </c>
      <c r="V40" s="78">
        <v>331</v>
      </c>
    </row>
    <row r="41" spans="2:46" s="9" customFormat="1" ht="15" customHeight="1">
      <c r="C41" s="33"/>
      <c r="D41" s="26" t="s">
        <v>11</v>
      </c>
      <c r="E41" s="32"/>
      <c r="F41" s="74">
        <f t="shared" si="5"/>
        <v>64272</v>
      </c>
      <c r="G41" s="74">
        <f t="shared" si="5"/>
        <v>23175</v>
      </c>
      <c r="H41" s="74">
        <f t="shared" si="5"/>
        <v>0</v>
      </c>
      <c r="I41" s="74">
        <f t="shared" si="5"/>
        <v>89764</v>
      </c>
      <c r="J41" s="64">
        <f>IFERROR(F41/G41-1,"n/a")</f>
        <v>1.7733333333333334</v>
      </c>
      <c r="K41" s="64" t="str">
        <f>IFERROR(F41/H41-1,"n/a")</f>
        <v>n/a</v>
      </c>
      <c r="L41" s="60">
        <f>IFERROR(F41/I41-1,"n/a")</f>
        <v>-0.28398912704424939</v>
      </c>
      <c r="M41" s="82">
        <f>+M14-'Mar-22'!M11</f>
        <v>114636</v>
      </c>
      <c r="N41" s="82">
        <f>+N14-'Mar-22'!N11</f>
        <v>28096</v>
      </c>
      <c r="O41" s="82">
        <f>+O14-'Mar-22'!O11</f>
        <v>0</v>
      </c>
      <c r="P41" s="82">
        <f>+P14-'Mar-22'!P11</f>
        <v>227713</v>
      </c>
      <c r="Q41" s="64">
        <f>IFERROR(M41/N41-1,"n/a")</f>
        <v>3.0801537585421412</v>
      </c>
      <c r="R41" s="64" t="str">
        <f>IFERROR(M41/O41-1,"n/a")</f>
        <v>n/a</v>
      </c>
      <c r="S41" s="60">
        <f>IFERROR(M41/P41-1,"n/a")</f>
        <v>-0.49657683136228503</v>
      </c>
      <c r="T41" s="89">
        <v>237191</v>
      </c>
      <c r="U41" s="84">
        <v>258885</v>
      </c>
      <c r="V41" s="78">
        <v>606801</v>
      </c>
    </row>
    <row r="42" spans="2:46" s="9" customFormat="1" ht="15" customHeight="1">
      <c r="C42" s="31" t="s">
        <v>20</v>
      </c>
      <c r="D42" s="26"/>
      <c r="E42" s="32"/>
      <c r="F42" s="26"/>
      <c r="G42" s="26"/>
      <c r="H42" s="26"/>
      <c r="I42" s="26"/>
      <c r="J42" s="64"/>
      <c r="K42" s="64"/>
      <c r="L42" s="61"/>
      <c r="M42" s="87"/>
      <c r="N42" s="87"/>
      <c r="O42" s="87"/>
      <c r="P42" s="87"/>
      <c r="Q42" s="65"/>
      <c r="R42" s="65"/>
      <c r="S42" s="61"/>
      <c r="T42" s="90"/>
      <c r="U42" s="44"/>
      <c r="V42" s="79"/>
    </row>
    <row r="43" spans="2:46" s="9" customFormat="1" ht="15" customHeight="1">
      <c r="C43" s="33"/>
      <c r="D43" s="26" t="s">
        <v>5</v>
      </c>
      <c r="E43" s="32"/>
      <c r="F43" s="74">
        <f t="shared" ref="F43:I44" si="6">F16</f>
        <v>91</v>
      </c>
      <c r="G43" s="74">
        <f t="shared" si="6"/>
        <v>67</v>
      </c>
      <c r="H43" s="74">
        <f t="shared" si="6"/>
        <v>0</v>
      </c>
      <c r="I43" s="74">
        <f t="shared" si="6"/>
        <v>95</v>
      </c>
      <c r="J43" s="64">
        <f>IFERROR(F43/G43-1,"n/a")</f>
        <v>0.35820895522388052</v>
      </c>
      <c r="K43" s="64" t="str">
        <f>IFERROR(F43/H43-1,"n/a")</f>
        <v>n/a</v>
      </c>
      <c r="L43" s="60">
        <f>IFERROR(F43/I43-1,"n/a")</f>
        <v>-4.2105263157894757E-2</v>
      </c>
      <c r="M43" s="70">
        <f>+M16-'Mar-22'!M13</f>
        <v>694</v>
      </c>
      <c r="N43" s="70">
        <f>+N16-'Mar-22'!N13</f>
        <v>258</v>
      </c>
      <c r="O43" s="82">
        <f>+O16-'Mar-22'!O13</f>
        <v>0</v>
      </c>
      <c r="P43" s="70">
        <f>+P16-'Mar-22'!P13</f>
        <v>718</v>
      </c>
      <c r="Q43" s="64">
        <f>IFERROR(M43/N43-1,"n/a")</f>
        <v>1.6899224806201549</v>
      </c>
      <c r="R43" s="64" t="str">
        <f>IFERROR(M43/O43-1,"n/a")</f>
        <v>n/a</v>
      </c>
      <c r="S43" s="60">
        <f>IFERROR(M43/P43-1,"n/a")</f>
        <v>-3.3426183844011192E-2</v>
      </c>
      <c r="T43" s="89">
        <v>336</v>
      </c>
      <c r="U43" s="70">
        <v>43</v>
      </c>
      <c r="V43" s="78">
        <v>781</v>
      </c>
    </row>
    <row r="44" spans="2:46" s="9" customFormat="1" ht="15" customHeight="1">
      <c r="C44" s="33"/>
      <c r="D44" s="26" t="s">
        <v>11</v>
      </c>
      <c r="E44" s="32"/>
      <c r="F44" s="74">
        <f t="shared" si="6"/>
        <v>175248</v>
      </c>
      <c r="G44" s="74">
        <f t="shared" si="6"/>
        <v>83507</v>
      </c>
      <c r="H44" s="74">
        <f t="shared" si="6"/>
        <v>0</v>
      </c>
      <c r="I44" s="74">
        <f t="shared" si="6"/>
        <v>263747</v>
      </c>
      <c r="J44" s="64">
        <f>IFERROR(F44/G44-1,"n/a")</f>
        <v>1.0986025123642329</v>
      </c>
      <c r="K44" s="64" t="str">
        <f>IFERROR(F44/H44-1,"n/a")</f>
        <v>n/a</v>
      </c>
      <c r="L44" s="60">
        <f>IFERROR(F44/I44-1,"n/a")</f>
        <v>-0.33554504885363623</v>
      </c>
      <c r="M44" s="82">
        <f>+M17-'Mar-22'!M14</f>
        <v>1686780</v>
      </c>
      <c r="N44" s="82">
        <f>+N17-'Mar-22'!N14</f>
        <v>425895</v>
      </c>
      <c r="O44" s="82">
        <f>+O17-'Mar-22'!O14</f>
        <v>0</v>
      </c>
      <c r="P44" s="82">
        <f>+P17-'Mar-22'!P14</f>
        <v>2242099</v>
      </c>
      <c r="Q44" s="64">
        <f>IFERROR(M44/N44-1,"n/a")</f>
        <v>2.9605536575916598</v>
      </c>
      <c r="R44" s="64" t="str">
        <f>IFERROR(M44/O44-1,"n/a")</f>
        <v>n/a</v>
      </c>
      <c r="S44" s="60">
        <f>IFERROR(M44/P44-1,"n/a")</f>
        <v>-0.24767818013388343</v>
      </c>
      <c r="T44" s="89">
        <v>533563</v>
      </c>
      <c r="U44" s="84">
        <v>140552</v>
      </c>
      <c r="V44" s="78">
        <v>2441594</v>
      </c>
    </row>
    <row r="45" spans="2:46"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2:46" s="9" customFormat="1" ht="15" customHeight="1">
      <c r="C46" s="33"/>
      <c r="D46" s="26" t="s">
        <v>5</v>
      </c>
      <c r="E46" s="32"/>
      <c r="F46" s="74">
        <f t="shared" ref="F46:I47" si="7">F19</f>
        <v>32</v>
      </c>
      <c r="G46" s="74">
        <f t="shared" si="7"/>
        <v>9</v>
      </c>
      <c r="H46" s="74">
        <f t="shared" si="7"/>
        <v>0</v>
      </c>
      <c r="I46" s="74">
        <f t="shared" si="7"/>
        <v>10</v>
      </c>
      <c r="J46" s="64">
        <f>IFERROR(F46/G46-1,"n/a")</f>
        <v>2.5555555555555554</v>
      </c>
      <c r="K46" s="64" t="str">
        <f>IFERROR(F46/H46-1,"n/a")</f>
        <v>n/a</v>
      </c>
      <c r="L46" s="60">
        <f>IFERROR(F46/I46-1,"n/a")</f>
        <v>2.2000000000000002</v>
      </c>
      <c r="M46" s="70">
        <f>+M19-'Mar-22'!M16</f>
        <v>456</v>
      </c>
      <c r="N46" s="82">
        <f>+N19-'Mar-22'!N16</f>
        <v>20</v>
      </c>
      <c r="O46" s="82">
        <f>+O19-'Mar-22'!O16</f>
        <v>1</v>
      </c>
      <c r="P46" s="82">
        <f>+P19-'Mar-22'!P16</f>
        <v>176</v>
      </c>
      <c r="Q46" s="64">
        <f>IFERROR(M46/N46-1,"n/a")</f>
        <v>21.8</v>
      </c>
      <c r="R46" s="64">
        <f>IFERROR(M46/O46-1,"n/a")</f>
        <v>455</v>
      </c>
      <c r="S46" s="60">
        <f>IFERROR(M46/P46-1,"n/a")</f>
        <v>1.5909090909090908</v>
      </c>
      <c r="T46" s="89">
        <v>33</v>
      </c>
      <c r="U46" s="70">
        <v>4</v>
      </c>
      <c r="V46" s="78">
        <v>188</v>
      </c>
    </row>
    <row r="47" spans="2:46" s="9" customFormat="1" ht="15" customHeight="1">
      <c r="C47" s="33"/>
      <c r="D47" s="26" t="s">
        <v>11</v>
      </c>
      <c r="E47" s="32"/>
      <c r="F47" s="74">
        <f t="shared" si="7"/>
        <v>31307</v>
      </c>
      <c r="G47" s="74">
        <f t="shared" si="7"/>
        <v>4212</v>
      </c>
      <c r="H47" s="74">
        <f t="shared" si="7"/>
        <v>0</v>
      </c>
      <c r="I47" s="74">
        <f t="shared" si="7"/>
        <v>13055</v>
      </c>
      <c r="J47" s="64">
        <f>IFERROR(F47/G47-1,"n/a")</f>
        <v>6.4328110161443499</v>
      </c>
      <c r="K47" s="64" t="str">
        <f>IFERROR(F47/H47-1,"n/a")</f>
        <v>n/a</v>
      </c>
      <c r="L47" s="60">
        <f>IFERROR(F47/I47-1,"n/a")</f>
        <v>1.3980850248946766</v>
      </c>
      <c r="M47" s="82">
        <f>+M20-'Mar-22'!M17</f>
        <v>554355</v>
      </c>
      <c r="N47" s="82">
        <f>+N20-'Mar-22'!N17</f>
        <v>7747</v>
      </c>
      <c r="O47" s="82">
        <f>+O20-'Mar-22'!O17</f>
        <v>111</v>
      </c>
      <c r="P47" s="82">
        <f>+P20-'Mar-22'!P17</f>
        <v>239458</v>
      </c>
      <c r="Q47" s="64">
        <f>IFERROR(M47/N47-1,"n/a")</f>
        <v>70.557377049180332</v>
      </c>
      <c r="R47" s="64">
        <f>IFERROR(M47/O47-1,"n/a")</f>
        <v>4993.1891891891892</v>
      </c>
      <c r="S47" s="60">
        <f>IFERROR(M47/P47-1,"n/a")</f>
        <v>1.3150406334304972</v>
      </c>
      <c r="T47" s="82">
        <v>10083</v>
      </c>
      <c r="U47" s="84">
        <v>1753</v>
      </c>
      <c r="V47" s="78">
        <f>176097+74816</f>
        <v>250913</v>
      </c>
    </row>
    <row r="48" spans="2:46"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1:46" s="9" customFormat="1" ht="15" customHeight="1">
      <c r="C49" s="33"/>
      <c r="D49" s="26" t="s">
        <v>5</v>
      </c>
      <c r="E49" s="34"/>
      <c r="F49" s="74">
        <f t="shared" ref="F49:I50" si="8">F22</f>
        <v>104</v>
      </c>
      <c r="G49" s="74">
        <f t="shared" si="8"/>
        <v>94</v>
      </c>
      <c r="H49" s="74">
        <f t="shared" si="8"/>
        <v>0</v>
      </c>
      <c r="I49" s="74">
        <f t="shared" si="8"/>
        <v>121</v>
      </c>
      <c r="J49" s="64">
        <f>IFERROR(F49/G49-1,"n/a")</f>
        <v>0.1063829787234043</v>
      </c>
      <c r="K49" s="64" t="str">
        <f>IFERROR(F49/H49-1,"n/a")</f>
        <v>n/a</v>
      </c>
      <c r="L49" s="60">
        <f>IFERROR(F49/I49-1,"n/a")</f>
        <v>-0.14049586776859502</v>
      </c>
      <c r="M49" s="70">
        <f>+M22-'Mar-22'!M19</f>
        <v>689</v>
      </c>
      <c r="N49" s="70">
        <f>+N22-'Mar-22'!N19</f>
        <v>309</v>
      </c>
      <c r="O49" s="70">
        <f>+O22-'Mar-22'!O19</f>
        <v>42</v>
      </c>
      <c r="P49" s="70">
        <f>+P22-'Mar-22'!P19</f>
        <v>758</v>
      </c>
      <c r="Q49" s="64">
        <f>IFERROR(M49/N49-1,"n/a")</f>
        <v>1.2297734627831716</v>
      </c>
      <c r="R49" s="64">
        <f>IFERROR(M49/O49-1,"n/a")</f>
        <v>15.404761904761905</v>
      </c>
      <c r="S49" s="60">
        <f>IFERROR(M49/P49-1,"n/a")</f>
        <v>-9.1029023746701854E-2</v>
      </c>
      <c r="T49" s="89">
        <v>744</v>
      </c>
      <c r="U49" s="84">
        <v>406</v>
      </c>
      <c r="V49" s="78">
        <v>1253</v>
      </c>
    </row>
    <row r="50" spans="1:46" s="9" customFormat="1" ht="15" customHeight="1">
      <c r="C50" s="33"/>
      <c r="D50" s="26" t="s">
        <v>11</v>
      </c>
      <c r="E50" s="32"/>
      <c r="F50" s="74">
        <f t="shared" si="8"/>
        <v>345933</v>
      </c>
      <c r="G50" s="74">
        <f t="shared" si="8"/>
        <v>162789</v>
      </c>
      <c r="H50" s="74">
        <f t="shared" si="8"/>
        <v>0</v>
      </c>
      <c r="I50" s="74">
        <f t="shared" si="8"/>
        <v>331420</v>
      </c>
      <c r="J50" s="64">
        <f>IFERROR(F50/G50-1,"n/a")</f>
        <v>1.1250391611226802</v>
      </c>
      <c r="K50" s="64" t="str">
        <f>IFERROR(F50/H50-1,"n/a")</f>
        <v>n/a</v>
      </c>
      <c r="L50" s="60">
        <f>IFERROR(F50/I50-1,"n/a")</f>
        <v>4.3790356647154693E-2</v>
      </c>
      <c r="M50" s="82">
        <f>+M23-'Mar-22'!M20</f>
        <v>2199800</v>
      </c>
      <c r="N50" s="82">
        <f>+N23-'Mar-22'!N20</f>
        <v>486999</v>
      </c>
      <c r="O50" s="82">
        <f>+O23-'Mar-22'!O20</f>
        <v>0</v>
      </c>
      <c r="P50" s="82">
        <f>+P23-'Mar-22'!P20</f>
        <v>2407051</v>
      </c>
      <c r="Q50" s="64">
        <f>IFERROR(M50/N50-1,"n/a")</f>
        <v>3.5170523964114917</v>
      </c>
      <c r="R50" s="64" t="str">
        <f>IFERROR(M50/O50-1,"n/a")</f>
        <v>n/a</v>
      </c>
      <c r="S50" s="60">
        <f>IFERROR(M50/P50-1,"n/a")</f>
        <v>-8.6101623937340777E-2</v>
      </c>
      <c r="T50" s="82">
        <v>1290779</v>
      </c>
      <c r="U50" s="84">
        <v>833999</v>
      </c>
      <c r="V50" s="78">
        <v>3627458</v>
      </c>
    </row>
    <row r="51" spans="1:46"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1:46" s="9" customFormat="1" ht="15" customHeight="1">
      <c r="C52" s="33"/>
      <c r="D52" s="26" t="s">
        <v>5</v>
      </c>
      <c r="E52" s="32"/>
      <c r="F52" s="74">
        <f t="shared" ref="F52:I53" si="9">F25</f>
        <v>11</v>
      </c>
      <c r="G52" s="74">
        <f t="shared" si="9"/>
        <v>13</v>
      </c>
      <c r="H52" s="74">
        <f t="shared" si="9"/>
        <v>5</v>
      </c>
      <c r="I52" s="74">
        <f t="shared" si="9"/>
        <v>20</v>
      </c>
      <c r="J52" s="64">
        <f>IFERROR(F52/G52-1,"n/a")</f>
        <v>-0.15384615384615385</v>
      </c>
      <c r="K52" s="64">
        <f>IFERROR(F52/H52-1,"n/a")</f>
        <v>1.2000000000000002</v>
      </c>
      <c r="L52" s="60">
        <f>IFERROR(F52/I52-1,"n/a")</f>
        <v>-0.44999999999999996</v>
      </c>
      <c r="M52" s="70">
        <f>+M25-'Mar-22'!M22</f>
        <v>255</v>
      </c>
      <c r="N52" s="70">
        <f>+N25-'Mar-22'!N22</f>
        <v>91</v>
      </c>
      <c r="O52" s="82">
        <f>+O25-'Mar-22'!O22</f>
        <v>20</v>
      </c>
      <c r="P52" s="70">
        <f>+P25-'Mar-22'!P22</f>
        <v>308</v>
      </c>
      <c r="Q52" s="64">
        <f>IFERROR(M52/N52-1,"n/a")</f>
        <v>1.802197802197802</v>
      </c>
      <c r="R52" s="64">
        <f>IFERROR(M52/O52-1,"n/a")</f>
        <v>11.75</v>
      </c>
      <c r="S52" s="60">
        <f>IFERROR(M52/P52-1,"n/a")</f>
        <v>-0.17207792207792205</v>
      </c>
      <c r="T52" s="89">
        <v>121</v>
      </c>
      <c r="U52" s="70">
        <v>41</v>
      </c>
      <c r="V52" s="78">
        <v>361</v>
      </c>
    </row>
    <row r="53" spans="1:46" s="9" customFormat="1" ht="15" customHeight="1">
      <c r="C53" s="33"/>
      <c r="D53" s="26" t="s">
        <v>11</v>
      </c>
      <c r="E53" s="32"/>
      <c r="F53" s="74">
        <f t="shared" si="9"/>
        <v>26816</v>
      </c>
      <c r="G53" s="74">
        <f t="shared" si="9"/>
        <v>16166</v>
      </c>
      <c r="H53" s="74">
        <f t="shared" si="9"/>
        <v>2473</v>
      </c>
      <c r="I53" s="74">
        <f t="shared" si="9"/>
        <v>30720</v>
      </c>
      <c r="J53" s="64">
        <f>IFERROR(F53/G53-1,"n/a")</f>
        <v>0.65879005319806994</v>
      </c>
      <c r="K53" s="64">
        <f>IFERROR(F53/H53-1,"n/a")</f>
        <v>9.8435099069955516</v>
      </c>
      <c r="L53" s="60">
        <f>IFERROR(F53/I53-1,"n/a")</f>
        <v>-0.12708333333333333</v>
      </c>
      <c r="M53" s="82">
        <f>+M26-'Mar-22'!M23</f>
        <v>483632</v>
      </c>
      <c r="N53" s="82">
        <f>+N26-'Mar-22'!N23</f>
        <v>125420</v>
      </c>
      <c r="O53" s="82">
        <f>+O26-'Mar-22'!O23</f>
        <v>17914</v>
      </c>
      <c r="P53" s="82">
        <f>+P26-'Mar-22'!P23</f>
        <v>773129</v>
      </c>
      <c r="Q53" s="64">
        <f>IFERROR(M53/N53-1,"n/a")</f>
        <v>2.8560995056609793</v>
      </c>
      <c r="R53" s="64">
        <f>IFERROR(M53/O53-1,"n/a")</f>
        <v>25.997432175951769</v>
      </c>
      <c r="S53" s="60">
        <f>IFERROR(M53/P53-1,"n/a")</f>
        <v>-0.37444850729955803</v>
      </c>
      <c r="T53" s="82">
        <v>165689</v>
      </c>
      <c r="U53" s="84">
        <v>67144</v>
      </c>
      <c r="V53" s="78">
        <v>865961</v>
      </c>
    </row>
    <row r="54" spans="1:46" s="9" customFormat="1" ht="15" customHeight="1">
      <c r="A54"/>
      <c r="B54"/>
      <c r="C54" s="31" t="s">
        <v>17</v>
      </c>
      <c r="D54" s="26"/>
      <c r="E54" s="32"/>
      <c r="F54" s="72"/>
      <c r="G54" s="72"/>
      <c r="H54" s="72"/>
      <c r="I54" s="72"/>
      <c r="J54" s="64"/>
      <c r="K54" s="64"/>
      <c r="L54" s="60"/>
      <c r="M54" s="87"/>
      <c r="N54" s="87"/>
      <c r="O54" s="87"/>
      <c r="P54" s="87"/>
      <c r="Q54" s="64"/>
      <c r="R54" s="64"/>
      <c r="S54" s="60"/>
      <c r="T54" s="90"/>
      <c r="U54" s="44"/>
      <c r="V54" s="79"/>
      <c r="AM54"/>
      <c r="AN54"/>
      <c r="AO54"/>
      <c r="AP54"/>
      <c r="AQ54"/>
      <c r="AR54"/>
      <c r="AS54"/>
      <c r="AT54"/>
    </row>
    <row r="55" spans="1:46" s="9" customFormat="1" ht="15.75" customHeight="1">
      <c r="A55"/>
      <c r="B55"/>
      <c r="C55" s="33"/>
      <c r="D55" s="26" t="s">
        <v>5</v>
      </c>
      <c r="E55" s="32"/>
      <c r="F55" s="74">
        <f t="shared" ref="F55:I56" si="10">F28</f>
        <v>62</v>
      </c>
      <c r="G55" s="74">
        <f t="shared" si="10"/>
        <v>20</v>
      </c>
      <c r="H55" s="74">
        <f t="shared" si="10"/>
        <v>8</v>
      </c>
      <c r="I55" s="74">
        <f t="shared" si="10"/>
        <v>17</v>
      </c>
      <c r="J55" s="64">
        <f>IFERROR(F55/G55-1,"n/a")</f>
        <v>2.1</v>
      </c>
      <c r="K55" s="64">
        <f>IFERROR(F55/H55-1,"n/a")</f>
        <v>6.75</v>
      </c>
      <c r="L55" s="60">
        <f>IFERROR(F55/I55-1,"n/a")</f>
        <v>2.6470588235294117</v>
      </c>
      <c r="M55" s="70">
        <f>+M28-'Mar-22'!M25</f>
        <v>552</v>
      </c>
      <c r="N55" s="70">
        <f>+N28-'Mar-22'!N25</f>
        <v>124</v>
      </c>
      <c r="O55" s="70">
        <f>+O28-'Mar-22'!O25</f>
        <v>31</v>
      </c>
      <c r="P55" s="70">
        <f>+P28-'Mar-22'!P25</f>
        <v>341</v>
      </c>
      <c r="Q55" s="64">
        <f>IFERROR(M55/N55-1,"n/a")</f>
        <v>3.4516129032258061</v>
      </c>
      <c r="R55" s="64">
        <f>IFERROR(M55/O55-1,"n/a")</f>
        <v>16.806451612903224</v>
      </c>
      <c r="S55" s="60">
        <f>IFERROR(M55/P55-1,"n/a")</f>
        <v>0.6187683284457477</v>
      </c>
      <c r="T55" s="89">
        <v>140</v>
      </c>
      <c r="U55" s="70">
        <v>40</v>
      </c>
      <c r="V55" s="78">
        <v>360</v>
      </c>
      <c r="AM55"/>
      <c r="AN55"/>
      <c r="AO55"/>
      <c r="AP55"/>
      <c r="AQ55"/>
      <c r="AR55"/>
      <c r="AS55"/>
      <c r="AT55"/>
    </row>
    <row r="56" spans="1:46" s="9" customFormat="1" ht="15.75" customHeight="1">
      <c r="A56"/>
      <c r="B56"/>
      <c r="C56" s="33"/>
      <c r="D56" s="26" t="s">
        <v>11</v>
      </c>
      <c r="E56" s="32"/>
      <c r="F56" s="74">
        <f t="shared" si="10"/>
        <v>136071</v>
      </c>
      <c r="G56" s="74">
        <f t="shared" si="10"/>
        <v>14810</v>
      </c>
      <c r="H56" s="74">
        <f t="shared" si="10"/>
        <v>2381</v>
      </c>
      <c r="I56" s="74">
        <f t="shared" si="10"/>
        <v>16811</v>
      </c>
      <c r="J56" s="64">
        <f>IFERROR(F56/G56-1,"n/a")</f>
        <v>8.1877785280216067</v>
      </c>
      <c r="K56" s="64">
        <f>IFERROR(F56/H56-1,"n/a")</f>
        <v>56.148677026459474</v>
      </c>
      <c r="L56" s="60">
        <f>IFERROR(F56/I56-1,"n/a")</f>
        <v>7.0941645351258114</v>
      </c>
      <c r="M56" s="82">
        <f>+M29-'Mar-22'!M26</f>
        <v>956829</v>
      </c>
      <c r="N56" s="82">
        <f>+N29-'Mar-22'!N26</f>
        <v>162944</v>
      </c>
      <c r="O56" s="82">
        <f>+O29-'Mar-22'!O26</f>
        <v>17801</v>
      </c>
      <c r="P56" s="82">
        <f>+P29-'Mar-22'!P26</f>
        <v>850389</v>
      </c>
      <c r="Q56" s="64">
        <f>IFERROR(M56/N56-1,"n/a")</f>
        <v>4.8721339846818541</v>
      </c>
      <c r="R56" s="64">
        <f>IFERROR(M56/O56-1,"n/a")</f>
        <v>52.751418459637101</v>
      </c>
      <c r="S56" s="60">
        <f>IFERROR(M56/P56-1,"n/a")</f>
        <v>0.12516624744675675</v>
      </c>
      <c r="T56" s="82">
        <v>174336</v>
      </c>
      <c r="U56" s="84">
        <v>21928</v>
      </c>
      <c r="V56" s="78">
        <f>706948+155011</f>
        <v>861959</v>
      </c>
      <c r="AM56"/>
      <c r="AN56"/>
      <c r="AO56"/>
      <c r="AP56"/>
      <c r="AQ56"/>
      <c r="AR56"/>
      <c r="AS56"/>
      <c r="AT56"/>
    </row>
    <row r="57" spans="1:46" s="9" customFormat="1" ht="27" customHeight="1" thickBot="1">
      <c r="A57"/>
      <c r="B57"/>
      <c r="C57" s="35" t="s">
        <v>12</v>
      </c>
      <c r="D57" s="36"/>
      <c r="E57" s="37"/>
      <c r="F57" s="75">
        <f t="shared" ref="F57:I58" si="11">F40+F43+F46+F49+F52+F55</f>
        <v>340</v>
      </c>
      <c r="G57" s="75">
        <f t="shared" si="11"/>
        <v>224</v>
      </c>
      <c r="H57" s="75">
        <f t="shared" si="11"/>
        <v>13</v>
      </c>
      <c r="I57" s="75">
        <f t="shared" si="11"/>
        <v>314</v>
      </c>
      <c r="J57" s="66">
        <f>IFERROR(F57/G57-1,"n/a")</f>
        <v>0.51785714285714279</v>
      </c>
      <c r="K57" s="66">
        <f>IFERROR(F57/H57-1,"n/a")</f>
        <v>25.153846153846153</v>
      </c>
      <c r="L57" s="62">
        <f>IFERROR(F57/I57-1,"n/a")</f>
        <v>8.2802547770700619E-2</v>
      </c>
      <c r="M57" s="46">
        <f t="shared" ref="M57:P58" si="12">M40+M43+M46+M49+M52+M55</f>
        <v>2722</v>
      </c>
      <c r="N57" s="46">
        <f t="shared" si="12"/>
        <v>843</v>
      </c>
      <c r="O57" s="46">
        <f t="shared" si="12"/>
        <v>94</v>
      </c>
      <c r="P57" s="46">
        <f t="shared" si="12"/>
        <v>2418</v>
      </c>
      <c r="Q57" s="66">
        <f>IFERROR(M57/N57-1,"n/a")</f>
        <v>2.2289442467378411</v>
      </c>
      <c r="R57" s="66">
        <f>IFERROR(M57/O57-1,"n/a")</f>
        <v>27.957446808510639</v>
      </c>
      <c r="S57" s="62">
        <f>IFERROR(M57/P57-1,"n/a")</f>
        <v>0.12572373862696451</v>
      </c>
      <c r="T57" s="46">
        <f t="shared" ref="T57:V58" si="13">T40+T43+T46+T49+T52+T55</f>
        <v>1682</v>
      </c>
      <c r="U57" s="46">
        <f t="shared" si="13"/>
        <v>679</v>
      </c>
      <c r="V57" s="80">
        <f t="shared" si="13"/>
        <v>3274</v>
      </c>
      <c r="AM57"/>
      <c r="AN57"/>
      <c r="AO57"/>
      <c r="AP57"/>
      <c r="AQ57"/>
      <c r="AR57"/>
      <c r="AS57"/>
      <c r="AT57"/>
    </row>
    <row r="58" spans="1:46" s="9" customFormat="1" ht="27" customHeight="1" thickTop="1" thickBot="1">
      <c r="A58"/>
      <c r="B58"/>
      <c r="C58" s="38" t="s">
        <v>13</v>
      </c>
      <c r="D58" s="39"/>
      <c r="E58" s="40"/>
      <c r="F58" s="76">
        <f t="shared" si="11"/>
        <v>779647</v>
      </c>
      <c r="G58" s="76">
        <f t="shared" si="11"/>
        <v>304659</v>
      </c>
      <c r="H58" s="76">
        <f t="shared" si="11"/>
        <v>4854</v>
      </c>
      <c r="I58" s="76">
        <f t="shared" si="11"/>
        <v>745517</v>
      </c>
      <c r="J58" s="67">
        <f>IFERROR(F58/G58-1,"n/a")</f>
        <v>1.5590808083792043</v>
      </c>
      <c r="K58" s="67">
        <f>IFERROR(F58/H58-1,"n/a")</f>
        <v>159.61948908117017</v>
      </c>
      <c r="L58" s="63">
        <f>IFERROR(F58/I58-1,"n/a")</f>
        <v>4.5780310844689032E-2</v>
      </c>
      <c r="M58" s="47">
        <f t="shared" si="12"/>
        <v>5996032</v>
      </c>
      <c r="N58" s="47">
        <f t="shared" si="12"/>
        <v>1237101</v>
      </c>
      <c r="O58" s="47">
        <f t="shared" si="12"/>
        <v>35826</v>
      </c>
      <c r="P58" s="47">
        <f t="shared" si="12"/>
        <v>6739839</v>
      </c>
      <c r="Q58" s="67">
        <f>IFERROR(M58/N58-1,"n/a")</f>
        <v>3.846841122915591</v>
      </c>
      <c r="R58" s="67">
        <f>IFERROR(M58/O58-1,"n/a")</f>
        <v>166.36537710042987</v>
      </c>
      <c r="S58" s="63">
        <f>IFERROR(M58/P58-1,"n/a")</f>
        <v>-0.11035975785178254</v>
      </c>
      <c r="T58" s="47">
        <f t="shared" si="13"/>
        <v>2411641</v>
      </c>
      <c r="U58" s="47">
        <f t="shared" si="13"/>
        <v>1324261</v>
      </c>
      <c r="V58" s="81">
        <f t="shared" si="13"/>
        <v>8654686</v>
      </c>
      <c r="AM58"/>
      <c r="AN58"/>
      <c r="AO58"/>
      <c r="AP58"/>
      <c r="AQ58"/>
      <c r="AR58"/>
      <c r="AS58"/>
      <c r="AT58"/>
    </row>
    <row r="59" spans="1:46" s="9" customFormat="1" ht="12" customHeight="1" thickTop="1">
      <c r="A59"/>
      <c r="B59"/>
      <c r="C59"/>
      <c r="D59"/>
      <c r="E59"/>
      <c r="F59"/>
      <c r="G59"/>
      <c r="H59"/>
      <c r="I59"/>
      <c r="J59"/>
      <c r="K59"/>
      <c r="L59"/>
      <c r="M59"/>
      <c r="N59"/>
      <c r="O59"/>
      <c r="P59"/>
      <c r="Q59"/>
      <c r="R59"/>
      <c r="S59"/>
      <c r="T59"/>
      <c r="U59"/>
      <c r="V59"/>
      <c r="AM59"/>
      <c r="AN59"/>
      <c r="AO59"/>
      <c r="AP59"/>
      <c r="AQ59"/>
      <c r="AR59"/>
      <c r="AS59"/>
      <c r="AT59"/>
    </row>
    <row r="60" spans="1:46" ht="27" customHeight="1"/>
    <row r="61" spans="1:46" ht="27" customHeight="1"/>
    <row r="62" spans="1:46" ht="27" customHeight="1"/>
    <row r="63" spans="1:46" ht="27" customHeight="1"/>
    <row r="64" spans="1:46" ht="27" customHeight="1"/>
    <row r="65" ht="27" customHeight="1"/>
    <row r="66" ht="27" customHeight="1"/>
    <row r="67" ht="27" customHeight="1"/>
    <row r="68" ht="27" customHeight="1"/>
  </sheetData>
  <mergeCells count="6">
    <mergeCell ref="F9:L9"/>
    <mergeCell ref="M9:S9"/>
    <mergeCell ref="T9:V9"/>
    <mergeCell ref="F36:L36"/>
    <mergeCell ref="M36:S36"/>
    <mergeCell ref="T36:V36"/>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AT65"/>
  <sheetViews>
    <sheetView showGridLines="0" zoomScaleNormal="100" zoomScalePageLayoutView="40" workbookViewId="0"/>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1.42578125" customWidth="1"/>
    <col min="17" max="17" width="8.85546875" customWidth="1"/>
    <col min="18" max="18" width="9.140625" bestFit="1" customWidth="1"/>
    <col min="19" max="19" width="8.85546875" customWidth="1"/>
    <col min="20" max="21" width="10.42578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v>44880</v>
      </c>
    </row>
    <row r="4" spans="1:38" ht="15.75">
      <c r="A4" s="9"/>
      <c r="B4" s="11" t="s">
        <v>7</v>
      </c>
      <c r="C4" s="26"/>
      <c r="D4" s="24"/>
      <c r="E4" s="58" t="s">
        <v>88</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70" t="s">
        <v>24</v>
      </c>
      <c r="G9" s="170"/>
      <c r="H9" s="170"/>
      <c r="I9" s="170"/>
      <c r="J9" s="170"/>
      <c r="K9" s="170"/>
      <c r="L9" s="171"/>
      <c r="M9" s="169" t="s">
        <v>89</v>
      </c>
      <c r="N9" s="170"/>
      <c r="O9" s="170"/>
      <c r="P9" s="170"/>
      <c r="Q9" s="170"/>
      <c r="R9" s="170"/>
      <c r="S9" s="171"/>
      <c r="T9" s="169" t="s">
        <v>57</v>
      </c>
      <c r="U9" s="170"/>
      <c r="V9" s="172"/>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74">
        <v>4</v>
      </c>
      <c r="G13" s="71">
        <v>4</v>
      </c>
      <c r="H13" s="71">
        <v>0</v>
      </c>
      <c r="I13" s="71">
        <v>13</v>
      </c>
      <c r="J13" s="64">
        <f t="shared" ref="J13:J31" si="0">IFERROR(F13/G13-1,"n/a")</f>
        <v>0</v>
      </c>
      <c r="K13" s="64" t="str">
        <f>IFERROR(F13/H13-1,"n/a")</f>
        <v>n/a</v>
      </c>
      <c r="L13" s="60">
        <f>IFERROR(F13/I13-1,"n/a")</f>
        <v>-0.69230769230769229</v>
      </c>
      <c r="M13" s="68">
        <f>F13+'Sep-22'!M13</f>
        <v>233</v>
      </c>
      <c r="N13" s="68">
        <f>G13+'Sep-22'!N13</f>
        <v>20</v>
      </c>
      <c r="O13" s="68">
        <f>H13+'Sep-22'!O13</f>
        <v>145</v>
      </c>
      <c r="P13" s="68">
        <f>I13+'Sep-22'!P13</f>
        <v>266</v>
      </c>
      <c r="Q13" s="64">
        <f>IFERROR(M13/N13-1,"n/a")</f>
        <v>10.65</v>
      </c>
      <c r="R13" s="64">
        <f>IFERROR(M13/O13-1,"n/a")</f>
        <v>0.60689655172413803</v>
      </c>
      <c r="S13" s="60">
        <f>IFERROR(M13/P13-1,"n/a")</f>
        <v>-0.12406015037593987</v>
      </c>
      <c r="T13" s="68">
        <v>111</v>
      </c>
      <c r="U13" s="70">
        <v>145</v>
      </c>
      <c r="V13" s="78">
        <v>386</v>
      </c>
    </row>
    <row r="14" spans="1:38" ht="15">
      <c r="A14" s="9"/>
      <c r="B14" s="12"/>
      <c r="C14" s="33"/>
      <c r="D14" s="26" t="s">
        <v>11</v>
      </c>
      <c r="E14" s="32"/>
      <c r="F14" s="74">
        <v>7610</v>
      </c>
      <c r="G14" s="71">
        <v>720</v>
      </c>
      <c r="H14" s="71">
        <v>0</v>
      </c>
      <c r="I14" s="71">
        <v>31050</v>
      </c>
      <c r="J14" s="64">
        <f t="shared" si="0"/>
        <v>9.5694444444444446</v>
      </c>
      <c r="K14" s="64" t="str">
        <f>IFERROR(F14/H14-1,"n/a")</f>
        <v>n/a</v>
      </c>
      <c r="L14" s="60">
        <f>IFERROR(F14/I14-1,"n/a")</f>
        <v>-0.7549114331723028</v>
      </c>
      <c r="M14" s="68">
        <f>F14+'Sep-22'!M14</f>
        <v>206692</v>
      </c>
      <c r="N14" s="68">
        <f>G14+'Sep-22'!N14</f>
        <v>4921</v>
      </c>
      <c r="O14" s="68">
        <f>H14+'Sep-22'!O14</f>
        <v>258885</v>
      </c>
      <c r="P14" s="68">
        <f>I14+'Sep-22'!P14</f>
        <v>523329</v>
      </c>
      <c r="Q14" s="64">
        <f>IFERROR(M14/N14-1,"n/a")</f>
        <v>41.002032107295264</v>
      </c>
      <c r="R14" s="64">
        <f>IFERROR(M14/O14-1,"n/a")</f>
        <v>-0.20160689109063867</v>
      </c>
      <c r="S14" s="60">
        <f>IFERROR(M14/P14-1,"n/a")</f>
        <v>-0.60504386342052507</v>
      </c>
      <c r="T14" s="68">
        <v>80863</v>
      </c>
      <c r="U14" s="70">
        <v>258885</v>
      </c>
      <c r="V14" s="78">
        <v>733296</v>
      </c>
    </row>
    <row r="15" spans="1:38" ht="15">
      <c r="A15" s="9"/>
      <c r="B15" s="12"/>
      <c r="C15" s="31" t="s">
        <v>74</v>
      </c>
      <c r="D15" s="26"/>
      <c r="E15" s="32"/>
      <c r="F15" s="26"/>
      <c r="G15" s="26"/>
      <c r="H15" s="26"/>
      <c r="I15" s="26"/>
      <c r="J15" s="64"/>
      <c r="K15" s="64"/>
      <c r="L15" s="61"/>
      <c r="M15" s="87"/>
      <c r="N15" s="87"/>
      <c r="O15" s="87"/>
      <c r="P15" s="87"/>
      <c r="Q15" s="64"/>
      <c r="R15" s="65"/>
      <c r="S15" s="61"/>
      <c r="T15" s="43"/>
      <c r="U15" s="44"/>
      <c r="V15" s="79"/>
    </row>
    <row r="16" spans="1:38" ht="15">
      <c r="A16" s="9"/>
      <c r="B16" s="12"/>
      <c r="C16" s="33"/>
      <c r="D16" s="26" t="s">
        <v>5</v>
      </c>
      <c r="E16" s="32"/>
      <c r="F16" s="74">
        <v>129</v>
      </c>
      <c r="G16" s="71">
        <v>107</v>
      </c>
      <c r="H16" s="71">
        <v>0</v>
      </c>
      <c r="I16" s="71">
        <v>127</v>
      </c>
      <c r="J16" s="64">
        <f t="shared" si="0"/>
        <v>0.20560747663551404</v>
      </c>
      <c r="K16" s="64" t="str">
        <f>IFERROR(F16/H16-1,"n/a")</f>
        <v>n/a</v>
      </c>
      <c r="L16" s="60">
        <f>IFERROR(F16/I16-1,"n/a")</f>
        <v>1.5748031496062964E-2</v>
      </c>
      <c r="M16" s="68">
        <f>F16+'Sep-22'!M16</f>
        <v>656</v>
      </c>
      <c r="N16" s="68">
        <f>G16+'Sep-22'!N16</f>
        <v>191</v>
      </c>
      <c r="O16" s="68">
        <f>H16+'Sep-22'!O16</f>
        <v>43</v>
      </c>
      <c r="P16" s="68">
        <f>I16+'Sep-22'!P16</f>
        <v>712</v>
      </c>
      <c r="Q16" s="64">
        <f>IFERROR(M16/N16-1,"n/a")</f>
        <v>2.4345549738219896</v>
      </c>
      <c r="R16" s="64">
        <f>IFERROR(M16/O16-1,"n/a")</f>
        <v>14.255813953488373</v>
      </c>
      <c r="S16" s="60">
        <f>IFERROR(M16/P16-1,"n/a")</f>
        <v>-7.8651685393258397E-2</v>
      </c>
      <c r="T16" s="68">
        <v>283</v>
      </c>
      <c r="U16" s="70">
        <v>43</v>
      </c>
      <c r="V16" s="78">
        <v>827</v>
      </c>
    </row>
    <row r="17" spans="1:38" ht="15">
      <c r="A17" s="9"/>
      <c r="B17" s="12"/>
      <c r="C17" s="33"/>
      <c r="D17" s="26" t="s">
        <v>11</v>
      </c>
      <c r="E17" s="32"/>
      <c r="F17" s="74">
        <v>298256</v>
      </c>
      <c r="G17" s="71">
        <v>174505</v>
      </c>
      <c r="H17" s="71">
        <v>0</v>
      </c>
      <c r="I17" s="71">
        <v>332808</v>
      </c>
      <c r="J17" s="64">
        <f t="shared" si="0"/>
        <v>0.7091544654880948</v>
      </c>
      <c r="K17" s="64" t="str">
        <f>IFERROR(F17/H17-1,"n/a")</f>
        <v>n/a</v>
      </c>
      <c r="L17" s="60">
        <f>IFERROR(F17/I17-1,"n/a")</f>
        <v>-0.10381961972067977</v>
      </c>
      <c r="M17" s="68">
        <f>F17+'Sep-22'!M17</f>
        <v>1579986</v>
      </c>
      <c r="N17" s="68">
        <f>G17+'Sep-22'!N17</f>
        <v>342388</v>
      </c>
      <c r="O17" s="68">
        <f>H17+'Sep-22'!O17</f>
        <v>140552</v>
      </c>
      <c r="P17" s="68">
        <f>I17+'Sep-22'!P17</f>
        <v>2230252</v>
      </c>
      <c r="Q17" s="64">
        <f>IFERROR(M17/N17-1,"n/a")</f>
        <v>3.6146068203324884</v>
      </c>
      <c r="R17" s="64">
        <f>IFERROR(M17/O17-1,"n/a")</f>
        <v>10.241291479310149</v>
      </c>
      <c r="S17" s="60">
        <f>IFERROR(M17/P17-1,"n/a")</f>
        <v>-0.2915661548560432</v>
      </c>
      <c r="T17" s="68">
        <v>465109</v>
      </c>
      <c r="U17" s="70">
        <v>140552</v>
      </c>
      <c r="V17" s="78">
        <v>2552942</v>
      </c>
    </row>
    <row r="18" spans="1:38" ht="15">
      <c r="A18" s="9"/>
      <c r="B18" s="12"/>
      <c r="C18" s="31" t="s">
        <v>15</v>
      </c>
      <c r="D18" s="26"/>
      <c r="E18" s="32"/>
      <c r="F18" s="72"/>
      <c r="G18" s="72"/>
      <c r="H18" s="72"/>
      <c r="I18" s="72"/>
      <c r="J18" s="64"/>
      <c r="K18" s="64"/>
      <c r="L18" s="60"/>
      <c r="M18" s="87"/>
      <c r="N18" s="87"/>
      <c r="O18" s="87"/>
      <c r="P18" s="87"/>
      <c r="Q18" s="64"/>
      <c r="R18" s="64"/>
      <c r="S18" s="60"/>
      <c r="T18" s="43"/>
      <c r="U18" s="44"/>
      <c r="V18" s="79"/>
    </row>
    <row r="19" spans="1:38" ht="15">
      <c r="A19" s="9"/>
      <c r="B19" s="12"/>
      <c r="C19" s="33"/>
      <c r="D19" s="26" t="s">
        <v>5</v>
      </c>
      <c r="E19" s="32"/>
      <c r="F19" s="74">
        <v>75</v>
      </c>
      <c r="G19" s="71">
        <v>9</v>
      </c>
      <c r="H19" s="71">
        <v>0</v>
      </c>
      <c r="I19" s="71">
        <v>21</v>
      </c>
      <c r="J19" s="64">
        <f t="shared" si="0"/>
        <v>7.3333333333333339</v>
      </c>
      <c r="K19" s="64" t="str">
        <f>IFERROR(F19/H19-1,"n/a")</f>
        <v>n/a</v>
      </c>
      <c r="L19" s="60">
        <f>IFERROR(F19/I19-1,"n/a")</f>
        <v>2.5714285714285716</v>
      </c>
      <c r="M19" s="68">
        <f>F19+'Sep-22'!M19</f>
        <v>434</v>
      </c>
      <c r="N19" s="68">
        <f>G19+'Sep-22'!N19</f>
        <v>11</v>
      </c>
      <c r="O19" s="68">
        <f>H19+'Sep-22'!O19</f>
        <v>4</v>
      </c>
      <c r="P19" s="68">
        <f>I19+'Sep-22'!P19</f>
        <v>172</v>
      </c>
      <c r="Q19" s="64">
        <f>IFERROR(M19/N19-1,"n/a")</f>
        <v>38.454545454545453</v>
      </c>
      <c r="R19" s="64">
        <f>IFERROR(M19/O19-1,"n/a")</f>
        <v>107.5</v>
      </c>
      <c r="S19" s="60">
        <f>IFERROR(M19/P19-1,"n/a")</f>
        <v>1.5232558139534884</v>
      </c>
      <c r="T19" s="68">
        <v>23</v>
      </c>
      <c r="U19" s="70">
        <v>4</v>
      </c>
      <c r="V19" s="78">
        <v>191</v>
      </c>
    </row>
    <row r="20" spans="1:38" ht="15">
      <c r="A20" s="9"/>
      <c r="B20" s="12"/>
      <c r="C20" s="33"/>
      <c r="D20" s="26" t="s">
        <v>11</v>
      </c>
      <c r="E20" s="32"/>
      <c r="F20" s="74">
        <f>94583+7545</f>
        <v>102128</v>
      </c>
      <c r="G20" s="71">
        <v>3111</v>
      </c>
      <c r="H20" s="71">
        <v>0</v>
      </c>
      <c r="I20" s="71">
        <v>28163</v>
      </c>
      <c r="J20" s="64">
        <f t="shared" si="0"/>
        <v>31.828029572484731</v>
      </c>
      <c r="K20" s="64" t="str">
        <f>IFERROR(F20/H20-1,"n/a")</f>
        <v>n/a</v>
      </c>
      <c r="L20" s="60">
        <f t="shared" ref="L20:L31" si="1">IFERROR(F20/I20-1,"n/a")</f>
        <v>2.6263182189397436</v>
      </c>
      <c r="M20" s="68">
        <f>F20+'Sep-22'!M20</f>
        <v>524520</v>
      </c>
      <c r="N20" s="68">
        <f>G20+'Sep-22'!N20</f>
        <v>3535</v>
      </c>
      <c r="O20" s="68">
        <f>H20+'Sep-22'!O20</f>
        <v>1753</v>
      </c>
      <c r="P20" s="68">
        <f>I20+'Sep-22'!P20</f>
        <v>231541</v>
      </c>
      <c r="Q20" s="64">
        <f>IFERROR(M20/N20-1,"n/a")</f>
        <v>147.37906647807637</v>
      </c>
      <c r="R20" s="64">
        <f>IFERROR(M20/O20-1,"n/a")</f>
        <v>298.21277809469478</v>
      </c>
      <c r="S20" s="60">
        <f>IFERROR(M20/P20-1,"n/a")</f>
        <v>1.2653439347674924</v>
      </c>
      <c r="T20" s="68">
        <v>8611</v>
      </c>
      <c r="U20" s="70">
        <v>1753</v>
      </c>
      <c r="V20" s="78">
        <v>254421</v>
      </c>
    </row>
    <row r="21" spans="1:38" ht="15">
      <c r="A21" s="9"/>
      <c r="B21" s="12"/>
      <c r="C21" s="31" t="s">
        <v>10</v>
      </c>
      <c r="D21" s="26"/>
      <c r="E21" s="34"/>
      <c r="F21" s="72"/>
      <c r="G21" s="72"/>
      <c r="H21" s="72"/>
      <c r="I21" s="72"/>
      <c r="J21" s="64"/>
      <c r="K21" s="64"/>
      <c r="L21" s="60"/>
      <c r="M21" s="87"/>
      <c r="N21" s="87"/>
      <c r="O21" s="87"/>
      <c r="P21" s="87"/>
      <c r="Q21" s="64"/>
      <c r="R21" s="64"/>
      <c r="S21" s="60"/>
      <c r="T21" s="43"/>
      <c r="U21" s="44"/>
      <c r="V21" s="79"/>
    </row>
    <row r="22" spans="1:38" ht="15">
      <c r="A22" s="9"/>
      <c r="B22" s="12"/>
      <c r="C22" s="33"/>
      <c r="D22" s="26" t="s">
        <v>5</v>
      </c>
      <c r="E22" s="34"/>
      <c r="F22" s="74">
        <v>74</v>
      </c>
      <c r="G22" s="71">
        <v>85</v>
      </c>
      <c r="H22" s="71">
        <v>0</v>
      </c>
      <c r="I22" s="71">
        <v>97</v>
      </c>
      <c r="J22" s="64">
        <f t="shared" si="0"/>
        <v>-0.12941176470588234</v>
      </c>
      <c r="K22" s="64" t="str">
        <f>IFERROR(F22/H22-1,"n/a")</f>
        <v>n/a</v>
      </c>
      <c r="L22" s="60">
        <f t="shared" si="1"/>
        <v>-0.23711340206185572</v>
      </c>
      <c r="M22" s="68">
        <f>F22+'Sep-22'!M22</f>
        <v>918</v>
      </c>
      <c r="N22" s="68">
        <f>G22+'Sep-22'!N22</f>
        <v>215</v>
      </c>
      <c r="O22" s="68">
        <f>H22+'Sep-22'!O22</f>
        <v>406</v>
      </c>
      <c r="P22" s="68">
        <f>I22+'Sep-22'!P22</f>
        <v>953</v>
      </c>
      <c r="Q22" s="64">
        <f>IFERROR(M22/N22-1,"n/a")</f>
        <v>3.2697674418604654</v>
      </c>
      <c r="R22" s="64">
        <f>IFERROR(M22/O22-1,"n/a")</f>
        <v>1.2610837438423643</v>
      </c>
      <c r="S22" s="60">
        <f>IFERROR(M22/P22-1,"n/a")</f>
        <v>-3.6726128016789095E-2</v>
      </c>
      <c r="T22" s="68">
        <v>411</v>
      </c>
      <c r="U22" s="70">
        <v>406</v>
      </c>
      <c r="V22" s="78">
        <v>1205</v>
      </c>
    </row>
    <row r="23" spans="1:38" ht="15">
      <c r="A23" s="9"/>
      <c r="B23" s="12"/>
      <c r="C23" s="33"/>
      <c r="D23" s="26" t="s">
        <v>11</v>
      </c>
      <c r="E23" s="32"/>
      <c r="F23" s="74">
        <v>260968</v>
      </c>
      <c r="G23" s="71">
        <v>142400</v>
      </c>
      <c r="H23" s="71">
        <v>0</v>
      </c>
      <c r="I23" s="71">
        <v>268813</v>
      </c>
      <c r="J23" s="64">
        <f t="shared" si="0"/>
        <v>0.83264044943820226</v>
      </c>
      <c r="K23" s="64" t="str">
        <f>IFERROR(F23/H23-1,"n/a")</f>
        <v>n/a</v>
      </c>
      <c r="L23" s="60">
        <f t="shared" si="1"/>
        <v>-2.9183856435514688E-2</v>
      </c>
      <c r="M23" s="68">
        <f>F23+'Sep-22'!M23</f>
        <v>2457197</v>
      </c>
      <c r="N23" s="68">
        <f>G23+'Sep-22'!N23</f>
        <v>324210</v>
      </c>
      <c r="O23" s="68">
        <f>H23+'Sep-22'!O23</f>
        <v>833999</v>
      </c>
      <c r="P23" s="68">
        <f>I23+'Sep-22'!P23</f>
        <v>3141355</v>
      </c>
      <c r="Q23" s="64">
        <f>IFERROR(M23/N23-1,"n/a")</f>
        <v>6.5790290243977667</v>
      </c>
      <c r="R23" s="64">
        <f>IFERROR(M23/O23-1,"n/a")</f>
        <v>1.9462829092121212</v>
      </c>
      <c r="S23" s="60">
        <f>IFERROR(M23/P23-1,"n/a")</f>
        <v>-0.21779073043320474</v>
      </c>
      <c r="T23" s="68">
        <v>687449</v>
      </c>
      <c r="U23" s="70">
        <v>833999</v>
      </c>
      <c r="V23" s="78">
        <v>3859183</v>
      </c>
    </row>
    <row r="24" spans="1:38" ht="15">
      <c r="A24" s="9"/>
      <c r="B24" s="12"/>
      <c r="C24" s="31" t="s">
        <v>16</v>
      </c>
      <c r="D24" s="26"/>
      <c r="E24" s="32"/>
      <c r="F24" s="72"/>
      <c r="G24" s="72"/>
      <c r="H24" s="72"/>
      <c r="I24" s="72"/>
      <c r="J24" s="64"/>
      <c r="K24" s="64"/>
      <c r="L24" s="60"/>
      <c r="M24" s="87"/>
      <c r="N24" s="87"/>
      <c r="O24" s="87"/>
      <c r="P24" s="87"/>
      <c r="Q24" s="64"/>
      <c r="R24" s="64"/>
      <c r="S24" s="60"/>
      <c r="T24" s="43"/>
      <c r="U24" s="44"/>
      <c r="V24" s="79"/>
    </row>
    <row r="25" spans="1:38" ht="15">
      <c r="A25" s="9"/>
      <c r="B25" s="12"/>
      <c r="C25" s="33"/>
      <c r="D25" s="26" t="s">
        <v>5</v>
      </c>
      <c r="E25" s="32"/>
      <c r="F25" s="74">
        <v>45</v>
      </c>
      <c r="G25" s="71">
        <v>16</v>
      </c>
      <c r="H25" s="71">
        <v>8</v>
      </c>
      <c r="I25" s="71">
        <v>64</v>
      </c>
      <c r="J25" s="64">
        <f t="shared" si="0"/>
        <v>1.8125</v>
      </c>
      <c r="K25" s="64">
        <f>IFERROR(F25/H25-1,"n/a")</f>
        <v>4.625</v>
      </c>
      <c r="L25" s="60">
        <f t="shared" si="1"/>
        <v>-0.296875</v>
      </c>
      <c r="M25" s="68">
        <f>F25+'Sep-22'!M25</f>
        <v>267</v>
      </c>
      <c r="N25" s="68">
        <f>G25+'Sep-22'!N25</f>
        <v>87</v>
      </c>
      <c r="O25" s="68">
        <f>H25+'Sep-22'!O25</f>
        <v>24</v>
      </c>
      <c r="P25" s="68">
        <f>I25+'Sep-22'!P25</f>
        <v>308</v>
      </c>
      <c r="Q25" s="64">
        <f>IFERROR(M25/N25-1,"n/a")</f>
        <v>2.0689655172413794</v>
      </c>
      <c r="R25" s="64">
        <f>IFERROR(M25/O25-1,"n/a")</f>
        <v>10.125</v>
      </c>
      <c r="S25" s="60">
        <f>IFERROR(M25/P25-1,"n/a")</f>
        <v>-0.13311688311688308</v>
      </c>
      <c r="T25" s="68">
        <v>107</v>
      </c>
      <c r="U25" s="70">
        <v>32</v>
      </c>
      <c r="V25" s="78">
        <v>372</v>
      </c>
    </row>
    <row r="26" spans="1:38" ht="15">
      <c r="A26" s="9"/>
      <c r="B26" s="12"/>
      <c r="C26" s="33"/>
      <c r="D26" s="26" t="s">
        <v>11</v>
      </c>
      <c r="E26" s="32"/>
      <c r="F26" s="74">
        <v>59330</v>
      </c>
      <c r="G26" s="71">
        <v>16203</v>
      </c>
      <c r="H26" s="71">
        <v>8362</v>
      </c>
      <c r="I26" s="71">
        <v>130501</v>
      </c>
      <c r="J26" s="64">
        <f t="shared" si="0"/>
        <v>2.6616675924211566</v>
      </c>
      <c r="K26" s="64">
        <f>IFERROR(F26/H26-1,"n/a")</f>
        <v>6.0951925376704139</v>
      </c>
      <c r="L26" s="60">
        <f t="shared" si="1"/>
        <v>-0.54536746844851769</v>
      </c>
      <c r="M26" s="68">
        <f>F26+'Sep-22'!M26</f>
        <v>483337</v>
      </c>
      <c r="N26" s="68">
        <f>G26+'Sep-22'!N26</f>
        <v>117218</v>
      </c>
      <c r="O26" s="68">
        <f>H26+'Sep-22'!O26</f>
        <v>55662</v>
      </c>
      <c r="P26" s="68">
        <f>I26+'Sep-22'!P26</f>
        <v>818684</v>
      </c>
      <c r="Q26" s="64">
        <f>IFERROR(M26/N26-1,"n/a")</f>
        <v>3.1234025490965553</v>
      </c>
      <c r="R26" s="64">
        <f>IFERROR(M26/O26-1,"n/a")</f>
        <v>7.6834285508964815</v>
      </c>
      <c r="S26" s="60">
        <f>IFERROR(M26/P26-1,"n/a")</f>
        <v>-0.4096171416566099</v>
      </c>
      <c r="T26" s="68">
        <v>147132</v>
      </c>
      <c r="U26" s="70">
        <v>59180</v>
      </c>
      <c r="V26" s="78">
        <v>902015</v>
      </c>
    </row>
    <row r="27" spans="1:38" ht="15">
      <c r="A27" s="9"/>
      <c r="B27" s="12"/>
      <c r="C27" s="31" t="s">
        <v>17</v>
      </c>
      <c r="D27" s="26"/>
      <c r="E27" s="32"/>
      <c r="F27" s="72"/>
      <c r="G27" s="72"/>
      <c r="H27" s="72"/>
      <c r="I27" s="72"/>
      <c r="J27" s="64"/>
      <c r="K27" s="64"/>
      <c r="L27" s="60"/>
      <c r="M27" s="87"/>
      <c r="N27" s="87"/>
      <c r="O27" s="87"/>
      <c r="P27" s="87"/>
      <c r="Q27" s="64"/>
      <c r="R27" s="64"/>
      <c r="S27" s="60"/>
      <c r="T27" s="43"/>
      <c r="U27" s="44"/>
      <c r="V27" s="79"/>
    </row>
    <row r="28" spans="1:38" ht="15">
      <c r="B28" s="12"/>
      <c r="C28" s="33"/>
      <c r="D28" s="26" t="s">
        <v>5</v>
      </c>
      <c r="E28" s="32"/>
      <c r="F28" s="74">
        <f>79+6</f>
        <v>85</v>
      </c>
      <c r="G28" s="71">
        <v>28</v>
      </c>
      <c r="H28" s="71">
        <v>12</v>
      </c>
      <c r="I28" s="71">
        <v>71</v>
      </c>
      <c r="J28" s="64">
        <f t="shared" si="0"/>
        <v>2.0357142857142856</v>
      </c>
      <c r="K28" s="64">
        <f>IFERROR(F28/H28-1,"n/a")</f>
        <v>6.083333333333333</v>
      </c>
      <c r="L28" s="60">
        <f t="shared" si="1"/>
        <v>0.19718309859154926</v>
      </c>
      <c r="M28" s="68">
        <f>F28+'Sep-22'!M28</f>
        <v>506</v>
      </c>
      <c r="N28" s="68">
        <f>G28+'Sep-22'!N28</f>
        <v>107</v>
      </c>
      <c r="O28" s="68">
        <f>H28+'Sep-22'!O28</f>
        <v>24</v>
      </c>
      <c r="P28" s="68">
        <f>I28+'Sep-22'!P28</f>
        <v>328</v>
      </c>
      <c r="Q28" s="64">
        <f>IFERROR(M28/N28-1,"n/a")</f>
        <v>3.7289719626168223</v>
      </c>
      <c r="R28" s="64">
        <f>IFERROR(M28/O28-1,"n/a")</f>
        <v>20.083333333333332</v>
      </c>
      <c r="S28" s="60">
        <f>IFERROR(M28/P28-1,"n/a")</f>
        <v>0.54268292682926833</v>
      </c>
      <c r="T28" s="68">
        <v>127</v>
      </c>
      <c r="U28" s="70">
        <v>37</v>
      </c>
      <c r="V28" s="78">
        <f>282+81</f>
        <v>363</v>
      </c>
    </row>
    <row r="29" spans="1:38" ht="15">
      <c r="A29" s="9"/>
      <c r="B29" s="12"/>
      <c r="C29" s="33"/>
      <c r="D29" s="26" t="s">
        <v>11</v>
      </c>
      <c r="E29" s="32"/>
      <c r="F29" s="74">
        <f>111830+10869+16371</f>
        <v>139070</v>
      </c>
      <c r="G29" s="71">
        <v>32614</v>
      </c>
      <c r="H29" s="71">
        <v>5592</v>
      </c>
      <c r="I29" s="71">
        <v>138907</v>
      </c>
      <c r="J29" s="64">
        <f t="shared" si="0"/>
        <v>3.2641197031949467</v>
      </c>
      <c r="K29" s="64">
        <f>IFERROR(F29/H29-1,"n/a")</f>
        <v>23.869456366237483</v>
      </c>
      <c r="L29" s="60">
        <f t="shared" si="1"/>
        <v>1.1734469825135374E-3</v>
      </c>
      <c r="M29" s="68">
        <f>F29+'Sep-22'!M29</f>
        <v>832358</v>
      </c>
      <c r="N29" s="68">
        <f>G29+'Sep-22'!N29</f>
        <v>150273</v>
      </c>
      <c r="O29" s="68">
        <f>H29+'Sep-22'!O29</f>
        <v>16312</v>
      </c>
      <c r="P29" s="68">
        <f>I29+'Sep-22'!P29</f>
        <v>839687</v>
      </c>
      <c r="Q29" s="64">
        <f>IFERROR(M29/N29-1,"n/a")</f>
        <v>4.5389724035588559</v>
      </c>
      <c r="R29" s="64">
        <f>IFERROR(M29/O29-1,"n/a")</f>
        <v>50.027341834232466</v>
      </c>
      <c r="S29" s="60">
        <f>IFERROR(M29/P29-1,"n/a")</f>
        <v>-8.7282523130642886E-3</v>
      </c>
      <c r="T29" s="68">
        <v>165083</v>
      </c>
      <c r="U29" s="70">
        <f>20768+8294</f>
        <v>29062</v>
      </c>
      <c r="V29" s="78">
        <f>659951+168729+38484</f>
        <v>867164</v>
      </c>
    </row>
    <row r="30" spans="1:38" ht="15" customHeight="1" thickBot="1">
      <c r="A30" s="9"/>
      <c r="B30" s="12"/>
      <c r="C30" s="35" t="s">
        <v>12</v>
      </c>
      <c r="D30" s="36"/>
      <c r="E30" s="37"/>
      <c r="F30" s="75">
        <f t="shared" ref="F30:I31" si="2">F13+F16+F19+F22+F25+F28</f>
        <v>412</v>
      </c>
      <c r="G30" s="75">
        <f t="shared" si="2"/>
        <v>249</v>
      </c>
      <c r="H30" s="75">
        <f t="shared" si="2"/>
        <v>20</v>
      </c>
      <c r="I30" s="75">
        <f t="shared" si="2"/>
        <v>393</v>
      </c>
      <c r="J30" s="66">
        <f t="shared" si="0"/>
        <v>0.65461847389558225</v>
      </c>
      <c r="K30" s="66">
        <f>IFERROR(F30/H30-1,"n/a")</f>
        <v>19.600000000000001</v>
      </c>
      <c r="L30" s="62">
        <f t="shared" si="1"/>
        <v>4.8346055979643809E-2</v>
      </c>
      <c r="M30" s="46">
        <f t="shared" ref="M30:P31" si="3">M13+M16+M19+M22+M25+M28</f>
        <v>3014</v>
      </c>
      <c r="N30" s="46">
        <f t="shared" si="3"/>
        <v>631</v>
      </c>
      <c r="O30" s="46">
        <f t="shared" si="3"/>
        <v>646</v>
      </c>
      <c r="P30" s="46">
        <f t="shared" si="3"/>
        <v>2739</v>
      </c>
      <c r="Q30" s="66">
        <f>IFERROR(M30/N30-1,"n/a")</f>
        <v>3.7765451664025358</v>
      </c>
      <c r="R30" s="66">
        <f>IFERROR(M30/O30-1,"n/a")</f>
        <v>3.6656346749226003</v>
      </c>
      <c r="S30" s="62">
        <f>IFERROR(M30/P30-1,"n/a")</f>
        <v>0.10040160642570273</v>
      </c>
      <c r="T30" s="46">
        <f t="shared" ref="T30:V31" si="4">T13+T16+T19+T22+T25+T28</f>
        <v>1062</v>
      </c>
      <c r="U30" s="46">
        <f t="shared" si="4"/>
        <v>667</v>
      </c>
      <c r="V30" s="80">
        <f t="shared" si="4"/>
        <v>3344</v>
      </c>
    </row>
    <row r="31" spans="1:38" s="22" customFormat="1" ht="15" customHeight="1" thickTop="1" thickBot="1">
      <c r="A31" s="9"/>
      <c r="B31" s="12"/>
      <c r="C31" s="38" t="s">
        <v>13</v>
      </c>
      <c r="D31" s="39"/>
      <c r="E31" s="40"/>
      <c r="F31" s="76">
        <f t="shared" si="2"/>
        <v>867362</v>
      </c>
      <c r="G31" s="76">
        <f t="shared" si="2"/>
        <v>369553</v>
      </c>
      <c r="H31" s="76">
        <f t="shared" si="2"/>
        <v>13954</v>
      </c>
      <c r="I31" s="76">
        <f t="shared" si="2"/>
        <v>930242</v>
      </c>
      <c r="J31" s="67">
        <f t="shared" si="0"/>
        <v>1.3470571203589201</v>
      </c>
      <c r="K31" s="67">
        <f>IFERROR(F31/H31-1,"n/a")</f>
        <v>61.158664182313316</v>
      </c>
      <c r="L31" s="63">
        <f t="shared" si="1"/>
        <v>-6.7595313907563792E-2</v>
      </c>
      <c r="M31" s="47">
        <f t="shared" si="3"/>
        <v>6084090</v>
      </c>
      <c r="N31" s="47">
        <f t="shared" si="3"/>
        <v>942545</v>
      </c>
      <c r="O31" s="47">
        <f t="shared" si="3"/>
        <v>1307163</v>
      </c>
      <c r="P31" s="47">
        <f t="shared" si="3"/>
        <v>7784848</v>
      </c>
      <c r="Q31" s="67">
        <f>IFERROR(M31/N31-1,"n/a")</f>
        <v>5.4549597101464649</v>
      </c>
      <c r="R31" s="67">
        <f>IFERROR(M31/O31-1,"n/a")</f>
        <v>3.6544233580662855</v>
      </c>
      <c r="S31" s="63">
        <f>IFERROR(M31/P31-1,"n/a")</f>
        <v>-0.21847028997868678</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38" ht="15" customHeight="1" thickTop="1">
      <c r="A32" s="9"/>
      <c r="B32" s="9"/>
      <c r="C32" s="9"/>
      <c r="D32" s="9"/>
      <c r="E32" s="9"/>
      <c r="F32" s="9"/>
      <c r="G32" s="41"/>
      <c r="H32" s="41"/>
      <c r="I32" s="41"/>
      <c r="J32" s="41"/>
      <c r="K32" s="41"/>
      <c r="L32" s="9"/>
      <c r="M32" s="9"/>
      <c r="N32" s="9"/>
      <c r="O32" s="9"/>
      <c r="P32" s="9"/>
      <c r="Q32" s="9"/>
      <c r="R32" s="9"/>
      <c r="S32" s="9"/>
      <c r="T32" s="83"/>
      <c r="U32" s="9"/>
      <c r="V32" s="9"/>
    </row>
    <row r="33" spans="1:22" ht="23.25" customHeight="1">
      <c r="A33" s="9"/>
      <c r="B33" s="9"/>
      <c r="C33" s="9"/>
      <c r="D33" s="9"/>
      <c r="E33" s="9"/>
      <c r="F33" s="41"/>
      <c r="G33" s="41"/>
      <c r="H33" s="41"/>
      <c r="I33" s="41"/>
      <c r="J33" s="41"/>
      <c r="K33" s="41"/>
      <c r="L33" s="9"/>
      <c r="M33" s="9"/>
      <c r="N33" s="9"/>
      <c r="O33" s="9"/>
      <c r="P33" s="9"/>
      <c r="Q33" s="9"/>
      <c r="R33" s="9"/>
      <c r="S33" s="9"/>
      <c r="T33" s="9"/>
      <c r="U33" s="9"/>
      <c r="V33" s="9"/>
    </row>
    <row r="34" spans="1:22" ht="15">
      <c r="A34" s="9"/>
      <c r="B34" s="10"/>
      <c r="C34" s="86" t="s">
        <v>63</v>
      </c>
      <c r="D34" s="24"/>
      <c r="E34" s="24"/>
      <c r="F34" s="24"/>
      <c r="G34" s="24"/>
      <c r="H34" s="24"/>
      <c r="I34" s="95"/>
      <c r="J34" s="95"/>
      <c r="K34" s="95"/>
      <c r="L34" s="24"/>
      <c r="M34" s="24"/>
      <c r="N34" s="24"/>
      <c r="O34" s="24"/>
      <c r="P34" s="24"/>
      <c r="Q34" s="24"/>
      <c r="R34" s="24"/>
      <c r="S34" s="24"/>
      <c r="T34" s="24"/>
      <c r="U34" s="24"/>
      <c r="V34" s="24"/>
    </row>
    <row r="35" spans="1:22" ht="15">
      <c r="A35" s="9"/>
      <c r="B35" s="10"/>
      <c r="C35" s="24"/>
      <c r="D35" s="24"/>
      <c r="E35" s="24"/>
      <c r="F35" s="24"/>
      <c r="G35" s="24"/>
      <c r="H35" s="24"/>
      <c r="I35" s="95"/>
      <c r="J35" s="95"/>
      <c r="K35" s="95"/>
      <c r="L35" s="24"/>
      <c r="M35" s="24"/>
      <c r="N35" s="24"/>
      <c r="O35" s="24"/>
      <c r="P35" s="24"/>
      <c r="Q35" s="24"/>
      <c r="R35" s="24"/>
      <c r="S35" s="24"/>
      <c r="T35" s="24"/>
      <c r="U35" s="24"/>
      <c r="V35" s="24"/>
    </row>
    <row r="36" spans="1:22" ht="15" customHeight="1">
      <c r="A36" s="9"/>
      <c r="B36" s="9"/>
      <c r="C36" s="27" t="s">
        <v>7</v>
      </c>
      <c r="D36" s="28"/>
      <c r="E36" s="28"/>
      <c r="F36" s="170" t="str">
        <f>F9</f>
        <v>October</v>
      </c>
      <c r="G36" s="170"/>
      <c r="H36" s="170"/>
      <c r="I36" s="170"/>
      <c r="J36" s="170"/>
      <c r="K36" s="170"/>
      <c r="L36" s="171"/>
      <c r="M36" s="169" t="s">
        <v>90</v>
      </c>
      <c r="N36" s="170"/>
      <c r="O36" s="170"/>
      <c r="P36" s="170"/>
      <c r="Q36" s="170"/>
      <c r="R36" s="170"/>
      <c r="S36" s="171"/>
      <c r="T36" s="169" t="s">
        <v>58</v>
      </c>
      <c r="U36" s="170"/>
      <c r="V36" s="172"/>
    </row>
    <row r="37" spans="1:22" ht="15" customHeight="1">
      <c r="A37" s="9"/>
      <c r="B37" s="9"/>
      <c r="C37" s="29"/>
      <c r="D37" s="30"/>
      <c r="E37" s="30"/>
      <c r="F37" s="29"/>
      <c r="G37" s="30"/>
      <c r="H37" s="30"/>
      <c r="I37" s="30"/>
      <c r="J37" s="30"/>
      <c r="K37" s="30"/>
      <c r="L37" s="56"/>
      <c r="M37" s="30"/>
      <c r="N37" s="30"/>
      <c r="O37" s="30"/>
      <c r="P37" s="30"/>
      <c r="Q37" s="30"/>
      <c r="R37" s="30"/>
      <c r="S37" s="56"/>
      <c r="T37" s="30"/>
      <c r="U37" s="30"/>
      <c r="V37" s="56"/>
    </row>
    <row r="38" spans="1:22" s="9" customFormat="1" ht="33.7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1:22" s="9" customFormat="1" ht="15" customHeight="1">
      <c r="C39" s="31" t="s">
        <v>14</v>
      </c>
      <c r="D39" s="26"/>
      <c r="E39" s="32"/>
      <c r="F39" s="26"/>
      <c r="G39" s="26"/>
      <c r="H39" s="26"/>
      <c r="I39" s="26"/>
      <c r="J39" s="26"/>
      <c r="K39" s="26"/>
      <c r="L39" s="32"/>
      <c r="M39" s="26"/>
      <c r="N39" s="26"/>
      <c r="O39" s="26"/>
      <c r="Q39" s="26"/>
      <c r="R39" s="26"/>
      <c r="S39" s="32"/>
      <c r="T39" s="33"/>
      <c r="U39" s="88"/>
      <c r="V39" s="85"/>
    </row>
    <row r="40" spans="1:22" s="9" customFormat="1" ht="15" customHeight="1">
      <c r="C40" s="33"/>
      <c r="D40" s="26" t="s">
        <v>5</v>
      </c>
      <c r="E40" s="32"/>
      <c r="F40" s="74">
        <f>F13</f>
        <v>4</v>
      </c>
      <c r="G40" s="74">
        <f>G13</f>
        <v>4</v>
      </c>
      <c r="H40" s="74">
        <v>0</v>
      </c>
      <c r="I40" s="71">
        <f>I13</f>
        <v>13</v>
      </c>
      <c r="J40" s="64">
        <f>IFERROR(F40/G40-1,"n/a")</f>
        <v>0</v>
      </c>
      <c r="K40" s="64" t="str">
        <f>IFERROR(F40/H40-1,"n/a")</f>
        <v>n/a</v>
      </c>
      <c r="L40" s="60">
        <f>IFERROR(F40/I40-1,"n/a")</f>
        <v>-0.69230769230769229</v>
      </c>
      <c r="M40" s="70">
        <f>+M13-'Mar-22'!M10</f>
        <v>36</v>
      </c>
      <c r="N40" s="70">
        <f>+N13-'Mar-22'!N10</f>
        <v>20</v>
      </c>
      <c r="O40" s="82">
        <f>+O13-'Mar-22'!O10</f>
        <v>0</v>
      </c>
      <c r="P40" s="70">
        <f>+P13-'Mar-22'!P10</f>
        <v>66</v>
      </c>
      <c r="Q40" s="64">
        <f>IFERROR(M40/N40-1,"n/a")</f>
        <v>0.8</v>
      </c>
      <c r="R40" s="64" t="str">
        <f>IFERROR(M40/O40-1,"n/a")</f>
        <v>n/a</v>
      </c>
      <c r="S40" s="60">
        <f>IFERROR(M40/P40-1,"n/a")</f>
        <v>-0.45454545454545459</v>
      </c>
      <c r="T40" s="89">
        <v>308</v>
      </c>
      <c r="U40" s="70">
        <v>145</v>
      </c>
      <c r="V40" s="78">
        <v>331</v>
      </c>
    </row>
    <row r="41" spans="1:22" s="9" customFormat="1" ht="15" customHeight="1">
      <c r="C41" s="33"/>
      <c r="D41" s="26" t="s">
        <v>11</v>
      </c>
      <c r="E41" s="32"/>
      <c r="F41" s="74">
        <f>F14</f>
        <v>7610</v>
      </c>
      <c r="G41" s="74">
        <f>G14</f>
        <v>720</v>
      </c>
      <c r="H41" s="74">
        <v>0</v>
      </c>
      <c r="I41" s="74">
        <f>I14</f>
        <v>31050</v>
      </c>
      <c r="J41" s="64">
        <f>IFERROR(F41/G41-1,"n/a")</f>
        <v>9.5694444444444446</v>
      </c>
      <c r="K41" s="64" t="str">
        <f>IFERROR(F41/H41-1,"n/a")</f>
        <v>n/a</v>
      </c>
      <c r="L41" s="60">
        <f>IFERROR(F41/I41-1,"n/a")</f>
        <v>-0.7549114331723028</v>
      </c>
      <c r="M41" s="82">
        <f>+M14-'Mar-22'!M11</f>
        <v>50364</v>
      </c>
      <c r="N41" s="82">
        <f>+N14-'Mar-22'!N11</f>
        <v>4921</v>
      </c>
      <c r="O41" s="82">
        <f>+O14-'Mar-22'!O11</f>
        <v>0</v>
      </c>
      <c r="P41" s="82">
        <f>+P14-'Mar-22'!P11</f>
        <v>137949</v>
      </c>
      <c r="Q41" s="64">
        <f>IFERROR(M41/N41-1,"n/a")</f>
        <v>9.2345051818736028</v>
      </c>
      <c r="R41" s="64" t="str">
        <f>IFERROR(M41/O41-1,"n/a")</f>
        <v>n/a</v>
      </c>
      <c r="S41" s="60">
        <f>IFERROR(M41/P41-1,"n/a")</f>
        <v>-0.63490855316095085</v>
      </c>
      <c r="T41" s="89">
        <v>237191</v>
      </c>
      <c r="U41" s="84">
        <v>258885</v>
      </c>
      <c r="V41" s="78">
        <v>606801</v>
      </c>
    </row>
    <row r="42" spans="1:22" s="9" customFormat="1" ht="15" customHeight="1">
      <c r="C42" s="31" t="s">
        <v>74</v>
      </c>
      <c r="D42" s="26"/>
      <c r="E42" s="32"/>
      <c r="F42" s="26"/>
      <c r="G42" s="26"/>
      <c r="H42" s="26"/>
      <c r="I42" s="26"/>
      <c r="J42" s="64"/>
      <c r="K42" s="64"/>
      <c r="L42" s="61"/>
      <c r="M42" s="87"/>
      <c r="N42" s="87"/>
      <c r="O42" s="87"/>
      <c r="P42" s="87"/>
      <c r="Q42" s="65"/>
      <c r="R42" s="65"/>
      <c r="S42" s="61"/>
      <c r="T42" s="90"/>
      <c r="U42" s="44"/>
      <c r="V42" s="79"/>
    </row>
    <row r="43" spans="1:22" s="9" customFormat="1" ht="15" customHeight="1">
      <c r="C43" s="33"/>
      <c r="D43" s="26" t="s">
        <v>5</v>
      </c>
      <c r="E43" s="32"/>
      <c r="F43" s="74">
        <f>F16</f>
        <v>129</v>
      </c>
      <c r="G43" s="74">
        <f>G16</f>
        <v>107</v>
      </c>
      <c r="H43" s="74">
        <v>0</v>
      </c>
      <c r="I43" s="74">
        <f>I16</f>
        <v>127</v>
      </c>
      <c r="J43" s="64">
        <f>IFERROR(F43/G43-1,"n/a")</f>
        <v>0.20560747663551404</v>
      </c>
      <c r="K43" s="64" t="str">
        <f>IFERROR(F43/H43-1,"n/a")</f>
        <v>n/a</v>
      </c>
      <c r="L43" s="60">
        <f>IFERROR(F43/I43-1,"n/a")</f>
        <v>1.5748031496062964E-2</v>
      </c>
      <c r="M43" s="70">
        <f>+M16-'Mar-22'!M13</f>
        <v>603</v>
      </c>
      <c r="N43" s="70">
        <f>+N16-'Mar-22'!N13</f>
        <v>191</v>
      </c>
      <c r="O43" s="82">
        <f>+O16-'Mar-22'!O13</f>
        <v>0</v>
      </c>
      <c r="P43" s="70">
        <f>+P16-'Mar-22'!P13</f>
        <v>623</v>
      </c>
      <c r="Q43" s="64">
        <f>IFERROR(M43/N43-1,"n/a")</f>
        <v>2.157068062827225</v>
      </c>
      <c r="R43" s="64" t="str">
        <f>IFERROR(M43/O43-1,"n/a")</f>
        <v>n/a</v>
      </c>
      <c r="S43" s="60">
        <f>IFERROR(M43/P43-1,"n/a")</f>
        <v>-3.2102728731942198E-2</v>
      </c>
      <c r="T43" s="89">
        <v>336</v>
      </c>
      <c r="U43" s="70">
        <v>43</v>
      </c>
      <c r="V43" s="78">
        <v>781</v>
      </c>
    </row>
    <row r="44" spans="1:22" s="9" customFormat="1" ht="15" customHeight="1">
      <c r="C44" s="33"/>
      <c r="D44" s="26" t="s">
        <v>11</v>
      </c>
      <c r="E44" s="32"/>
      <c r="F44" s="74">
        <f>F17</f>
        <v>298256</v>
      </c>
      <c r="G44" s="74">
        <f>G17</f>
        <v>174505</v>
      </c>
      <c r="H44" s="74">
        <v>0</v>
      </c>
      <c r="I44" s="74">
        <f>I17</f>
        <v>332808</v>
      </c>
      <c r="J44" s="64">
        <f>IFERROR(F44/G44-1,"n/a")</f>
        <v>0.7091544654880948</v>
      </c>
      <c r="K44" s="64" t="str">
        <f>IFERROR(F44/H44-1,"n/a")</f>
        <v>n/a</v>
      </c>
      <c r="L44" s="60">
        <f>IFERROR(F44/I44-1,"n/a")</f>
        <v>-0.10381961972067977</v>
      </c>
      <c r="M44" s="82">
        <f>+M17-'Mar-22'!M14</f>
        <v>1511532</v>
      </c>
      <c r="N44" s="82">
        <f>+N17-'Mar-22'!N14</f>
        <v>342388</v>
      </c>
      <c r="O44" s="82">
        <f>+O17-'Mar-22'!O14</f>
        <v>0</v>
      </c>
      <c r="P44" s="82">
        <f>+P17-'Mar-22'!P14</f>
        <v>1978352</v>
      </c>
      <c r="Q44" s="64">
        <f>IFERROR(M44/N44-1,"n/a")</f>
        <v>3.4146757479818222</v>
      </c>
      <c r="R44" s="64" t="str">
        <f>IFERROR(M44/O44-1,"n/a")</f>
        <v>n/a</v>
      </c>
      <c r="S44" s="60">
        <f>IFERROR(M44/P44-1,"n/a")</f>
        <v>-0.23596407514941731</v>
      </c>
      <c r="T44" s="89">
        <v>533563</v>
      </c>
      <c r="U44" s="84">
        <v>140552</v>
      </c>
      <c r="V44" s="78">
        <v>2441594</v>
      </c>
    </row>
    <row r="45" spans="1:22"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1:22" s="9" customFormat="1" ht="15" customHeight="1">
      <c r="C46" s="33"/>
      <c r="D46" s="26" t="s">
        <v>5</v>
      </c>
      <c r="E46" s="32"/>
      <c r="F46" s="74">
        <f>F19</f>
        <v>75</v>
      </c>
      <c r="G46" s="71">
        <f>G19</f>
        <v>9</v>
      </c>
      <c r="H46" s="74">
        <v>0</v>
      </c>
      <c r="I46" s="74">
        <f>I19</f>
        <v>21</v>
      </c>
      <c r="J46" s="64">
        <f>IFERROR(F46/G46-1,"n/a")</f>
        <v>7.3333333333333339</v>
      </c>
      <c r="K46" s="64" t="str">
        <f>IFERROR(F46/H46-1,"n/a")</f>
        <v>n/a</v>
      </c>
      <c r="L46" s="60">
        <f>IFERROR(F46/I46-1,"n/a")</f>
        <v>2.5714285714285716</v>
      </c>
      <c r="M46" s="70">
        <f>+M19-'Mar-22'!M16</f>
        <v>424</v>
      </c>
      <c r="N46" s="82">
        <f>+N19-'Mar-22'!N16</f>
        <v>11</v>
      </c>
      <c r="O46" s="82">
        <f>+O19-'Mar-22'!O16</f>
        <v>1</v>
      </c>
      <c r="P46" s="82">
        <f>+P19-'Mar-22'!P16</f>
        <v>166</v>
      </c>
      <c r="Q46" s="64">
        <f>IFERROR(M46/N46-1,"n/a")</f>
        <v>37.545454545454547</v>
      </c>
      <c r="R46" s="64">
        <f>IFERROR(M46/O46-1,"n/a")</f>
        <v>423</v>
      </c>
      <c r="S46" s="60">
        <f>IFERROR(M46/P46-1,"n/a")</f>
        <v>1.5542168674698793</v>
      </c>
      <c r="T46" s="89">
        <v>33</v>
      </c>
      <c r="U46" s="70">
        <v>4</v>
      </c>
      <c r="V46" s="78">
        <v>188</v>
      </c>
    </row>
    <row r="47" spans="1:22" s="9" customFormat="1" ht="15" customHeight="1">
      <c r="C47" s="33"/>
      <c r="D47" s="26" t="s">
        <v>11</v>
      </c>
      <c r="E47" s="32"/>
      <c r="F47" s="74">
        <f>F20</f>
        <v>102128</v>
      </c>
      <c r="G47" s="71">
        <f>G20</f>
        <v>3111</v>
      </c>
      <c r="H47" s="74">
        <v>0</v>
      </c>
      <c r="I47" s="74">
        <f>I20</f>
        <v>28163</v>
      </c>
      <c r="J47" s="64">
        <f>IFERROR(F47/G47-1,"n/a")</f>
        <v>31.828029572484731</v>
      </c>
      <c r="K47" s="64" t="str">
        <f>IFERROR(F47/H47-1,"n/a")</f>
        <v>n/a</v>
      </c>
      <c r="L47" s="60">
        <f>IFERROR(F47/I47-1,"n/a")</f>
        <v>2.6263182189397436</v>
      </c>
      <c r="M47" s="82">
        <f>+M20-'Mar-22'!M17</f>
        <v>523048</v>
      </c>
      <c r="N47" s="82">
        <f>+N20-'Mar-22'!N17</f>
        <v>3535</v>
      </c>
      <c r="O47" s="82">
        <f>+O20-'Mar-22'!O17</f>
        <v>111</v>
      </c>
      <c r="P47" s="82">
        <f>+P20-'Mar-22'!P17</f>
        <v>226403</v>
      </c>
      <c r="Q47" s="64">
        <f>IFERROR(M47/N47-1,"n/a")</f>
        <v>146.96265912305518</v>
      </c>
      <c r="R47" s="64">
        <f>IFERROR(M47/O47-1,"n/a")</f>
        <v>4711.1441441441439</v>
      </c>
      <c r="S47" s="60">
        <f>IFERROR(M47/P47-1,"n/a")</f>
        <v>1.3102520726315463</v>
      </c>
      <c r="T47" s="82">
        <v>10083</v>
      </c>
      <c r="U47" s="84">
        <v>1753</v>
      </c>
      <c r="V47" s="78">
        <f>176097+74816</f>
        <v>250913</v>
      </c>
    </row>
    <row r="48" spans="1:22"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3:22" s="9" customFormat="1" ht="15" customHeight="1">
      <c r="C49" s="33"/>
      <c r="D49" s="26" t="s">
        <v>5</v>
      </c>
      <c r="E49" s="34"/>
      <c r="F49" s="73">
        <f>F22</f>
        <v>74</v>
      </c>
      <c r="G49" s="74">
        <f>G22</f>
        <v>85</v>
      </c>
      <c r="H49" s="74">
        <v>0</v>
      </c>
      <c r="I49" s="74">
        <f>I22</f>
        <v>97</v>
      </c>
      <c r="J49" s="64">
        <f>IFERROR(F49/G49-1,"n/a")</f>
        <v>-0.12941176470588234</v>
      </c>
      <c r="K49" s="64" t="str">
        <f>IFERROR(F49/H49-1,"n/a")</f>
        <v>n/a</v>
      </c>
      <c r="L49" s="60">
        <f>IFERROR(F49/I49-1,"n/a")</f>
        <v>-0.23711340206185572</v>
      </c>
      <c r="M49" s="70">
        <f>+M22-'Mar-22'!M19</f>
        <v>585</v>
      </c>
      <c r="N49" s="70">
        <f>+N22-'Mar-22'!N19</f>
        <v>215</v>
      </c>
      <c r="O49" s="70">
        <f>+O22-'Mar-22'!O19</f>
        <v>42</v>
      </c>
      <c r="P49" s="70">
        <f>+P22-'Mar-22'!P19</f>
        <v>637</v>
      </c>
      <c r="Q49" s="64">
        <f>IFERROR(M49/N49-1,"n/a")</f>
        <v>1.7209302325581395</v>
      </c>
      <c r="R49" s="64">
        <f>IFERROR(M49/O49-1,"n/a")</f>
        <v>12.928571428571429</v>
      </c>
      <c r="S49" s="60">
        <f>IFERROR(M49/P49-1,"n/a")</f>
        <v>-8.1632653061224469E-2</v>
      </c>
      <c r="T49" s="89">
        <v>744</v>
      </c>
      <c r="U49" s="84">
        <v>406</v>
      </c>
      <c r="V49" s="78">
        <v>1253</v>
      </c>
    </row>
    <row r="50" spans="3:22" s="9" customFormat="1" ht="15" customHeight="1">
      <c r="C50" s="33"/>
      <c r="D50" s="26" t="s">
        <v>11</v>
      </c>
      <c r="E50" s="32"/>
      <c r="F50" s="73">
        <f>F23</f>
        <v>260968</v>
      </c>
      <c r="G50" s="74">
        <f>G23</f>
        <v>142400</v>
      </c>
      <c r="H50" s="74">
        <v>0</v>
      </c>
      <c r="I50" s="74">
        <f>I23</f>
        <v>268813</v>
      </c>
      <c r="J50" s="64">
        <f>IFERROR(F50/G50-1,"n/a")</f>
        <v>0.83264044943820226</v>
      </c>
      <c r="K50" s="64" t="str">
        <f>IFERROR(F50/H50-1,"n/a")</f>
        <v>n/a</v>
      </c>
      <c r="L50" s="60">
        <f>IFERROR(F50/I50-1,"n/a")</f>
        <v>-2.9183856435514688E-2</v>
      </c>
      <c r="M50" s="82">
        <f>+M23-'Mar-22'!M20</f>
        <v>1853867</v>
      </c>
      <c r="N50" s="82">
        <f>+N23-'Mar-22'!N20</f>
        <v>324210</v>
      </c>
      <c r="O50" s="82">
        <f>+O23-'Mar-22'!O20</f>
        <v>0</v>
      </c>
      <c r="P50" s="82">
        <f>+P23-'Mar-22'!P20</f>
        <v>2075631</v>
      </c>
      <c r="Q50" s="64">
        <f>IFERROR(M50/N50-1,"n/a")</f>
        <v>4.7181055488726447</v>
      </c>
      <c r="R50" s="64" t="str">
        <f>IFERROR(M50/O50-1,"n/a")</f>
        <v>n/a</v>
      </c>
      <c r="S50" s="60">
        <f>IFERROR(M50/P50-1,"n/a")</f>
        <v>-0.10684172668456005</v>
      </c>
      <c r="T50" s="82">
        <v>1290779</v>
      </c>
      <c r="U50" s="84">
        <v>833999</v>
      </c>
      <c r="V50" s="78">
        <v>3627458</v>
      </c>
    </row>
    <row r="51" spans="3:22"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3:22" s="9" customFormat="1" ht="15" customHeight="1">
      <c r="C52" s="33"/>
      <c r="D52" s="26" t="s">
        <v>5</v>
      </c>
      <c r="E52" s="32"/>
      <c r="F52" s="74">
        <f t="shared" ref="F52:I53" si="5">F25</f>
        <v>45</v>
      </c>
      <c r="G52" s="74">
        <f t="shared" si="5"/>
        <v>16</v>
      </c>
      <c r="H52" s="71">
        <f t="shared" si="5"/>
        <v>8</v>
      </c>
      <c r="I52" s="74">
        <f t="shared" si="5"/>
        <v>64</v>
      </c>
      <c r="J52" s="64">
        <f>IFERROR(F52/G52-1,"n/a")</f>
        <v>1.8125</v>
      </c>
      <c r="K52" s="64">
        <f>IFERROR(F52/H52-1,"n/a")</f>
        <v>4.625</v>
      </c>
      <c r="L52" s="60">
        <f>IFERROR(F52/I52-1,"n/a")</f>
        <v>-0.296875</v>
      </c>
      <c r="M52" s="70">
        <f>+M25-'Mar-22'!M22</f>
        <v>244</v>
      </c>
      <c r="N52" s="70">
        <f>+N25-'Mar-22'!N22</f>
        <v>78</v>
      </c>
      <c r="O52" s="82">
        <f>+O25-'Mar-22'!O22</f>
        <v>15</v>
      </c>
      <c r="P52" s="70">
        <f>+P25-'Mar-22'!P22</f>
        <v>288</v>
      </c>
      <c r="Q52" s="64">
        <f>IFERROR(M52/N52-1,"n/a")</f>
        <v>2.1282051282051282</v>
      </c>
      <c r="R52" s="64">
        <f>IFERROR(M52/O52-1,"n/a")</f>
        <v>15.266666666666666</v>
      </c>
      <c r="S52" s="60">
        <f>IFERROR(M52/P52-1,"n/a")</f>
        <v>-0.15277777777777779</v>
      </c>
      <c r="T52" s="89">
        <v>121</v>
      </c>
      <c r="U52" s="70">
        <v>41</v>
      </c>
      <c r="V52" s="78">
        <v>361</v>
      </c>
    </row>
    <row r="53" spans="3:22" s="9" customFormat="1" ht="15" customHeight="1">
      <c r="C53" s="33"/>
      <c r="D53" s="26" t="s">
        <v>11</v>
      </c>
      <c r="E53" s="32"/>
      <c r="F53" s="74">
        <f t="shared" si="5"/>
        <v>59330</v>
      </c>
      <c r="G53" s="74">
        <f t="shared" si="5"/>
        <v>16203</v>
      </c>
      <c r="H53" s="71">
        <f t="shared" si="5"/>
        <v>8362</v>
      </c>
      <c r="I53" s="74">
        <f t="shared" si="5"/>
        <v>130501</v>
      </c>
      <c r="J53" s="64">
        <f>IFERROR(F53/G53-1,"n/a")</f>
        <v>2.6616675924211566</v>
      </c>
      <c r="K53" s="64">
        <f>IFERROR(F53/H53-1,"n/a")</f>
        <v>6.0951925376704139</v>
      </c>
      <c r="L53" s="60">
        <f>IFERROR(F53/I53-1,"n/a")</f>
        <v>-0.54536746844851769</v>
      </c>
      <c r="M53" s="82">
        <f>+M26-'Mar-22'!M23</f>
        <v>456816</v>
      </c>
      <c r="N53" s="82">
        <f>+N26-'Mar-22'!N23</f>
        <v>109254</v>
      </c>
      <c r="O53" s="82">
        <f>+O26-'Mar-22'!O23</f>
        <v>15441</v>
      </c>
      <c r="P53" s="82">
        <f>+P26-'Mar-22'!P23</f>
        <v>742409</v>
      </c>
      <c r="Q53" s="64">
        <f>IFERROR(M53/N53-1,"n/a")</f>
        <v>3.1812290625514859</v>
      </c>
      <c r="R53" s="64">
        <f>IFERROR(M53/O53-1,"n/a")</f>
        <v>28.584612395570236</v>
      </c>
      <c r="S53" s="60">
        <f>IFERROR(M53/P53-1,"n/a")</f>
        <v>-0.38468418351609424</v>
      </c>
      <c r="T53" s="82">
        <v>165689</v>
      </c>
      <c r="U53" s="84">
        <v>67144</v>
      </c>
      <c r="V53" s="78">
        <v>865961</v>
      </c>
    </row>
    <row r="54" spans="3:22" ht="15" customHeight="1">
      <c r="C54" s="31" t="s">
        <v>17</v>
      </c>
      <c r="D54" s="26"/>
      <c r="E54" s="32"/>
      <c r="F54" s="72"/>
      <c r="G54" s="72"/>
      <c r="H54" s="72"/>
      <c r="I54" s="72"/>
      <c r="J54" s="64"/>
      <c r="K54" s="64"/>
      <c r="L54" s="60"/>
      <c r="M54" s="87"/>
      <c r="N54" s="87"/>
      <c r="O54" s="87"/>
      <c r="P54" s="87"/>
      <c r="Q54" s="64"/>
      <c r="R54" s="64"/>
      <c r="S54" s="60"/>
      <c r="T54" s="90"/>
      <c r="U54" s="44"/>
      <c r="V54" s="79"/>
    </row>
    <row r="55" spans="3:22" ht="15.75" customHeight="1">
      <c r="C55" s="33"/>
      <c r="D55" s="26" t="s">
        <v>5</v>
      </c>
      <c r="E55" s="32"/>
      <c r="F55" s="74">
        <f t="shared" ref="F55:I56" si="6">F28</f>
        <v>85</v>
      </c>
      <c r="G55" s="74">
        <f t="shared" si="6"/>
        <v>28</v>
      </c>
      <c r="H55" s="71">
        <f t="shared" si="6"/>
        <v>12</v>
      </c>
      <c r="I55" s="74">
        <f t="shared" si="6"/>
        <v>71</v>
      </c>
      <c r="J55" s="64">
        <f>IFERROR(F55/G55-1,"n/a")</f>
        <v>2.0357142857142856</v>
      </c>
      <c r="K55" s="64">
        <f>IFERROR(F55/H55-1,"n/a")</f>
        <v>6.083333333333333</v>
      </c>
      <c r="L55" s="60">
        <f>IFERROR(F55/I55-1,"n/a")</f>
        <v>0.19718309859154926</v>
      </c>
      <c r="M55" s="70">
        <f>+M28-'Mar-22'!M25</f>
        <v>490</v>
      </c>
      <c r="N55" s="70">
        <f>+N28-'Mar-22'!N25</f>
        <v>104</v>
      </c>
      <c r="O55" s="70">
        <f>+O28-'Mar-22'!O25</f>
        <v>23</v>
      </c>
      <c r="P55" s="70">
        <f>+P28-'Mar-22'!P25</f>
        <v>324</v>
      </c>
      <c r="Q55" s="64">
        <f>IFERROR(M55/N55-1,"n/a")</f>
        <v>3.7115384615384617</v>
      </c>
      <c r="R55" s="64">
        <f>IFERROR(M55/O55-1,"n/a")</f>
        <v>20.304347826086957</v>
      </c>
      <c r="S55" s="60">
        <f>IFERROR(M55/P55-1,"n/a")</f>
        <v>0.51234567901234573</v>
      </c>
      <c r="T55" s="89">
        <v>140</v>
      </c>
      <c r="U55" s="70">
        <v>40</v>
      </c>
      <c r="V55" s="78">
        <v>360</v>
      </c>
    </row>
    <row r="56" spans="3:22" ht="15.75" customHeight="1">
      <c r="C56" s="33"/>
      <c r="D56" s="26" t="s">
        <v>11</v>
      </c>
      <c r="E56" s="32"/>
      <c r="F56" s="74">
        <f t="shared" si="6"/>
        <v>139070</v>
      </c>
      <c r="G56" s="74">
        <f t="shared" si="6"/>
        <v>32614</v>
      </c>
      <c r="H56" s="71">
        <f t="shared" si="6"/>
        <v>5592</v>
      </c>
      <c r="I56" s="74">
        <f t="shared" si="6"/>
        <v>138907</v>
      </c>
      <c r="J56" s="64">
        <f>IFERROR(F56/G56-1,"n/a")</f>
        <v>3.2641197031949467</v>
      </c>
      <c r="K56" s="64">
        <f>IFERROR(F56/H56-1,"n/a")</f>
        <v>23.869456366237483</v>
      </c>
      <c r="L56" s="60">
        <f>IFERROR(F56/I56-1,"n/a")</f>
        <v>1.1734469825135374E-3</v>
      </c>
      <c r="M56" s="82">
        <f>+M29-'Mar-22'!M26</f>
        <v>820758</v>
      </c>
      <c r="N56" s="82">
        <f>+N29-'Mar-22'!N26</f>
        <v>148134</v>
      </c>
      <c r="O56" s="82">
        <f>+O29-'Mar-22'!O26</f>
        <v>15420</v>
      </c>
      <c r="P56" s="82">
        <f>+P29-'Mar-22'!P26</f>
        <v>833578</v>
      </c>
      <c r="Q56" s="64">
        <f>IFERROR(M56/N56-1,"n/a")</f>
        <v>4.5406456316578234</v>
      </c>
      <c r="R56" s="64">
        <f>IFERROR(M56/O56-1,"n/a")</f>
        <v>52.226848249027235</v>
      </c>
      <c r="S56" s="60">
        <f>IFERROR(M56/P56-1,"n/a")</f>
        <v>-1.5379484583326386E-2</v>
      </c>
      <c r="T56" s="82">
        <v>174336</v>
      </c>
      <c r="U56" s="84">
        <v>21928</v>
      </c>
      <c r="V56" s="78">
        <f>706948+155011</f>
        <v>861959</v>
      </c>
    </row>
    <row r="57" spans="3:22" ht="27" customHeight="1" thickBot="1">
      <c r="C57" s="35" t="s">
        <v>12</v>
      </c>
      <c r="D57" s="36"/>
      <c r="E57" s="37"/>
      <c r="F57" s="75">
        <f t="shared" ref="F57:I58" si="7">F40+F43+F46+F49+F52+F55</f>
        <v>412</v>
      </c>
      <c r="G57" s="75">
        <f t="shared" si="7"/>
        <v>249</v>
      </c>
      <c r="H57" s="75">
        <f t="shared" si="7"/>
        <v>20</v>
      </c>
      <c r="I57" s="75">
        <f t="shared" si="7"/>
        <v>393</v>
      </c>
      <c r="J57" s="66">
        <f>IFERROR(F57/G57-1,"n/a")</f>
        <v>0.65461847389558225</v>
      </c>
      <c r="K57" s="66">
        <f>IFERROR(F57/H57-1,"n/a")</f>
        <v>19.600000000000001</v>
      </c>
      <c r="L57" s="62">
        <f>IFERROR(F57/I57-1,"n/a")</f>
        <v>4.8346055979643809E-2</v>
      </c>
      <c r="M57" s="46">
        <f t="shared" ref="M57:P58" si="8">M40+M43+M46+M49+M52+M55</f>
        <v>2382</v>
      </c>
      <c r="N57" s="46">
        <f t="shared" si="8"/>
        <v>619</v>
      </c>
      <c r="O57" s="46">
        <f t="shared" si="8"/>
        <v>81</v>
      </c>
      <c r="P57" s="46">
        <f t="shared" si="8"/>
        <v>2104</v>
      </c>
      <c r="Q57" s="66">
        <f>IFERROR(M57/N57-1,"n/a")</f>
        <v>2.8481421647819065</v>
      </c>
      <c r="R57" s="66">
        <f>IFERROR(M57/O57-1,"n/a")</f>
        <v>28.407407407407408</v>
      </c>
      <c r="S57" s="62">
        <f>IFERROR(M57/P57-1,"n/a")</f>
        <v>0.13212927756653992</v>
      </c>
      <c r="T57" s="46">
        <f t="shared" ref="T57:V58" si="9">T40+T43+T46+T49+T52+T55</f>
        <v>1682</v>
      </c>
      <c r="U57" s="46">
        <f t="shared" si="9"/>
        <v>679</v>
      </c>
      <c r="V57" s="80">
        <f t="shared" si="9"/>
        <v>3274</v>
      </c>
    </row>
    <row r="58" spans="3:22" ht="27" customHeight="1" thickTop="1" thickBot="1">
      <c r="C58" s="38" t="s">
        <v>13</v>
      </c>
      <c r="D58" s="39"/>
      <c r="E58" s="40"/>
      <c r="F58" s="76">
        <f t="shared" si="7"/>
        <v>867362</v>
      </c>
      <c r="G58" s="76">
        <f t="shared" si="7"/>
        <v>369553</v>
      </c>
      <c r="H58" s="76">
        <f t="shared" si="7"/>
        <v>13954</v>
      </c>
      <c r="I58" s="76">
        <f t="shared" si="7"/>
        <v>930242</v>
      </c>
      <c r="J58" s="67">
        <f>IFERROR(F58/G58-1,"n/a")</f>
        <v>1.3470571203589201</v>
      </c>
      <c r="K58" s="67">
        <f>IFERROR(F58/H58-1,"n/a")</f>
        <v>61.158664182313316</v>
      </c>
      <c r="L58" s="63">
        <f>IFERROR(F58/I58-1,"n/a")</f>
        <v>-6.7595313907563792E-2</v>
      </c>
      <c r="M58" s="47">
        <f t="shared" si="8"/>
        <v>5216385</v>
      </c>
      <c r="N58" s="47">
        <f t="shared" si="8"/>
        <v>932442</v>
      </c>
      <c r="O58" s="47">
        <f t="shared" si="8"/>
        <v>30972</v>
      </c>
      <c r="P58" s="47">
        <f t="shared" si="8"/>
        <v>5994322</v>
      </c>
      <c r="Q58" s="67">
        <f>IFERROR(M58/N58-1,"n/a")</f>
        <v>4.59432651038885</v>
      </c>
      <c r="R58" s="67">
        <f>IFERROR(M58/O58-1,"n/a")</f>
        <v>167.42260751646648</v>
      </c>
      <c r="S58" s="63">
        <f>IFERROR(M58/P58-1,"n/a")</f>
        <v>-0.12977898084220363</v>
      </c>
      <c r="T58" s="47">
        <f t="shared" si="9"/>
        <v>2411641</v>
      </c>
      <c r="U58" s="47">
        <f t="shared" si="9"/>
        <v>1324261</v>
      </c>
      <c r="V58" s="81">
        <f t="shared" si="9"/>
        <v>8654686</v>
      </c>
    </row>
    <row r="59" spans="3:22" ht="12" customHeight="1" thickTop="1"/>
    <row r="60" spans="3:22" ht="27" customHeight="1"/>
    <row r="61" spans="3:22" ht="27" customHeight="1"/>
    <row r="62" spans="3:22" ht="27" customHeight="1"/>
    <row r="63" spans="3:22" ht="27" customHeight="1"/>
    <row r="64" spans="3:22" ht="27" customHeight="1"/>
    <row r="65" ht="27" customHeight="1"/>
  </sheetData>
  <mergeCells count="6">
    <mergeCell ref="F9:L9"/>
    <mergeCell ref="M9:S9"/>
    <mergeCell ref="T9:V9"/>
    <mergeCell ref="F36:L36"/>
    <mergeCell ref="M36:S36"/>
    <mergeCell ref="T36:V36"/>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586577"/>
    <pageSetUpPr fitToPage="1"/>
  </sheetPr>
  <dimension ref="A1:AH44"/>
  <sheetViews>
    <sheetView showGridLines="0" zoomScale="85" zoomScaleNormal="85" workbookViewId="0"/>
  </sheetViews>
  <sheetFormatPr defaultColWidth="0" defaultRowHeight="0" customHeight="1" zeroHeight="1"/>
  <cols>
    <col min="1" max="2" width="2.5703125" style="2" customWidth="1"/>
    <col min="3" max="3" width="20.85546875" style="2" customWidth="1"/>
    <col min="4" max="4" width="10.5703125" style="2" bestFit="1" customWidth="1"/>
    <col min="5" max="8" width="9.140625" style="2" customWidth="1"/>
    <col min="9" max="9" width="14.140625" style="2" customWidth="1"/>
    <col min="10" max="10" width="5" style="2" customWidth="1"/>
    <col min="11" max="11" width="9.140625" style="2" customWidth="1"/>
    <col min="12" max="12" width="4.85546875" style="2" customWidth="1"/>
    <col min="13" max="16" width="9.140625" style="2" customWidth="1"/>
    <col min="17" max="17" width="3.5703125" style="2" customWidth="1"/>
    <col min="18" max="18" width="10.140625" style="2" customWidth="1"/>
    <col min="19" max="33" width="10.140625" style="2" hidden="1" customWidth="1"/>
    <col min="34" max="34" width="4.85546875" style="2" hidden="1" customWidth="1"/>
    <col min="35" max="16384" width="10.140625" style="2" hidden="1"/>
  </cols>
  <sheetData>
    <row r="1" spans="2:34" ht="23.25">
      <c r="B1" s="13"/>
      <c r="C1" s="14"/>
      <c r="D1" s="14"/>
      <c r="E1" s="14"/>
      <c r="F1" s="14"/>
      <c r="G1" s="14"/>
      <c r="H1" s="14"/>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pans="2:34" ht="19.5" thickBot="1">
      <c r="B2" s="13"/>
      <c r="C2" s="8" t="s">
        <v>6</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3"/>
    </row>
    <row r="3" spans="2:34" ht="13.5">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2:34" ht="17.25" customHeight="1">
      <c r="B4" s="13"/>
      <c r="C4" s="17" t="s">
        <v>84</v>
      </c>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row>
    <row r="5" spans="2:34" ht="17.25"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2:34" ht="17.25" customHeight="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ht="17.25" customHeight="1">
      <c r="B7" s="13"/>
      <c r="C7" s="17"/>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ht="17.25" customHeight="1">
      <c r="B8" s="13"/>
      <c r="C8" s="13"/>
      <c r="D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ht="17.25" customHeight="1">
      <c r="B9" s="13"/>
      <c r="C9" s="13"/>
      <c r="D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ht="17.25" customHeight="1">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ht="17.25" customHeight="1">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7.25" customHeight="1">
      <c r="B12" s="13"/>
      <c r="C12" s="17"/>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7.25" customHeight="1">
      <c r="B13" s="13"/>
      <c r="C13" s="42"/>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7.25" customHeight="1">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ht="17.25" customHeight="1">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ht="17.25" customHeight="1">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ht="17.25" customHeight="1">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ht="17.25" customHeight="1">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7.25" customHeight="1">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ht="17.25" customHeight="1">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ht="17.25" customHeight="1">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ht="17.25" customHeight="1">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ht="17.2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7.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ht="17.25" customHeight="1">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ht="17.25" customHeight="1">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ht="17.25" hidden="1" customHeight="1">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ht="17.25" hidden="1"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7.25" hidden="1" customHeight="1">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ht="13.5" hidden="1" customHeight="1"/>
    <row r="31" spans="2:34" ht="13.5" hidden="1" customHeight="1"/>
    <row r="32" spans="2:34" ht="13.5" hidden="1"/>
    <row r="33" ht="13.5" hidden="1"/>
    <row r="34" ht="13.5" hidden="1"/>
    <row r="35" ht="13.5" hidden="1"/>
    <row r="36" ht="13.5" hidden="1"/>
    <row r="37" ht="13.5" hidden="1"/>
    <row r="38" ht="13.5" hidden="1"/>
    <row r="39" ht="12.75" hidden="1" customHeight="1"/>
    <row r="40" ht="12.75" hidden="1" customHeight="1"/>
    <row r="41" ht="12.75" hidden="1" customHeight="1"/>
    <row r="42" ht="12.75" hidden="1" customHeight="1"/>
    <row r="43" ht="12.75" hidden="1" customHeight="1"/>
    <row r="44" ht="12.75" hidden="1" customHeight="1"/>
  </sheetData>
  <pageMargins left="0.7" right="0.7" top="0.75" bottom="0.75" header="0.3" footer="0.3"/>
  <pageSetup paperSize="9" scale="62"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AT59"/>
  <sheetViews>
    <sheetView showGridLines="0" topLeftCell="A17" zoomScaleNormal="100" zoomScalePageLayoutView="40" workbookViewId="0"/>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1.42578125" customWidth="1"/>
    <col min="17" max="17" width="8.85546875" customWidth="1"/>
    <col min="18" max="18" width="9.140625" bestFit="1" customWidth="1"/>
    <col min="19" max="19" width="8.85546875" customWidth="1"/>
    <col min="20" max="21" width="10.42578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85</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70" t="s">
        <v>22</v>
      </c>
      <c r="G9" s="170"/>
      <c r="H9" s="170"/>
      <c r="I9" s="170"/>
      <c r="J9" s="170"/>
      <c r="K9" s="170"/>
      <c r="L9" s="171"/>
      <c r="M9" s="169" t="s">
        <v>86</v>
      </c>
      <c r="N9" s="170"/>
      <c r="O9" s="170"/>
      <c r="P9" s="170"/>
      <c r="Q9" s="170"/>
      <c r="R9" s="170"/>
      <c r="S9" s="171"/>
      <c r="T9" s="169" t="s">
        <v>57</v>
      </c>
      <c r="U9" s="170"/>
      <c r="V9" s="172"/>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74">
        <v>2</v>
      </c>
      <c r="G13" s="71">
        <v>3</v>
      </c>
      <c r="H13" s="71">
        <v>0</v>
      </c>
      <c r="I13" s="71">
        <v>3</v>
      </c>
      <c r="J13" s="64">
        <f t="shared" ref="J13:J31" si="0">IFERROR(F13/G13-1,"n/a")</f>
        <v>-0.33333333333333337</v>
      </c>
      <c r="K13" s="64" t="str">
        <f>IFERROR(F13/H13-1,"n/a")</f>
        <v>n/a</v>
      </c>
      <c r="L13" s="60">
        <f>IFERROR(F13/I13-1,"n/a")</f>
        <v>-0.33333333333333337</v>
      </c>
      <c r="M13" s="68">
        <f>F13+'Aug-22'!M13</f>
        <v>229</v>
      </c>
      <c r="N13" s="68">
        <f>G13+'Aug-22'!N13</f>
        <v>16</v>
      </c>
      <c r="O13" s="68">
        <f>H13+'Aug-22'!O13</f>
        <v>145</v>
      </c>
      <c r="P13" s="68">
        <f>I13+'Aug-22'!P13</f>
        <v>253</v>
      </c>
      <c r="Q13" s="64">
        <f>IFERROR(M13/N13-1,"n/a")</f>
        <v>13.3125</v>
      </c>
      <c r="R13" s="64">
        <f>IFERROR(M13/O13-1,"n/a")</f>
        <v>0.57931034482758625</v>
      </c>
      <c r="S13" s="60">
        <f>IFERROR(M13/P13-1,"n/a")</f>
        <v>-9.4861660079051391E-2</v>
      </c>
      <c r="T13" s="68">
        <v>111</v>
      </c>
      <c r="U13" s="70">
        <v>145</v>
      </c>
      <c r="V13" s="78">
        <v>386</v>
      </c>
    </row>
    <row r="14" spans="1:38" ht="15">
      <c r="A14" s="9"/>
      <c r="B14" s="12"/>
      <c r="C14" s="33"/>
      <c r="D14" s="26" t="s">
        <v>11</v>
      </c>
      <c r="E14" s="32"/>
      <c r="F14" s="74">
        <v>4913</v>
      </c>
      <c r="G14" s="71">
        <v>1618</v>
      </c>
      <c r="H14" s="71">
        <v>0</v>
      </c>
      <c r="I14" s="71">
        <v>11148</v>
      </c>
      <c r="J14" s="64">
        <f t="shared" si="0"/>
        <v>2.0364647713226205</v>
      </c>
      <c r="K14" s="64" t="str">
        <f>IFERROR(F14/H14-1,"n/a")</f>
        <v>n/a</v>
      </c>
      <c r="L14" s="60">
        <f>IFERROR(F14/I14-1,"n/a")</f>
        <v>-0.55929314675278075</v>
      </c>
      <c r="M14" s="68">
        <f>F14+'Aug-22'!M14</f>
        <v>199082</v>
      </c>
      <c r="N14" s="68">
        <f>G14+'Aug-22'!N14</f>
        <v>4201</v>
      </c>
      <c r="O14" s="68">
        <f>H14+'Aug-22'!O14</f>
        <v>258885</v>
      </c>
      <c r="P14" s="68">
        <f>I14+'Aug-22'!P14</f>
        <v>492279</v>
      </c>
      <c r="Q14" s="64">
        <f>IFERROR(M14/N14-1,"n/a")</f>
        <v>46.389193049273985</v>
      </c>
      <c r="R14" s="64">
        <f>IFERROR(M14/O14-1,"n/a")</f>
        <v>-0.23100218243621684</v>
      </c>
      <c r="S14" s="60">
        <f>IFERROR(M14/P14-1,"n/a")</f>
        <v>-0.59559111804484854</v>
      </c>
      <c r="T14" s="68">
        <v>80863</v>
      </c>
      <c r="U14" s="70">
        <v>258885</v>
      </c>
      <c r="V14" s="78">
        <v>733296</v>
      </c>
    </row>
    <row r="15" spans="1:38" ht="15">
      <c r="A15" s="9"/>
      <c r="B15" s="12"/>
      <c r="C15" s="31" t="s">
        <v>74</v>
      </c>
      <c r="D15" s="26"/>
      <c r="E15" s="32"/>
      <c r="F15" s="26"/>
      <c r="G15" s="26"/>
      <c r="H15" s="26"/>
      <c r="I15" s="26"/>
      <c r="J15" s="64"/>
      <c r="K15" s="64"/>
      <c r="L15" s="61"/>
      <c r="M15" s="87"/>
      <c r="N15" s="87"/>
      <c r="O15" s="87"/>
      <c r="P15" s="87"/>
      <c r="Q15" s="64"/>
      <c r="R15" s="65"/>
      <c r="S15" s="61"/>
      <c r="T15" s="43"/>
      <c r="U15" s="44"/>
      <c r="V15" s="79"/>
    </row>
    <row r="16" spans="1:38" ht="15">
      <c r="A16" s="9"/>
      <c r="B16" s="12"/>
      <c r="C16" s="33"/>
      <c r="D16" s="26" t="s">
        <v>5</v>
      </c>
      <c r="E16" s="32"/>
      <c r="F16" s="74">
        <v>79</v>
      </c>
      <c r="G16" s="71">
        <v>46</v>
      </c>
      <c r="H16" s="71">
        <v>0</v>
      </c>
      <c r="I16" s="71">
        <v>86</v>
      </c>
      <c r="J16" s="64">
        <f t="shared" si="0"/>
        <v>0.71739130434782616</v>
      </c>
      <c r="K16" s="64" t="str">
        <f>IFERROR(F16/H16-1,"n/a")</f>
        <v>n/a</v>
      </c>
      <c r="L16" s="60">
        <f>IFERROR(F16/I16-1,"n/a")</f>
        <v>-8.1395348837209336E-2</v>
      </c>
      <c r="M16" s="68">
        <f>F16+'Aug-22'!M16</f>
        <v>527</v>
      </c>
      <c r="N16" s="68">
        <f>G16+'Aug-22'!N16</f>
        <v>84</v>
      </c>
      <c r="O16" s="68">
        <f>H16+'Aug-22'!O16</f>
        <v>43</v>
      </c>
      <c r="P16" s="68">
        <f>I16+'Aug-22'!P16</f>
        <v>585</v>
      </c>
      <c r="Q16" s="64">
        <f>IFERROR(M16/N16-1,"n/a")</f>
        <v>5.2738095238095237</v>
      </c>
      <c r="R16" s="64">
        <f>IFERROR(M16/O16-1,"n/a")</f>
        <v>11.255813953488373</v>
      </c>
      <c r="S16" s="60">
        <f>IFERROR(M16/P16-1,"n/a")</f>
        <v>-9.9145299145299126E-2</v>
      </c>
      <c r="T16" s="68">
        <v>283</v>
      </c>
      <c r="U16" s="70">
        <v>43</v>
      </c>
      <c r="V16" s="78">
        <v>827</v>
      </c>
    </row>
    <row r="17" spans="1:38" ht="15">
      <c r="A17" s="9"/>
      <c r="B17" s="12"/>
      <c r="C17" s="33"/>
      <c r="D17" s="26" t="s">
        <v>11</v>
      </c>
      <c r="E17" s="32"/>
      <c r="F17" s="74">
        <v>249427</v>
      </c>
      <c r="G17" s="71">
        <v>89719</v>
      </c>
      <c r="H17" s="71">
        <v>0</v>
      </c>
      <c r="I17" s="71">
        <v>304036</v>
      </c>
      <c r="J17" s="64">
        <f t="shared" si="0"/>
        <v>1.7800911735529823</v>
      </c>
      <c r="K17" s="64" t="str">
        <f>IFERROR(F17/H17-1,"n/a")</f>
        <v>n/a</v>
      </c>
      <c r="L17" s="60">
        <f>IFERROR(F17/I17-1,"n/a")</f>
        <v>-0.1796135983896644</v>
      </c>
      <c r="M17" s="68">
        <f>F17+'Aug-22'!M17</f>
        <v>1281730</v>
      </c>
      <c r="N17" s="68">
        <f>G17+'Aug-22'!N17</f>
        <v>167883</v>
      </c>
      <c r="O17" s="68">
        <f>H17+'Aug-22'!O17</f>
        <v>140552</v>
      </c>
      <c r="P17" s="68">
        <f>I17+'Aug-22'!P17</f>
        <v>1897444</v>
      </c>
      <c r="Q17" s="64">
        <f>IFERROR(M17/N17-1,"n/a")</f>
        <v>6.6346622350089053</v>
      </c>
      <c r="R17" s="64">
        <f>IFERROR(M17/O17-1,"n/a")</f>
        <v>8.1192583527804665</v>
      </c>
      <c r="S17" s="60">
        <f>IFERROR(M17/P17-1,"n/a")</f>
        <v>-0.32449653323102023</v>
      </c>
      <c r="T17" s="68">
        <v>465109</v>
      </c>
      <c r="U17" s="70">
        <v>140552</v>
      </c>
      <c r="V17" s="78">
        <v>2552942</v>
      </c>
    </row>
    <row r="18" spans="1:38" ht="15">
      <c r="A18" s="9"/>
      <c r="B18" s="12"/>
      <c r="C18" s="31" t="s">
        <v>15</v>
      </c>
      <c r="D18" s="26"/>
      <c r="E18" s="32"/>
      <c r="F18" s="72"/>
      <c r="G18" s="72"/>
      <c r="H18" s="72"/>
      <c r="I18" s="72"/>
      <c r="J18" s="64"/>
      <c r="K18" s="64"/>
      <c r="L18" s="60"/>
      <c r="M18" s="87"/>
      <c r="N18" s="87"/>
      <c r="O18" s="87"/>
      <c r="P18" s="87"/>
      <c r="Q18" s="64"/>
      <c r="R18" s="64"/>
      <c r="S18" s="60"/>
      <c r="T18" s="43"/>
      <c r="U18" s="44"/>
      <c r="V18" s="79"/>
    </row>
    <row r="19" spans="1:38" ht="15">
      <c r="A19" s="9"/>
      <c r="B19" s="12"/>
      <c r="C19" s="33"/>
      <c r="D19" s="26" t="s">
        <v>5</v>
      </c>
      <c r="E19" s="32"/>
      <c r="F19" s="74">
        <v>64</v>
      </c>
      <c r="G19" s="71">
        <v>2</v>
      </c>
      <c r="H19" s="71">
        <v>0</v>
      </c>
      <c r="I19" s="71">
        <v>23</v>
      </c>
      <c r="J19" s="64">
        <f t="shared" si="0"/>
        <v>31</v>
      </c>
      <c r="K19" s="64" t="str">
        <f>IFERROR(F19/H19-1,"n/a")</f>
        <v>n/a</v>
      </c>
      <c r="L19" s="60">
        <f>IFERROR(F19/I19-1,"n/a")</f>
        <v>1.7826086956521738</v>
      </c>
      <c r="M19" s="68">
        <f>F19+'Aug-22'!M19</f>
        <v>359</v>
      </c>
      <c r="N19" s="68">
        <f>G19+'Aug-22'!N19</f>
        <v>2</v>
      </c>
      <c r="O19" s="68">
        <f>H19+'Aug-22'!O19</f>
        <v>4</v>
      </c>
      <c r="P19" s="68">
        <f>I19+'Aug-22'!P19</f>
        <v>151</v>
      </c>
      <c r="Q19" s="64">
        <f>IFERROR(M19/N19-1,"n/a")</f>
        <v>178.5</v>
      </c>
      <c r="R19" s="64">
        <f>IFERROR(M19/O19-1,"n/a")</f>
        <v>88.75</v>
      </c>
      <c r="S19" s="60">
        <f>IFERROR(M19/P19-1,"n/a")</f>
        <v>1.3774834437086092</v>
      </c>
      <c r="T19" s="68">
        <v>23</v>
      </c>
      <c r="U19" s="70">
        <v>4</v>
      </c>
      <c r="V19" s="78">
        <v>191</v>
      </c>
    </row>
    <row r="20" spans="1:38" ht="15">
      <c r="A20" s="9"/>
      <c r="B20" s="12"/>
      <c r="C20" s="33"/>
      <c r="D20" s="26" t="s">
        <v>11</v>
      </c>
      <c r="E20" s="32"/>
      <c r="F20" s="74">
        <f>66521+13725</f>
        <v>80246</v>
      </c>
      <c r="G20" s="71">
        <v>424</v>
      </c>
      <c r="H20" s="71">
        <v>0</v>
      </c>
      <c r="I20" s="71">
        <v>35836</v>
      </c>
      <c r="J20" s="64">
        <f t="shared" si="0"/>
        <v>188.25943396226415</v>
      </c>
      <c r="K20" s="64" t="str">
        <f>IFERROR(F20/H20-1,"n/a")</f>
        <v>n/a</v>
      </c>
      <c r="L20" s="60">
        <f t="shared" ref="L20:L31" si="1">IFERROR(F20/I20-1,"n/a")</f>
        <v>1.2392566134613237</v>
      </c>
      <c r="M20" s="68">
        <f>F20+'Aug-22'!M20</f>
        <v>422392</v>
      </c>
      <c r="N20" s="68">
        <f>G20+'Aug-22'!N20</f>
        <v>424</v>
      </c>
      <c r="O20" s="68">
        <f>H20+'Aug-22'!O20</f>
        <v>1753</v>
      </c>
      <c r="P20" s="68">
        <f>I20+'Aug-22'!P20</f>
        <v>203378</v>
      </c>
      <c r="Q20" s="64">
        <f>IFERROR(M20/N20-1,"n/a")</f>
        <v>995.20754716981128</v>
      </c>
      <c r="R20" s="64">
        <f>IFERROR(M20/O20-1,"n/a")</f>
        <v>239.95379349686252</v>
      </c>
      <c r="S20" s="60">
        <f>IFERROR(M20/P20-1,"n/a")</f>
        <v>1.0768814719389512</v>
      </c>
      <c r="T20" s="68">
        <v>8611</v>
      </c>
      <c r="U20" s="70">
        <v>1753</v>
      </c>
      <c r="V20" s="78">
        <v>254421</v>
      </c>
    </row>
    <row r="21" spans="1:38" ht="15">
      <c r="A21" s="9"/>
      <c r="B21" s="12"/>
      <c r="C21" s="31" t="s">
        <v>10</v>
      </c>
      <c r="D21" s="26"/>
      <c r="E21" s="34"/>
      <c r="F21" s="72"/>
      <c r="G21" s="72"/>
      <c r="H21" s="72"/>
      <c r="I21" s="72"/>
      <c r="J21" s="64"/>
      <c r="K21" s="64"/>
      <c r="L21" s="60"/>
      <c r="M21" s="87"/>
      <c r="N21" s="87"/>
      <c r="O21" s="87"/>
      <c r="P21" s="87"/>
      <c r="Q21" s="64"/>
      <c r="R21" s="64"/>
      <c r="S21" s="60"/>
      <c r="T21" s="43"/>
      <c r="U21" s="44"/>
      <c r="V21" s="79"/>
    </row>
    <row r="22" spans="1:38" ht="15">
      <c r="A22" s="9"/>
      <c r="B22" s="12"/>
      <c r="C22" s="33"/>
      <c r="D22" s="26" t="s">
        <v>5</v>
      </c>
      <c r="E22" s="34"/>
      <c r="F22" s="74">
        <v>80</v>
      </c>
      <c r="G22" s="71">
        <v>57</v>
      </c>
      <c r="H22" s="71">
        <v>0</v>
      </c>
      <c r="I22" s="71">
        <v>76</v>
      </c>
      <c r="J22" s="64">
        <f t="shared" si="0"/>
        <v>0.40350877192982448</v>
      </c>
      <c r="K22" s="64" t="str">
        <f>IFERROR(F22/H22-1,"n/a")</f>
        <v>n/a</v>
      </c>
      <c r="L22" s="60">
        <f t="shared" si="1"/>
        <v>5.2631578947368363E-2</v>
      </c>
      <c r="M22" s="68">
        <f>F22+'Aug-22'!M22</f>
        <v>844</v>
      </c>
      <c r="N22" s="68">
        <f>G22+'Aug-22'!N22</f>
        <v>130</v>
      </c>
      <c r="O22" s="68">
        <f>H22+'Aug-22'!O22</f>
        <v>406</v>
      </c>
      <c r="P22" s="68">
        <f>I22+'Aug-22'!P22</f>
        <v>856</v>
      </c>
      <c r="Q22" s="64">
        <f>IFERROR(M22/N22-1,"n/a")</f>
        <v>5.4923076923076923</v>
      </c>
      <c r="R22" s="64">
        <f>IFERROR(M22/O22-1,"n/a")</f>
        <v>1.0788177339901477</v>
      </c>
      <c r="S22" s="60">
        <f>IFERROR(M22/P22-1,"n/a")</f>
        <v>-1.4018691588784993E-2</v>
      </c>
      <c r="T22" s="68">
        <v>411</v>
      </c>
      <c r="U22" s="70">
        <v>406</v>
      </c>
      <c r="V22" s="78">
        <v>1205</v>
      </c>
    </row>
    <row r="23" spans="1:38" ht="15">
      <c r="A23" s="9"/>
      <c r="B23" s="12"/>
      <c r="C23" s="33"/>
      <c r="D23" s="26" t="s">
        <v>11</v>
      </c>
      <c r="E23" s="32"/>
      <c r="F23" s="74">
        <v>275667</v>
      </c>
      <c r="G23" s="71">
        <v>81777</v>
      </c>
      <c r="H23" s="71">
        <v>0</v>
      </c>
      <c r="I23" s="71">
        <v>223305</v>
      </c>
      <c r="J23" s="64">
        <f t="shared" si="0"/>
        <v>2.3709600498917789</v>
      </c>
      <c r="K23" s="64" t="str">
        <f>IFERROR(F23/H23-1,"n/a")</f>
        <v>n/a</v>
      </c>
      <c r="L23" s="60">
        <f t="shared" si="1"/>
        <v>0.23448646470074563</v>
      </c>
      <c r="M23" s="68">
        <f>F23+'Aug-22'!M23</f>
        <v>2196229</v>
      </c>
      <c r="N23" s="68">
        <f>G23+'Aug-22'!N23</f>
        <v>181810</v>
      </c>
      <c r="O23" s="68">
        <f>H23+'Aug-22'!O23</f>
        <v>833999</v>
      </c>
      <c r="P23" s="68">
        <f>I23+'Aug-22'!P23</f>
        <v>2872542</v>
      </c>
      <c r="Q23" s="64">
        <f>IFERROR(M23/N23-1,"n/a")</f>
        <v>11.079803091139102</v>
      </c>
      <c r="R23" s="64">
        <f>IFERROR(M23/O23-1,"n/a")</f>
        <v>1.6333712630350874</v>
      </c>
      <c r="S23" s="60">
        <f>IFERROR(M23/P23-1,"n/a")</f>
        <v>-0.2354405958207052</v>
      </c>
      <c r="T23" s="68">
        <v>687449</v>
      </c>
      <c r="U23" s="70">
        <v>833999</v>
      </c>
      <c r="V23" s="78">
        <v>3859183</v>
      </c>
    </row>
    <row r="24" spans="1:38" ht="15">
      <c r="A24" s="9"/>
      <c r="B24" s="12"/>
      <c r="C24" s="31" t="s">
        <v>16</v>
      </c>
      <c r="D24" s="26"/>
      <c r="E24" s="32"/>
      <c r="F24" s="72"/>
      <c r="G24" s="72"/>
      <c r="H24" s="72"/>
      <c r="I24" s="72"/>
      <c r="J24" s="64"/>
      <c r="K24" s="64"/>
      <c r="L24" s="60"/>
      <c r="M24" s="87"/>
      <c r="N24" s="87"/>
      <c r="O24" s="87"/>
      <c r="P24" s="87"/>
      <c r="Q24" s="64"/>
      <c r="R24" s="64"/>
      <c r="S24" s="60"/>
      <c r="T24" s="43"/>
      <c r="U24" s="44"/>
      <c r="V24" s="79"/>
    </row>
    <row r="25" spans="1:38" ht="15">
      <c r="A25" s="9"/>
      <c r="B25" s="12"/>
      <c r="C25" s="33"/>
      <c r="D25" s="26" t="s">
        <v>5</v>
      </c>
      <c r="E25" s="32"/>
      <c r="F25" s="73">
        <v>34</v>
      </c>
      <c r="G25" s="71">
        <v>17</v>
      </c>
      <c r="H25" s="71">
        <v>5</v>
      </c>
      <c r="I25" s="71">
        <v>40</v>
      </c>
      <c r="J25" s="64">
        <f t="shared" si="0"/>
        <v>1</v>
      </c>
      <c r="K25" s="64">
        <f>IFERROR(F25/H25-1,"n/a")</f>
        <v>5.8</v>
      </c>
      <c r="L25" s="60">
        <f t="shared" si="1"/>
        <v>-0.15000000000000002</v>
      </c>
      <c r="M25" s="68">
        <f>F25+'Aug-22'!M25</f>
        <v>222</v>
      </c>
      <c r="N25" s="68">
        <f>G25+'Aug-22'!N25</f>
        <v>71</v>
      </c>
      <c r="O25" s="68">
        <f>H25+'Aug-22'!O25</f>
        <v>16</v>
      </c>
      <c r="P25" s="68">
        <f>I25+'Aug-22'!P25</f>
        <v>244</v>
      </c>
      <c r="Q25" s="64">
        <f>IFERROR(M25/N25-1,"n/a")</f>
        <v>2.1267605633802815</v>
      </c>
      <c r="R25" s="64">
        <f>IFERROR(M25/O25-1,"n/a")</f>
        <v>12.875</v>
      </c>
      <c r="S25" s="60">
        <f>IFERROR(M25/P25-1,"n/a")</f>
        <v>-9.0163934426229497E-2</v>
      </c>
      <c r="T25" s="68">
        <v>107</v>
      </c>
      <c r="U25" s="70">
        <v>32</v>
      </c>
      <c r="V25" s="78">
        <v>372</v>
      </c>
    </row>
    <row r="26" spans="1:38" ht="15">
      <c r="A26" s="9"/>
      <c r="B26" s="12"/>
      <c r="C26" s="33"/>
      <c r="D26" s="26" t="s">
        <v>11</v>
      </c>
      <c r="E26" s="32"/>
      <c r="F26" s="73">
        <v>77500</v>
      </c>
      <c r="G26" s="71">
        <v>31465</v>
      </c>
      <c r="H26" s="71">
        <v>4538</v>
      </c>
      <c r="I26" s="71">
        <v>102143</v>
      </c>
      <c r="J26" s="64">
        <f t="shared" si="0"/>
        <v>1.4630541871921183</v>
      </c>
      <c r="K26" s="64">
        <f>IFERROR(F26/H26-1,"n/a")</f>
        <v>16.078007933010138</v>
      </c>
      <c r="L26" s="60">
        <f t="shared" si="1"/>
        <v>-0.24125980243384271</v>
      </c>
      <c r="M26" s="68">
        <f>F26+'Aug-22'!M26</f>
        <v>424007</v>
      </c>
      <c r="N26" s="68">
        <f>G26+'Aug-22'!N26</f>
        <v>101015</v>
      </c>
      <c r="O26" s="68">
        <f>H26+'Aug-22'!O26</f>
        <v>47300</v>
      </c>
      <c r="P26" s="68">
        <f>I26+'Aug-22'!P26</f>
        <v>688183</v>
      </c>
      <c r="Q26" s="64">
        <f>IFERROR(M26/N26-1,"n/a")</f>
        <v>3.1974657229124386</v>
      </c>
      <c r="R26" s="64">
        <f>IFERROR(M26/O26-1,"n/a")</f>
        <v>7.9642071881606764</v>
      </c>
      <c r="S26" s="60">
        <f>IFERROR(M26/P26-1,"n/a")</f>
        <v>-0.38387463799599819</v>
      </c>
      <c r="T26" s="68">
        <v>147132</v>
      </c>
      <c r="U26" s="70">
        <v>59180</v>
      </c>
      <c r="V26" s="78">
        <v>902015</v>
      </c>
    </row>
    <row r="27" spans="1:38" ht="15">
      <c r="A27" s="9"/>
      <c r="B27" s="12"/>
      <c r="C27" s="31" t="s">
        <v>17</v>
      </c>
      <c r="D27" s="26"/>
      <c r="E27" s="32"/>
      <c r="F27" s="72"/>
      <c r="G27" s="72"/>
      <c r="H27" s="72"/>
      <c r="I27" s="72"/>
      <c r="J27" s="64"/>
      <c r="K27" s="64"/>
      <c r="L27" s="60"/>
      <c r="M27" s="87"/>
      <c r="N27" s="87"/>
      <c r="O27" s="87"/>
      <c r="P27" s="87"/>
      <c r="Q27" s="64"/>
      <c r="R27" s="64"/>
      <c r="S27" s="60"/>
      <c r="T27" s="43"/>
      <c r="U27" s="44"/>
      <c r="V27" s="79"/>
    </row>
    <row r="28" spans="1:38" ht="15">
      <c r="B28" s="12"/>
      <c r="C28" s="33"/>
      <c r="D28" s="26" t="s">
        <v>5</v>
      </c>
      <c r="E28" s="32"/>
      <c r="F28" s="74">
        <v>75</v>
      </c>
      <c r="G28" s="71">
        <v>23</v>
      </c>
      <c r="H28" s="71">
        <v>7</v>
      </c>
      <c r="I28" s="71">
        <v>41</v>
      </c>
      <c r="J28" s="64">
        <f t="shared" si="0"/>
        <v>2.2608695652173911</v>
      </c>
      <c r="K28" s="64">
        <f>IFERROR(F28/H28-1,"n/a")</f>
        <v>9.7142857142857135</v>
      </c>
      <c r="L28" s="60">
        <f t="shared" si="1"/>
        <v>0.8292682926829269</v>
      </c>
      <c r="M28" s="68">
        <f>F28+'Aug-22'!M28</f>
        <v>421</v>
      </c>
      <c r="N28" s="68">
        <f>G28+'Aug-22'!N28</f>
        <v>79</v>
      </c>
      <c r="O28" s="68">
        <f>H28+'Aug-22'!O28</f>
        <v>12</v>
      </c>
      <c r="P28" s="68">
        <f>I28+'Aug-22'!P28</f>
        <v>257</v>
      </c>
      <c r="Q28" s="64">
        <f>IFERROR(M28/N28-1,"n/a")</f>
        <v>4.3291139240506329</v>
      </c>
      <c r="R28" s="64">
        <f>IFERROR(M28/O28-1,"n/a")</f>
        <v>34.083333333333336</v>
      </c>
      <c r="S28" s="60">
        <f>IFERROR(M28/P28-1,"n/a")</f>
        <v>0.63813229571984431</v>
      </c>
      <c r="T28" s="68">
        <v>127</v>
      </c>
      <c r="U28" s="70">
        <v>37</v>
      </c>
      <c r="V28" s="78">
        <f>282+81</f>
        <v>363</v>
      </c>
    </row>
    <row r="29" spans="1:38" ht="15">
      <c r="A29" s="9"/>
      <c r="B29" s="12"/>
      <c r="C29" s="33"/>
      <c r="D29" s="26" t="s">
        <v>11</v>
      </c>
      <c r="E29" s="32"/>
      <c r="F29" s="74">
        <f>130831+18300+983</f>
        <v>150114</v>
      </c>
      <c r="G29" s="71">
        <v>35845</v>
      </c>
      <c r="H29" s="71">
        <v>1534</v>
      </c>
      <c r="I29" s="71">
        <v>107800</v>
      </c>
      <c r="J29" s="64">
        <f t="shared" si="0"/>
        <v>3.1878644162365743</v>
      </c>
      <c r="K29" s="64">
        <f>IFERROR(F29/H29-1,"n/a")</f>
        <v>96.857887874837033</v>
      </c>
      <c r="L29" s="60">
        <f t="shared" si="1"/>
        <v>0.39252319109461964</v>
      </c>
      <c r="M29" s="68">
        <f>F29+'Aug-22'!M29</f>
        <v>693288</v>
      </c>
      <c r="N29" s="68">
        <f>G29+'Aug-22'!N29</f>
        <v>117659</v>
      </c>
      <c r="O29" s="68">
        <f>H29+'Aug-22'!O29</f>
        <v>10720</v>
      </c>
      <c r="P29" s="68">
        <f>I29+'Aug-22'!P29</f>
        <v>700780</v>
      </c>
      <c r="Q29" s="64">
        <f>IFERROR(M29/N29-1,"n/a")</f>
        <v>4.8923499264824617</v>
      </c>
      <c r="R29" s="64">
        <f>IFERROR(M29/O29-1,"n/a")</f>
        <v>63.67238805970149</v>
      </c>
      <c r="S29" s="60">
        <f>IFERROR(M29/P29-1,"n/a")</f>
        <v>-1.0690944376266498E-2</v>
      </c>
      <c r="T29" s="68">
        <v>165083</v>
      </c>
      <c r="U29" s="70">
        <f>20768+8294</f>
        <v>29062</v>
      </c>
      <c r="V29" s="78">
        <f>659951+168729+38484</f>
        <v>867164</v>
      </c>
    </row>
    <row r="30" spans="1:38" ht="15" customHeight="1" thickBot="1">
      <c r="A30" s="9"/>
      <c r="B30" s="12"/>
      <c r="C30" s="35" t="s">
        <v>12</v>
      </c>
      <c r="D30" s="36"/>
      <c r="E30" s="37"/>
      <c r="F30" s="75">
        <f t="shared" ref="F30:I31" si="2">F13+F16+F19+F22+F25+F28</f>
        <v>334</v>
      </c>
      <c r="G30" s="75">
        <f t="shared" si="2"/>
        <v>148</v>
      </c>
      <c r="H30" s="75">
        <f t="shared" si="2"/>
        <v>12</v>
      </c>
      <c r="I30" s="75">
        <f t="shared" si="2"/>
        <v>269</v>
      </c>
      <c r="J30" s="66">
        <f t="shared" si="0"/>
        <v>1.2567567567567566</v>
      </c>
      <c r="K30" s="66">
        <f>IFERROR(F30/H30-1,"n/a")</f>
        <v>26.833333333333332</v>
      </c>
      <c r="L30" s="62">
        <f t="shared" si="1"/>
        <v>0.24163568773234201</v>
      </c>
      <c r="M30" s="46">
        <f t="shared" ref="M30:P31" si="3">M13+M16+M19+M22+M25+M28</f>
        <v>2602</v>
      </c>
      <c r="N30" s="46">
        <f t="shared" si="3"/>
        <v>382</v>
      </c>
      <c r="O30" s="46">
        <f t="shared" si="3"/>
        <v>626</v>
      </c>
      <c r="P30" s="46">
        <f t="shared" si="3"/>
        <v>2346</v>
      </c>
      <c r="Q30" s="66">
        <f>IFERROR(M30/N30-1,"n/a")</f>
        <v>5.8115183246073299</v>
      </c>
      <c r="R30" s="66">
        <f>IFERROR(M30/O30-1,"n/a")</f>
        <v>3.1565495207667729</v>
      </c>
      <c r="S30" s="62">
        <f>IFERROR(M30/P30-1,"n/a")</f>
        <v>0.10912190963341861</v>
      </c>
      <c r="T30" s="46">
        <f t="shared" ref="T30:V31" si="4">T13+T16+T19+T22+T25+T28</f>
        <v>1062</v>
      </c>
      <c r="U30" s="46">
        <f t="shared" si="4"/>
        <v>667</v>
      </c>
      <c r="V30" s="80">
        <f t="shared" si="4"/>
        <v>3344</v>
      </c>
    </row>
    <row r="31" spans="1:38" s="22" customFormat="1" ht="15" customHeight="1" thickTop="1" thickBot="1">
      <c r="A31" s="9"/>
      <c r="B31" s="12"/>
      <c r="C31" s="38" t="s">
        <v>13</v>
      </c>
      <c r="D31" s="39"/>
      <c r="E31" s="40"/>
      <c r="F31" s="76">
        <f t="shared" si="2"/>
        <v>837867</v>
      </c>
      <c r="G31" s="76">
        <f t="shared" si="2"/>
        <v>240848</v>
      </c>
      <c r="H31" s="76">
        <f t="shared" si="2"/>
        <v>6072</v>
      </c>
      <c r="I31" s="76">
        <f t="shared" si="2"/>
        <v>784268</v>
      </c>
      <c r="J31" s="67">
        <f t="shared" si="0"/>
        <v>2.4788206669766826</v>
      </c>
      <c r="K31" s="67">
        <f>IFERROR(F31/H31-1,"n/a")</f>
        <v>136.98863636363637</v>
      </c>
      <c r="L31" s="63">
        <f t="shared" si="1"/>
        <v>6.8342709379956901E-2</v>
      </c>
      <c r="M31" s="47">
        <f t="shared" si="3"/>
        <v>5216728</v>
      </c>
      <c r="N31" s="47">
        <f t="shared" si="3"/>
        <v>572992</v>
      </c>
      <c r="O31" s="47">
        <f t="shared" si="3"/>
        <v>1293209</v>
      </c>
      <c r="P31" s="47">
        <f t="shared" si="3"/>
        <v>6854606</v>
      </c>
      <c r="Q31" s="67">
        <f>IFERROR(M31/N31-1,"n/a")</f>
        <v>8.1043644588406121</v>
      </c>
      <c r="R31" s="67">
        <f>IFERROR(M31/O31-1,"n/a")</f>
        <v>3.0339403762268899</v>
      </c>
      <c r="S31" s="63">
        <f>IFERROR(M31/P31-1,"n/a")</f>
        <v>-0.2389456082523197</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38" ht="15" customHeight="1" thickTop="1">
      <c r="A32" s="9"/>
      <c r="B32" s="9"/>
      <c r="C32" s="9"/>
      <c r="D32" s="9"/>
      <c r="E32" s="9"/>
      <c r="F32" s="9"/>
      <c r="G32" s="41"/>
      <c r="H32" s="41"/>
      <c r="I32" s="41"/>
      <c r="J32" s="41"/>
      <c r="K32" s="41"/>
      <c r="L32" s="9"/>
      <c r="M32" s="9"/>
      <c r="N32" s="9"/>
      <c r="O32" s="9"/>
      <c r="P32" s="9"/>
      <c r="Q32" s="9"/>
      <c r="R32" s="9"/>
      <c r="S32" s="9"/>
      <c r="T32" s="83"/>
      <c r="U32" s="9"/>
      <c r="V32" s="9"/>
    </row>
    <row r="33" spans="1:22" ht="23.25" customHeight="1">
      <c r="A33" s="9"/>
      <c r="B33" s="9"/>
      <c r="C33" s="9"/>
      <c r="D33" s="9"/>
      <c r="E33" s="9"/>
      <c r="F33" s="9"/>
      <c r="G33" s="41"/>
      <c r="H33" s="41"/>
      <c r="I33" s="41"/>
      <c r="J33" s="41"/>
      <c r="K33" s="41"/>
      <c r="L33" s="9"/>
      <c r="M33" s="9"/>
      <c r="N33" s="9"/>
      <c r="O33" s="9"/>
      <c r="P33" s="9"/>
      <c r="Q33" s="9"/>
      <c r="R33" s="9"/>
      <c r="S33" s="9"/>
      <c r="T33" s="9"/>
      <c r="U33" s="9"/>
      <c r="V33" s="9"/>
    </row>
    <row r="34" spans="1:22" ht="15">
      <c r="A34" s="9"/>
      <c r="B34" s="10"/>
      <c r="C34" s="86" t="s">
        <v>63</v>
      </c>
      <c r="D34" s="24"/>
      <c r="E34" s="24"/>
      <c r="F34" s="24"/>
      <c r="G34" s="24"/>
      <c r="H34" s="24"/>
      <c r="I34" s="95"/>
      <c r="J34" s="95"/>
      <c r="K34" s="95"/>
      <c r="L34" s="24"/>
      <c r="M34" s="24"/>
      <c r="N34" s="24"/>
      <c r="O34" s="24"/>
      <c r="P34" s="24"/>
      <c r="Q34" s="24"/>
      <c r="R34" s="24"/>
      <c r="S34" s="24"/>
      <c r="T34" s="24"/>
      <c r="U34" s="24"/>
      <c r="V34" s="24"/>
    </row>
    <row r="35" spans="1:22" ht="15">
      <c r="A35" s="9"/>
      <c r="B35" s="10"/>
      <c r="C35" s="24"/>
      <c r="D35" s="24"/>
      <c r="E35" s="24"/>
      <c r="F35" s="24"/>
      <c r="G35" s="24"/>
      <c r="H35" s="24"/>
      <c r="I35" s="95"/>
      <c r="J35" s="95"/>
      <c r="K35" s="95"/>
      <c r="L35" s="24"/>
      <c r="M35" s="24"/>
      <c r="N35" s="24"/>
      <c r="O35" s="24"/>
      <c r="P35" s="24"/>
      <c r="Q35" s="24"/>
      <c r="R35" s="24"/>
      <c r="S35" s="24"/>
      <c r="T35" s="24"/>
      <c r="U35" s="24"/>
      <c r="V35" s="24"/>
    </row>
    <row r="36" spans="1:22" ht="15" customHeight="1">
      <c r="A36" s="9"/>
      <c r="B36" s="9"/>
      <c r="C36" s="27" t="s">
        <v>7</v>
      </c>
      <c r="D36" s="28"/>
      <c r="E36" s="28"/>
      <c r="F36" s="170" t="str">
        <f>F9</f>
        <v>September</v>
      </c>
      <c r="G36" s="170"/>
      <c r="H36" s="170"/>
      <c r="I36" s="170"/>
      <c r="J36" s="170"/>
      <c r="K36" s="170"/>
      <c r="L36" s="171"/>
      <c r="M36" s="169" t="s">
        <v>87</v>
      </c>
      <c r="N36" s="170"/>
      <c r="O36" s="170"/>
      <c r="P36" s="170"/>
      <c r="Q36" s="170"/>
      <c r="R36" s="170"/>
      <c r="S36" s="171"/>
      <c r="T36" s="169" t="s">
        <v>58</v>
      </c>
      <c r="U36" s="170"/>
      <c r="V36" s="172"/>
    </row>
    <row r="37" spans="1:22" ht="15" customHeight="1">
      <c r="A37" s="9"/>
      <c r="B37" s="9"/>
      <c r="C37" s="29"/>
      <c r="D37" s="30"/>
      <c r="E37" s="30"/>
      <c r="F37" s="29"/>
      <c r="G37" s="30"/>
      <c r="H37" s="30"/>
      <c r="I37" s="30"/>
      <c r="J37" s="30"/>
      <c r="K37" s="30"/>
      <c r="L37" s="56"/>
      <c r="M37" s="30"/>
      <c r="N37" s="30"/>
      <c r="O37" s="30"/>
      <c r="P37" s="30"/>
      <c r="Q37" s="30"/>
      <c r="R37" s="30"/>
      <c r="S37" s="56"/>
      <c r="T37" s="30"/>
      <c r="U37" s="30"/>
      <c r="V37" s="56"/>
    </row>
    <row r="38" spans="1:22" s="9" customFormat="1" ht="33.7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1:22" s="9" customFormat="1" ht="15" customHeight="1">
      <c r="C39" s="31" t="s">
        <v>14</v>
      </c>
      <c r="D39" s="26"/>
      <c r="E39" s="32"/>
      <c r="F39" s="26"/>
      <c r="G39" s="26"/>
      <c r="H39" s="26"/>
      <c r="I39" s="26"/>
      <c r="J39" s="26"/>
      <c r="K39" s="26"/>
      <c r="L39" s="32"/>
      <c r="M39" s="26"/>
      <c r="N39" s="26"/>
      <c r="O39" s="26"/>
      <c r="Q39" s="26"/>
      <c r="R39" s="26"/>
      <c r="S39" s="32"/>
      <c r="T39" s="33"/>
      <c r="U39" s="88"/>
      <c r="V39" s="85"/>
    </row>
    <row r="40" spans="1:22" s="9" customFormat="1" ht="15" customHeight="1">
      <c r="C40" s="33"/>
      <c r="D40" s="26" t="s">
        <v>5</v>
      </c>
      <c r="E40" s="32"/>
      <c r="F40" s="74">
        <f t="shared" ref="F40:I41" si="5">F13</f>
        <v>2</v>
      </c>
      <c r="G40" s="74">
        <f t="shared" si="5"/>
        <v>3</v>
      </c>
      <c r="H40" s="71">
        <f t="shared" si="5"/>
        <v>0</v>
      </c>
      <c r="I40" s="71">
        <f t="shared" si="5"/>
        <v>3</v>
      </c>
      <c r="J40" s="64">
        <f>IFERROR(F40/G40-1,"n/a")</f>
        <v>-0.33333333333333337</v>
      </c>
      <c r="K40" s="64" t="str">
        <f>IFERROR(F40/H40-1,"n/a")</f>
        <v>n/a</v>
      </c>
      <c r="L40" s="60">
        <f>IFERROR(F40/I40-1,"n/a")</f>
        <v>-0.33333333333333337</v>
      </c>
      <c r="M40" s="70">
        <f>+M13-'Mar-22'!M10</f>
        <v>32</v>
      </c>
      <c r="N40" s="70">
        <f>+N13-'Mar-22'!N10</f>
        <v>16</v>
      </c>
      <c r="O40" s="82">
        <f>+O13-'Mar-22'!O10</f>
        <v>0</v>
      </c>
      <c r="P40" s="70">
        <f>+P13-'Mar-22'!P10</f>
        <v>53</v>
      </c>
      <c r="Q40" s="64">
        <f>IFERROR(M40/N40-1,"n/a")</f>
        <v>1</v>
      </c>
      <c r="R40" s="64" t="str">
        <f>IFERROR(M40/O40-1,"n/a")</f>
        <v>n/a</v>
      </c>
      <c r="S40" s="60">
        <f>IFERROR(M40/P40-1,"n/a")</f>
        <v>-0.39622641509433965</v>
      </c>
      <c r="T40" s="89">
        <v>308</v>
      </c>
      <c r="U40" s="70">
        <v>145</v>
      </c>
      <c r="V40" s="78">
        <v>331</v>
      </c>
    </row>
    <row r="41" spans="1:22" s="9" customFormat="1" ht="15" customHeight="1">
      <c r="C41" s="33"/>
      <c r="D41" s="26" t="s">
        <v>11</v>
      </c>
      <c r="E41" s="32"/>
      <c r="F41" s="74">
        <f t="shared" si="5"/>
        <v>4913</v>
      </c>
      <c r="G41" s="74">
        <f t="shared" si="5"/>
        <v>1618</v>
      </c>
      <c r="H41" s="71">
        <f t="shared" si="5"/>
        <v>0</v>
      </c>
      <c r="I41" s="74">
        <f t="shared" si="5"/>
        <v>11148</v>
      </c>
      <c r="J41" s="64">
        <f>IFERROR(F41/G41-1,"n/a")</f>
        <v>2.0364647713226205</v>
      </c>
      <c r="K41" s="64" t="str">
        <f>IFERROR(F41/H41-1,"n/a")</f>
        <v>n/a</v>
      </c>
      <c r="L41" s="60">
        <f>IFERROR(F41/I41-1,"n/a")</f>
        <v>-0.55929314675278075</v>
      </c>
      <c r="M41" s="82">
        <f>+M14-'Mar-22'!M11</f>
        <v>42754</v>
      </c>
      <c r="N41" s="82">
        <f>+N14-'Mar-22'!N11</f>
        <v>4201</v>
      </c>
      <c r="O41" s="82">
        <f>+O14-'Mar-22'!O11</f>
        <v>0</v>
      </c>
      <c r="P41" s="82">
        <f>+P14-'Mar-22'!P11</f>
        <v>106899</v>
      </c>
      <c r="Q41" s="64">
        <f>IFERROR(M41/N41-1,"n/a")</f>
        <v>9.1771006903118302</v>
      </c>
      <c r="R41" s="64" t="str">
        <f>IFERROR(M41/O41-1,"n/a")</f>
        <v>n/a</v>
      </c>
      <c r="S41" s="60">
        <f>IFERROR(M41/P41-1,"n/a")</f>
        <v>-0.60005238589696819</v>
      </c>
      <c r="T41" s="89">
        <v>237191</v>
      </c>
      <c r="U41" s="84">
        <v>258885</v>
      </c>
      <c r="V41" s="78">
        <v>606801</v>
      </c>
    </row>
    <row r="42" spans="1:22" s="9" customFormat="1" ht="15" customHeight="1">
      <c r="C42" s="31" t="s">
        <v>20</v>
      </c>
      <c r="D42" s="26"/>
      <c r="E42" s="32"/>
      <c r="F42" s="26"/>
      <c r="G42" s="26"/>
      <c r="H42" s="26"/>
      <c r="I42" s="26"/>
      <c r="J42" s="64"/>
      <c r="K42" s="64"/>
      <c r="L42" s="61"/>
      <c r="M42" s="87"/>
      <c r="N42" s="87"/>
      <c r="O42" s="87"/>
      <c r="P42" s="87"/>
      <c r="Q42" s="65"/>
      <c r="R42" s="65"/>
      <c r="S42" s="61"/>
      <c r="T42" s="90"/>
      <c r="U42" s="44"/>
      <c r="V42" s="79"/>
    </row>
    <row r="43" spans="1:22" s="9" customFormat="1" ht="15" customHeight="1">
      <c r="C43" s="33"/>
      <c r="D43" s="26" t="s">
        <v>5</v>
      </c>
      <c r="E43" s="32"/>
      <c r="F43" s="74">
        <f t="shared" ref="F43:I44" si="6">F16</f>
        <v>79</v>
      </c>
      <c r="G43" s="74">
        <f t="shared" si="6"/>
        <v>46</v>
      </c>
      <c r="H43" s="71">
        <f t="shared" si="6"/>
        <v>0</v>
      </c>
      <c r="I43" s="74">
        <f t="shared" si="6"/>
        <v>86</v>
      </c>
      <c r="J43" s="64">
        <f>IFERROR(F43/G43-1,"n/a")</f>
        <v>0.71739130434782616</v>
      </c>
      <c r="K43" s="64" t="str">
        <f>IFERROR(F43/H43-1,"n/a")</f>
        <v>n/a</v>
      </c>
      <c r="L43" s="60">
        <f>IFERROR(F43/I43-1,"n/a")</f>
        <v>-8.1395348837209336E-2</v>
      </c>
      <c r="M43" s="70">
        <f>+M16-'Mar-22'!M13</f>
        <v>474</v>
      </c>
      <c r="N43" s="70">
        <f>+N16-'Mar-22'!N13</f>
        <v>84</v>
      </c>
      <c r="O43" s="82">
        <f>+O16-'Mar-22'!O13</f>
        <v>0</v>
      </c>
      <c r="P43" s="70">
        <f>+P16-'Mar-22'!P13</f>
        <v>496</v>
      </c>
      <c r="Q43" s="64">
        <f>IFERROR(M43/N43-1,"n/a")</f>
        <v>4.6428571428571432</v>
      </c>
      <c r="R43" s="64" t="str">
        <f>IFERROR(M43/O43-1,"n/a")</f>
        <v>n/a</v>
      </c>
      <c r="S43" s="60">
        <f>IFERROR(M43/P43-1,"n/a")</f>
        <v>-4.435483870967738E-2</v>
      </c>
      <c r="T43" s="89">
        <v>336</v>
      </c>
      <c r="U43" s="70">
        <v>43</v>
      </c>
      <c r="V43" s="78">
        <v>781</v>
      </c>
    </row>
    <row r="44" spans="1:22" s="9" customFormat="1" ht="15" customHeight="1">
      <c r="C44" s="33"/>
      <c r="D44" s="26" t="s">
        <v>11</v>
      </c>
      <c r="E44" s="32"/>
      <c r="F44" s="74">
        <f t="shared" si="6"/>
        <v>249427</v>
      </c>
      <c r="G44" s="74">
        <f t="shared" si="6"/>
        <v>89719</v>
      </c>
      <c r="H44" s="71">
        <f t="shared" si="6"/>
        <v>0</v>
      </c>
      <c r="I44" s="74">
        <f t="shared" si="6"/>
        <v>304036</v>
      </c>
      <c r="J44" s="64">
        <f>IFERROR(F44/G44-1,"n/a")</f>
        <v>1.7800911735529823</v>
      </c>
      <c r="K44" s="64" t="str">
        <f>IFERROR(F44/H44-1,"n/a")</f>
        <v>n/a</v>
      </c>
      <c r="L44" s="60">
        <f>IFERROR(F44/I44-1,"n/a")</f>
        <v>-0.1796135983896644</v>
      </c>
      <c r="M44" s="82">
        <f>+M17-'Mar-22'!M14</f>
        <v>1213276</v>
      </c>
      <c r="N44" s="82">
        <f>+N17-'Mar-22'!N14</f>
        <v>167883</v>
      </c>
      <c r="O44" s="82">
        <f>+O17-'Mar-22'!O14</f>
        <v>0</v>
      </c>
      <c r="P44" s="82">
        <f>+P17-'Mar-22'!P14</f>
        <v>1645544</v>
      </c>
      <c r="Q44" s="64">
        <f>IFERROR(M44/N44-1,"n/a")</f>
        <v>6.2269139817611077</v>
      </c>
      <c r="R44" s="64" t="str">
        <f>IFERROR(M44/O44-1,"n/a")</f>
        <v>n/a</v>
      </c>
      <c r="S44" s="60">
        <f>IFERROR(M44/P44-1,"n/a")</f>
        <v>-0.26269002834321054</v>
      </c>
      <c r="T44" s="89">
        <v>533563</v>
      </c>
      <c r="U44" s="84">
        <v>140552</v>
      </c>
      <c r="V44" s="78">
        <v>2441594</v>
      </c>
    </row>
    <row r="45" spans="1:22"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1:22" s="9" customFormat="1" ht="15" customHeight="1">
      <c r="C46" s="33"/>
      <c r="D46" s="26" t="s">
        <v>5</v>
      </c>
      <c r="E46" s="32"/>
      <c r="F46" s="74">
        <f t="shared" ref="F46:I47" si="7">F19</f>
        <v>64</v>
      </c>
      <c r="G46" s="71">
        <f t="shared" si="7"/>
        <v>2</v>
      </c>
      <c r="H46" s="71">
        <f t="shared" si="7"/>
        <v>0</v>
      </c>
      <c r="I46" s="74">
        <f t="shared" si="7"/>
        <v>23</v>
      </c>
      <c r="J46" s="64">
        <f>IFERROR(F46/G46-1,"n/a")</f>
        <v>31</v>
      </c>
      <c r="K46" s="64" t="str">
        <f>IFERROR(F46/H46-1,"n/a")</f>
        <v>n/a</v>
      </c>
      <c r="L46" s="60">
        <f>IFERROR(F46/I46-1,"n/a")</f>
        <v>1.7826086956521738</v>
      </c>
      <c r="M46" s="70">
        <f>+M19-'Mar-22'!M16</f>
        <v>349</v>
      </c>
      <c r="N46" s="82">
        <f>+N19-'Mar-22'!N16</f>
        <v>2</v>
      </c>
      <c r="O46" s="82">
        <f>+O19-'Mar-22'!O16</f>
        <v>1</v>
      </c>
      <c r="P46" s="82">
        <f>+P19-'Mar-22'!P16</f>
        <v>145</v>
      </c>
      <c r="Q46" s="64">
        <f>IFERROR(M46/N46-1,"n/a")</f>
        <v>173.5</v>
      </c>
      <c r="R46" s="64">
        <f>IFERROR(M46/O46-1,"n/a")</f>
        <v>348</v>
      </c>
      <c r="S46" s="60">
        <f>IFERROR(M46/P46-1,"n/a")</f>
        <v>1.4068965517241381</v>
      </c>
      <c r="T46" s="89">
        <v>33</v>
      </c>
      <c r="U46" s="70">
        <v>4</v>
      </c>
      <c r="V46" s="78">
        <v>188</v>
      </c>
    </row>
    <row r="47" spans="1:22" s="9" customFormat="1" ht="15" customHeight="1">
      <c r="C47" s="33"/>
      <c r="D47" s="26" t="s">
        <v>11</v>
      </c>
      <c r="E47" s="32"/>
      <c r="F47" s="74">
        <f t="shared" si="7"/>
        <v>80246</v>
      </c>
      <c r="G47" s="71">
        <f t="shared" si="7"/>
        <v>424</v>
      </c>
      <c r="H47" s="71">
        <f t="shared" si="7"/>
        <v>0</v>
      </c>
      <c r="I47" s="74">
        <f t="shared" si="7"/>
        <v>35836</v>
      </c>
      <c r="J47" s="64">
        <f>IFERROR(F47/G47-1,"n/a")</f>
        <v>188.25943396226415</v>
      </c>
      <c r="K47" s="64" t="str">
        <f>IFERROR(F47/H47-1,"n/a")</f>
        <v>n/a</v>
      </c>
      <c r="L47" s="60">
        <f>IFERROR(F47/I47-1,"n/a")</f>
        <v>1.2392566134613237</v>
      </c>
      <c r="M47" s="82">
        <f>+M20-'Mar-22'!M17</f>
        <v>420920</v>
      </c>
      <c r="N47" s="82">
        <f>+N20-'Mar-22'!N17</f>
        <v>424</v>
      </c>
      <c r="O47" s="82">
        <f>+O20-'Mar-22'!O17</f>
        <v>111</v>
      </c>
      <c r="P47" s="82">
        <f>+P20-'Mar-22'!P17</f>
        <v>198240</v>
      </c>
      <c r="Q47" s="64">
        <f>IFERROR(M47/N47-1,"n/a")</f>
        <v>991.7358490566038</v>
      </c>
      <c r="R47" s="64">
        <f>IFERROR(M47/O47-1,"n/a")</f>
        <v>3791.0720720720719</v>
      </c>
      <c r="S47" s="60">
        <f>IFERROR(M47/P47-1,"n/a")</f>
        <v>1.1232849071832121</v>
      </c>
      <c r="T47" s="82">
        <v>10083</v>
      </c>
      <c r="U47" s="84">
        <v>1753</v>
      </c>
      <c r="V47" s="78">
        <f>176097+74816</f>
        <v>250913</v>
      </c>
    </row>
    <row r="48" spans="1:22"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3:22" s="9" customFormat="1" ht="15" customHeight="1">
      <c r="C49" s="33"/>
      <c r="D49" s="26" t="s">
        <v>5</v>
      </c>
      <c r="E49" s="34"/>
      <c r="F49" s="73">
        <f t="shared" ref="F49:I50" si="8">F22</f>
        <v>80</v>
      </c>
      <c r="G49" s="74">
        <f t="shared" si="8"/>
        <v>57</v>
      </c>
      <c r="H49" s="71">
        <f t="shared" si="8"/>
        <v>0</v>
      </c>
      <c r="I49" s="74">
        <f t="shared" si="8"/>
        <v>76</v>
      </c>
      <c r="J49" s="64">
        <f>IFERROR(F49/G49-1,"n/a")</f>
        <v>0.40350877192982448</v>
      </c>
      <c r="K49" s="64" t="str">
        <f>IFERROR(F49/H49-1,"n/a")</f>
        <v>n/a</v>
      </c>
      <c r="L49" s="60">
        <f>IFERROR(F49/I49-1,"n/a")</f>
        <v>5.2631578947368363E-2</v>
      </c>
      <c r="M49" s="70">
        <f>+M22-'Mar-22'!M19</f>
        <v>511</v>
      </c>
      <c r="N49" s="70">
        <f>+N22-'Mar-22'!N19</f>
        <v>130</v>
      </c>
      <c r="O49" s="70">
        <f>+O22-'Mar-22'!O19</f>
        <v>42</v>
      </c>
      <c r="P49" s="70">
        <f>+P22-'Mar-22'!P19</f>
        <v>540</v>
      </c>
      <c r="Q49" s="64">
        <f>IFERROR(M49/N49-1,"n/a")</f>
        <v>2.9307692307692306</v>
      </c>
      <c r="R49" s="64">
        <f>IFERROR(M49/O49-1,"n/a")</f>
        <v>11.166666666666666</v>
      </c>
      <c r="S49" s="60">
        <f>IFERROR(M49/P49-1,"n/a")</f>
        <v>-5.3703703703703698E-2</v>
      </c>
      <c r="T49" s="89">
        <v>744</v>
      </c>
      <c r="U49" s="84">
        <v>406</v>
      </c>
      <c r="V49" s="78">
        <v>1253</v>
      </c>
    </row>
    <row r="50" spans="3:22" s="9" customFormat="1" ht="15" customHeight="1">
      <c r="C50" s="33"/>
      <c r="D50" s="26" t="s">
        <v>11</v>
      </c>
      <c r="E50" s="32"/>
      <c r="F50" s="73">
        <f t="shared" si="8"/>
        <v>275667</v>
      </c>
      <c r="G50" s="74">
        <f t="shared" si="8"/>
        <v>81777</v>
      </c>
      <c r="H50" s="71">
        <f t="shared" si="8"/>
        <v>0</v>
      </c>
      <c r="I50" s="74">
        <f t="shared" si="8"/>
        <v>223305</v>
      </c>
      <c r="J50" s="64">
        <f>IFERROR(F50/G50-1,"n/a")</f>
        <v>2.3709600498917789</v>
      </c>
      <c r="K50" s="64" t="str">
        <f>IFERROR(F50/H50-1,"n/a")</f>
        <v>n/a</v>
      </c>
      <c r="L50" s="60">
        <f>IFERROR(F50/I50-1,"n/a")</f>
        <v>0.23448646470074563</v>
      </c>
      <c r="M50" s="82">
        <f>+M23-'Mar-22'!M20</f>
        <v>1592899</v>
      </c>
      <c r="N50" s="82">
        <f>+N23-'Mar-22'!N20</f>
        <v>181810</v>
      </c>
      <c r="O50" s="82">
        <f>+O23-'Mar-22'!O20</f>
        <v>0</v>
      </c>
      <c r="P50" s="82">
        <f>+P23-'Mar-22'!P20</f>
        <v>1806818</v>
      </c>
      <c r="Q50" s="64">
        <f>IFERROR(M50/N50-1,"n/a")</f>
        <v>7.761338760244211</v>
      </c>
      <c r="R50" s="64" t="str">
        <f>IFERROR(M50/O50-1,"n/a")</f>
        <v>n/a</v>
      </c>
      <c r="S50" s="60">
        <f>IFERROR(M50/P50-1,"n/a")</f>
        <v>-0.11839543329765367</v>
      </c>
      <c r="T50" s="82">
        <v>1290779</v>
      </c>
      <c r="U50" s="84">
        <v>833999</v>
      </c>
      <c r="V50" s="78">
        <v>3627458</v>
      </c>
    </row>
    <row r="51" spans="3:22"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3:22" s="9" customFormat="1" ht="15" customHeight="1">
      <c r="C52" s="33"/>
      <c r="D52" s="26" t="s">
        <v>5</v>
      </c>
      <c r="E52" s="32"/>
      <c r="F52" s="74">
        <f t="shared" ref="F52:I53" si="9">F25</f>
        <v>34</v>
      </c>
      <c r="G52" s="74">
        <f t="shared" si="9"/>
        <v>17</v>
      </c>
      <c r="H52" s="71">
        <f t="shared" si="9"/>
        <v>5</v>
      </c>
      <c r="I52" s="74">
        <f t="shared" si="9"/>
        <v>40</v>
      </c>
      <c r="J52" s="64">
        <f>IFERROR(F52/G52-1,"n/a")</f>
        <v>1</v>
      </c>
      <c r="K52" s="64">
        <f>IFERROR(F52/H52-1,"n/a")</f>
        <v>5.8</v>
      </c>
      <c r="L52" s="60">
        <f>IFERROR(F52/I52-1,"n/a")</f>
        <v>-0.15000000000000002</v>
      </c>
      <c r="M52" s="70">
        <f>+M25-'Mar-22'!M22</f>
        <v>199</v>
      </c>
      <c r="N52" s="70">
        <f>+N25-'Mar-22'!N22</f>
        <v>62</v>
      </c>
      <c r="O52" s="82">
        <f>+O25-'Mar-22'!O22</f>
        <v>7</v>
      </c>
      <c r="P52" s="70">
        <f>+P25-'Mar-22'!P22</f>
        <v>224</v>
      </c>
      <c r="Q52" s="64">
        <f>IFERROR(M52/N52-1,"n/a")</f>
        <v>2.2096774193548385</v>
      </c>
      <c r="R52" s="64">
        <f>IFERROR(M52/O52-1,"n/a")</f>
        <v>27.428571428571427</v>
      </c>
      <c r="S52" s="60">
        <f>IFERROR(M52/P52-1,"n/a")</f>
        <v>-0.1116071428571429</v>
      </c>
      <c r="T52" s="89">
        <v>121</v>
      </c>
      <c r="U52" s="70">
        <v>41</v>
      </c>
      <c r="V52" s="78">
        <v>361</v>
      </c>
    </row>
    <row r="53" spans="3:22" s="9" customFormat="1" ht="15" customHeight="1">
      <c r="C53" s="33"/>
      <c r="D53" s="26" t="s">
        <v>11</v>
      </c>
      <c r="E53" s="32"/>
      <c r="F53" s="74">
        <f t="shared" si="9"/>
        <v>77500</v>
      </c>
      <c r="G53" s="74">
        <f t="shared" si="9"/>
        <v>31465</v>
      </c>
      <c r="H53" s="71">
        <f t="shared" si="9"/>
        <v>4538</v>
      </c>
      <c r="I53" s="74">
        <f t="shared" si="9"/>
        <v>102143</v>
      </c>
      <c r="J53" s="64">
        <f>IFERROR(F53/G53-1,"n/a")</f>
        <v>1.4630541871921183</v>
      </c>
      <c r="K53" s="64">
        <f>IFERROR(F53/H53-1,"n/a")</f>
        <v>16.078007933010138</v>
      </c>
      <c r="L53" s="60">
        <f>IFERROR(F53/I53-1,"n/a")</f>
        <v>-0.24125980243384271</v>
      </c>
      <c r="M53" s="82">
        <f>+M26-'Mar-22'!M23</f>
        <v>397486</v>
      </c>
      <c r="N53" s="82">
        <f>+N26-'Mar-22'!N23</f>
        <v>93051</v>
      </c>
      <c r="O53" s="82">
        <f>+O26-'Mar-22'!O23</f>
        <v>7079</v>
      </c>
      <c r="P53" s="82">
        <f>+P26-'Mar-22'!P23</f>
        <v>611908</v>
      </c>
      <c r="Q53" s="64">
        <f>IFERROR(M53/N53-1,"n/a")</f>
        <v>3.2717004653362132</v>
      </c>
      <c r="R53" s="64">
        <f>IFERROR(M53/O53-1,"n/a")</f>
        <v>55.150021189433538</v>
      </c>
      <c r="S53" s="60">
        <f>IFERROR(M53/P53-1,"n/a")</f>
        <v>-0.35041542192617192</v>
      </c>
      <c r="T53" s="82">
        <v>165689</v>
      </c>
      <c r="U53" s="84">
        <v>67144</v>
      </c>
      <c r="V53" s="78">
        <v>865961</v>
      </c>
    </row>
    <row r="54" spans="3:22" ht="15" customHeight="1">
      <c r="C54" s="31" t="s">
        <v>17</v>
      </c>
      <c r="D54" s="26"/>
      <c r="E54" s="32"/>
      <c r="F54" s="72"/>
      <c r="G54" s="72"/>
      <c r="H54" s="72"/>
      <c r="I54" s="72"/>
      <c r="J54" s="64"/>
      <c r="K54" s="64"/>
      <c r="L54" s="60"/>
      <c r="M54" s="87"/>
      <c r="N54" s="87"/>
      <c r="O54" s="87"/>
      <c r="P54" s="87"/>
      <c r="Q54" s="64"/>
      <c r="R54" s="64"/>
      <c r="S54" s="60"/>
      <c r="T54" s="90"/>
      <c r="U54" s="44"/>
      <c r="V54" s="79"/>
    </row>
    <row r="55" spans="3:22" ht="15.75" customHeight="1">
      <c r="C55" s="33"/>
      <c r="D55" s="26" t="s">
        <v>5</v>
      </c>
      <c r="E55" s="32"/>
      <c r="F55" s="74">
        <f t="shared" ref="F55:I56" si="10">F28</f>
        <v>75</v>
      </c>
      <c r="G55" s="74">
        <f t="shared" si="10"/>
        <v>23</v>
      </c>
      <c r="H55" s="71">
        <f t="shared" si="10"/>
        <v>7</v>
      </c>
      <c r="I55" s="74">
        <f t="shared" si="10"/>
        <v>41</v>
      </c>
      <c r="J55" s="64">
        <f>IFERROR(F55/G55-1,"n/a")</f>
        <v>2.2608695652173911</v>
      </c>
      <c r="K55" s="64">
        <f>IFERROR(F55/H55-1,"n/a")</f>
        <v>9.7142857142857135</v>
      </c>
      <c r="L55" s="60">
        <f>IFERROR(F55/I55-1,"n/a")</f>
        <v>0.8292682926829269</v>
      </c>
      <c r="M55" s="70">
        <f>+M28-'Mar-22'!M25</f>
        <v>405</v>
      </c>
      <c r="N55" s="70">
        <f>+N28-'Mar-22'!N25</f>
        <v>76</v>
      </c>
      <c r="O55" s="70">
        <f>+O28-'Mar-22'!O25</f>
        <v>11</v>
      </c>
      <c r="P55" s="70">
        <f>+P28-'Mar-22'!P25</f>
        <v>253</v>
      </c>
      <c r="Q55" s="64">
        <f>IFERROR(M55/N55-1,"n/a")</f>
        <v>4.3289473684210522</v>
      </c>
      <c r="R55" s="64">
        <f>IFERROR(M55/O55-1,"n/a")</f>
        <v>35.81818181818182</v>
      </c>
      <c r="S55" s="60">
        <f>IFERROR(M55/P55-1,"n/a")</f>
        <v>0.60079051383399218</v>
      </c>
      <c r="T55" s="89">
        <v>140</v>
      </c>
      <c r="U55" s="70">
        <v>40</v>
      </c>
      <c r="V55" s="78">
        <v>360</v>
      </c>
    </row>
    <row r="56" spans="3:22" ht="15.75" customHeight="1">
      <c r="C56" s="33"/>
      <c r="D56" s="26" t="s">
        <v>11</v>
      </c>
      <c r="E56" s="32"/>
      <c r="F56" s="74">
        <f t="shared" si="10"/>
        <v>150114</v>
      </c>
      <c r="G56" s="74">
        <f t="shared" si="10"/>
        <v>35845</v>
      </c>
      <c r="H56" s="71">
        <f t="shared" si="10"/>
        <v>1534</v>
      </c>
      <c r="I56" s="74">
        <f t="shared" si="10"/>
        <v>107800</v>
      </c>
      <c r="J56" s="64">
        <f>IFERROR(F56/G56-1,"n/a")</f>
        <v>3.1878644162365743</v>
      </c>
      <c r="K56" s="64">
        <f>IFERROR(F56/H56-1,"n/a")</f>
        <v>96.857887874837033</v>
      </c>
      <c r="L56" s="60">
        <f>IFERROR(F56/I56-1,"n/a")</f>
        <v>0.39252319109461964</v>
      </c>
      <c r="M56" s="82">
        <f>+M29-'Mar-22'!M26</f>
        <v>681688</v>
      </c>
      <c r="N56" s="82">
        <f>+N29-'Mar-22'!N26</f>
        <v>115520</v>
      </c>
      <c r="O56" s="82">
        <f>+O29-'Mar-22'!O26</f>
        <v>9828</v>
      </c>
      <c r="P56" s="82">
        <f>+P29-'Mar-22'!P26</f>
        <v>694671</v>
      </c>
      <c r="Q56" s="64">
        <f>IFERROR(M56/N56-1,"n/a")</f>
        <v>4.9010387811634351</v>
      </c>
      <c r="R56" s="64">
        <f>IFERROR(M56/O56-1,"n/a")</f>
        <v>68.361823361823369</v>
      </c>
      <c r="S56" s="60">
        <f>IFERROR(M56/P56-1,"n/a")</f>
        <v>-1.86894227627179E-2</v>
      </c>
      <c r="T56" s="82">
        <v>174336</v>
      </c>
      <c r="U56" s="84">
        <v>21928</v>
      </c>
      <c r="V56" s="78">
        <f>706948+155011</f>
        <v>861959</v>
      </c>
    </row>
    <row r="57" spans="3:22" ht="27" customHeight="1" thickBot="1">
      <c r="C57" s="35" t="s">
        <v>12</v>
      </c>
      <c r="D57" s="36"/>
      <c r="E57" s="37"/>
      <c r="F57" s="75">
        <f t="shared" ref="F57:I58" si="11">F40+F43+F46+F49+F52+F55</f>
        <v>334</v>
      </c>
      <c r="G57" s="75">
        <f t="shared" si="11"/>
        <v>148</v>
      </c>
      <c r="H57" s="75">
        <f t="shared" si="11"/>
        <v>12</v>
      </c>
      <c r="I57" s="75">
        <f t="shared" si="11"/>
        <v>269</v>
      </c>
      <c r="J57" s="66">
        <f>IFERROR(F57/G57-1,"n/a")</f>
        <v>1.2567567567567566</v>
      </c>
      <c r="K57" s="66">
        <f>IFERROR(F57/H57-1,"n/a")</f>
        <v>26.833333333333332</v>
      </c>
      <c r="L57" s="62">
        <f>IFERROR(F57/I57-1,"n/a")</f>
        <v>0.24163568773234201</v>
      </c>
      <c r="M57" s="46">
        <f t="shared" ref="M57:P58" si="12">M40+M43+M46+M49+M52+M55</f>
        <v>1970</v>
      </c>
      <c r="N57" s="46">
        <f t="shared" si="12"/>
        <v>370</v>
      </c>
      <c r="O57" s="46">
        <f t="shared" si="12"/>
        <v>61</v>
      </c>
      <c r="P57" s="46">
        <f t="shared" si="12"/>
        <v>1711</v>
      </c>
      <c r="Q57" s="66">
        <f>IFERROR(M57/N57-1,"n/a")</f>
        <v>4.3243243243243246</v>
      </c>
      <c r="R57" s="66">
        <f>IFERROR(M57/O57-1,"n/a")</f>
        <v>31.295081967213115</v>
      </c>
      <c r="S57" s="62">
        <f>IFERROR(M57/P57-1,"n/a")</f>
        <v>0.15137346580946809</v>
      </c>
      <c r="T57" s="46">
        <f t="shared" ref="T57:V58" si="13">T40+T43+T46+T49+T52+T55</f>
        <v>1682</v>
      </c>
      <c r="U57" s="46">
        <f t="shared" si="13"/>
        <v>679</v>
      </c>
      <c r="V57" s="80">
        <f t="shared" si="13"/>
        <v>3274</v>
      </c>
    </row>
    <row r="58" spans="3:22" ht="27" customHeight="1" thickTop="1" thickBot="1">
      <c r="C58" s="38" t="s">
        <v>13</v>
      </c>
      <c r="D58" s="39"/>
      <c r="E58" s="40"/>
      <c r="F58" s="76">
        <f t="shared" si="11"/>
        <v>837867</v>
      </c>
      <c r="G58" s="76">
        <f t="shared" si="11"/>
        <v>240848</v>
      </c>
      <c r="H58" s="76">
        <f t="shared" si="11"/>
        <v>6072</v>
      </c>
      <c r="I58" s="76">
        <f t="shared" si="11"/>
        <v>784268</v>
      </c>
      <c r="J58" s="67">
        <f>IFERROR(F58/G58-1,"n/a")</f>
        <v>2.4788206669766826</v>
      </c>
      <c r="K58" s="67">
        <f>IFERROR(F58/H58-1,"n/a")</f>
        <v>136.98863636363637</v>
      </c>
      <c r="L58" s="63">
        <f>IFERROR(F58/I58-1,"n/a")</f>
        <v>6.8342709379956901E-2</v>
      </c>
      <c r="M58" s="47">
        <f t="shared" si="12"/>
        <v>4349023</v>
      </c>
      <c r="N58" s="47">
        <f t="shared" si="12"/>
        <v>562889</v>
      </c>
      <c r="O58" s="47">
        <f t="shared" si="12"/>
        <v>17018</v>
      </c>
      <c r="P58" s="47">
        <f t="shared" si="12"/>
        <v>5064080</v>
      </c>
      <c r="Q58" s="67">
        <f>IFERROR(M58/N58-1,"n/a")</f>
        <v>6.7262533110435632</v>
      </c>
      <c r="R58" s="67">
        <f>IFERROR(M58/O58-1,"n/a")</f>
        <v>254.55429545187448</v>
      </c>
      <c r="S58" s="63">
        <f>IFERROR(M58/P58-1,"n/a")</f>
        <v>-0.14120175826606218</v>
      </c>
      <c r="T58" s="47">
        <f t="shared" si="13"/>
        <v>2411641</v>
      </c>
      <c r="U58" s="47">
        <f t="shared" si="13"/>
        <v>1324261</v>
      </c>
      <c r="V58" s="81">
        <f t="shared" si="13"/>
        <v>8654686</v>
      </c>
    </row>
    <row r="59" spans="3:22" ht="12" customHeight="1" thickTop="1"/>
  </sheetData>
  <mergeCells count="6">
    <mergeCell ref="F9:L9"/>
    <mergeCell ref="M9:S9"/>
    <mergeCell ref="T9:V9"/>
    <mergeCell ref="F36:L36"/>
    <mergeCell ref="M36:S36"/>
    <mergeCell ref="T36:V36"/>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AT59"/>
  <sheetViews>
    <sheetView showGridLines="0" zoomScaleNormal="100" zoomScalePageLayoutView="40" workbookViewId="0"/>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140625" bestFit="1" customWidth="1"/>
    <col min="14" max="14" width="10.140625" bestFit="1" customWidth="1"/>
    <col min="15" max="16" width="12.140625" bestFit="1" customWidth="1"/>
    <col min="17" max="19" width="8.85546875" customWidth="1"/>
    <col min="20" max="20" width="11.85546875" bestFit="1" customWidth="1"/>
    <col min="21" max="21" width="11.5703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72</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70" t="s">
        <v>69</v>
      </c>
      <c r="G9" s="170"/>
      <c r="H9" s="170"/>
      <c r="I9" s="170"/>
      <c r="J9" s="170"/>
      <c r="K9" s="170"/>
      <c r="L9" s="171"/>
      <c r="M9" s="169" t="s">
        <v>71</v>
      </c>
      <c r="N9" s="170"/>
      <c r="O9" s="170"/>
      <c r="P9" s="170"/>
      <c r="Q9" s="170"/>
      <c r="R9" s="170"/>
      <c r="S9" s="171"/>
      <c r="T9" s="169" t="s">
        <v>57</v>
      </c>
      <c r="U9" s="170"/>
      <c r="V9" s="172"/>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74">
        <v>0</v>
      </c>
      <c r="G13" s="74">
        <v>7</v>
      </c>
      <c r="H13" s="71">
        <v>0</v>
      </c>
      <c r="I13" s="71">
        <v>4</v>
      </c>
      <c r="J13" s="64">
        <f t="shared" ref="J13:J31" si="0">IFERROR(F13/G13-1,"n/a")</f>
        <v>-1</v>
      </c>
      <c r="K13" s="64" t="str">
        <f>IFERROR(F13/H13-1,"n/a")</f>
        <v>n/a</v>
      </c>
      <c r="L13" s="60">
        <f>IFERROR(F13/I13-1,"n/a")</f>
        <v>-1</v>
      </c>
      <c r="M13" s="68">
        <f>F13+'Jul-22'!M13</f>
        <v>227</v>
      </c>
      <c r="N13" s="68">
        <f>G13+'Jul-22'!N13</f>
        <v>13</v>
      </c>
      <c r="O13" s="68">
        <f>H13+'Jul-22'!O13</f>
        <v>145</v>
      </c>
      <c r="P13" s="68">
        <f>I13+'Jul-22'!P13</f>
        <v>250</v>
      </c>
      <c r="Q13" s="64">
        <f>IFERROR(M13/N13-1,"n/a")</f>
        <v>16.46153846153846</v>
      </c>
      <c r="R13" s="64">
        <f>IFERROR(M13/O13-1,"n/a")</f>
        <v>0.56551724137931036</v>
      </c>
      <c r="S13" s="60">
        <f>IFERROR(M13/P13-1,"n/a")</f>
        <v>-9.1999999999999971E-2</v>
      </c>
      <c r="T13" s="68">
        <v>111</v>
      </c>
      <c r="U13" s="70">
        <v>145</v>
      </c>
      <c r="V13" s="78">
        <v>386</v>
      </c>
    </row>
    <row r="14" spans="1:38" ht="15">
      <c r="A14" s="9"/>
      <c r="B14" s="12"/>
      <c r="C14" s="33"/>
      <c r="D14" s="26" t="s">
        <v>11</v>
      </c>
      <c r="E14" s="32"/>
      <c r="F14" s="74">
        <v>0</v>
      </c>
      <c r="G14" s="74">
        <v>1816</v>
      </c>
      <c r="H14" s="71">
        <v>0</v>
      </c>
      <c r="I14" s="74">
        <v>9607</v>
      </c>
      <c r="J14" s="64">
        <f t="shared" si="0"/>
        <v>-1</v>
      </c>
      <c r="K14" s="64" t="str">
        <f>IFERROR(F14/H14-1,"n/a")</f>
        <v>n/a</v>
      </c>
      <c r="L14" s="60">
        <f>IFERROR(F14/I14-1,"n/a")</f>
        <v>-1</v>
      </c>
      <c r="M14" s="68">
        <f>F14+'Jul-22'!M14</f>
        <v>194169</v>
      </c>
      <c r="N14" s="68">
        <f>G14+'Jul-22'!N14</f>
        <v>2583</v>
      </c>
      <c r="O14" s="68">
        <f>H14+'Jul-22'!O14</f>
        <v>258885</v>
      </c>
      <c r="P14" s="68">
        <f>I14+'Jul-22'!P14</f>
        <v>481131</v>
      </c>
      <c r="Q14" s="64">
        <f>IFERROR(M14/N14-1,"n/a")</f>
        <v>74.1718931475029</v>
      </c>
      <c r="R14" s="64">
        <f>IFERROR(M14/O14-1,"n/a")</f>
        <v>-0.24997972072541863</v>
      </c>
      <c r="S14" s="60">
        <f>IFERROR(M14/P14-1,"n/a")</f>
        <v>-0.59643215673070327</v>
      </c>
      <c r="T14" s="68">
        <v>80863</v>
      </c>
      <c r="U14" s="70">
        <v>258885</v>
      </c>
      <c r="V14" s="78">
        <v>733296</v>
      </c>
    </row>
    <row r="15" spans="1:38" ht="15">
      <c r="A15" s="9"/>
      <c r="B15" s="12"/>
      <c r="C15" s="31" t="s">
        <v>74</v>
      </c>
      <c r="D15" s="26"/>
      <c r="E15" s="32"/>
      <c r="F15" s="26"/>
      <c r="G15" s="26"/>
      <c r="H15" s="26"/>
      <c r="I15" s="26"/>
      <c r="J15" s="64"/>
      <c r="K15" s="64"/>
      <c r="L15" s="61"/>
      <c r="M15" s="87"/>
      <c r="N15" s="87"/>
      <c r="O15" s="87"/>
      <c r="P15" s="87"/>
      <c r="Q15" s="64"/>
      <c r="R15" s="65"/>
      <c r="S15" s="61"/>
      <c r="T15" s="43"/>
      <c r="U15" s="44"/>
      <c r="V15" s="79"/>
    </row>
    <row r="16" spans="1:38" ht="15">
      <c r="A16" s="9"/>
      <c r="B16" s="12"/>
      <c r="C16" s="33"/>
      <c r="D16" s="26" t="s">
        <v>5</v>
      </c>
      <c r="E16" s="32"/>
      <c r="F16" s="74">
        <v>57</v>
      </c>
      <c r="G16" s="74">
        <v>24</v>
      </c>
      <c r="H16" s="71">
        <v>0</v>
      </c>
      <c r="I16" s="74">
        <v>69</v>
      </c>
      <c r="J16" s="64">
        <f t="shared" si="0"/>
        <v>1.375</v>
      </c>
      <c r="K16" s="64" t="str">
        <f>IFERROR(F16/H16-1,"n/a")</f>
        <v>n/a</v>
      </c>
      <c r="L16" s="60">
        <f>IFERROR(F16/I16-1,"n/a")</f>
        <v>-0.17391304347826086</v>
      </c>
      <c r="M16" s="68">
        <f>F16+'Jul-22'!M16</f>
        <v>448</v>
      </c>
      <c r="N16" s="68">
        <f>G16+'Jul-22'!N16</f>
        <v>38</v>
      </c>
      <c r="O16" s="68">
        <f>H16+'Jul-22'!O16</f>
        <v>43</v>
      </c>
      <c r="P16" s="68">
        <f>I16+'Jul-22'!P16</f>
        <v>499</v>
      </c>
      <c r="Q16" s="64">
        <f>IFERROR(M16/N16-1,"n/a")</f>
        <v>10.789473684210526</v>
      </c>
      <c r="R16" s="64">
        <f>IFERROR(M16/O16-1,"n/a")</f>
        <v>9.4186046511627914</v>
      </c>
      <c r="S16" s="60">
        <f>IFERROR(M16/P16-1,"n/a")</f>
        <v>-0.10220440881763526</v>
      </c>
      <c r="T16" s="68">
        <v>283</v>
      </c>
      <c r="U16" s="70">
        <v>43</v>
      </c>
      <c r="V16" s="78">
        <v>827</v>
      </c>
    </row>
    <row r="17" spans="1:38" ht="15">
      <c r="A17" s="9"/>
      <c r="B17" s="12"/>
      <c r="C17" s="33"/>
      <c r="D17" s="26" t="s">
        <v>11</v>
      </c>
      <c r="E17" s="32"/>
      <c r="F17" s="74">
        <v>227186</v>
      </c>
      <c r="G17" s="74">
        <v>49688</v>
      </c>
      <c r="H17" s="71">
        <v>0</v>
      </c>
      <c r="I17" s="74">
        <v>291759</v>
      </c>
      <c r="J17" s="64">
        <f t="shared" si="0"/>
        <v>3.572250845274513</v>
      </c>
      <c r="K17" s="64" t="str">
        <f>IFERROR(F17/H17-1,"n/a")</f>
        <v>n/a</v>
      </c>
      <c r="L17" s="60">
        <f>IFERROR(F17/I17-1,"n/a")</f>
        <v>-0.2213230782940715</v>
      </c>
      <c r="M17" s="68">
        <f>F17+'Jul-22'!M17</f>
        <v>1032303</v>
      </c>
      <c r="N17" s="68">
        <f>G17+'Jul-22'!N17</f>
        <v>78164</v>
      </c>
      <c r="O17" s="68">
        <f>H17+'Jul-22'!O17</f>
        <v>140552</v>
      </c>
      <c r="P17" s="68">
        <f>I17+'Jul-22'!P17</f>
        <v>1593408</v>
      </c>
      <c r="Q17" s="64">
        <f>IFERROR(M17/N17-1,"n/a")</f>
        <v>12.206885522747045</v>
      </c>
      <c r="R17" s="64">
        <f>IFERROR(M17/O17-1,"n/a")</f>
        <v>6.3446340144572826</v>
      </c>
      <c r="S17" s="60">
        <f>IFERROR(M17/P17-1,"n/a")</f>
        <v>-0.35214144776479095</v>
      </c>
      <c r="T17" s="68">
        <v>465109</v>
      </c>
      <c r="U17" s="70">
        <v>140552</v>
      </c>
      <c r="V17" s="78">
        <v>2552942</v>
      </c>
    </row>
    <row r="18" spans="1:38" ht="15">
      <c r="A18" s="9"/>
      <c r="B18" s="12"/>
      <c r="C18" s="31" t="s">
        <v>15</v>
      </c>
      <c r="D18" s="26"/>
      <c r="E18" s="32"/>
      <c r="F18" s="72"/>
      <c r="G18" s="72"/>
      <c r="H18" s="72"/>
      <c r="I18" s="72"/>
      <c r="J18" s="64"/>
      <c r="K18" s="64"/>
      <c r="L18" s="60"/>
      <c r="M18" s="87"/>
      <c r="N18" s="87"/>
      <c r="O18" s="87"/>
      <c r="P18" s="87"/>
      <c r="Q18" s="64"/>
      <c r="R18" s="64"/>
      <c r="S18" s="60"/>
      <c r="T18" s="43"/>
      <c r="U18" s="44"/>
      <c r="V18" s="79"/>
    </row>
    <row r="19" spans="1:38" ht="15">
      <c r="A19" s="9"/>
      <c r="B19" s="12"/>
      <c r="C19" s="33"/>
      <c r="D19" s="26" t="s">
        <v>5</v>
      </c>
      <c r="E19" s="32"/>
      <c r="F19" s="74">
        <v>68</v>
      </c>
      <c r="G19" s="71">
        <v>0</v>
      </c>
      <c r="H19" s="71">
        <v>0</v>
      </c>
      <c r="I19" s="74">
        <v>27</v>
      </c>
      <c r="J19" s="64" t="str">
        <f t="shared" si="0"/>
        <v>n/a</v>
      </c>
      <c r="K19" s="64" t="str">
        <f>IFERROR(F19/H19-1,"n/a")</f>
        <v>n/a</v>
      </c>
      <c r="L19" s="60">
        <f>IFERROR(F19/I19-1,"n/a")</f>
        <v>1.5185185185185186</v>
      </c>
      <c r="M19" s="68">
        <f>F19+'Jul-22'!M19</f>
        <v>295</v>
      </c>
      <c r="N19" s="68">
        <f>G19+'Jul-22'!N19</f>
        <v>0</v>
      </c>
      <c r="O19" s="68">
        <f>H19+'Jul-22'!O19</f>
        <v>4</v>
      </c>
      <c r="P19" s="68">
        <f>I19+'Jul-22'!P19</f>
        <v>128</v>
      </c>
      <c r="Q19" s="64" t="str">
        <f>IFERROR(M19/N19-1,"n/a")</f>
        <v>n/a</v>
      </c>
      <c r="R19" s="64">
        <f>IFERROR(M19/O19-1,"n/a")</f>
        <v>72.75</v>
      </c>
      <c r="S19" s="60">
        <f>IFERROR(M19/P19-1,"n/a")</f>
        <v>1.3046875</v>
      </c>
      <c r="T19" s="68">
        <v>23</v>
      </c>
      <c r="U19" s="70">
        <v>4</v>
      </c>
      <c r="V19" s="78">
        <v>191</v>
      </c>
    </row>
    <row r="20" spans="1:38" ht="15">
      <c r="A20" s="9"/>
      <c r="B20" s="12"/>
      <c r="C20" s="33"/>
      <c r="D20" s="26" t="s">
        <v>11</v>
      </c>
      <c r="E20" s="32"/>
      <c r="F20" s="74">
        <f>83975+18581</f>
        <v>102556</v>
      </c>
      <c r="G20" s="71">
        <v>0</v>
      </c>
      <c r="H20" s="71">
        <v>0</v>
      </c>
      <c r="I20" s="74">
        <f>27978+22373</f>
        <v>50351</v>
      </c>
      <c r="J20" s="64" t="str">
        <f t="shared" si="0"/>
        <v>n/a</v>
      </c>
      <c r="K20" s="64" t="str">
        <f>IFERROR(F20/H20-1,"n/a")</f>
        <v>n/a</v>
      </c>
      <c r="L20" s="60">
        <f t="shared" ref="L20:L31" si="1">IFERROR(F20/I20-1,"n/a")</f>
        <v>1.036821512978888</v>
      </c>
      <c r="M20" s="68">
        <f>F20+'Jul-22'!M20</f>
        <v>342146</v>
      </c>
      <c r="N20" s="68">
        <f>G20+'Jul-22'!N20</f>
        <v>0</v>
      </c>
      <c r="O20" s="68">
        <f>H20+'Jul-22'!O20</f>
        <v>1753</v>
      </c>
      <c r="P20" s="68">
        <f>I20+'Jul-22'!P20</f>
        <v>167542</v>
      </c>
      <c r="Q20" s="64" t="str">
        <f>IFERROR(M20/N20-1,"n/a")</f>
        <v>n/a</v>
      </c>
      <c r="R20" s="64">
        <f>IFERROR(M20/O20-1,"n/a")</f>
        <v>194.17741015402169</v>
      </c>
      <c r="S20" s="60">
        <f>IFERROR(M20/P20-1,"n/a")</f>
        <v>1.0421506249179311</v>
      </c>
      <c r="T20" s="68">
        <v>8611</v>
      </c>
      <c r="U20" s="70">
        <v>1753</v>
      </c>
      <c r="V20" s="78">
        <v>254421</v>
      </c>
    </row>
    <row r="21" spans="1:38" ht="15">
      <c r="A21" s="9"/>
      <c r="B21" s="12"/>
      <c r="C21" s="31" t="s">
        <v>10</v>
      </c>
      <c r="D21" s="26"/>
      <c r="E21" s="34"/>
      <c r="F21" s="72"/>
      <c r="G21" s="72"/>
      <c r="H21" s="72"/>
      <c r="I21" s="72"/>
      <c r="J21" s="64"/>
      <c r="K21" s="64"/>
      <c r="L21" s="60"/>
      <c r="M21" s="87"/>
      <c r="N21" s="87"/>
      <c r="O21" s="87"/>
      <c r="P21" s="87"/>
      <c r="Q21" s="64"/>
      <c r="R21" s="64"/>
      <c r="S21" s="60"/>
      <c r="T21" s="43"/>
      <c r="U21" s="44"/>
      <c r="V21" s="79"/>
    </row>
    <row r="22" spans="1:38" ht="15">
      <c r="A22" s="9"/>
      <c r="B22" s="12"/>
      <c r="C22" s="33"/>
      <c r="D22" s="26" t="s">
        <v>5</v>
      </c>
      <c r="E22" s="34"/>
      <c r="F22" s="73">
        <v>81</v>
      </c>
      <c r="G22" s="74">
        <v>44</v>
      </c>
      <c r="H22" s="71">
        <v>0</v>
      </c>
      <c r="I22" s="74">
        <v>93</v>
      </c>
      <c r="J22" s="64">
        <f t="shared" si="0"/>
        <v>0.84090909090909083</v>
      </c>
      <c r="K22" s="64" t="str">
        <f>IFERROR(F22/H22-1,"n/a")</f>
        <v>n/a</v>
      </c>
      <c r="L22" s="60">
        <f t="shared" si="1"/>
        <v>-0.12903225806451613</v>
      </c>
      <c r="M22" s="68">
        <f>F22+'Jul-22'!M22</f>
        <v>764</v>
      </c>
      <c r="N22" s="68">
        <f>G22+'Jul-22'!N22</f>
        <v>73</v>
      </c>
      <c r="O22" s="68">
        <f>H22+'Jul-22'!O22</f>
        <v>406</v>
      </c>
      <c r="P22" s="68">
        <f>I22+'Jul-22'!P22</f>
        <v>780</v>
      </c>
      <c r="Q22" s="64">
        <f>IFERROR(M22/N22-1,"n/a")</f>
        <v>9.4657534246575334</v>
      </c>
      <c r="R22" s="64">
        <f>IFERROR(M22/O22-1,"n/a")</f>
        <v>0.88177339901477825</v>
      </c>
      <c r="S22" s="60">
        <f>IFERROR(M22/P22-1,"n/a")</f>
        <v>-2.0512820512820551E-2</v>
      </c>
      <c r="T22" s="68">
        <v>411</v>
      </c>
      <c r="U22" s="70">
        <v>406</v>
      </c>
      <c r="V22" s="78">
        <v>1205</v>
      </c>
    </row>
    <row r="23" spans="1:38" ht="15">
      <c r="A23" s="9"/>
      <c r="B23" s="12"/>
      <c r="C23" s="33"/>
      <c r="D23" s="26" t="s">
        <v>11</v>
      </c>
      <c r="E23" s="32"/>
      <c r="F23" s="74">
        <v>278520</v>
      </c>
      <c r="G23" s="74">
        <v>64775</v>
      </c>
      <c r="H23" s="71">
        <v>0</v>
      </c>
      <c r="I23" s="74">
        <v>315639</v>
      </c>
      <c r="J23" s="64">
        <f t="shared" si="0"/>
        <v>3.2998070243149362</v>
      </c>
      <c r="K23" s="64" t="str">
        <f>IFERROR(F23/H23-1,"n/a")</f>
        <v>n/a</v>
      </c>
      <c r="L23" s="60">
        <f t="shared" si="1"/>
        <v>-0.11759953617898933</v>
      </c>
      <c r="M23" s="68">
        <f>F23+'Jul-22'!M23</f>
        <v>1920562</v>
      </c>
      <c r="N23" s="68">
        <f>G23+'Jul-22'!N23</f>
        <v>100033</v>
      </c>
      <c r="O23" s="68">
        <f>H23+'Jul-22'!O23</f>
        <v>833999</v>
      </c>
      <c r="P23" s="68">
        <f>I23+'Jul-22'!P23</f>
        <v>2649237</v>
      </c>
      <c r="Q23" s="64">
        <f>IFERROR(M23/N23-1,"n/a")</f>
        <v>18.199284236202054</v>
      </c>
      <c r="R23" s="64">
        <f>IFERROR(M23/O23-1,"n/a")</f>
        <v>1.302834895485486</v>
      </c>
      <c r="S23" s="60">
        <f>IFERROR(M23/P23-1,"n/a")</f>
        <v>-0.27505089201154898</v>
      </c>
      <c r="T23" s="68">
        <v>687449</v>
      </c>
      <c r="U23" s="70">
        <v>833999</v>
      </c>
      <c r="V23" s="78">
        <v>3859183</v>
      </c>
    </row>
    <row r="24" spans="1:38" ht="15">
      <c r="A24" s="9"/>
      <c r="B24" s="12"/>
      <c r="C24" s="31" t="s">
        <v>16</v>
      </c>
      <c r="D24" s="26"/>
      <c r="E24" s="32"/>
      <c r="F24" s="72"/>
      <c r="G24" s="72"/>
      <c r="H24" s="72"/>
      <c r="I24" s="72"/>
      <c r="J24" s="64"/>
      <c r="K24" s="64"/>
      <c r="L24" s="60"/>
      <c r="M24" s="87"/>
      <c r="N24" s="87"/>
      <c r="O24" s="87"/>
      <c r="P24" s="87"/>
      <c r="Q24" s="64"/>
      <c r="R24" s="64"/>
      <c r="S24" s="60"/>
      <c r="T24" s="43"/>
      <c r="U24" s="44"/>
      <c r="V24" s="79"/>
    </row>
    <row r="25" spans="1:38" ht="15">
      <c r="A25" s="9"/>
      <c r="B25" s="12"/>
      <c r="C25" s="33"/>
      <c r="D25" s="26" t="s">
        <v>5</v>
      </c>
      <c r="E25" s="32"/>
      <c r="F25" s="74">
        <v>32</v>
      </c>
      <c r="G25" s="74">
        <v>17</v>
      </c>
      <c r="H25" s="74">
        <v>2</v>
      </c>
      <c r="I25" s="74">
        <v>35</v>
      </c>
      <c r="J25" s="64">
        <f t="shared" si="0"/>
        <v>0.88235294117647056</v>
      </c>
      <c r="K25" s="64">
        <f>IFERROR(F25/H25-1,"n/a")</f>
        <v>15</v>
      </c>
      <c r="L25" s="60">
        <f t="shared" si="1"/>
        <v>-8.5714285714285743E-2</v>
      </c>
      <c r="M25" s="68">
        <f>F25+'Jul-22'!M25</f>
        <v>188</v>
      </c>
      <c r="N25" s="68">
        <f>G25+'Jul-22'!N25</f>
        <v>54</v>
      </c>
      <c r="O25" s="68">
        <f>H25+'Jul-22'!O25</f>
        <v>11</v>
      </c>
      <c r="P25" s="68">
        <f>I25+'Jul-22'!P25</f>
        <v>204</v>
      </c>
      <c r="Q25" s="64">
        <f>IFERROR(M25/N25-1,"n/a")</f>
        <v>2.4814814814814814</v>
      </c>
      <c r="R25" s="64">
        <f>IFERROR(M25/O25-1,"n/a")</f>
        <v>16.09090909090909</v>
      </c>
      <c r="S25" s="60">
        <f>IFERROR(M25/P25-1,"n/a")</f>
        <v>-7.8431372549019662E-2</v>
      </c>
      <c r="T25" s="68">
        <v>107</v>
      </c>
      <c r="U25" s="70">
        <v>32</v>
      </c>
      <c r="V25" s="78">
        <v>372</v>
      </c>
    </row>
    <row r="26" spans="1:38" ht="15">
      <c r="A26" s="9"/>
      <c r="B26" s="12"/>
      <c r="C26" s="33"/>
      <c r="D26" s="26" t="s">
        <v>11</v>
      </c>
      <c r="E26" s="32"/>
      <c r="F26" s="74">
        <v>96458</v>
      </c>
      <c r="G26" s="74">
        <v>24100</v>
      </c>
      <c r="H26" s="74">
        <v>2541</v>
      </c>
      <c r="I26" s="74">
        <v>108905</v>
      </c>
      <c r="J26" s="64">
        <f t="shared" si="0"/>
        <v>3.0024066390041497</v>
      </c>
      <c r="K26" s="64">
        <f>IFERROR(F26/H26-1,"n/a")</f>
        <v>36.960645415190868</v>
      </c>
      <c r="L26" s="60">
        <f t="shared" si="1"/>
        <v>-0.11429227308204404</v>
      </c>
      <c r="M26" s="68">
        <f>F26+'Jul-22'!M26</f>
        <v>346507</v>
      </c>
      <c r="N26" s="68">
        <f>G26+'Jul-22'!N26</f>
        <v>69550</v>
      </c>
      <c r="O26" s="68">
        <f>H26+'Jul-22'!O26</f>
        <v>42762</v>
      </c>
      <c r="P26" s="68">
        <f>I26+'Jul-22'!P26</f>
        <v>586040</v>
      </c>
      <c r="Q26" s="64">
        <f>IFERROR(M26/N26-1,"n/a")</f>
        <v>3.9821279654924515</v>
      </c>
      <c r="R26" s="64">
        <f>IFERROR(M26/O26-1,"n/a")</f>
        <v>7.1031523315092837</v>
      </c>
      <c r="S26" s="60">
        <f>IFERROR(M26/P26-1,"n/a")</f>
        <v>-0.40873148590539898</v>
      </c>
      <c r="T26" s="68">
        <v>147132</v>
      </c>
      <c r="U26" s="70">
        <v>59180</v>
      </c>
      <c r="V26" s="78">
        <v>902015</v>
      </c>
    </row>
    <row r="27" spans="1:38" ht="15">
      <c r="A27" s="9"/>
      <c r="B27" s="12"/>
      <c r="C27" s="31" t="s">
        <v>17</v>
      </c>
      <c r="D27" s="26"/>
      <c r="E27" s="32"/>
      <c r="F27" s="72"/>
      <c r="G27" s="72"/>
      <c r="H27" s="72"/>
      <c r="I27" s="72"/>
      <c r="J27" s="64"/>
      <c r="K27" s="64"/>
      <c r="L27" s="60"/>
      <c r="M27" s="87"/>
      <c r="N27" s="87"/>
      <c r="O27" s="87"/>
      <c r="P27" s="87"/>
      <c r="Q27" s="64"/>
      <c r="R27" s="64"/>
      <c r="S27" s="60"/>
      <c r="T27" s="43"/>
      <c r="U27" s="44"/>
      <c r="V27" s="79"/>
    </row>
    <row r="28" spans="1:38" ht="15">
      <c r="B28" s="12"/>
      <c r="C28" s="33"/>
      <c r="D28" s="26" t="s">
        <v>5</v>
      </c>
      <c r="E28" s="32"/>
      <c r="F28" s="74">
        <v>72</v>
      </c>
      <c r="G28" s="74">
        <v>16</v>
      </c>
      <c r="H28" s="74">
        <v>3</v>
      </c>
      <c r="I28" s="74">
        <v>44</v>
      </c>
      <c r="J28" s="64">
        <f t="shared" si="0"/>
        <v>3.5</v>
      </c>
      <c r="K28" s="64">
        <f>IFERROR(F28/H28-1,"n/a")</f>
        <v>23</v>
      </c>
      <c r="L28" s="60">
        <f t="shared" si="1"/>
        <v>0.63636363636363646</v>
      </c>
      <c r="M28" s="68">
        <f>F28+'Jul-22'!M28</f>
        <v>346</v>
      </c>
      <c r="N28" s="68">
        <f>G28+'Jul-22'!N28</f>
        <v>56</v>
      </c>
      <c r="O28" s="68">
        <f>H28+'Jul-22'!O28</f>
        <v>5</v>
      </c>
      <c r="P28" s="68">
        <f>I28+'Jul-22'!P28</f>
        <v>216</v>
      </c>
      <c r="Q28" s="64">
        <f>IFERROR(M28/N28-1,"n/a")</f>
        <v>5.1785714285714288</v>
      </c>
      <c r="R28" s="64">
        <f>IFERROR(M28/O28-1,"n/a")</f>
        <v>68.2</v>
      </c>
      <c r="S28" s="60">
        <f>IFERROR(M28/P28-1,"n/a")</f>
        <v>0.60185185185185186</v>
      </c>
      <c r="T28" s="68">
        <v>127</v>
      </c>
      <c r="U28" s="70">
        <v>37</v>
      </c>
      <c r="V28" s="78">
        <f>282+81</f>
        <v>363</v>
      </c>
    </row>
    <row r="29" spans="1:38" ht="15">
      <c r="A29" s="9"/>
      <c r="B29" s="12"/>
      <c r="C29" s="33"/>
      <c r="D29" s="26" t="s">
        <v>11</v>
      </c>
      <c r="E29" s="32"/>
      <c r="F29" s="74">
        <f>151084+25399+7611</f>
        <v>184094</v>
      </c>
      <c r="G29" s="74">
        <v>25181</v>
      </c>
      <c r="H29" s="71">
        <v>0</v>
      </c>
      <c r="I29" s="74">
        <f>100123+26729+22999</f>
        <v>149851</v>
      </c>
      <c r="J29" s="64">
        <f t="shared" si="0"/>
        <v>6.310829593741313</v>
      </c>
      <c r="K29" s="64" t="str">
        <f>IFERROR(F29/H29-1,"n/a")</f>
        <v>n/a</v>
      </c>
      <c r="L29" s="60">
        <f t="shared" si="1"/>
        <v>0.22851365689918657</v>
      </c>
      <c r="M29" s="68">
        <f>F29+'Jul-22'!M29</f>
        <v>543174</v>
      </c>
      <c r="N29" s="68">
        <f>G29+'Jul-22'!N29</f>
        <v>81814</v>
      </c>
      <c r="O29" s="68">
        <f>H29+'Jul-22'!O29</f>
        <v>9186</v>
      </c>
      <c r="P29" s="68">
        <f>I29+'Jul-22'!P29</f>
        <v>592980</v>
      </c>
      <c r="Q29" s="64">
        <f>IFERROR(M29/N29-1,"n/a")</f>
        <v>5.6391326667807462</v>
      </c>
      <c r="R29" s="64">
        <f>IFERROR(M29/O29-1,"n/a")</f>
        <v>58.130633572828216</v>
      </c>
      <c r="S29" s="60">
        <f>IFERROR(M29/P29-1,"n/a")</f>
        <v>-8.3992714762723852E-2</v>
      </c>
      <c r="T29" s="68">
        <v>165083</v>
      </c>
      <c r="U29" s="70">
        <f>20768+8294</f>
        <v>29062</v>
      </c>
      <c r="V29" s="78">
        <f>659951+168729+38484</f>
        <v>867164</v>
      </c>
    </row>
    <row r="30" spans="1:38" ht="15" customHeight="1" thickBot="1">
      <c r="A30" s="9"/>
      <c r="B30" s="12"/>
      <c r="C30" s="35" t="s">
        <v>12</v>
      </c>
      <c r="D30" s="36"/>
      <c r="E30" s="37"/>
      <c r="F30" s="75">
        <f t="shared" ref="F30:I31" si="2">F13+F16+F19+F22+F25+F28</f>
        <v>310</v>
      </c>
      <c r="G30" s="75">
        <f t="shared" si="2"/>
        <v>108</v>
      </c>
      <c r="H30" s="75">
        <f t="shared" si="2"/>
        <v>5</v>
      </c>
      <c r="I30" s="75">
        <f t="shared" si="2"/>
        <v>272</v>
      </c>
      <c r="J30" s="66">
        <f t="shared" si="0"/>
        <v>1.8703703703703702</v>
      </c>
      <c r="K30" s="66">
        <f>IFERROR(F30/H30-1,"n/a")</f>
        <v>61</v>
      </c>
      <c r="L30" s="62">
        <f t="shared" si="1"/>
        <v>0.13970588235294112</v>
      </c>
      <c r="M30" s="46">
        <f t="shared" ref="M30:P31" si="3">M13+M16+M19+M22+M25+M28</f>
        <v>2268</v>
      </c>
      <c r="N30" s="46">
        <f t="shared" si="3"/>
        <v>234</v>
      </c>
      <c r="O30" s="46">
        <f t="shared" si="3"/>
        <v>614</v>
      </c>
      <c r="P30" s="46">
        <f t="shared" si="3"/>
        <v>2077</v>
      </c>
      <c r="Q30" s="66">
        <f>IFERROR(M30/N30-1,"n/a")</f>
        <v>8.6923076923076916</v>
      </c>
      <c r="R30" s="66">
        <f>IFERROR(M30/O30-1,"n/a")</f>
        <v>2.6938110749185666</v>
      </c>
      <c r="S30" s="62">
        <f>IFERROR(M30/P30-1,"n/a")</f>
        <v>9.1959557053442387E-2</v>
      </c>
      <c r="T30" s="46">
        <f t="shared" ref="T30:V31" si="4">T13+T16+T19+T22+T25+T28</f>
        <v>1062</v>
      </c>
      <c r="U30" s="46">
        <f t="shared" si="4"/>
        <v>667</v>
      </c>
      <c r="V30" s="80">
        <f t="shared" si="4"/>
        <v>3344</v>
      </c>
    </row>
    <row r="31" spans="1:38" s="22" customFormat="1" ht="15" customHeight="1" thickTop="1" thickBot="1">
      <c r="A31" s="9"/>
      <c r="B31" s="12"/>
      <c r="C31" s="38" t="s">
        <v>13</v>
      </c>
      <c r="D31" s="39"/>
      <c r="E31" s="40"/>
      <c r="F31" s="76">
        <f t="shared" si="2"/>
        <v>888814</v>
      </c>
      <c r="G31" s="76">
        <f t="shared" si="2"/>
        <v>165560</v>
      </c>
      <c r="H31" s="76">
        <f t="shared" si="2"/>
        <v>2541</v>
      </c>
      <c r="I31" s="76">
        <f t="shared" si="2"/>
        <v>926112</v>
      </c>
      <c r="J31" s="67">
        <f t="shared" si="0"/>
        <v>4.368531046146412</v>
      </c>
      <c r="K31" s="67">
        <f>IFERROR(F31/H31-1,"n/a")</f>
        <v>348.78905942542303</v>
      </c>
      <c r="L31" s="63">
        <f t="shared" si="1"/>
        <v>-4.0273746587885739E-2</v>
      </c>
      <c r="M31" s="47">
        <f t="shared" si="3"/>
        <v>4378861</v>
      </c>
      <c r="N31" s="47">
        <f t="shared" si="3"/>
        <v>332144</v>
      </c>
      <c r="O31" s="47">
        <f t="shared" si="3"/>
        <v>1287137</v>
      </c>
      <c r="P31" s="47">
        <f t="shared" si="3"/>
        <v>6070338</v>
      </c>
      <c r="Q31" s="67">
        <f>IFERROR(M31/N31-1,"n/a")</f>
        <v>12.183622163880726</v>
      </c>
      <c r="R31" s="67">
        <f>IFERROR(M31/O31-1,"n/a")</f>
        <v>2.4020162577876327</v>
      </c>
      <c r="S31" s="63">
        <f>IFERROR(M31/P31-1,"n/a")</f>
        <v>-0.27864626318995744</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38" ht="15" customHeight="1" thickTop="1">
      <c r="A32" s="9"/>
      <c r="B32" s="9"/>
      <c r="C32" s="9"/>
      <c r="D32" s="9"/>
      <c r="E32" s="9"/>
      <c r="F32" s="9"/>
      <c r="G32" s="41"/>
      <c r="H32" s="41"/>
      <c r="I32" s="41"/>
      <c r="J32" s="41"/>
      <c r="K32" s="9"/>
      <c r="L32" s="9"/>
      <c r="M32" s="9"/>
      <c r="N32" s="9"/>
      <c r="O32" s="9"/>
      <c r="P32" s="9"/>
      <c r="Q32" s="9"/>
      <c r="R32" s="9"/>
      <c r="S32" s="9"/>
      <c r="T32" s="83"/>
      <c r="U32" s="9"/>
      <c r="V32" s="9"/>
    </row>
    <row r="33" spans="1:22" ht="23.25" customHeight="1">
      <c r="A33" s="9"/>
      <c r="B33" s="9"/>
      <c r="C33" s="9"/>
      <c r="D33" s="9"/>
      <c r="E33" s="9"/>
      <c r="F33" s="9"/>
      <c r="G33" s="41"/>
      <c r="H33" s="41"/>
      <c r="I33" s="41"/>
      <c r="J33" s="41"/>
      <c r="K33" s="9"/>
      <c r="L33" s="9"/>
      <c r="M33" s="9"/>
      <c r="N33" s="9"/>
      <c r="O33" s="9"/>
      <c r="P33" s="9"/>
      <c r="Q33" s="9"/>
      <c r="R33" s="9"/>
      <c r="S33" s="9"/>
      <c r="T33" s="9"/>
      <c r="U33" s="9"/>
      <c r="V33" s="9"/>
    </row>
    <row r="34" spans="1:22" ht="15">
      <c r="A34" s="9"/>
      <c r="B34" s="10"/>
      <c r="C34" s="86" t="s">
        <v>63</v>
      </c>
      <c r="D34" s="24"/>
      <c r="E34" s="24"/>
      <c r="F34" s="24"/>
      <c r="G34" s="24"/>
      <c r="H34" s="24"/>
      <c r="I34" s="24"/>
      <c r="J34" s="24"/>
      <c r="K34" s="24"/>
      <c r="L34" s="24"/>
      <c r="M34" s="24"/>
      <c r="N34" s="24"/>
      <c r="O34" s="24"/>
      <c r="P34" s="24"/>
      <c r="Q34" s="24"/>
      <c r="R34" s="24"/>
      <c r="S34" s="24"/>
      <c r="T34" s="24"/>
      <c r="U34" s="24"/>
      <c r="V34" s="24"/>
    </row>
    <row r="35" spans="1:22" ht="15">
      <c r="A35" s="9"/>
      <c r="B35" s="10"/>
      <c r="C35" s="24"/>
      <c r="D35" s="24"/>
      <c r="E35" s="24"/>
      <c r="F35" s="24"/>
      <c r="G35" s="24"/>
      <c r="H35" s="24"/>
      <c r="I35" s="24"/>
      <c r="J35" s="24"/>
      <c r="K35" s="24"/>
      <c r="L35" s="24"/>
      <c r="M35" s="24"/>
      <c r="N35" s="24"/>
      <c r="O35" s="24"/>
      <c r="P35" s="24"/>
      <c r="Q35" s="24"/>
      <c r="R35" s="24"/>
      <c r="S35" s="24"/>
      <c r="T35" s="24"/>
      <c r="U35" s="24"/>
      <c r="V35" s="24"/>
    </row>
    <row r="36" spans="1:22" ht="15" customHeight="1">
      <c r="A36" s="9"/>
      <c r="B36" s="9"/>
      <c r="C36" s="27" t="s">
        <v>7</v>
      </c>
      <c r="D36" s="28"/>
      <c r="E36" s="28"/>
      <c r="F36" s="170" t="str">
        <f>F9</f>
        <v>August</v>
      </c>
      <c r="G36" s="170"/>
      <c r="H36" s="170"/>
      <c r="I36" s="170"/>
      <c r="J36" s="170"/>
      <c r="K36" s="170"/>
      <c r="L36" s="171"/>
      <c r="M36" s="169" t="s">
        <v>70</v>
      </c>
      <c r="N36" s="170"/>
      <c r="O36" s="170"/>
      <c r="P36" s="170"/>
      <c r="Q36" s="170"/>
      <c r="R36" s="170"/>
      <c r="S36" s="171"/>
      <c r="T36" s="169" t="s">
        <v>58</v>
      </c>
      <c r="U36" s="170"/>
      <c r="V36" s="172"/>
    </row>
    <row r="37" spans="1:22" ht="15" customHeight="1">
      <c r="A37" s="9"/>
      <c r="B37" s="9"/>
      <c r="C37" s="29"/>
      <c r="D37" s="30"/>
      <c r="E37" s="30"/>
      <c r="F37" s="29"/>
      <c r="G37" s="30"/>
      <c r="H37" s="30"/>
      <c r="I37" s="30"/>
      <c r="J37" s="30"/>
      <c r="K37" s="30"/>
      <c r="L37" s="56"/>
      <c r="M37" s="30"/>
      <c r="N37" s="30"/>
      <c r="O37" s="30"/>
      <c r="P37" s="30"/>
      <c r="Q37" s="30"/>
      <c r="R37" s="30"/>
      <c r="S37" s="56"/>
      <c r="T37" s="30"/>
      <c r="U37" s="30"/>
      <c r="V37" s="56"/>
    </row>
    <row r="38" spans="1:22" s="9" customFormat="1" ht="33.7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1:22" s="9" customFormat="1" ht="15" customHeight="1">
      <c r="C39" s="31" t="s">
        <v>14</v>
      </c>
      <c r="D39" s="26"/>
      <c r="E39" s="32"/>
      <c r="F39" s="26"/>
      <c r="G39" s="26"/>
      <c r="H39" s="26"/>
      <c r="I39" s="26"/>
      <c r="J39" s="26"/>
      <c r="K39" s="26"/>
      <c r="L39" s="32"/>
      <c r="M39" s="26"/>
      <c r="N39" s="26"/>
      <c r="O39" s="26"/>
      <c r="Q39" s="26"/>
      <c r="R39" s="26"/>
      <c r="S39" s="32"/>
      <c r="T39" s="33"/>
      <c r="U39" s="88"/>
      <c r="V39" s="85"/>
    </row>
    <row r="40" spans="1:22" s="9" customFormat="1" ht="15" customHeight="1">
      <c r="C40" s="33"/>
      <c r="D40" s="26" t="s">
        <v>5</v>
      </c>
      <c r="E40" s="32"/>
      <c r="F40" s="74">
        <f t="shared" ref="F40:I41" si="5">F13</f>
        <v>0</v>
      </c>
      <c r="G40" s="74">
        <f t="shared" si="5"/>
        <v>7</v>
      </c>
      <c r="H40" s="71">
        <f t="shared" si="5"/>
        <v>0</v>
      </c>
      <c r="I40" s="71">
        <f t="shared" si="5"/>
        <v>4</v>
      </c>
      <c r="J40" s="64">
        <f>IFERROR(F40/G40-1,"n/a")</f>
        <v>-1</v>
      </c>
      <c r="K40" s="64" t="str">
        <f>IFERROR(F40/H40-1,"n/a")</f>
        <v>n/a</v>
      </c>
      <c r="L40" s="60">
        <f>IFERROR(F40/I40-1,"n/a")</f>
        <v>-1</v>
      </c>
      <c r="M40" s="70">
        <f>+M13-'Mar-22'!M10</f>
        <v>30</v>
      </c>
      <c r="N40" s="70">
        <f>+N13-'Mar-22'!N10</f>
        <v>13</v>
      </c>
      <c r="O40" s="82">
        <f>+O13-'Mar-22'!O10</f>
        <v>0</v>
      </c>
      <c r="P40" s="70">
        <f>+P13-'Mar-22'!P10</f>
        <v>50</v>
      </c>
      <c r="Q40" s="64">
        <f>IFERROR(M40/N40-1,"n/a")</f>
        <v>1.3076923076923075</v>
      </c>
      <c r="R40" s="64" t="str">
        <f>IFERROR(M40/O40-1,"n/a")</f>
        <v>n/a</v>
      </c>
      <c r="S40" s="60">
        <f>IFERROR(M40/P40-1,"n/a")</f>
        <v>-0.4</v>
      </c>
      <c r="T40" s="89">
        <v>308</v>
      </c>
      <c r="U40" s="70">
        <v>145</v>
      </c>
      <c r="V40" s="78">
        <v>331</v>
      </c>
    </row>
    <row r="41" spans="1:22" s="9" customFormat="1" ht="15" customHeight="1">
      <c r="C41" s="33"/>
      <c r="D41" s="26" t="s">
        <v>11</v>
      </c>
      <c r="E41" s="32"/>
      <c r="F41" s="74">
        <f t="shared" si="5"/>
        <v>0</v>
      </c>
      <c r="G41" s="74">
        <f t="shared" si="5"/>
        <v>1816</v>
      </c>
      <c r="H41" s="71">
        <f t="shared" si="5"/>
        <v>0</v>
      </c>
      <c r="I41" s="74">
        <f t="shared" si="5"/>
        <v>9607</v>
      </c>
      <c r="J41" s="64">
        <f>IFERROR(F41/G41-1,"n/a")</f>
        <v>-1</v>
      </c>
      <c r="K41" s="64" t="str">
        <f>IFERROR(F41/H41-1,"n/a")</f>
        <v>n/a</v>
      </c>
      <c r="L41" s="60">
        <f>IFERROR(F41/I41-1,"n/a")</f>
        <v>-1</v>
      </c>
      <c r="M41" s="82">
        <f>+M14-'Mar-22'!M11</f>
        <v>37841</v>
      </c>
      <c r="N41" s="82">
        <f>+N14-'Mar-22'!N11</f>
        <v>2583</v>
      </c>
      <c r="O41" s="82">
        <f>+O14-'Mar-22'!O11</f>
        <v>0</v>
      </c>
      <c r="P41" s="82">
        <f>+P14-'Mar-22'!P11</f>
        <v>95751</v>
      </c>
      <c r="Q41" s="64">
        <f>IFERROR(M41/N41-1,"n/a")</f>
        <v>13.650019357336431</v>
      </c>
      <c r="R41" s="64" t="str">
        <f>IFERROR(M41/O41-1,"n/a")</f>
        <v>n/a</v>
      </c>
      <c r="S41" s="60">
        <f>IFERROR(M41/P41-1,"n/a")</f>
        <v>-0.60479786111894396</v>
      </c>
      <c r="T41" s="89">
        <v>237191</v>
      </c>
      <c r="U41" s="84">
        <v>258885</v>
      </c>
      <c r="V41" s="78">
        <v>606801</v>
      </c>
    </row>
    <row r="42" spans="1:22" s="9" customFormat="1" ht="15" customHeight="1">
      <c r="C42" s="31" t="s">
        <v>20</v>
      </c>
      <c r="D42" s="26"/>
      <c r="E42" s="32"/>
      <c r="F42" s="26"/>
      <c r="G42" s="26"/>
      <c r="H42" s="26"/>
      <c r="I42" s="26"/>
      <c r="J42" s="64"/>
      <c r="K42" s="64"/>
      <c r="L42" s="61"/>
      <c r="M42" s="87"/>
      <c r="N42" s="87"/>
      <c r="O42" s="87"/>
      <c r="P42" s="87"/>
      <c r="Q42" s="65"/>
      <c r="R42" s="65"/>
      <c r="S42" s="61"/>
      <c r="T42" s="90"/>
      <c r="U42" s="44"/>
      <c r="V42" s="79"/>
    </row>
    <row r="43" spans="1:22" s="9" customFormat="1" ht="15" customHeight="1">
      <c r="C43" s="33"/>
      <c r="D43" s="26" t="s">
        <v>5</v>
      </c>
      <c r="E43" s="32"/>
      <c r="F43" s="74">
        <f t="shared" ref="F43:I44" si="6">F16</f>
        <v>57</v>
      </c>
      <c r="G43" s="74">
        <f t="shared" si="6"/>
        <v>24</v>
      </c>
      <c r="H43" s="71">
        <f t="shared" si="6"/>
        <v>0</v>
      </c>
      <c r="I43" s="74">
        <f t="shared" si="6"/>
        <v>69</v>
      </c>
      <c r="J43" s="64">
        <f>IFERROR(F43/G43-1,"n/a")</f>
        <v>1.375</v>
      </c>
      <c r="K43" s="64" t="str">
        <f>IFERROR(F43/H43-1,"n/a")</f>
        <v>n/a</v>
      </c>
      <c r="L43" s="60">
        <f>IFERROR(F43/I43-1,"n/a")</f>
        <v>-0.17391304347826086</v>
      </c>
      <c r="M43" s="70">
        <f>+M16-'Mar-22'!M13</f>
        <v>395</v>
      </c>
      <c r="N43" s="70">
        <f>+N16-'Mar-22'!N13</f>
        <v>38</v>
      </c>
      <c r="O43" s="82">
        <f>+O16-'Mar-22'!O13</f>
        <v>0</v>
      </c>
      <c r="P43" s="70">
        <f>+P16-'Mar-22'!P13</f>
        <v>410</v>
      </c>
      <c r="Q43" s="64">
        <f>IFERROR(M43/N43-1,"n/a")</f>
        <v>9.3947368421052637</v>
      </c>
      <c r="R43" s="64" t="str">
        <f>IFERROR(M43/O43-1,"n/a")</f>
        <v>n/a</v>
      </c>
      <c r="S43" s="60">
        <f>IFERROR(M43/P43-1,"n/a")</f>
        <v>-3.6585365853658569E-2</v>
      </c>
      <c r="T43" s="89">
        <v>336</v>
      </c>
      <c r="U43" s="70">
        <v>43</v>
      </c>
      <c r="V43" s="78">
        <v>781</v>
      </c>
    </row>
    <row r="44" spans="1:22" s="9" customFormat="1" ht="15" customHeight="1">
      <c r="C44" s="33"/>
      <c r="D44" s="26" t="s">
        <v>11</v>
      </c>
      <c r="E44" s="32"/>
      <c r="F44" s="74">
        <f t="shared" si="6"/>
        <v>227186</v>
      </c>
      <c r="G44" s="74">
        <f t="shared" si="6"/>
        <v>49688</v>
      </c>
      <c r="H44" s="71">
        <f t="shared" si="6"/>
        <v>0</v>
      </c>
      <c r="I44" s="74">
        <f t="shared" si="6"/>
        <v>291759</v>
      </c>
      <c r="J44" s="64">
        <f>IFERROR(F44/G44-1,"n/a")</f>
        <v>3.572250845274513</v>
      </c>
      <c r="K44" s="64" t="str">
        <f>IFERROR(F44/H44-1,"n/a")</f>
        <v>n/a</v>
      </c>
      <c r="L44" s="60">
        <f>IFERROR(F44/I44-1,"n/a")</f>
        <v>-0.2213230782940715</v>
      </c>
      <c r="M44" s="82">
        <f>+M17-'Mar-22'!M14</f>
        <v>963849</v>
      </c>
      <c r="N44" s="82">
        <f>+N17-'Mar-22'!N14</f>
        <v>78164</v>
      </c>
      <c r="O44" s="82">
        <f>+O17-'Mar-22'!O14</f>
        <v>0</v>
      </c>
      <c r="P44" s="82">
        <f>+P17-'Mar-22'!P14</f>
        <v>1341508</v>
      </c>
      <c r="Q44" s="64">
        <f>IFERROR(M44/N44-1,"n/a")</f>
        <v>11.33111150913464</v>
      </c>
      <c r="R44" s="64" t="str">
        <f>IFERROR(M44/O44-1,"n/a")</f>
        <v>n/a</v>
      </c>
      <c r="S44" s="60">
        <f>IFERROR(M44/P44-1,"n/a")</f>
        <v>-0.28151826153850745</v>
      </c>
      <c r="T44" s="89">
        <v>533563</v>
      </c>
      <c r="U44" s="84">
        <v>140552</v>
      </c>
      <c r="V44" s="78">
        <v>2441594</v>
      </c>
    </row>
    <row r="45" spans="1:22"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1:22" s="9" customFormat="1" ht="15" customHeight="1">
      <c r="C46" s="33"/>
      <c r="D46" s="26" t="s">
        <v>5</v>
      </c>
      <c r="E46" s="32"/>
      <c r="F46" s="74">
        <f t="shared" ref="F46:I47" si="7">F19</f>
        <v>68</v>
      </c>
      <c r="G46" s="71">
        <f t="shared" si="7"/>
        <v>0</v>
      </c>
      <c r="H46" s="71">
        <f t="shared" si="7"/>
        <v>0</v>
      </c>
      <c r="I46" s="74">
        <f t="shared" si="7"/>
        <v>27</v>
      </c>
      <c r="J46" s="64" t="str">
        <f>IFERROR(F46/G46-1,"n/a")</f>
        <v>n/a</v>
      </c>
      <c r="K46" s="64" t="str">
        <f>IFERROR(F46/H46-1,"n/a")</f>
        <v>n/a</v>
      </c>
      <c r="L46" s="60">
        <f>IFERROR(F46/I46-1,"n/a")</f>
        <v>1.5185185185185186</v>
      </c>
      <c r="M46" s="70">
        <f>+M19-'Mar-22'!M16</f>
        <v>285</v>
      </c>
      <c r="N46" s="82">
        <f>+N19-'Mar-22'!N16</f>
        <v>0</v>
      </c>
      <c r="O46" s="82">
        <f>+O19-'Mar-22'!O16</f>
        <v>1</v>
      </c>
      <c r="P46" s="82">
        <f>+P19-'Mar-22'!P16</f>
        <v>122</v>
      </c>
      <c r="Q46" s="64" t="str">
        <f>IFERROR(M46/N46-1,"n/a")</f>
        <v>n/a</v>
      </c>
      <c r="R46" s="64">
        <f>IFERROR(M46/O46-1,"n/a")</f>
        <v>284</v>
      </c>
      <c r="S46" s="60">
        <f>IFERROR(M46/P46-1,"n/a")</f>
        <v>1.3360655737704916</v>
      </c>
      <c r="T46" s="89">
        <v>33</v>
      </c>
      <c r="U46" s="70">
        <v>4</v>
      </c>
      <c r="V46" s="78">
        <v>188</v>
      </c>
    </row>
    <row r="47" spans="1:22" s="9" customFormat="1" ht="15" customHeight="1">
      <c r="C47" s="33"/>
      <c r="D47" s="26" t="s">
        <v>11</v>
      </c>
      <c r="E47" s="32"/>
      <c r="F47" s="74">
        <f t="shared" si="7"/>
        <v>102556</v>
      </c>
      <c r="G47" s="71">
        <f t="shared" si="7"/>
        <v>0</v>
      </c>
      <c r="H47" s="71">
        <f t="shared" si="7"/>
        <v>0</v>
      </c>
      <c r="I47" s="74">
        <f t="shared" si="7"/>
        <v>50351</v>
      </c>
      <c r="J47" s="64" t="str">
        <f>IFERROR(F47/G47-1,"n/a")</f>
        <v>n/a</v>
      </c>
      <c r="K47" s="64" t="str">
        <f>IFERROR(F47/H47-1,"n/a")</f>
        <v>n/a</v>
      </c>
      <c r="L47" s="60">
        <f>IFERROR(F47/I47-1,"n/a")</f>
        <v>1.036821512978888</v>
      </c>
      <c r="M47" s="82">
        <f>+M20-'Mar-22'!M17</f>
        <v>340674</v>
      </c>
      <c r="N47" s="82">
        <f>+N20-'Mar-22'!N17</f>
        <v>0</v>
      </c>
      <c r="O47" s="82">
        <f>+O20-'Mar-22'!O17</f>
        <v>111</v>
      </c>
      <c r="P47" s="82">
        <f>+P20-'Mar-22'!P17</f>
        <v>162404</v>
      </c>
      <c r="Q47" s="64" t="str">
        <f>IFERROR(M47/N47-1,"n/a")</f>
        <v>n/a</v>
      </c>
      <c r="R47" s="64">
        <f>IFERROR(M47/O47-1,"n/a")</f>
        <v>3068.135135135135</v>
      </c>
      <c r="S47" s="60">
        <f>IFERROR(M47/P47-1,"n/a")</f>
        <v>1.0976946380631021</v>
      </c>
      <c r="T47" s="82">
        <v>10083</v>
      </c>
      <c r="U47" s="84">
        <v>1753</v>
      </c>
      <c r="V47" s="78">
        <f>176097+74816</f>
        <v>250913</v>
      </c>
    </row>
    <row r="48" spans="1:22"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3:22" s="9" customFormat="1" ht="15" customHeight="1">
      <c r="C49" s="33"/>
      <c r="D49" s="26" t="s">
        <v>5</v>
      </c>
      <c r="E49" s="34"/>
      <c r="F49" s="73">
        <f t="shared" ref="F49:I50" si="8">F22</f>
        <v>81</v>
      </c>
      <c r="G49" s="74">
        <f t="shared" si="8"/>
        <v>44</v>
      </c>
      <c r="H49" s="71">
        <f t="shared" si="8"/>
        <v>0</v>
      </c>
      <c r="I49" s="74">
        <f t="shared" si="8"/>
        <v>93</v>
      </c>
      <c r="J49" s="64">
        <f>IFERROR(F49/G49-1,"n/a")</f>
        <v>0.84090909090909083</v>
      </c>
      <c r="K49" s="64" t="str">
        <f>IFERROR(F49/H49-1,"n/a")</f>
        <v>n/a</v>
      </c>
      <c r="L49" s="60">
        <f>IFERROR(F49/I49-1,"n/a")</f>
        <v>-0.12903225806451613</v>
      </c>
      <c r="M49" s="70">
        <f>+M22-'Mar-22'!M19</f>
        <v>431</v>
      </c>
      <c r="N49" s="70">
        <f>+N22-'Mar-22'!N19</f>
        <v>73</v>
      </c>
      <c r="O49" s="70">
        <f>+O22-'Mar-22'!O19</f>
        <v>42</v>
      </c>
      <c r="P49" s="70">
        <f>+P22-'Mar-22'!P19</f>
        <v>464</v>
      </c>
      <c r="Q49" s="64">
        <f>IFERROR(M49/N49-1,"n/a")</f>
        <v>4.904109589041096</v>
      </c>
      <c r="R49" s="64">
        <f>IFERROR(M49/O49-1,"n/a")</f>
        <v>9.2619047619047628</v>
      </c>
      <c r="S49" s="60">
        <f>IFERROR(M49/P49-1,"n/a")</f>
        <v>-7.1120689655172376E-2</v>
      </c>
      <c r="T49" s="89">
        <v>744</v>
      </c>
      <c r="U49" s="84">
        <v>406</v>
      </c>
      <c r="V49" s="78">
        <v>1253</v>
      </c>
    </row>
    <row r="50" spans="3:22" s="9" customFormat="1" ht="15" customHeight="1">
      <c r="C50" s="33"/>
      <c r="D50" s="26" t="s">
        <v>11</v>
      </c>
      <c r="E50" s="32"/>
      <c r="F50" s="73">
        <f t="shared" si="8"/>
        <v>278520</v>
      </c>
      <c r="G50" s="74">
        <f t="shared" si="8"/>
        <v>64775</v>
      </c>
      <c r="H50" s="71">
        <f t="shared" si="8"/>
        <v>0</v>
      </c>
      <c r="I50" s="74">
        <f t="shared" si="8"/>
        <v>315639</v>
      </c>
      <c r="J50" s="64">
        <f>IFERROR(F50/G50-1,"n/a")</f>
        <v>3.2998070243149362</v>
      </c>
      <c r="K50" s="64" t="str">
        <f>IFERROR(F50/H50-1,"n/a")</f>
        <v>n/a</v>
      </c>
      <c r="L50" s="60">
        <f>IFERROR(F50/I50-1,"n/a")</f>
        <v>-0.11759953617898933</v>
      </c>
      <c r="M50" s="82">
        <f>+M23-'Mar-22'!M20</f>
        <v>1317232</v>
      </c>
      <c r="N50" s="82">
        <f>+N23-'Mar-22'!N20</f>
        <v>100033</v>
      </c>
      <c r="O50" s="82">
        <f>+O23-'Mar-22'!O20</f>
        <v>0</v>
      </c>
      <c r="P50" s="82">
        <f>+P23-'Mar-22'!P20</f>
        <v>1583513</v>
      </c>
      <c r="Q50" s="64">
        <f>IFERROR(M50/N50-1,"n/a")</f>
        <v>12.167974568392431</v>
      </c>
      <c r="R50" s="64" t="str">
        <f>IFERROR(M50/O50-1,"n/a")</f>
        <v>n/a</v>
      </c>
      <c r="S50" s="60">
        <f>IFERROR(M50/P50-1,"n/a")</f>
        <v>-0.16815839213192441</v>
      </c>
      <c r="T50" s="82">
        <v>1290779</v>
      </c>
      <c r="U50" s="84">
        <v>833999</v>
      </c>
      <c r="V50" s="78">
        <v>3627458</v>
      </c>
    </row>
    <row r="51" spans="3:22"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3:22" s="9" customFormat="1" ht="15" customHeight="1">
      <c r="C52" s="33"/>
      <c r="D52" s="26" t="s">
        <v>5</v>
      </c>
      <c r="E52" s="32"/>
      <c r="F52" s="74">
        <f t="shared" ref="F52:I53" si="9">F25</f>
        <v>32</v>
      </c>
      <c r="G52" s="74">
        <f t="shared" si="9"/>
        <v>17</v>
      </c>
      <c r="H52" s="71">
        <f t="shared" si="9"/>
        <v>2</v>
      </c>
      <c r="I52" s="74">
        <f t="shared" si="9"/>
        <v>35</v>
      </c>
      <c r="J52" s="64">
        <f>IFERROR(F52/G52-1,"n/a")</f>
        <v>0.88235294117647056</v>
      </c>
      <c r="K52" s="64">
        <f>IFERROR(F52/H52-1,"n/a")</f>
        <v>15</v>
      </c>
      <c r="L52" s="60">
        <f>IFERROR(F52/I52-1,"n/a")</f>
        <v>-8.5714285714285743E-2</v>
      </c>
      <c r="M52" s="70">
        <f>+M25-'Mar-22'!M22</f>
        <v>165</v>
      </c>
      <c r="N52" s="70">
        <f>+N25-'Mar-22'!N22</f>
        <v>45</v>
      </c>
      <c r="O52" s="82">
        <f>+O25-'Mar-22'!O22</f>
        <v>2</v>
      </c>
      <c r="P52" s="70">
        <f>+P25-'Mar-22'!P22</f>
        <v>184</v>
      </c>
      <c r="Q52" s="64">
        <f>IFERROR(M52/N52-1,"n/a")</f>
        <v>2.6666666666666665</v>
      </c>
      <c r="R52" s="64">
        <f>IFERROR(M52/O52-1,"n/a")</f>
        <v>81.5</v>
      </c>
      <c r="S52" s="60">
        <f>IFERROR(M52/P52-1,"n/a")</f>
        <v>-0.10326086956521741</v>
      </c>
      <c r="T52" s="89">
        <v>121</v>
      </c>
      <c r="U52" s="70">
        <v>41</v>
      </c>
      <c r="V52" s="78">
        <v>361</v>
      </c>
    </row>
    <row r="53" spans="3:22" s="9" customFormat="1" ht="15" customHeight="1">
      <c r="C53" s="33"/>
      <c r="D53" s="26" t="s">
        <v>11</v>
      </c>
      <c r="E53" s="32"/>
      <c r="F53" s="74">
        <f t="shared" si="9"/>
        <v>96458</v>
      </c>
      <c r="G53" s="74">
        <f t="shared" si="9"/>
        <v>24100</v>
      </c>
      <c r="H53" s="71">
        <f t="shared" si="9"/>
        <v>2541</v>
      </c>
      <c r="I53" s="74">
        <f t="shared" si="9"/>
        <v>108905</v>
      </c>
      <c r="J53" s="64">
        <f>IFERROR(F53/G53-1,"n/a")</f>
        <v>3.0024066390041497</v>
      </c>
      <c r="K53" s="64">
        <f>IFERROR(F53/H53-1,"n/a")</f>
        <v>36.960645415190868</v>
      </c>
      <c r="L53" s="60">
        <f>IFERROR(F53/I53-1,"n/a")</f>
        <v>-0.11429227308204404</v>
      </c>
      <c r="M53" s="82">
        <f>+M26-'Mar-22'!M23</f>
        <v>319986</v>
      </c>
      <c r="N53" s="82">
        <f>+N26-'Mar-22'!N23</f>
        <v>61586</v>
      </c>
      <c r="O53" s="82">
        <f>+O26-'Mar-22'!O23</f>
        <v>2541</v>
      </c>
      <c r="P53" s="82">
        <f>+P26-'Mar-22'!P23</f>
        <v>509765</v>
      </c>
      <c r="Q53" s="64">
        <f>IFERROR(M53/N53-1,"n/a")</f>
        <v>4.1957587763452731</v>
      </c>
      <c r="R53" s="64">
        <f>IFERROR(M53/O53-1,"n/a")</f>
        <v>124.92916174734357</v>
      </c>
      <c r="S53" s="60">
        <f>IFERROR(M53/P53-1,"n/a")</f>
        <v>-0.37228723039047407</v>
      </c>
      <c r="T53" s="82">
        <v>165689</v>
      </c>
      <c r="U53" s="84">
        <v>67144</v>
      </c>
      <c r="V53" s="78">
        <v>865961</v>
      </c>
    </row>
    <row r="54" spans="3:22" ht="15" customHeight="1">
      <c r="C54" s="31" t="s">
        <v>17</v>
      </c>
      <c r="D54" s="26"/>
      <c r="E54" s="32"/>
      <c r="F54" s="72"/>
      <c r="G54" s="72"/>
      <c r="H54" s="72"/>
      <c r="I54" s="72"/>
      <c r="J54" s="64"/>
      <c r="K54" s="64"/>
      <c r="L54" s="60"/>
      <c r="M54" s="87"/>
      <c r="N54" s="87"/>
      <c r="O54" s="87"/>
      <c r="P54" s="87"/>
      <c r="Q54" s="64"/>
      <c r="R54" s="64"/>
      <c r="S54" s="60"/>
      <c r="T54" s="90"/>
      <c r="U54" s="44"/>
      <c r="V54" s="79"/>
    </row>
    <row r="55" spans="3:22" ht="15.75" customHeight="1">
      <c r="C55" s="33"/>
      <c r="D55" s="26" t="s">
        <v>5</v>
      </c>
      <c r="E55" s="32"/>
      <c r="F55" s="74">
        <f t="shared" ref="F55:I56" si="10">F28</f>
        <v>72</v>
      </c>
      <c r="G55" s="74">
        <f t="shared" si="10"/>
        <v>16</v>
      </c>
      <c r="H55" s="71">
        <f t="shared" si="10"/>
        <v>3</v>
      </c>
      <c r="I55" s="74">
        <f t="shared" si="10"/>
        <v>44</v>
      </c>
      <c r="J55" s="64">
        <f>IFERROR(F55/G55-1,"n/a")</f>
        <v>3.5</v>
      </c>
      <c r="K55" s="64">
        <f>IFERROR(F55/H55-1,"n/a")</f>
        <v>23</v>
      </c>
      <c r="L55" s="60">
        <f>IFERROR(F55/I55-1,"n/a")</f>
        <v>0.63636363636363646</v>
      </c>
      <c r="M55" s="70">
        <f>+M28-'Mar-22'!M25</f>
        <v>330</v>
      </c>
      <c r="N55" s="70">
        <f>+N28-'Mar-22'!N25</f>
        <v>53</v>
      </c>
      <c r="O55" s="70">
        <f>+O28-'Mar-22'!O25</f>
        <v>4</v>
      </c>
      <c r="P55" s="70">
        <f>+P28-'Mar-22'!P25</f>
        <v>212</v>
      </c>
      <c r="Q55" s="64">
        <f>IFERROR(M55/N55-1,"n/a")</f>
        <v>5.2264150943396226</v>
      </c>
      <c r="R55" s="64">
        <f>IFERROR(M55/O55-1,"n/a")</f>
        <v>81.5</v>
      </c>
      <c r="S55" s="60">
        <f>IFERROR(M55/P55-1,"n/a")</f>
        <v>0.55660377358490565</v>
      </c>
      <c r="T55" s="89">
        <v>140</v>
      </c>
      <c r="U55" s="70">
        <v>40</v>
      </c>
      <c r="V55" s="78">
        <v>360</v>
      </c>
    </row>
    <row r="56" spans="3:22" ht="15.75" customHeight="1">
      <c r="C56" s="33"/>
      <c r="D56" s="26" t="s">
        <v>11</v>
      </c>
      <c r="E56" s="32"/>
      <c r="F56" s="74">
        <f t="shared" si="10"/>
        <v>184094</v>
      </c>
      <c r="G56" s="74">
        <f t="shared" si="10"/>
        <v>25181</v>
      </c>
      <c r="H56" s="71">
        <f t="shared" si="10"/>
        <v>0</v>
      </c>
      <c r="I56" s="74">
        <f t="shared" si="10"/>
        <v>149851</v>
      </c>
      <c r="J56" s="64">
        <f>IFERROR(F56/G56-1,"n/a")</f>
        <v>6.310829593741313</v>
      </c>
      <c r="K56" s="64" t="str">
        <f>IFERROR(F56/H56-1,"n/a")</f>
        <v>n/a</v>
      </c>
      <c r="L56" s="60">
        <f>IFERROR(F56/I56-1,"n/a")</f>
        <v>0.22851365689918657</v>
      </c>
      <c r="M56" s="82">
        <f>+M29-'Mar-22'!M26</f>
        <v>531574</v>
      </c>
      <c r="N56" s="82">
        <f>+N29-'Mar-22'!N26</f>
        <v>79675</v>
      </c>
      <c r="O56" s="82">
        <f>+O29-'Mar-22'!O26</f>
        <v>8294</v>
      </c>
      <c r="P56" s="82">
        <f>+P29-'Mar-22'!P26</f>
        <v>586871</v>
      </c>
      <c r="Q56" s="64">
        <f>IFERROR(M56/N56-1,"n/a")</f>
        <v>5.6717791026043303</v>
      </c>
      <c r="R56" s="64">
        <f>IFERROR(M56/O56-1,"n/a")</f>
        <v>63.091391367253436</v>
      </c>
      <c r="S56" s="60">
        <f>IFERROR(M56/P56-1,"n/a")</f>
        <v>-9.4223432406780994E-2</v>
      </c>
      <c r="T56" s="82">
        <v>174336</v>
      </c>
      <c r="U56" s="84">
        <v>21928</v>
      </c>
      <c r="V56" s="78">
        <f>706948+155011</f>
        <v>861959</v>
      </c>
    </row>
    <row r="57" spans="3:22" ht="27" customHeight="1" thickBot="1">
      <c r="C57" s="35" t="s">
        <v>12</v>
      </c>
      <c r="D57" s="36"/>
      <c r="E57" s="37"/>
      <c r="F57" s="75">
        <f t="shared" ref="F57:I58" si="11">F40+F43+F46+F49+F52+F55</f>
        <v>310</v>
      </c>
      <c r="G57" s="75">
        <f t="shared" si="11"/>
        <v>108</v>
      </c>
      <c r="H57" s="75">
        <f t="shared" si="11"/>
        <v>5</v>
      </c>
      <c r="I57" s="75">
        <f t="shared" si="11"/>
        <v>272</v>
      </c>
      <c r="J57" s="66">
        <f>IFERROR(F57/G57-1,"n/a")</f>
        <v>1.8703703703703702</v>
      </c>
      <c r="K57" s="66">
        <f>IFERROR(F57/H57-1,"n/a")</f>
        <v>61</v>
      </c>
      <c r="L57" s="62">
        <f>IFERROR(F57/I57-1,"n/a")</f>
        <v>0.13970588235294112</v>
      </c>
      <c r="M57" s="46">
        <f t="shared" ref="M57:P58" si="12">M40+M43+M46+M49+M52+M55</f>
        <v>1636</v>
      </c>
      <c r="N57" s="46">
        <f t="shared" si="12"/>
        <v>222</v>
      </c>
      <c r="O57" s="46">
        <f t="shared" si="12"/>
        <v>49</v>
      </c>
      <c r="P57" s="46">
        <f t="shared" si="12"/>
        <v>1442</v>
      </c>
      <c r="Q57" s="66">
        <f>IFERROR(M57/N57-1,"n/a")</f>
        <v>6.3693693693693696</v>
      </c>
      <c r="R57" s="66">
        <f>IFERROR(M57/O57-1,"n/a")</f>
        <v>32.387755102040813</v>
      </c>
      <c r="S57" s="62">
        <f>IFERROR(M57/P57-1,"n/a")</f>
        <v>0.13453536754507622</v>
      </c>
      <c r="T57" s="46">
        <f t="shared" ref="T57:V58" si="13">T40+T43+T46+T49+T52+T55</f>
        <v>1682</v>
      </c>
      <c r="U57" s="46">
        <f t="shared" si="13"/>
        <v>679</v>
      </c>
      <c r="V57" s="80">
        <f t="shared" si="13"/>
        <v>3274</v>
      </c>
    </row>
    <row r="58" spans="3:22" ht="27" customHeight="1" thickTop="1" thickBot="1">
      <c r="C58" s="38" t="s">
        <v>13</v>
      </c>
      <c r="D58" s="39"/>
      <c r="E58" s="40"/>
      <c r="F58" s="76">
        <f t="shared" si="11"/>
        <v>888814</v>
      </c>
      <c r="G58" s="76">
        <f t="shared" si="11"/>
        <v>165560</v>
      </c>
      <c r="H58" s="76">
        <f t="shared" si="11"/>
        <v>2541</v>
      </c>
      <c r="I58" s="76">
        <f t="shared" si="11"/>
        <v>926112</v>
      </c>
      <c r="J58" s="67">
        <f>IFERROR(F58/G58-1,"n/a")</f>
        <v>4.368531046146412</v>
      </c>
      <c r="K58" s="67">
        <f>IFERROR(F58/H58-1,"n/a")</f>
        <v>348.78905942542303</v>
      </c>
      <c r="L58" s="63">
        <f>IFERROR(F58/I58-1,"n/a")</f>
        <v>-4.0273746587885739E-2</v>
      </c>
      <c r="M58" s="47">
        <f t="shared" si="12"/>
        <v>3511156</v>
      </c>
      <c r="N58" s="47">
        <f t="shared" si="12"/>
        <v>322041</v>
      </c>
      <c r="O58" s="47">
        <f t="shared" si="12"/>
        <v>10946</v>
      </c>
      <c r="P58" s="47">
        <f t="shared" si="12"/>
        <v>4279812</v>
      </c>
      <c r="Q58" s="67">
        <f>IFERROR(M58/N58-1,"n/a")</f>
        <v>9.9028229324837529</v>
      </c>
      <c r="R58" s="67">
        <f>IFERROR(M58/O58-1,"n/a")</f>
        <v>319.77069249040744</v>
      </c>
      <c r="S58" s="63">
        <f>IFERROR(M58/P58-1,"n/a")</f>
        <v>-0.17960041235456137</v>
      </c>
      <c r="T58" s="47">
        <f t="shared" si="13"/>
        <v>2411641</v>
      </c>
      <c r="U58" s="47">
        <f t="shared" si="13"/>
        <v>1324261</v>
      </c>
      <c r="V58" s="81">
        <f t="shared" si="13"/>
        <v>8654686</v>
      </c>
    </row>
    <row r="59" spans="3:22" ht="12" customHeight="1" thickTop="1"/>
  </sheetData>
  <mergeCells count="6">
    <mergeCell ref="F9:L9"/>
    <mergeCell ref="M9:S9"/>
    <mergeCell ref="T9:V9"/>
    <mergeCell ref="F36:L36"/>
    <mergeCell ref="M36:S36"/>
    <mergeCell ref="T36:V36"/>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A1:AT59"/>
  <sheetViews>
    <sheetView showGridLines="0" zoomScaleNormal="100" zoomScalePageLayoutView="40" workbookViewId="0"/>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1.42578125" customWidth="1"/>
    <col min="17" max="19" width="8.85546875" customWidth="1"/>
    <col min="20" max="21" width="10.42578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56</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70" t="s">
        <v>55</v>
      </c>
      <c r="G9" s="170"/>
      <c r="H9" s="170"/>
      <c r="I9" s="170"/>
      <c r="J9" s="170"/>
      <c r="K9" s="170"/>
      <c r="L9" s="171"/>
      <c r="M9" s="169" t="s">
        <v>60</v>
      </c>
      <c r="N9" s="170"/>
      <c r="O9" s="170"/>
      <c r="P9" s="170"/>
      <c r="Q9" s="170"/>
      <c r="R9" s="170"/>
      <c r="S9" s="171"/>
      <c r="T9" s="169" t="s">
        <v>57</v>
      </c>
      <c r="U9" s="170"/>
      <c r="V9" s="172"/>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74">
        <v>1</v>
      </c>
      <c r="G13" s="74">
        <v>6</v>
      </c>
      <c r="H13" s="71">
        <v>0</v>
      </c>
      <c r="I13" s="71">
        <v>6</v>
      </c>
      <c r="J13" s="64">
        <f t="shared" ref="J13:J31" si="0">IFERROR(F13/G13-1,"n/a")</f>
        <v>-0.83333333333333337</v>
      </c>
      <c r="K13" s="64" t="str">
        <f>IFERROR(F13/H13-1,"n/a")</f>
        <v>n/a</v>
      </c>
      <c r="L13" s="60">
        <f>IFERROR(F13/I13-1,"n/a")</f>
        <v>-0.83333333333333337</v>
      </c>
      <c r="M13" s="68">
        <f>F13+'Jun-22'!M10</f>
        <v>227</v>
      </c>
      <c r="N13" s="68">
        <f>G13+'Jun-22'!N10</f>
        <v>6</v>
      </c>
      <c r="O13" s="68">
        <f>H13+'Jun-22'!O10</f>
        <v>145</v>
      </c>
      <c r="P13" s="68">
        <f>I13+'Jun-22'!P10</f>
        <v>246</v>
      </c>
      <c r="Q13" s="64">
        <f>IFERROR(M13/N13-1,"n/a")</f>
        <v>36.833333333333336</v>
      </c>
      <c r="R13" s="64">
        <f>IFERROR(M13/O13-1,"n/a")</f>
        <v>0.56551724137931036</v>
      </c>
      <c r="S13" s="60">
        <f>IFERROR(M13/P13-1,"n/a")</f>
        <v>-7.7235772357723609E-2</v>
      </c>
      <c r="T13" s="68">
        <v>111</v>
      </c>
      <c r="U13" s="70">
        <v>145</v>
      </c>
      <c r="V13" s="78">
        <v>386</v>
      </c>
    </row>
    <row r="14" spans="1:38" ht="15">
      <c r="A14" s="9"/>
      <c r="B14" s="12"/>
      <c r="C14" s="33"/>
      <c r="D14" s="26" t="s">
        <v>11</v>
      </c>
      <c r="E14" s="32"/>
      <c r="F14" s="74">
        <v>3145</v>
      </c>
      <c r="G14" s="74">
        <v>767</v>
      </c>
      <c r="H14" s="71">
        <v>0</v>
      </c>
      <c r="I14" s="74">
        <v>10620</v>
      </c>
      <c r="J14" s="64">
        <f t="shared" si="0"/>
        <v>3.1003911342894392</v>
      </c>
      <c r="K14" s="64" t="str">
        <f>IFERROR(F14/H14-1,"n/a")</f>
        <v>n/a</v>
      </c>
      <c r="L14" s="60">
        <f>IFERROR(F14/I14-1,"n/a")</f>
        <v>-0.70386064030131834</v>
      </c>
      <c r="M14" s="68">
        <f>F14+'Jun-22'!M11</f>
        <v>194169</v>
      </c>
      <c r="N14" s="68">
        <f>G14+'Jun-22'!N11</f>
        <v>767</v>
      </c>
      <c r="O14" s="68">
        <f>H14+'Jun-22'!O11</f>
        <v>258885</v>
      </c>
      <c r="P14" s="68">
        <f>I14+'Jun-22'!P11</f>
        <v>471524</v>
      </c>
      <c r="Q14" s="64">
        <f>IFERROR(M14/N14-1,"n/a")</f>
        <v>252.15384615384616</v>
      </c>
      <c r="R14" s="64">
        <f>IFERROR(M14/O14-1,"n/a")</f>
        <v>-0.24997972072541863</v>
      </c>
      <c r="S14" s="60">
        <f>IFERROR(M14/P14-1,"n/a")</f>
        <v>-0.58820971997183602</v>
      </c>
      <c r="T14" s="68">
        <v>80863</v>
      </c>
      <c r="U14" s="70">
        <v>258885</v>
      </c>
      <c r="V14" s="78">
        <v>733296</v>
      </c>
    </row>
    <row r="15" spans="1:38" ht="15">
      <c r="A15" s="9"/>
      <c r="B15" s="12"/>
      <c r="C15" s="31" t="s">
        <v>74</v>
      </c>
      <c r="D15" s="26"/>
      <c r="E15" s="32"/>
      <c r="F15" s="26"/>
      <c r="G15" s="26"/>
      <c r="H15" s="26"/>
      <c r="I15" s="26"/>
      <c r="J15" s="64"/>
      <c r="K15" s="64"/>
      <c r="L15" s="61"/>
      <c r="M15" s="87"/>
      <c r="N15" s="87"/>
      <c r="O15" s="87"/>
      <c r="P15" s="87"/>
      <c r="Q15" s="64"/>
      <c r="R15" s="65"/>
      <c r="S15" s="61"/>
      <c r="T15" s="43"/>
      <c r="U15" s="44"/>
      <c r="V15" s="79"/>
    </row>
    <row r="16" spans="1:38" ht="15">
      <c r="A16" s="9"/>
      <c r="B16" s="12"/>
      <c r="C16" s="33"/>
      <c r="D16" s="26" t="s">
        <v>5</v>
      </c>
      <c r="E16" s="32"/>
      <c r="F16" s="74">
        <v>71</v>
      </c>
      <c r="G16" s="74">
        <v>10</v>
      </c>
      <c r="H16" s="71">
        <v>0</v>
      </c>
      <c r="I16" s="74">
        <v>68</v>
      </c>
      <c r="J16" s="64">
        <f t="shared" si="0"/>
        <v>6.1</v>
      </c>
      <c r="K16" s="64" t="str">
        <f>IFERROR(F16/H16-1,"n/a")</f>
        <v>n/a</v>
      </c>
      <c r="L16" s="60">
        <f>IFERROR(F16/I16-1,"n/a")</f>
        <v>4.4117647058823595E-2</v>
      </c>
      <c r="M16" s="68">
        <f>F16+'Jun-22'!M13</f>
        <v>391</v>
      </c>
      <c r="N16" s="68">
        <f>G16+'Jun-22'!N13</f>
        <v>14</v>
      </c>
      <c r="O16" s="68">
        <f>H16+'Jun-22'!O13</f>
        <v>43</v>
      </c>
      <c r="P16" s="68">
        <f>I16+'Jun-22'!P13</f>
        <v>430</v>
      </c>
      <c r="Q16" s="64">
        <f>IFERROR(M16/N16-1,"n/a")</f>
        <v>26.928571428571427</v>
      </c>
      <c r="R16" s="64">
        <f>IFERROR(M16/O16-1,"n/a")</f>
        <v>8.0930232558139537</v>
      </c>
      <c r="S16" s="60">
        <f>IFERROR(M16/P16-1,"n/a")</f>
        <v>-9.0697674418604657E-2</v>
      </c>
      <c r="T16" s="68">
        <v>283</v>
      </c>
      <c r="U16" s="70">
        <v>43</v>
      </c>
      <c r="V16" s="78">
        <v>827</v>
      </c>
    </row>
    <row r="17" spans="1:38" ht="15">
      <c r="A17" s="9"/>
      <c r="B17" s="12"/>
      <c r="C17" s="33"/>
      <c r="D17" s="26" t="s">
        <v>11</v>
      </c>
      <c r="E17" s="32"/>
      <c r="F17" s="74">
        <v>271417</v>
      </c>
      <c r="G17" s="74">
        <v>23553</v>
      </c>
      <c r="H17" s="71">
        <v>0</v>
      </c>
      <c r="I17" s="74">
        <v>261197</v>
      </c>
      <c r="J17" s="64">
        <f t="shared" si="0"/>
        <v>10.523670020804143</v>
      </c>
      <c r="K17" s="64" t="str">
        <f>IFERROR(F17/H17-1,"n/a")</f>
        <v>n/a</v>
      </c>
      <c r="L17" s="60">
        <f>IFERROR(F17/I17-1,"n/a")</f>
        <v>3.9127555063802388E-2</v>
      </c>
      <c r="M17" s="68">
        <f>F17+'Jun-22'!M14</f>
        <v>805117</v>
      </c>
      <c r="N17" s="68">
        <f>G17+'Jun-22'!N14</f>
        <v>28476</v>
      </c>
      <c r="O17" s="68">
        <f>H17+'Jun-22'!O14</f>
        <v>140552</v>
      </c>
      <c r="P17" s="68">
        <f>I17+'Jun-22'!P14</f>
        <v>1301649</v>
      </c>
      <c r="Q17" s="64">
        <f>IFERROR(M17/N17-1,"n/a")</f>
        <v>27.273528585475489</v>
      </c>
      <c r="R17" s="64">
        <f>IFERROR(M17/O17-1,"n/a")</f>
        <v>4.7282500426888268</v>
      </c>
      <c r="S17" s="60">
        <f>IFERROR(M17/P17-1,"n/a")</f>
        <v>-0.38146382012355096</v>
      </c>
      <c r="T17" s="68">
        <v>465109</v>
      </c>
      <c r="U17" s="70">
        <v>140552</v>
      </c>
      <c r="V17" s="78">
        <v>2552942</v>
      </c>
    </row>
    <row r="18" spans="1:38" ht="15">
      <c r="A18" s="9"/>
      <c r="B18" s="12"/>
      <c r="C18" s="31" t="s">
        <v>15</v>
      </c>
      <c r="D18" s="26"/>
      <c r="E18" s="32"/>
      <c r="F18" s="72"/>
      <c r="G18" s="72"/>
      <c r="H18" s="72"/>
      <c r="I18" s="72"/>
      <c r="J18" s="64"/>
      <c r="K18" s="64"/>
      <c r="L18" s="60"/>
      <c r="M18" s="87"/>
      <c r="N18" s="87"/>
      <c r="O18" s="87"/>
      <c r="P18" s="87"/>
      <c r="Q18" s="64"/>
      <c r="R18" s="64"/>
      <c r="S18" s="60"/>
      <c r="T18" s="43"/>
      <c r="U18" s="44"/>
      <c r="V18" s="79"/>
    </row>
    <row r="19" spans="1:38" ht="15">
      <c r="A19" s="9"/>
      <c r="B19" s="12"/>
      <c r="C19" s="33"/>
      <c r="D19" s="26" t="s">
        <v>5</v>
      </c>
      <c r="E19" s="32"/>
      <c r="F19" s="74">
        <v>60</v>
      </c>
      <c r="G19" s="71">
        <v>0</v>
      </c>
      <c r="H19" s="71">
        <v>1</v>
      </c>
      <c r="I19" s="74">
        <v>32</v>
      </c>
      <c r="J19" s="64" t="str">
        <f t="shared" si="0"/>
        <v>n/a</v>
      </c>
      <c r="K19" s="64">
        <f>IFERROR(F19/H19-1,"n/a")</f>
        <v>59</v>
      </c>
      <c r="L19" s="60">
        <f>IFERROR(F19/I19-1,"n/a")</f>
        <v>0.875</v>
      </c>
      <c r="M19" s="68">
        <f>F19+'Jun-22'!M16</f>
        <v>227</v>
      </c>
      <c r="N19" s="68">
        <f>G19+'Jun-22'!N16</f>
        <v>0</v>
      </c>
      <c r="O19" s="68">
        <f>H19+'Jun-22'!O16</f>
        <v>4</v>
      </c>
      <c r="P19" s="68">
        <f>I19+'Jun-22'!P16</f>
        <v>101</v>
      </c>
      <c r="Q19" s="64" t="str">
        <f>IFERROR(M19/N19-1,"n/a")</f>
        <v>n/a</v>
      </c>
      <c r="R19" s="64">
        <f>IFERROR(M19/O19-1,"n/a")</f>
        <v>55.75</v>
      </c>
      <c r="S19" s="60">
        <f>IFERROR(M19/P19-1,"n/a")</f>
        <v>1.2475247524752477</v>
      </c>
      <c r="T19" s="68">
        <v>23</v>
      </c>
      <c r="U19" s="70">
        <v>4</v>
      </c>
      <c r="V19" s="78">
        <v>191</v>
      </c>
    </row>
    <row r="20" spans="1:38" ht="15">
      <c r="A20" s="9"/>
      <c r="B20" s="12"/>
      <c r="C20" s="33"/>
      <c r="D20" s="26" t="s">
        <v>11</v>
      </c>
      <c r="E20" s="32"/>
      <c r="F20" s="74">
        <f>66070+15120</f>
        <v>81190</v>
      </c>
      <c r="G20" s="71">
        <v>0</v>
      </c>
      <c r="H20" s="71">
        <v>111</v>
      </c>
      <c r="I20" s="74">
        <f>26433+14218</f>
        <v>40651</v>
      </c>
      <c r="J20" s="64" t="str">
        <f t="shared" si="0"/>
        <v>n/a</v>
      </c>
      <c r="K20" s="64">
        <f>IFERROR(F20/H20-1,"n/a")</f>
        <v>730.4414414414415</v>
      </c>
      <c r="L20" s="60">
        <f t="shared" ref="L20:L31" si="1">IFERROR(F20/I20-1,"n/a")</f>
        <v>0.99724484022533266</v>
      </c>
      <c r="M20" s="68">
        <f>F20+'Jun-22'!M17</f>
        <v>239590</v>
      </c>
      <c r="N20" s="68">
        <f>G20+'Jun-22'!N17</f>
        <v>0</v>
      </c>
      <c r="O20" s="68">
        <f>H20+'Jun-22'!O17</f>
        <v>1753</v>
      </c>
      <c r="P20" s="68">
        <f>I20+'Jun-22'!P17</f>
        <v>117191</v>
      </c>
      <c r="Q20" s="64" t="str">
        <f>IFERROR(M20/N20-1,"n/a")</f>
        <v>n/a</v>
      </c>
      <c r="R20" s="64">
        <f>IFERROR(M20/O20-1,"n/a")</f>
        <v>135.67427267541359</v>
      </c>
      <c r="S20" s="60">
        <f>IFERROR(M20/P20-1,"n/a")</f>
        <v>1.0444402727171882</v>
      </c>
      <c r="T20" s="68">
        <v>8611</v>
      </c>
      <c r="U20" s="70">
        <v>1753</v>
      </c>
      <c r="V20" s="78">
        <v>254421</v>
      </c>
    </row>
    <row r="21" spans="1:38" ht="15">
      <c r="A21" s="9"/>
      <c r="B21" s="12"/>
      <c r="C21" s="31" t="s">
        <v>10</v>
      </c>
      <c r="D21" s="26"/>
      <c r="E21" s="34"/>
      <c r="F21" s="72"/>
      <c r="G21" s="72"/>
      <c r="H21" s="72"/>
      <c r="I21" s="72"/>
      <c r="J21" s="64"/>
      <c r="K21" s="64"/>
      <c r="L21" s="60"/>
      <c r="M21" s="87"/>
      <c r="N21" s="87"/>
      <c r="O21" s="87"/>
      <c r="P21" s="87"/>
      <c r="Q21" s="64"/>
      <c r="R21" s="64"/>
      <c r="S21" s="60"/>
      <c r="T21" s="43"/>
      <c r="U21" s="44"/>
      <c r="V21" s="79"/>
    </row>
    <row r="22" spans="1:38" ht="15">
      <c r="A22" s="9"/>
      <c r="B22" s="12"/>
      <c r="C22" s="33"/>
      <c r="D22" s="26" t="s">
        <v>5</v>
      </c>
      <c r="E22" s="34"/>
      <c r="F22" s="73">
        <v>83</v>
      </c>
      <c r="G22" s="74">
        <v>22</v>
      </c>
      <c r="H22" s="71">
        <v>0</v>
      </c>
      <c r="I22" s="74">
        <v>95</v>
      </c>
      <c r="J22" s="64">
        <f t="shared" si="0"/>
        <v>2.7727272727272729</v>
      </c>
      <c r="K22" s="64" t="str">
        <f>IFERROR(F22/H22-1,"n/a")</f>
        <v>n/a</v>
      </c>
      <c r="L22" s="60">
        <f t="shared" si="1"/>
        <v>-0.12631578947368416</v>
      </c>
      <c r="M22" s="68">
        <f>F22+'Jun-22'!M19</f>
        <v>683</v>
      </c>
      <c r="N22" s="68">
        <f>G22+'Jun-22'!N19</f>
        <v>29</v>
      </c>
      <c r="O22" s="68">
        <f>H22+'Jun-22'!O19</f>
        <v>406</v>
      </c>
      <c r="P22" s="68">
        <f>I22+'Jun-22'!P19</f>
        <v>687</v>
      </c>
      <c r="Q22" s="64">
        <f>IFERROR(M22/N22-1,"n/a")</f>
        <v>22.551724137931036</v>
      </c>
      <c r="R22" s="64">
        <f>IFERROR(M22/O22-1,"n/a")</f>
        <v>0.68226600985221686</v>
      </c>
      <c r="S22" s="60">
        <f>IFERROR(M22/P22-1,"n/a")</f>
        <v>-5.8224163027656983E-3</v>
      </c>
      <c r="T22" s="68">
        <v>411</v>
      </c>
      <c r="U22" s="70">
        <v>406</v>
      </c>
      <c r="V22" s="78">
        <v>1205</v>
      </c>
    </row>
    <row r="23" spans="1:38" ht="15">
      <c r="A23" s="9"/>
      <c r="B23" s="12"/>
      <c r="C23" s="33"/>
      <c r="D23" s="26" t="s">
        <v>11</v>
      </c>
      <c r="E23" s="32"/>
      <c r="F23" s="73">
        <v>288977</v>
      </c>
      <c r="G23" s="74">
        <v>30147</v>
      </c>
      <c r="H23" s="71">
        <v>0</v>
      </c>
      <c r="I23" s="74">
        <v>321844</v>
      </c>
      <c r="J23" s="64">
        <f t="shared" si="0"/>
        <v>8.5855972401897365</v>
      </c>
      <c r="K23" s="64" t="str">
        <f>IFERROR(F23/H23-1,"n/a")</f>
        <v>n/a</v>
      </c>
      <c r="L23" s="60">
        <f t="shared" si="1"/>
        <v>-0.10212090329476398</v>
      </c>
      <c r="M23" s="68">
        <f>F23+'Jun-22'!M20</f>
        <v>1642042</v>
      </c>
      <c r="N23" s="68">
        <f>G23+'Jun-22'!N20</f>
        <v>35258</v>
      </c>
      <c r="O23" s="68">
        <f>H23+'Jun-22'!O20</f>
        <v>833999</v>
      </c>
      <c r="P23" s="68">
        <f>I23+'Jun-22'!P20</f>
        <v>2333598</v>
      </c>
      <c r="Q23" s="64">
        <f>IFERROR(M23/N23-1,"n/a")</f>
        <v>45.572182199784443</v>
      </c>
      <c r="R23" s="64">
        <f>IFERROR(M23/O23-1,"n/a")</f>
        <v>0.96887766052477287</v>
      </c>
      <c r="S23" s="60">
        <f>IFERROR(M23/P23-1,"n/a")</f>
        <v>-0.29634752858032964</v>
      </c>
      <c r="T23" s="68">
        <v>687449</v>
      </c>
      <c r="U23" s="70">
        <v>833999</v>
      </c>
      <c r="V23" s="78">
        <v>3859183</v>
      </c>
    </row>
    <row r="24" spans="1:38" ht="15">
      <c r="A24" s="9"/>
      <c r="B24" s="12"/>
      <c r="C24" s="31" t="s">
        <v>16</v>
      </c>
      <c r="D24" s="26"/>
      <c r="E24" s="32"/>
      <c r="F24" s="72"/>
      <c r="G24" s="72"/>
      <c r="H24" s="72"/>
      <c r="I24" s="72"/>
      <c r="J24" s="64"/>
      <c r="K24" s="64"/>
      <c r="L24" s="60"/>
      <c r="M24" s="87"/>
      <c r="N24" s="87"/>
      <c r="O24" s="87"/>
      <c r="P24" s="87"/>
      <c r="Q24" s="64"/>
      <c r="R24" s="64"/>
      <c r="S24" s="60"/>
      <c r="T24" s="43"/>
      <c r="U24" s="44"/>
      <c r="V24" s="79"/>
    </row>
    <row r="25" spans="1:38" ht="15">
      <c r="A25" s="9"/>
      <c r="B25" s="12"/>
      <c r="C25" s="33"/>
      <c r="D25" s="26" t="s">
        <v>5</v>
      </c>
      <c r="E25" s="32"/>
      <c r="F25" s="74">
        <v>33</v>
      </c>
      <c r="G25" s="74">
        <v>9</v>
      </c>
      <c r="H25" s="71">
        <v>0</v>
      </c>
      <c r="I25" s="74">
        <v>36</v>
      </c>
      <c r="J25" s="64">
        <f t="shared" si="0"/>
        <v>2.6666666666666665</v>
      </c>
      <c r="K25" s="64" t="str">
        <f>IFERROR(F25/H25-1,"n/a")</f>
        <v>n/a</v>
      </c>
      <c r="L25" s="60">
        <f t="shared" si="1"/>
        <v>-8.333333333333337E-2</v>
      </c>
      <c r="M25" s="68">
        <f>F25+'Jun-22'!M22</f>
        <v>156</v>
      </c>
      <c r="N25" s="68">
        <f>G25+'Jun-22'!N22</f>
        <v>37</v>
      </c>
      <c r="O25" s="68">
        <f>H25+'Jun-22'!O22</f>
        <v>9</v>
      </c>
      <c r="P25" s="68">
        <f>I25+'Jun-22'!P22</f>
        <v>169</v>
      </c>
      <c r="Q25" s="64">
        <f>IFERROR(M25/N25-1,"n/a")</f>
        <v>3.2162162162162158</v>
      </c>
      <c r="R25" s="64">
        <f>IFERROR(M25/O25-1,"n/a")</f>
        <v>16.333333333333332</v>
      </c>
      <c r="S25" s="60">
        <f>IFERROR(M25/P25-1,"n/a")</f>
        <v>-7.6923076923076872E-2</v>
      </c>
      <c r="T25" s="68">
        <v>107</v>
      </c>
      <c r="U25" s="70">
        <v>32</v>
      </c>
      <c r="V25" s="78">
        <v>372</v>
      </c>
    </row>
    <row r="26" spans="1:38" ht="15">
      <c r="A26" s="9"/>
      <c r="B26" s="12"/>
      <c r="C26" s="33"/>
      <c r="D26" s="26" t="s">
        <v>11</v>
      </c>
      <c r="E26" s="32"/>
      <c r="F26" s="74">
        <v>73604</v>
      </c>
      <c r="G26" s="74">
        <v>14049</v>
      </c>
      <c r="H26" s="71">
        <v>0</v>
      </c>
      <c r="I26" s="74">
        <v>102764</v>
      </c>
      <c r="J26" s="64">
        <f t="shared" si="0"/>
        <v>4.2390917503025127</v>
      </c>
      <c r="K26" s="64" t="str">
        <f>IFERROR(F26/H26-1,"n/a")</f>
        <v>n/a</v>
      </c>
      <c r="L26" s="60">
        <f t="shared" si="1"/>
        <v>-0.28375695768946319</v>
      </c>
      <c r="M26" s="68">
        <f>F26+'Jun-22'!M23</f>
        <v>250049</v>
      </c>
      <c r="N26" s="68">
        <f>G26+'Jun-22'!N23</f>
        <v>45450</v>
      </c>
      <c r="O26" s="68">
        <f>H26+'Jun-22'!O23</f>
        <v>40221</v>
      </c>
      <c r="P26" s="68">
        <f>I26+'Jun-22'!P23</f>
        <v>477135</v>
      </c>
      <c r="Q26" s="64">
        <f>IFERROR(M26/N26-1,"n/a")</f>
        <v>4.5016281628162815</v>
      </c>
      <c r="R26" s="64">
        <f>IFERROR(M26/O26-1,"n/a")</f>
        <v>5.216876755923523</v>
      </c>
      <c r="S26" s="60">
        <f>IFERROR(M26/P26-1,"n/a")</f>
        <v>-0.47593657979397863</v>
      </c>
      <c r="T26" s="68">
        <v>147132</v>
      </c>
      <c r="U26" s="70">
        <v>59180</v>
      </c>
      <c r="V26" s="78">
        <v>902015</v>
      </c>
    </row>
    <row r="27" spans="1:38" ht="15">
      <c r="A27" s="9"/>
      <c r="B27" s="12"/>
      <c r="C27" s="31" t="s">
        <v>17</v>
      </c>
      <c r="D27" s="26"/>
      <c r="E27" s="32"/>
      <c r="F27" s="72"/>
      <c r="G27" s="72"/>
      <c r="H27" s="72"/>
      <c r="I27" s="72"/>
      <c r="J27" s="64"/>
      <c r="K27" s="64"/>
      <c r="L27" s="60"/>
      <c r="M27" s="87"/>
      <c r="N27" s="87"/>
      <c r="O27" s="87"/>
      <c r="P27" s="87"/>
      <c r="Q27" s="64"/>
      <c r="R27" s="64"/>
      <c r="S27" s="60"/>
      <c r="T27" s="43"/>
      <c r="U27" s="44"/>
      <c r="V27" s="79"/>
    </row>
    <row r="28" spans="1:38" ht="15">
      <c r="B28" s="12"/>
      <c r="C28" s="33"/>
      <c r="D28" s="26" t="s">
        <v>5</v>
      </c>
      <c r="E28" s="32"/>
      <c r="F28" s="74">
        <v>65</v>
      </c>
      <c r="G28" s="74">
        <v>16</v>
      </c>
      <c r="H28" s="71">
        <v>1</v>
      </c>
      <c r="I28" s="74">
        <v>46</v>
      </c>
      <c r="J28" s="64">
        <f t="shared" si="0"/>
        <v>3.0625</v>
      </c>
      <c r="K28" s="64">
        <f>IFERROR(F28/H28-1,"n/a")</f>
        <v>64</v>
      </c>
      <c r="L28" s="60">
        <f t="shared" si="1"/>
        <v>0.41304347826086962</v>
      </c>
      <c r="M28" s="68">
        <f>F28+'Jun-22'!M25</f>
        <v>274</v>
      </c>
      <c r="N28" s="68">
        <f>G28+'Jun-22'!N25</f>
        <v>40</v>
      </c>
      <c r="O28" s="68">
        <f>H28+'Jun-22'!O25</f>
        <v>2</v>
      </c>
      <c r="P28" s="68">
        <f>I28+'Jun-22'!P25</f>
        <v>172</v>
      </c>
      <c r="Q28" s="64">
        <f>IFERROR(M28/N28-1,"n/a")</f>
        <v>5.85</v>
      </c>
      <c r="R28" s="64">
        <f>IFERROR(M28/O28-1,"n/a")</f>
        <v>136</v>
      </c>
      <c r="S28" s="60">
        <f>IFERROR(M28/P28-1,"n/a")</f>
        <v>0.59302325581395343</v>
      </c>
      <c r="T28" s="68">
        <v>127</v>
      </c>
      <c r="U28" s="70">
        <v>37</v>
      </c>
      <c r="V28" s="78">
        <f>282+81</f>
        <v>363</v>
      </c>
    </row>
    <row r="29" spans="1:38" ht="15">
      <c r="A29" s="9"/>
      <c r="B29" s="12"/>
      <c r="C29" s="33"/>
      <c r="D29" s="26" t="s">
        <v>11</v>
      </c>
      <c r="E29" s="32"/>
      <c r="F29" s="74">
        <f>112886+3567+22453</f>
        <v>138906</v>
      </c>
      <c r="G29" s="74">
        <v>23981</v>
      </c>
      <c r="H29" s="71">
        <v>6081</v>
      </c>
      <c r="I29" s="74">
        <f>99976+21772+10200</f>
        <v>131948</v>
      </c>
      <c r="J29" s="64">
        <f t="shared" si="0"/>
        <v>4.792335599015888</v>
      </c>
      <c r="K29" s="64">
        <f>IFERROR(F29/H29-1,"n/a")</f>
        <v>21.842624568327576</v>
      </c>
      <c r="L29" s="60">
        <f t="shared" si="1"/>
        <v>5.2732894776730266E-2</v>
      </c>
      <c r="M29" s="68">
        <f>F29+'Jun-22'!M26</f>
        <v>359080</v>
      </c>
      <c r="N29" s="68">
        <f>G29+'Jun-22'!N26</f>
        <v>56633</v>
      </c>
      <c r="O29" s="68">
        <f>H29+'Jun-22'!O26</f>
        <v>9186</v>
      </c>
      <c r="P29" s="68">
        <f>I29+'Jun-22'!P26</f>
        <v>443129</v>
      </c>
      <c r="Q29" s="64">
        <f>IFERROR(M29/N29-1,"n/a")</f>
        <v>5.3404728691752155</v>
      </c>
      <c r="R29" s="64">
        <f>IFERROR(M29/O29-1,"n/a")</f>
        <v>38.089919442630091</v>
      </c>
      <c r="S29" s="60">
        <f>IFERROR(M29/P29-1,"n/a")</f>
        <v>-0.18967163060869408</v>
      </c>
      <c r="T29" s="68">
        <v>165083</v>
      </c>
      <c r="U29" s="70">
        <f>20768+8294</f>
        <v>29062</v>
      </c>
      <c r="V29" s="78">
        <f>659951+168729+38484</f>
        <v>867164</v>
      </c>
    </row>
    <row r="30" spans="1:38" ht="15" customHeight="1" thickBot="1">
      <c r="A30" s="9"/>
      <c r="B30" s="12"/>
      <c r="C30" s="35" t="s">
        <v>12</v>
      </c>
      <c r="D30" s="36"/>
      <c r="E30" s="37"/>
      <c r="F30" s="75">
        <f t="shared" ref="F30:I31" si="2">F13+F16+F19+F22+F25+F28</f>
        <v>313</v>
      </c>
      <c r="G30" s="75">
        <f t="shared" si="2"/>
        <v>63</v>
      </c>
      <c r="H30" s="75">
        <f t="shared" si="2"/>
        <v>2</v>
      </c>
      <c r="I30" s="75">
        <f t="shared" si="2"/>
        <v>283</v>
      </c>
      <c r="J30" s="66">
        <f t="shared" si="0"/>
        <v>3.9682539682539684</v>
      </c>
      <c r="K30" s="66">
        <f>IFERROR(F30/H30-1,"n/a")</f>
        <v>155.5</v>
      </c>
      <c r="L30" s="62">
        <f t="shared" si="1"/>
        <v>0.10600706713780927</v>
      </c>
      <c r="M30" s="46">
        <f t="shared" ref="M30:P31" si="3">M13+M16+M19+M22+M25+M28</f>
        <v>1958</v>
      </c>
      <c r="N30" s="46">
        <f t="shared" si="3"/>
        <v>126</v>
      </c>
      <c r="O30" s="46">
        <f t="shared" si="3"/>
        <v>609</v>
      </c>
      <c r="P30" s="46">
        <f t="shared" si="3"/>
        <v>1805</v>
      </c>
      <c r="Q30" s="66">
        <f>IFERROR(M30/N30-1,"n/a")</f>
        <v>14.53968253968254</v>
      </c>
      <c r="R30" s="66">
        <f>IFERROR(M30/O30-1,"n/a")</f>
        <v>2.2151067323481115</v>
      </c>
      <c r="S30" s="62">
        <f>IFERROR(M30/P30-1,"n/a")</f>
        <v>8.476454293628799E-2</v>
      </c>
      <c r="T30" s="46">
        <f t="shared" ref="T30:V31" si="4">T13+T16+T19+T22+T25+T28</f>
        <v>1062</v>
      </c>
      <c r="U30" s="46">
        <f t="shared" si="4"/>
        <v>667</v>
      </c>
      <c r="V30" s="80">
        <f t="shared" si="4"/>
        <v>3344</v>
      </c>
    </row>
    <row r="31" spans="1:38" s="22" customFormat="1" ht="15" customHeight="1" thickTop="1" thickBot="1">
      <c r="A31" s="9"/>
      <c r="B31" s="12"/>
      <c r="C31" s="38" t="s">
        <v>13</v>
      </c>
      <c r="D31" s="39"/>
      <c r="E31" s="40"/>
      <c r="F31" s="76">
        <f t="shared" si="2"/>
        <v>857239</v>
      </c>
      <c r="G31" s="76">
        <f t="shared" si="2"/>
        <v>92497</v>
      </c>
      <c r="H31" s="76">
        <f t="shared" si="2"/>
        <v>6192</v>
      </c>
      <c r="I31" s="76">
        <f t="shared" si="2"/>
        <v>869024</v>
      </c>
      <c r="J31" s="67">
        <f t="shared" si="0"/>
        <v>8.2677492242991661</v>
      </c>
      <c r="K31" s="67">
        <f>IFERROR(F31/H31-1,"n/a")</f>
        <v>137.44299095607235</v>
      </c>
      <c r="L31" s="63">
        <f t="shared" si="1"/>
        <v>-1.3561190484957852E-2</v>
      </c>
      <c r="M31" s="47">
        <f t="shared" si="3"/>
        <v>3490047</v>
      </c>
      <c r="N31" s="47">
        <f t="shared" si="3"/>
        <v>166584</v>
      </c>
      <c r="O31" s="47">
        <f t="shared" si="3"/>
        <v>1284596</v>
      </c>
      <c r="P31" s="47">
        <f t="shared" si="3"/>
        <v>5144226</v>
      </c>
      <c r="Q31" s="67">
        <f>IFERROR(M31/N31-1,"n/a")</f>
        <v>19.950673534072902</v>
      </c>
      <c r="R31" s="67">
        <f>IFERROR(M31/O31-1,"n/a")</f>
        <v>1.7168440505808831</v>
      </c>
      <c r="S31" s="63">
        <f>IFERROR(M31/P31-1,"n/a")</f>
        <v>-0.32156032802602375</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38" ht="15" customHeight="1" thickTop="1">
      <c r="A32" s="9"/>
      <c r="B32" s="9"/>
      <c r="C32" s="9"/>
      <c r="D32" s="9"/>
      <c r="E32" s="9"/>
      <c r="F32" s="9"/>
      <c r="G32" s="41"/>
      <c r="H32" s="41"/>
      <c r="I32" s="41"/>
      <c r="J32" s="41"/>
      <c r="K32" s="9"/>
      <c r="L32" s="9"/>
      <c r="M32" s="9"/>
      <c r="N32" s="9"/>
      <c r="O32" s="9"/>
      <c r="P32" s="9"/>
      <c r="Q32" s="9"/>
      <c r="R32" s="9"/>
      <c r="S32" s="9"/>
      <c r="T32" s="83"/>
      <c r="U32" s="9"/>
      <c r="V32" s="9"/>
    </row>
    <row r="33" spans="1:22" ht="23.25" customHeight="1">
      <c r="A33" s="9"/>
      <c r="B33" s="9"/>
      <c r="C33" s="9"/>
      <c r="D33" s="9"/>
      <c r="E33" s="9"/>
      <c r="F33" s="9"/>
      <c r="G33" s="41"/>
      <c r="H33" s="41"/>
      <c r="I33" s="41"/>
      <c r="J33" s="41"/>
      <c r="K33" s="9"/>
      <c r="L33" s="9"/>
      <c r="M33" s="9"/>
      <c r="N33" s="9"/>
      <c r="O33" s="9"/>
      <c r="P33" s="9"/>
      <c r="Q33" s="9"/>
      <c r="R33" s="9"/>
      <c r="S33" s="9"/>
      <c r="T33" s="9"/>
      <c r="U33" s="9"/>
      <c r="V33" s="9"/>
    </row>
    <row r="34" spans="1:22" ht="15">
      <c r="A34" s="9"/>
      <c r="B34" s="10"/>
      <c r="C34" s="86" t="s">
        <v>63</v>
      </c>
      <c r="D34" s="24"/>
      <c r="E34" s="24"/>
      <c r="F34" s="24"/>
      <c r="G34" s="24"/>
      <c r="H34" s="24"/>
      <c r="I34" s="24"/>
      <c r="J34" s="24"/>
      <c r="K34" s="24"/>
      <c r="L34" s="24"/>
      <c r="M34" s="24"/>
      <c r="N34" s="24"/>
      <c r="O34" s="24"/>
      <c r="P34" s="24"/>
      <c r="Q34" s="24"/>
      <c r="R34" s="24"/>
      <c r="S34" s="24"/>
      <c r="T34" s="24"/>
      <c r="U34" s="24"/>
      <c r="V34" s="24"/>
    </row>
    <row r="35" spans="1:22" ht="15">
      <c r="A35" s="9"/>
      <c r="B35" s="10"/>
      <c r="C35" s="24"/>
      <c r="D35" s="24"/>
      <c r="E35" s="24"/>
      <c r="F35" s="24"/>
      <c r="G35" s="24"/>
      <c r="H35" s="24"/>
      <c r="I35" s="24"/>
      <c r="J35" s="24"/>
      <c r="K35" s="24"/>
      <c r="L35" s="24"/>
      <c r="M35" s="24"/>
      <c r="N35" s="24"/>
      <c r="O35" s="24"/>
      <c r="P35" s="24"/>
      <c r="Q35" s="24"/>
      <c r="R35" s="24"/>
      <c r="S35" s="24"/>
      <c r="T35" s="24"/>
      <c r="U35" s="24"/>
      <c r="V35" s="24"/>
    </row>
    <row r="36" spans="1:22" ht="15" customHeight="1">
      <c r="A36" s="9"/>
      <c r="B36" s="9"/>
      <c r="C36" s="27" t="s">
        <v>7</v>
      </c>
      <c r="D36" s="28"/>
      <c r="E36" s="28"/>
      <c r="F36" s="170" t="str">
        <f>F9</f>
        <v>July</v>
      </c>
      <c r="G36" s="170"/>
      <c r="H36" s="170"/>
      <c r="I36" s="170"/>
      <c r="J36" s="170"/>
      <c r="K36" s="170"/>
      <c r="L36" s="171"/>
      <c r="M36" s="169" t="s">
        <v>61</v>
      </c>
      <c r="N36" s="170"/>
      <c r="O36" s="170"/>
      <c r="P36" s="170"/>
      <c r="Q36" s="170"/>
      <c r="R36" s="170"/>
      <c r="S36" s="171"/>
      <c r="T36" s="169" t="s">
        <v>58</v>
      </c>
      <c r="U36" s="170"/>
      <c r="V36" s="172"/>
    </row>
    <row r="37" spans="1:22" ht="15" customHeight="1">
      <c r="A37" s="9"/>
      <c r="B37" s="9"/>
      <c r="C37" s="29"/>
      <c r="D37" s="30"/>
      <c r="E37" s="30"/>
      <c r="F37" s="29"/>
      <c r="G37" s="30"/>
      <c r="H37" s="30"/>
      <c r="I37" s="30"/>
      <c r="J37" s="30"/>
      <c r="K37" s="30"/>
      <c r="L37" s="56"/>
      <c r="M37" s="30"/>
      <c r="N37" s="30"/>
      <c r="O37" s="30"/>
      <c r="P37" s="30"/>
      <c r="Q37" s="30"/>
      <c r="R37" s="30"/>
      <c r="S37" s="56"/>
      <c r="T37" s="30"/>
      <c r="U37" s="30"/>
      <c r="V37" s="56"/>
    </row>
    <row r="38" spans="1:22" s="9" customFormat="1" ht="34.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1:22" s="9" customFormat="1" ht="15" customHeight="1">
      <c r="C39" s="31" t="s">
        <v>14</v>
      </c>
      <c r="D39" s="26"/>
      <c r="E39" s="32"/>
      <c r="F39" s="26"/>
      <c r="G39" s="26"/>
      <c r="H39" s="26"/>
      <c r="I39" s="26"/>
      <c r="J39" s="26"/>
      <c r="K39" s="26"/>
      <c r="L39" s="32"/>
      <c r="M39" s="26"/>
      <c r="N39" s="26"/>
      <c r="O39" s="26"/>
      <c r="Q39" s="26"/>
      <c r="R39" s="26"/>
      <c r="S39" s="32"/>
      <c r="T39" s="33"/>
      <c r="U39" s="88"/>
      <c r="V39" s="85"/>
    </row>
    <row r="40" spans="1:22" s="9" customFormat="1" ht="15" customHeight="1">
      <c r="C40" s="33"/>
      <c r="D40" s="26" t="s">
        <v>5</v>
      </c>
      <c r="E40" s="32"/>
      <c r="F40" s="74">
        <f t="shared" ref="F40:I41" si="5">F13</f>
        <v>1</v>
      </c>
      <c r="G40" s="74">
        <f t="shared" si="5"/>
        <v>6</v>
      </c>
      <c r="H40" s="71">
        <f t="shared" si="5"/>
        <v>0</v>
      </c>
      <c r="I40" s="71">
        <f t="shared" si="5"/>
        <v>6</v>
      </c>
      <c r="J40" s="64">
        <f>IFERROR(F40/G40-1,"n/a")</f>
        <v>-0.83333333333333337</v>
      </c>
      <c r="K40" s="64" t="str">
        <f>IFERROR(F40/H40-1,"n/a")</f>
        <v>n/a</v>
      </c>
      <c r="L40" s="60">
        <f>IFERROR(F40/I40-1,"n/a")</f>
        <v>-0.83333333333333337</v>
      </c>
      <c r="M40" s="70">
        <f>+M13-'Mar-22'!M10</f>
        <v>30</v>
      </c>
      <c r="N40" s="70">
        <f>+N13-'Mar-22'!N10</f>
        <v>6</v>
      </c>
      <c r="O40" s="82">
        <f>+O13-'Mar-22'!O10</f>
        <v>0</v>
      </c>
      <c r="P40" s="70">
        <f>+P13-'Mar-22'!P10</f>
        <v>46</v>
      </c>
      <c r="Q40" s="64">
        <f>IFERROR(M40/N40-1,"n/a")</f>
        <v>4</v>
      </c>
      <c r="R40" s="64" t="str">
        <f>IFERROR(M40/O40-1,"n/a")</f>
        <v>n/a</v>
      </c>
      <c r="S40" s="60">
        <f>IFERROR(M40/P40-1,"n/a")</f>
        <v>-0.34782608695652173</v>
      </c>
      <c r="T40" s="89">
        <v>308</v>
      </c>
      <c r="U40" s="70">
        <v>145</v>
      </c>
      <c r="V40" s="78">
        <v>331</v>
      </c>
    </row>
    <row r="41" spans="1:22" s="9" customFormat="1" ht="15" customHeight="1">
      <c r="C41" s="33"/>
      <c r="D41" s="26" t="s">
        <v>11</v>
      </c>
      <c r="E41" s="32"/>
      <c r="F41" s="74">
        <f t="shared" si="5"/>
        <v>3145</v>
      </c>
      <c r="G41" s="74">
        <f t="shared" si="5"/>
        <v>767</v>
      </c>
      <c r="H41" s="71">
        <f t="shared" si="5"/>
        <v>0</v>
      </c>
      <c r="I41" s="74">
        <f t="shared" si="5"/>
        <v>10620</v>
      </c>
      <c r="J41" s="64">
        <f>IFERROR(F41/G41-1,"n/a")</f>
        <v>3.1003911342894392</v>
      </c>
      <c r="K41" s="64" t="str">
        <f>IFERROR(F41/H41-1,"n/a")</f>
        <v>n/a</v>
      </c>
      <c r="L41" s="60">
        <f>IFERROR(F41/I41-1,"n/a")</f>
        <v>-0.70386064030131834</v>
      </c>
      <c r="M41" s="82">
        <f>+M14-'Mar-22'!M11</f>
        <v>37841</v>
      </c>
      <c r="N41" s="82">
        <f>+N14-'Mar-22'!N11</f>
        <v>767</v>
      </c>
      <c r="O41" s="82">
        <f>+O14-'Mar-22'!O11</f>
        <v>0</v>
      </c>
      <c r="P41" s="82">
        <f>+P14-'Mar-22'!P11</f>
        <v>86144</v>
      </c>
      <c r="Q41" s="64">
        <f>IFERROR(M41/N41-1,"n/a")</f>
        <v>48.336375488917859</v>
      </c>
      <c r="R41" s="64" t="str">
        <f>IFERROR(M41/O41-1,"n/a")</f>
        <v>n/a</v>
      </c>
      <c r="S41" s="60">
        <f>IFERROR(M41/P41-1,"n/a")</f>
        <v>-0.56072390416047546</v>
      </c>
      <c r="T41" s="89">
        <v>237191</v>
      </c>
      <c r="U41" s="84">
        <v>258885</v>
      </c>
      <c r="V41" s="78">
        <v>606801</v>
      </c>
    </row>
    <row r="42" spans="1:22" s="9" customFormat="1" ht="15" customHeight="1">
      <c r="C42" s="31" t="s">
        <v>20</v>
      </c>
      <c r="D42" s="26"/>
      <c r="E42" s="32"/>
      <c r="F42" s="26"/>
      <c r="G42" s="26"/>
      <c r="H42" s="26"/>
      <c r="I42" s="26"/>
      <c r="J42" s="64"/>
      <c r="K42" s="64"/>
      <c r="L42" s="61"/>
      <c r="M42" s="87"/>
      <c r="N42" s="87"/>
      <c r="O42" s="87"/>
      <c r="P42" s="87"/>
      <c r="Q42" s="65"/>
      <c r="R42" s="65"/>
      <c r="S42" s="61"/>
      <c r="T42" s="90"/>
      <c r="U42" s="44"/>
      <c r="V42" s="79"/>
    </row>
    <row r="43" spans="1:22" s="9" customFormat="1" ht="15" customHeight="1">
      <c r="C43" s="33"/>
      <c r="D43" s="26" t="s">
        <v>5</v>
      </c>
      <c r="E43" s="32"/>
      <c r="F43" s="74">
        <f t="shared" ref="F43:I44" si="6">F16</f>
        <v>71</v>
      </c>
      <c r="G43" s="74">
        <f t="shared" si="6"/>
        <v>10</v>
      </c>
      <c r="H43" s="71">
        <f t="shared" si="6"/>
        <v>0</v>
      </c>
      <c r="I43" s="74">
        <f t="shared" si="6"/>
        <v>68</v>
      </c>
      <c r="J43" s="64">
        <f>IFERROR(F43/G43-1,"n/a")</f>
        <v>6.1</v>
      </c>
      <c r="K43" s="64" t="str">
        <f>IFERROR(F43/H43-1,"n/a")</f>
        <v>n/a</v>
      </c>
      <c r="L43" s="60">
        <f>IFERROR(F43/I43-1,"n/a")</f>
        <v>4.4117647058823595E-2</v>
      </c>
      <c r="M43" s="70">
        <f>+M16-'Mar-22'!M13</f>
        <v>338</v>
      </c>
      <c r="N43" s="70">
        <f>+N16-'Mar-22'!N13</f>
        <v>14</v>
      </c>
      <c r="O43" s="82">
        <f>+O16-'Mar-22'!O13</f>
        <v>0</v>
      </c>
      <c r="P43" s="70">
        <f>+P16-'Mar-22'!P13</f>
        <v>341</v>
      </c>
      <c r="Q43" s="64">
        <f>IFERROR(M43/N43-1,"n/a")</f>
        <v>23.142857142857142</v>
      </c>
      <c r="R43" s="64" t="str">
        <f>IFERROR(M43/O43-1,"n/a")</f>
        <v>n/a</v>
      </c>
      <c r="S43" s="60">
        <f>IFERROR(M43/P43-1,"n/a")</f>
        <v>-8.7976539589442737E-3</v>
      </c>
      <c r="T43" s="89">
        <v>336</v>
      </c>
      <c r="U43" s="70">
        <v>43</v>
      </c>
      <c r="V43" s="78">
        <v>781</v>
      </c>
    </row>
    <row r="44" spans="1:22" s="9" customFormat="1" ht="15" customHeight="1">
      <c r="C44" s="33"/>
      <c r="D44" s="26" t="s">
        <v>11</v>
      </c>
      <c r="E44" s="32"/>
      <c r="F44" s="74">
        <f t="shared" si="6"/>
        <v>271417</v>
      </c>
      <c r="G44" s="74">
        <f t="shared" si="6"/>
        <v>23553</v>
      </c>
      <c r="H44" s="71">
        <f t="shared" si="6"/>
        <v>0</v>
      </c>
      <c r="I44" s="74">
        <f t="shared" si="6"/>
        <v>261197</v>
      </c>
      <c r="J44" s="64">
        <f>IFERROR(F44/G44-1,"n/a")</f>
        <v>10.523670020804143</v>
      </c>
      <c r="K44" s="64" t="str">
        <f>IFERROR(F44/H44-1,"n/a")</f>
        <v>n/a</v>
      </c>
      <c r="L44" s="60">
        <f>IFERROR(F44/I44-1,"n/a")</f>
        <v>3.9127555063802388E-2</v>
      </c>
      <c r="M44" s="82">
        <f>+M17-'Mar-22'!M14</f>
        <v>736663</v>
      </c>
      <c r="N44" s="82">
        <f>+N17-'Mar-22'!N14</f>
        <v>28476</v>
      </c>
      <c r="O44" s="82">
        <f>+O17-'Mar-22'!O14</f>
        <v>0</v>
      </c>
      <c r="P44" s="82">
        <f>+P17-'Mar-22'!P14</f>
        <v>1049749</v>
      </c>
      <c r="Q44" s="64">
        <f>IFERROR(M44/N44-1,"n/a")</f>
        <v>24.869609495715689</v>
      </c>
      <c r="R44" s="64" t="str">
        <f>IFERROR(M44/O44-1,"n/a")</f>
        <v>n/a</v>
      </c>
      <c r="S44" s="60">
        <f>IFERROR(M44/P44-1,"n/a")</f>
        <v>-0.29824843843623572</v>
      </c>
      <c r="T44" s="89">
        <v>533563</v>
      </c>
      <c r="U44" s="84">
        <v>140552</v>
      </c>
      <c r="V44" s="78">
        <v>2441594</v>
      </c>
    </row>
    <row r="45" spans="1:22"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1:22" s="9" customFormat="1" ht="15" customHeight="1">
      <c r="C46" s="33"/>
      <c r="D46" s="26" t="s">
        <v>5</v>
      </c>
      <c r="E46" s="32"/>
      <c r="F46" s="74">
        <f t="shared" ref="F46:I47" si="7">F19</f>
        <v>60</v>
      </c>
      <c r="G46" s="71">
        <f t="shared" si="7"/>
        <v>0</v>
      </c>
      <c r="H46" s="71">
        <f t="shared" si="7"/>
        <v>1</v>
      </c>
      <c r="I46" s="74">
        <f t="shared" si="7"/>
        <v>32</v>
      </c>
      <c r="J46" s="64" t="str">
        <f>IFERROR(F46/G46-1,"n/a")</f>
        <v>n/a</v>
      </c>
      <c r="K46" s="64">
        <f>IFERROR(F46/H46-1,"n/a")</f>
        <v>59</v>
      </c>
      <c r="L46" s="60">
        <f>IFERROR(F46/I46-1,"n/a")</f>
        <v>0.875</v>
      </c>
      <c r="M46" s="70">
        <f>+M19-'Mar-22'!M16</f>
        <v>217</v>
      </c>
      <c r="N46" s="82">
        <f>+N19-'Mar-22'!N16</f>
        <v>0</v>
      </c>
      <c r="O46" s="82">
        <f>+O19-'Mar-22'!O16</f>
        <v>1</v>
      </c>
      <c r="P46" s="82">
        <f>+P19-'Mar-22'!P16</f>
        <v>95</v>
      </c>
      <c r="Q46" s="64" t="str">
        <f>IFERROR(M46/N46-1,"n/a")</f>
        <v>n/a</v>
      </c>
      <c r="R46" s="64">
        <f>IFERROR(M46/O46-1,"n/a")</f>
        <v>216</v>
      </c>
      <c r="S46" s="60">
        <f>IFERROR(M46/P46-1,"n/a")</f>
        <v>1.2842105263157895</v>
      </c>
      <c r="T46" s="89">
        <v>33</v>
      </c>
      <c r="U46" s="70">
        <v>4</v>
      </c>
      <c r="V46" s="78">
        <v>188</v>
      </c>
    </row>
    <row r="47" spans="1:22" s="9" customFormat="1" ht="15" customHeight="1">
      <c r="C47" s="33"/>
      <c r="D47" s="26" t="s">
        <v>11</v>
      </c>
      <c r="E47" s="32"/>
      <c r="F47" s="74">
        <f t="shared" si="7"/>
        <v>81190</v>
      </c>
      <c r="G47" s="71">
        <f t="shared" si="7"/>
        <v>0</v>
      </c>
      <c r="H47" s="71">
        <f t="shared" si="7"/>
        <v>111</v>
      </c>
      <c r="I47" s="74">
        <f t="shared" si="7"/>
        <v>40651</v>
      </c>
      <c r="J47" s="64" t="str">
        <f>IFERROR(F47/G47-1,"n/a")</f>
        <v>n/a</v>
      </c>
      <c r="K47" s="64">
        <f>IFERROR(F47/H47-1,"n/a")</f>
        <v>730.4414414414415</v>
      </c>
      <c r="L47" s="60">
        <f>IFERROR(F47/I47-1,"n/a")</f>
        <v>0.99724484022533266</v>
      </c>
      <c r="M47" s="82">
        <f>+M20-'Mar-22'!M17</f>
        <v>238118</v>
      </c>
      <c r="N47" s="82">
        <f>+N20-'Mar-22'!N17</f>
        <v>0</v>
      </c>
      <c r="O47" s="82">
        <f>+O20-'Mar-22'!O17</f>
        <v>111</v>
      </c>
      <c r="P47" s="82">
        <f>+P20-'Mar-22'!P17</f>
        <v>112053</v>
      </c>
      <c r="Q47" s="64" t="str">
        <f>IFERROR(M47/N47-1,"n/a")</f>
        <v>n/a</v>
      </c>
      <c r="R47" s="64">
        <f>IFERROR(M47/O47-1,"n/a")</f>
        <v>2144.2072072072074</v>
      </c>
      <c r="S47" s="60">
        <f>IFERROR(M47/P47-1,"n/a")</f>
        <v>1.1250479683721095</v>
      </c>
      <c r="T47" s="82">
        <v>10083</v>
      </c>
      <c r="U47" s="84">
        <v>1753</v>
      </c>
      <c r="V47" s="78">
        <f>176097+74816</f>
        <v>250913</v>
      </c>
    </row>
    <row r="48" spans="1:22"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3:22" s="9" customFormat="1" ht="15" customHeight="1">
      <c r="C49" s="33"/>
      <c r="D49" s="26" t="s">
        <v>5</v>
      </c>
      <c r="E49" s="34"/>
      <c r="F49" s="73">
        <f t="shared" ref="F49:I50" si="8">F22</f>
        <v>83</v>
      </c>
      <c r="G49" s="74">
        <f t="shared" si="8"/>
        <v>22</v>
      </c>
      <c r="H49" s="71">
        <f t="shared" si="8"/>
        <v>0</v>
      </c>
      <c r="I49" s="74">
        <f t="shared" si="8"/>
        <v>95</v>
      </c>
      <c r="J49" s="64">
        <f>IFERROR(F49/G49-1,"n/a")</f>
        <v>2.7727272727272729</v>
      </c>
      <c r="K49" s="64" t="str">
        <f>IFERROR(F49/H49-1,"n/a")</f>
        <v>n/a</v>
      </c>
      <c r="L49" s="60">
        <f>IFERROR(F49/I49-1,"n/a")</f>
        <v>-0.12631578947368416</v>
      </c>
      <c r="M49" s="70">
        <f>+M22-'Mar-22'!M19</f>
        <v>350</v>
      </c>
      <c r="N49" s="70">
        <f>+N22-'Mar-22'!N19</f>
        <v>29</v>
      </c>
      <c r="O49" s="70">
        <f>+O22-'Mar-22'!O19</f>
        <v>42</v>
      </c>
      <c r="P49" s="70">
        <f>+P22-'Mar-22'!P19</f>
        <v>371</v>
      </c>
      <c r="Q49" s="64">
        <f>IFERROR(M49/N49-1,"n/a")</f>
        <v>11.068965517241379</v>
      </c>
      <c r="R49" s="64">
        <f>IFERROR(M49/O49-1,"n/a")</f>
        <v>7.3333333333333339</v>
      </c>
      <c r="S49" s="60">
        <f>IFERROR(M49/P49-1,"n/a")</f>
        <v>-5.6603773584905648E-2</v>
      </c>
      <c r="T49" s="89">
        <v>744</v>
      </c>
      <c r="U49" s="84">
        <v>406</v>
      </c>
      <c r="V49" s="78">
        <v>1253</v>
      </c>
    </row>
    <row r="50" spans="3:22" s="9" customFormat="1" ht="15" customHeight="1">
      <c r="C50" s="33"/>
      <c r="D50" s="26" t="s">
        <v>11</v>
      </c>
      <c r="E50" s="32"/>
      <c r="F50" s="73">
        <f t="shared" si="8"/>
        <v>288977</v>
      </c>
      <c r="G50" s="74">
        <f t="shared" si="8"/>
        <v>30147</v>
      </c>
      <c r="H50" s="71">
        <f t="shared" si="8"/>
        <v>0</v>
      </c>
      <c r="I50" s="74">
        <f t="shared" si="8"/>
        <v>321844</v>
      </c>
      <c r="J50" s="64">
        <f>IFERROR(F50/G50-1,"n/a")</f>
        <v>8.5855972401897365</v>
      </c>
      <c r="K50" s="64" t="str">
        <f>IFERROR(F50/H50-1,"n/a")</f>
        <v>n/a</v>
      </c>
      <c r="L50" s="60">
        <f>IFERROR(F50/I50-1,"n/a")</f>
        <v>-0.10212090329476398</v>
      </c>
      <c r="M50" s="82">
        <f>+M23-'Mar-22'!M20</f>
        <v>1038712</v>
      </c>
      <c r="N50" s="82">
        <f>+N23-'Mar-22'!N20</f>
        <v>35258</v>
      </c>
      <c r="O50" s="82">
        <f>+O23-'Mar-22'!O20</f>
        <v>0</v>
      </c>
      <c r="P50" s="82">
        <f>+P23-'Mar-22'!P20</f>
        <v>1267874</v>
      </c>
      <c r="Q50" s="64">
        <f>IFERROR(M50/N50-1,"n/a")</f>
        <v>28.460321061886663</v>
      </c>
      <c r="R50" s="64" t="str">
        <f>IFERROR(M50/O50-1,"n/a")</f>
        <v>n/a</v>
      </c>
      <c r="S50" s="60">
        <f>IFERROR(M50/P50-1,"n/a")</f>
        <v>-0.18074508981176363</v>
      </c>
      <c r="T50" s="82">
        <v>1290779</v>
      </c>
      <c r="U50" s="84">
        <v>833999</v>
      </c>
      <c r="V50" s="78">
        <v>3627458</v>
      </c>
    </row>
    <row r="51" spans="3:22"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3:22" s="9" customFormat="1" ht="15" customHeight="1">
      <c r="C52" s="33"/>
      <c r="D52" s="26" t="s">
        <v>5</v>
      </c>
      <c r="E52" s="32"/>
      <c r="F52" s="74">
        <f t="shared" ref="F52:I53" si="9">F25</f>
        <v>33</v>
      </c>
      <c r="G52" s="74">
        <f t="shared" si="9"/>
        <v>9</v>
      </c>
      <c r="H52" s="71">
        <f t="shared" si="9"/>
        <v>0</v>
      </c>
      <c r="I52" s="74">
        <f t="shared" si="9"/>
        <v>36</v>
      </c>
      <c r="J52" s="64">
        <f>IFERROR(F52/G52-1,"n/a")</f>
        <v>2.6666666666666665</v>
      </c>
      <c r="K52" s="64" t="str">
        <f>IFERROR(F52/H52-1,"n/a")</f>
        <v>n/a</v>
      </c>
      <c r="L52" s="60">
        <f>IFERROR(F52/I52-1,"n/a")</f>
        <v>-8.333333333333337E-2</v>
      </c>
      <c r="M52" s="70">
        <f>+M25-'Mar-22'!M22</f>
        <v>133</v>
      </c>
      <c r="N52" s="70">
        <f>+N25-'Mar-22'!N22</f>
        <v>28</v>
      </c>
      <c r="O52" s="82">
        <f>+O25-'Mar-22'!O22</f>
        <v>0</v>
      </c>
      <c r="P52" s="70">
        <f>+P25-'Mar-22'!P22</f>
        <v>149</v>
      </c>
      <c r="Q52" s="64">
        <f>IFERROR(M52/N52-1,"n/a")</f>
        <v>3.75</v>
      </c>
      <c r="R52" s="64" t="str">
        <f>IFERROR(M52/O52-1,"n/a")</f>
        <v>n/a</v>
      </c>
      <c r="S52" s="60">
        <f>IFERROR(M52/P52-1,"n/a")</f>
        <v>-0.10738255033557043</v>
      </c>
      <c r="T52" s="89">
        <v>121</v>
      </c>
      <c r="U52" s="70">
        <v>41</v>
      </c>
      <c r="V52" s="78">
        <v>361</v>
      </c>
    </row>
    <row r="53" spans="3:22" s="9" customFormat="1" ht="15" customHeight="1">
      <c r="C53" s="33"/>
      <c r="D53" s="26" t="s">
        <v>11</v>
      </c>
      <c r="E53" s="32"/>
      <c r="F53" s="74">
        <f t="shared" si="9"/>
        <v>73604</v>
      </c>
      <c r="G53" s="74">
        <f t="shared" si="9"/>
        <v>14049</v>
      </c>
      <c r="H53" s="71">
        <f t="shared" si="9"/>
        <v>0</v>
      </c>
      <c r="I53" s="74">
        <f t="shared" si="9"/>
        <v>102764</v>
      </c>
      <c r="J53" s="64">
        <f>IFERROR(F53/G53-1,"n/a")</f>
        <v>4.2390917503025127</v>
      </c>
      <c r="K53" s="64" t="str">
        <f>IFERROR(F53/H53-1,"n/a")</f>
        <v>n/a</v>
      </c>
      <c r="L53" s="60">
        <f>IFERROR(F53/I53-1,"n/a")</f>
        <v>-0.28375695768946319</v>
      </c>
      <c r="M53" s="82">
        <f>+M26-'Mar-22'!M23</f>
        <v>223528</v>
      </c>
      <c r="N53" s="82">
        <f>+N26-'Mar-22'!N23</f>
        <v>37486</v>
      </c>
      <c r="O53" s="82">
        <f>+O26-'Mar-22'!O23</f>
        <v>0</v>
      </c>
      <c r="P53" s="82">
        <f>+P26-'Mar-22'!P23</f>
        <v>400860</v>
      </c>
      <c r="Q53" s="64">
        <f>IFERROR(M53/N53-1,"n/a")</f>
        <v>4.9629728431947928</v>
      </c>
      <c r="R53" s="64" t="str">
        <f>IFERROR(M53/O53-1,"n/a")</f>
        <v>n/a</v>
      </c>
      <c r="S53" s="60">
        <f>IFERROR(M53/P53-1,"n/a")</f>
        <v>-0.44237888539639769</v>
      </c>
      <c r="T53" s="82">
        <v>165689</v>
      </c>
      <c r="U53" s="84">
        <v>67144</v>
      </c>
      <c r="V53" s="78">
        <v>865961</v>
      </c>
    </row>
    <row r="54" spans="3:22" ht="15" customHeight="1">
      <c r="C54" s="31" t="s">
        <v>17</v>
      </c>
      <c r="D54" s="26"/>
      <c r="E54" s="32"/>
      <c r="F54" s="72"/>
      <c r="G54" s="72"/>
      <c r="H54" s="72"/>
      <c r="I54" s="72"/>
      <c r="J54" s="64"/>
      <c r="K54" s="64"/>
      <c r="L54" s="60"/>
      <c r="M54" s="87"/>
      <c r="N54" s="87"/>
      <c r="O54" s="87"/>
      <c r="P54" s="87"/>
      <c r="Q54" s="64"/>
      <c r="R54" s="64"/>
      <c r="S54" s="60"/>
      <c r="T54" s="90"/>
      <c r="U54" s="44"/>
      <c r="V54" s="79"/>
    </row>
    <row r="55" spans="3:22" ht="15.75" customHeight="1">
      <c r="C55" s="33"/>
      <c r="D55" s="26" t="s">
        <v>5</v>
      </c>
      <c r="E55" s="32"/>
      <c r="F55" s="74">
        <f t="shared" ref="F55:I56" si="10">F28</f>
        <v>65</v>
      </c>
      <c r="G55" s="74">
        <f t="shared" si="10"/>
        <v>16</v>
      </c>
      <c r="H55" s="71">
        <f t="shared" si="10"/>
        <v>1</v>
      </c>
      <c r="I55" s="74">
        <f t="shared" si="10"/>
        <v>46</v>
      </c>
      <c r="J55" s="64">
        <f>IFERROR(F55/G55-1,"n/a")</f>
        <v>3.0625</v>
      </c>
      <c r="K55" s="64">
        <f>IFERROR(F55/H55-1,"n/a")</f>
        <v>64</v>
      </c>
      <c r="L55" s="60">
        <f>IFERROR(F55/I55-1,"n/a")</f>
        <v>0.41304347826086962</v>
      </c>
      <c r="M55" s="70">
        <f>+M28-'Mar-22'!M25</f>
        <v>258</v>
      </c>
      <c r="N55" s="70">
        <f>+N28-'Mar-22'!N25</f>
        <v>37</v>
      </c>
      <c r="O55" s="70">
        <f>+O28-'Mar-22'!O25</f>
        <v>1</v>
      </c>
      <c r="P55" s="70">
        <f>+P28-'Mar-22'!P25</f>
        <v>168</v>
      </c>
      <c r="Q55" s="64">
        <f>IFERROR(M55/N55-1,"n/a")</f>
        <v>5.9729729729729728</v>
      </c>
      <c r="R55" s="64">
        <f>IFERROR(M55/O55-1,"n/a")</f>
        <v>257</v>
      </c>
      <c r="S55" s="60">
        <f>IFERROR(M55/P55-1,"n/a")</f>
        <v>0.53571428571428581</v>
      </c>
      <c r="T55" s="89">
        <v>140</v>
      </c>
      <c r="U55" s="70">
        <v>40</v>
      </c>
      <c r="V55" s="78">
        <v>360</v>
      </c>
    </row>
    <row r="56" spans="3:22" ht="15.75" customHeight="1">
      <c r="C56" s="33"/>
      <c r="D56" s="26" t="s">
        <v>11</v>
      </c>
      <c r="E56" s="32"/>
      <c r="F56" s="74">
        <f t="shared" si="10"/>
        <v>138906</v>
      </c>
      <c r="G56" s="74">
        <f t="shared" si="10"/>
        <v>23981</v>
      </c>
      <c r="H56" s="71">
        <f t="shared" si="10"/>
        <v>6081</v>
      </c>
      <c r="I56" s="74">
        <f t="shared" si="10"/>
        <v>131948</v>
      </c>
      <c r="J56" s="64">
        <f>IFERROR(F56/G56-1,"n/a")</f>
        <v>4.792335599015888</v>
      </c>
      <c r="K56" s="64">
        <f>IFERROR(F56/H56-1,"n/a")</f>
        <v>21.842624568327576</v>
      </c>
      <c r="L56" s="60">
        <f>IFERROR(F56/I56-1,"n/a")</f>
        <v>5.2732894776730266E-2</v>
      </c>
      <c r="M56" s="82">
        <f>+M29-'Mar-22'!M26</f>
        <v>347480</v>
      </c>
      <c r="N56" s="82">
        <f>+N29-'Mar-22'!N26</f>
        <v>54494</v>
      </c>
      <c r="O56" s="82">
        <f>+O29-'Mar-22'!O26</f>
        <v>8294</v>
      </c>
      <c r="P56" s="82">
        <f>+P29-'Mar-22'!P26</f>
        <v>437020</v>
      </c>
      <c r="Q56" s="64">
        <f>IFERROR(M56/N56-1,"n/a")</f>
        <v>5.3764818145116893</v>
      </c>
      <c r="R56" s="64">
        <f>IFERROR(M56/O56-1,"n/a")</f>
        <v>40.895346033277065</v>
      </c>
      <c r="S56" s="60">
        <f>IFERROR(M56/P56-1,"n/a")</f>
        <v>-0.20488764816255545</v>
      </c>
      <c r="T56" s="82">
        <v>174336</v>
      </c>
      <c r="U56" s="84">
        <v>21928</v>
      </c>
      <c r="V56" s="78">
        <f>706948+155011</f>
        <v>861959</v>
      </c>
    </row>
    <row r="57" spans="3:22" ht="27" customHeight="1" thickBot="1">
      <c r="C57" s="35" t="s">
        <v>12</v>
      </c>
      <c r="D57" s="36"/>
      <c r="E57" s="37"/>
      <c r="F57" s="75">
        <f t="shared" ref="F57:I58" si="11">F40+F43+F46+F49+F52+F55</f>
        <v>313</v>
      </c>
      <c r="G57" s="75">
        <f t="shared" si="11"/>
        <v>63</v>
      </c>
      <c r="H57" s="75">
        <f t="shared" si="11"/>
        <v>2</v>
      </c>
      <c r="I57" s="75">
        <f t="shared" si="11"/>
        <v>283</v>
      </c>
      <c r="J57" s="66">
        <f>IFERROR(F57/G57-1,"n/a")</f>
        <v>3.9682539682539684</v>
      </c>
      <c r="K57" s="66">
        <f>IFERROR(F57/H57-1,"n/a")</f>
        <v>155.5</v>
      </c>
      <c r="L57" s="62">
        <f>IFERROR(F57/I57-1,"n/a")</f>
        <v>0.10600706713780927</v>
      </c>
      <c r="M57" s="46">
        <f t="shared" ref="M57:P58" si="12">M40+M43+M46+M49+M52+M55</f>
        <v>1326</v>
      </c>
      <c r="N57" s="46">
        <f t="shared" si="12"/>
        <v>114</v>
      </c>
      <c r="O57" s="46">
        <f t="shared" si="12"/>
        <v>44</v>
      </c>
      <c r="P57" s="46">
        <f t="shared" si="12"/>
        <v>1170</v>
      </c>
      <c r="Q57" s="66">
        <f>IFERROR(M57/N57-1,"n/a")</f>
        <v>10.631578947368421</v>
      </c>
      <c r="R57" s="66">
        <f>IFERROR(M57/O57-1,"n/a")</f>
        <v>29.136363636363637</v>
      </c>
      <c r="S57" s="62">
        <f>IFERROR(M57/P57-1,"n/a")</f>
        <v>0.1333333333333333</v>
      </c>
      <c r="T57" s="46">
        <f t="shared" ref="T57:V58" si="13">T40+T43+T46+T49+T52+T55</f>
        <v>1682</v>
      </c>
      <c r="U57" s="46">
        <f t="shared" si="13"/>
        <v>679</v>
      </c>
      <c r="V57" s="80">
        <f t="shared" si="13"/>
        <v>3274</v>
      </c>
    </row>
    <row r="58" spans="3:22" ht="27" customHeight="1" thickTop="1" thickBot="1">
      <c r="C58" s="38" t="s">
        <v>13</v>
      </c>
      <c r="D58" s="39"/>
      <c r="E58" s="40"/>
      <c r="F58" s="76">
        <f t="shared" si="11"/>
        <v>857239</v>
      </c>
      <c r="G58" s="76">
        <f t="shared" si="11"/>
        <v>92497</v>
      </c>
      <c r="H58" s="76">
        <f t="shared" si="11"/>
        <v>6192</v>
      </c>
      <c r="I58" s="76">
        <f t="shared" si="11"/>
        <v>869024</v>
      </c>
      <c r="J58" s="67">
        <f>IFERROR(F58/G58-1,"n/a")</f>
        <v>8.2677492242991661</v>
      </c>
      <c r="K58" s="67">
        <f>IFERROR(F58/H58-1,"n/a")</f>
        <v>137.44299095607235</v>
      </c>
      <c r="L58" s="63">
        <f>IFERROR(F58/I58-1,"n/a")</f>
        <v>-1.3561190484957852E-2</v>
      </c>
      <c r="M58" s="47">
        <f t="shared" si="12"/>
        <v>2622342</v>
      </c>
      <c r="N58" s="47">
        <f t="shared" si="12"/>
        <v>156481</v>
      </c>
      <c r="O58" s="47">
        <f t="shared" si="12"/>
        <v>8405</v>
      </c>
      <c r="P58" s="47">
        <f t="shared" si="12"/>
        <v>3353700</v>
      </c>
      <c r="Q58" s="67">
        <f>IFERROR(M58/N58-1,"n/a")</f>
        <v>15.758213457224837</v>
      </c>
      <c r="R58" s="67">
        <f>IFERROR(M58/O58-1,"n/a")</f>
        <v>310.99785841760854</v>
      </c>
      <c r="S58" s="63">
        <f>IFERROR(M58/P58-1,"n/a")</f>
        <v>-0.21807496198228826</v>
      </c>
      <c r="T58" s="47">
        <f t="shared" si="13"/>
        <v>2411641</v>
      </c>
      <c r="U58" s="47">
        <f t="shared" si="13"/>
        <v>1324261</v>
      </c>
      <c r="V58" s="81">
        <f t="shared" si="13"/>
        <v>8654686</v>
      </c>
    </row>
    <row r="59" spans="3:22" ht="12" customHeight="1" thickTop="1"/>
  </sheetData>
  <customSheetViews>
    <customSheetView guid="{5F6D01E3-9E6F-4D7F-980F-63899AF95899}" scale="70" showPageBreaks="1" showGridLines="0" fitToPage="1" hiddenColumns="1">
      <selection activeCell="A60" sqref="A60:XFD1048576"/>
      <rowBreaks count="1" manualBreakCount="1">
        <brk id="59" max="16383" man="1"/>
      </rowBreaks>
      <colBreaks count="2" manualBreakCount="2">
        <brk id="3" max="1048575" man="1"/>
        <brk id="5" max="1048575" man="1"/>
      </colBreaks>
      <pageMargins left="0.7" right="0.7" top="0.75" bottom="0.75" header="0.3" footer="0.3"/>
      <pageSetup paperSize="9" scale="51" orientation="landscape" horizontalDpi="4294967293" verticalDpi="4294967293" r:id="rId1"/>
    </customSheetView>
  </customSheetViews>
  <mergeCells count="6">
    <mergeCell ref="F36:L36"/>
    <mergeCell ref="F9:L9"/>
    <mergeCell ref="M9:S9"/>
    <mergeCell ref="T9:V9"/>
    <mergeCell ref="M36:S36"/>
    <mergeCell ref="T36:V36"/>
  </mergeCells>
  <pageMargins left="0.7" right="0.7" top="0.75" bottom="0.75" header="0.3" footer="0.3"/>
  <pageSetup paperSize="9" scale="52" orientation="landscape" horizontalDpi="4294967293" verticalDpi="4294967293" r:id="rId2"/>
  <colBreaks count="2" manualBreakCount="2">
    <brk id="3" max="1048575" man="1"/>
    <brk id="5" max="1048575" man="1"/>
  </colBreaks>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AL48"/>
  <sheetViews>
    <sheetView showGridLines="0" zoomScaleNormal="100" workbookViewId="0"/>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5703125"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50</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s="20" customFormat="1" ht="15">
      <c r="A6" s="9"/>
      <c r="B6"/>
      <c r="C6" s="27" t="s">
        <v>7</v>
      </c>
      <c r="D6" s="28"/>
      <c r="E6" s="28"/>
      <c r="F6" s="170" t="s">
        <v>51</v>
      </c>
      <c r="G6" s="170"/>
      <c r="H6" s="170"/>
      <c r="I6" s="170"/>
      <c r="J6" s="170"/>
      <c r="K6" s="170"/>
      <c r="L6" s="171"/>
      <c r="M6" s="169" t="s">
        <v>52</v>
      </c>
      <c r="N6" s="170"/>
      <c r="O6" s="170"/>
      <c r="P6" s="170"/>
      <c r="Q6" s="170"/>
      <c r="R6" s="170"/>
      <c r="S6" s="171"/>
      <c r="T6" s="169" t="s">
        <v>9</v>
      </c>
      <c r="U6" s="170"/>
      <c r="V6" s="170"/>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ht="15">
      <c r="A9" s="9"/>
      <c r="B9" s="12"/>
      <c r="C9" s="31" t="s">
        <v>14</v>
      </c>
      <c r="D9" s="26"/>
      <c r="E9" s="32"/>
      <c r="F9" s="26"/>
      <c r="G9" s="26"/>
      <c r="H9" s="26"/>
      <c r="I9" s="26"/>
      <c r="J9" s="26"/>
      <c r="K9" s="26"/>
      <c r="L9" s="32"/>
      <c r="M9" s="26"/>
      <c r="N9" s="26"/>
      <c r="O9" s="26"/>
      <c r="P9" s="26"/>
      <c r="Q9" s="26"/>
      <c r="R9" s="26"/>
      <c r="S9" s="32"/>
      <c r="T9" s="26"/>
      <c r="U9" s="26"/>
      <c r="V9" s="26"/>
    </row>
    <row r="10" spans="1:38" ht="15">
      <c r="A10" s="9"/>
      <c r="B10" s="12"/>
      <c r="C10" s="33"/>
      <c r="D10" s="26" t="s">
        <v>5</v>
      </c>
      <c r="E10" s="32"/>
      <c r="F10" s="71">
        <v>1</v>
      </c>
      <c r="G10" s="71">
        <v>0</v>
      </c>
      <c r="H10" s="71">
        <v>0</v>
      </c>
      <c r="I10" s="71">
        <v>5</v>
      </c>
      <c r="J10" s="64" t="str">
        <f t="shared" ref="J10:J28" si="0">IFERROR(F10/G10-1,"n/a")</f>
        <v>n/a</v>
      </c>
      <c r="K10" s="64" t="str">
        <f>IFERROR(F10/H10-1,"n/a")</f>
        <v>n/a</v>
      </c>
      <c r="L10" s="60">
        <f>IFERROR(F10/I10-1,"n/a")</f>
        <v>-0.8</v>
      </c>
      <c r="M10" s="68">
        <f>F10+'May-22'!M10</f>
        <v>226</v>
      </c>
      <c r="N10" s="68">
        <f>G10+'May-22'!N10</f>
        <v>0</v>
      </c>
      <c r="O10" s="68">
        <f>H10+'May-22'!O10</f>
        <v>145</v>
      </c>
      <c r="P10" s="68">
        <f>I10+'May-22'!P10</f>
        <v>240</v>
      </c>
      <c r="Q10" s="64" t="str">
        <f>IFERROR(M10/N10-1,"n/a")</f>
        <v>n/a</v>
      </c>
      <c r="R10" s="64">
        <f>IFERROR(M10/O10-1,"n/a")</f>
        <v>0.55862068965517242</v>
      </c>
      <c r="S10" s="60">
        <f>IFERROR(M10/P10-1,"n/a")</f>
        <v>-5.8333333333333348E-2</v>
      </c>
      <c r="T10" s="68">
        <v>111</v>
      </c>
      <c r="U10" s="70">
        <v>145</v>
      </c>
      <c r="V10" s="70">
        <v>386</v>
      </c>
    </row>
    <row r="11" spans="1:38" ht="15">
      <c r="A11" s="9"/>
      <c r="B11" s="12"/>
      <c r="C11" s="33"/>
      <c r="D11" s="26" t="s">
        <v>11</v>
      </c>
      <c r="E11" s="32"/>
      <c r="F11" s="71">
        <v>0</v>
      </c>
      <c r="G11" s="71">
        <v>0</v>
      </c>
      <c r="H11" s="71">
        <v>0</v>
      </c>
      <c r="I11" s="71">
        <v>13509</v>
      </c>
      <c r="J11" s="64" t="str">
        <f t="shared" si="0"/>
        <v>n/a</v>
      </c>
      <c r="K11" s="64" t="str">
        <f>IFERROR(F11/H11-1,"n/a")</f>
        <v>n/a</v>
      </c>
      <c r="L11" s="60">
        <f>IFERROR(F11/I11-1,"n/a")</f>
        <v>-1</v>
      </c>
      <c r="M11" s="68">
        <f>F11+'May-22'!M11</f>
        <v>191024</v>
      </c>
      <c r="N11" s="68">
        <f>G11+'May-22'!N11</f>
        <v>0</v>
      </c>
      <c r="O11" s="68">
        <f>H11+'May-22'!O11</f>
        <v>258885</v>
      </c>
      <c r="P11" s="68">
        <f>I11+'May-22'!P11</f>
        <v>460904</v>
      </c>
      <c r="Q11" s="64" t="str">
        <f>IFERROR(M11/N11-1,"n/a")</f>
        <v>n/a</v>
      </c>
      <c r="R11" s="64">
        <f>IFERROR(M11/O11-1,"n/a")</f>
        <v>-0.26212797187940595</v>
      </c>
      <c r="S11" s="60">
        <f>IFERROR(M11/P11-1,"n/a")</f>
        <v>-0.58554492909586375</v>
      </c>
      <c r="T11" s="68">
        <v>80863</v>
      </c>
      <c r="U11" s="70">
        <v>258885</v>
      </c>
      <c r="V11" s="70">
        <v>733296</v>
      </c>
    </row>
    <row r="12" spans="1:38" ht="15">
      <c r="A12" s="9"/>
      <c r="B12" s="12"/>
      <c r="C12" s="31" t="s">
        <v>74</v>
      </c>
      <c r="D12" s="26"/>
      <c r="E12" s="32"/>
      <c r="F12" s="26"/>
      <c r="G12" s="26"/>
      <c r="H12" s="26"/>
      <c r="I12" s="26"/>
      <c r="J12" s="64"/>
      <c r="K12" s="64"/>
      <c r="L12" s="61"/>
      <c r="M12" s="43"/>
      <c r="N12" s="43"/>
      <c r="O12" s="43"/>
      <c r="P12" s="43"/>
      <c r="Q12" s="64"/>
      <c r="R12" s="65"/>
      <c r="S12" s="61"/>
      <c r="T12" s="43"/>
      <c r="U12" s="44"/>
      <c r="V12" s="44"/>
    </row>
    <row r="13" spans="1:38" ht="15">
      <c r="A13" s="9"/>
      <c r="B13" s="12"/>
      <c r="C13" s="33"/>
      <c r="D13" s="26" t="s">
        <v>5</v>
      </c>
      <c r="E13" s="32"/>
      <c r="F13" s="71">
        <v>68</v>
      </c>
      <c r="G13" s="74">
        <v>4</v>
      </c>
      <c r="H13" s="71">
        <v>0</v>
      </c>
      <c r="I13" s="71">
        <v>70</v>
      </c>
      <c r="J13" s="64">
        <f t="shared" si="0"/>
        <v>16</v>
      </c>
      <c r="K13" s="64" t="str">
        <f>IFERROR(F13/H13-1,"n/a")</f>
        <v>n/a</v>
      </c>
      <c r="L13" s="60">
        <f>IFERROR(F13/I13-1,"n/a")</f>
        <v>-2.8571428571428581E-2</v>
      </c>
      <c r="M13" s="68">
        <f>F13+'May-22'!M13</f>
        <v>320</v>
      </c>
      <c r="N13" s="68">
        <f>G13+'May-22'!N13</f>
        <v>4</v>
      </c>
      <c r="O13" s="68">
        <f>H13+'May-22'!O13</f>
        <v>43</v>
      </c>
      <c r="P13" s="68">
        <f>I13+'May-22'!P13</f>
        <v>362</v>
      </c>
      <c r="Q13" s="64">
        <f>IFERROR(M13/N13-1,"n/a")</f>
        <v>79</v>
      </c>
      <c r="R13" s="64">
        <f>IFERROR(M13/O13-1,"n/a")</f>
        <v>6.441860465116279</v>
      </c>
      <c r="S13" s="60">
        <f>IFERROR(M13/P13-1,"n/a")</f>
        <v>-0.11602209944751385</v>
      </c>
      <c r="T13" s="68">
        <v>283</v>
      </c>
      <c r="U13" s="70">
        <v>43</v>
      </c>
      <c r="V13" s="70">
        <v>827</v>
      </c>
    </row>
    <row r="14" spans="1:38" ht="15">
      <c r="A14" s="9"/>
      <c r="B14" s="12"/>
      <c r="C14" s="33"/>
      <c r="D14" s="26" t="s">
        <v>11</v>
      </c>
      <c r="E14" s="32"/>
      <c r="F14" s="71">
        <v>182336</v>
      </c>
      <c r="G14" s="74">
        <v>4923</v>
      </c>
      <c r="H14" s="71">
        <v>0</v>
      </c>
      <c r="I14" s="71">
        <v>275367</v>
      </c>
      <c r="J14" s="64">
        <f t="shared" si="0"/>
        <v>36.037578712167381</v>
      </c>
      <c r="K14" s="64" t="str">
        <f>IFERROR(F14/H14-1,"n/a")</f>
        <v>n/a</v>
      </c>
      <c r="L14" s="60">
        <f>IFERROR(F14/I14-1,"n/a")</f>
        <v>-0.33784367771011048</v>
      </c>
      <c r="M14" s="68">
        <f>F14+'May-22'!M14</f>
        <v>533700</v>
      </c>
      <c r="N14" s="68">
        <f>G14+'May-22'!N14</f>
        <v>4923</v>
      </c>
      <c r="O14" s="68">
        <f>H14+'May-22'!O14</f>
        <v>140552</v>
      </c>
      <c r="P14" s="68">
        <f>I14+'May-22'!P14</f>
        <v>1040452</v>
      </c>
      <c r="Q14" s="64">
        <f>IFERROR(M14/N14-1,"n/a")</f>
        <v>107.40950639853747</v>
      </c>
      <c r="R14" s="64">
        <f>IFERROR(M14/O14-1,"n/a")</f>
        <v>2.7971711537366954</v>
      </c>
      <c r="S14" s="60">
        <f>IFERROR(M14/P14-1,"n/a")</f>
        <v>-0.487049859099699</v>
      </c>
      <c r="T14" s="68">
        <v>465109</v>
      </c>
      <c r="U14" s="70">
        <v>140552</v>
      </c>
      <c r="V14" s="70">
        <v>2552942</v>
      </c>
    </row>
    <row r="15" spans="1:38" ht="15">
      <c r="A15" s="9"/>
      <c r="B15" s="12"/>
      <c r="C15" s="31" t="s">
        <v>15</v>
      </c>
      <c r="D15" s="26"/>
      <c r="E15" s="32"/>
      <c r="F15" s="72"/>
      <c r="G15" s="72"/>
      <c r="H15" s="72"/>
      <c r="I15" s="72"/>
      <c r="J15" s="64"/>
      <c r="K15" s="64"/>
      <c r="L15" s="60"/>
      <c r="M15" s="43"/>
      <c r="N15" s="43"/>
      <c r="O15" s="43"/>
      <c r="P15" s="43"/>
      <c r="Q15" s="64"/>
      <c r="R15" s="64"/>
      <c r="S15" s="60"/>
      <c r="T15" s="43"/>
      <c r="U15" s="44"/>
      <c r="V15" s="44"/>
    </row>
    <row r="16" spans="1:38" ht="15">
      <c r="A16" s="9"/>
      <c r="B16" s="12"/>
      <c r="C16" s="33"/>
      <c r="D16" s="26" t="s">
        <v>5</v>
      </c>
      <c r="E16" s="32"/>
      <c r="F16" s="71">
        <v>63</v>
      </c>
      <c r="G16" s="71">
        <v>0</v>
      </c>
      <c r="H16" s="71">
        <v>0</v>
      </c>
      <c r="I16" s="71">
        <v>27</v>
      </c>
      <c r="J16" s="64" t="str">
        <f t="shared" si="0"/>
        <v>n/a</v>
      </c>
      <c r="K16" s="64" t="str">
        <f>IFERROR(F16/H16-1,"n/a")</f>
        <v>n/a</v>
      </c>
      <c r="L16" s="60">
        <f>IFERROR(F16/I16-1,"n/a")</f>
        <v>1.3333333333333335</v>
      </c>
      <c r="M16" s="68">
        <f>F16+'May-22'!M16</f>
        <v>167</v>
      </c>
      <c r="N16" s="68">
        <f>G16+'May-22'!N16</f>
        <v>0</v>
      </c>
      <c r="O16" s="68">
        <f>H16+'May-22'!O16</f>
        <v>3</v>
      </c>
      <c r="P16" s="68">
        <f>I16+'May-22'!P16</f>
        <v>69</v>
      </c>
      <c r="Q16" s="64" t="str">
        <f>IFERROR(M16/N16-1,"n/a")</f>
        <v>n/a</v>
      </c>
      <c r="R16" s="64">
        <f>IFERROR(M16/O16-1,"n/a")</f>
        <v>54.666666666666664</v>
      </c>
      <c r="S16" s="60">
        <f>IFERROR(M16/P16-1,"n/a")</f>
        <v>1.4202898550724639</v>
      </c>
      <c r="T16" s="68">
        <v>23</v>
      </c>
      <c r="U16" s="70">
        <v>4</v>
      </c>
      <c r="V16" s="70">
        <v>191</v>
      </c>
    </row>
    <row r="17" spans="1:38" ht="15">
      <c r="A17" s="9"/>
      <c r="B17" s="12"/>
      <c r="C17" s="33"/>
      <c r="D17" s="26" t="s">
        <v>11</v>
      </c>
      <c r="E17" s="32"/>
      <c r="F17" s="71">
        <f>68807+7503</f>
        <v>76310</v>
      </c>
      <c r="G17" s="71">
        <v>0</v>
      </c>
      <c r="H17" s="71">
        <v>0</v>
      </c>
      <c r="I17" s="73">
        <f>22769+11039</f>
        <v>33808</v>
      </c>
      <c r="J17" s="64" t="str">
        <f t="shared" si="0"/>
        <v>n/a</v>
      </c>
      <c r="K17" s="64" t="str">
        <f>IFERROR(F17/H17-1,"n/a")</f>
        <v>n/a</v>
      </c>
      <c r="L17" s="60">
        <f t="shared" ref="L17:L28" si="1">IFERROR(F17/I17-1,"n/a")</f>
        <v>1.257158069096072</v>
      </c>
      <c r="M17" s="68">
        <f>F17+'May-22'!M17</f>
        <v>158400</v>
      </c>
      <c r="N17" s="68">
        <f>G17+'May-22'!N17</f>
        <v>0</v>
      </c>
      <c r="O17" s="68">
        <f>H17+'May-22'!O17</f>
        <v>1642</v>
      </c>
      <c r="P17" s="68">
        <f>I17+'May-22'!P17</f>
        <v>76540</v>
      </c>
      <c r="Q17" s="64" t="str">
        <f>IFERROR(M17/N17-1,"n/a")</f>
        <v>n/a</v>
      </c>
      <c r="R17" s="64">
        <f>IFERROR(M17/O17-1,"n/a")</f>
        <v>95.467722289890375</v>
      </c>
      <c r="S17" s="60">
        <f>IFERROR(M17/P17-1,"n/a")</f>
        <v>1.069506140580089</v>
      </c>
      <c r="T17" s="68">
        <v>8611</v>
      </c>
      <c r="U17" s="70">
        <v>1753</v>
      </c>
      <c r="V17" s="70">
        <v>254421</v>
      </c>
    </row>
    <row r="18" spans="1:38" ht="15">
      <c r="A18" s="9"/>
      <c r="B18" s="12"/>
      <c r="C18" s="31" t="s">
        <v>10</v>
      </c>
      <c r="D18" s="26"/>
      <c r="E18" s="34"/>
      <c r="F18" s="72"/>
      <c r="G18" s="72"/>
      <c r="H18" s="72"/>
      <c r="I18" s="72"/>
      <c r="J18" s="64"/>
      <c r="K18" s="64"/>
      <c r="L18" s="60"/>
      <c r="M18" s="43"/>
      <c r="N18" s="43"/>
      <c r="O18" s="43"/>
      <c r="P18" s="43"/>
      <c r="Q18" s="64"/>
      <c r="R18" s="64"/>
      <c r="S18" s="60"/>
      <c r="T18" s="43"/>
      <c r="U18" s="44"/>
      <c r="V18" s="44"/>
    </row>
    <row r="19" spans="1:38" ht="15">
      <c r="A19" s="9"/>
      <c r="B19" s="12"/>
      <c r="C19" s="33"/>
      <c r="D19" s="26" t="s">
        <v>5</v>
      </c>
      <c r="E19" s="34"/>
      <c r="F19" s="74">
        <v>76</v>
      </c>
      <c r="G19" s="71">
        <v>7</v>
      </c>
      <c r="H19" s="71">
        <v>0</v>
      </c>
      <c r="I19" s="71">
        <v>92</v>
      </c>
      <c r="J19" s="64">
        <f t="shared" si="0"/>
        <v>9.8571428571428577</v>
      </c>
      <c r="K19" s="64" t="str">
        <f>IFERROR(F19/H19-1,"n/a")</f>
        <v>n/a</v>
      </c>
      <c r="L19" s="60">
        <f t="shared" si="1"/>
        <v>-0.17391304347826086</v>
      </c>
      <c r="M19" s="68">
        <f>F19+'May-22'!M19</f>
        <v>600</v>
      </c>
      <c r="N19" s="68">
        <f>G19+'May-22'!N19</f>
        <v>7</v>
      </c>
      <c r="O19" s="68">
        <f>H19+'May-22'!O19</f>
        <v>406</v>
      </c>
      <c r="P19" s="68">
        <f>I19+'May-22'!P19</f>
        <v>592</v>
      </c>
      <c r="Q19" s="64">
        <f>IFERROR(M19/N19-1,"n/a")</f>
        <v>84.714285714285708</v>
      </c>
      <c r="R19" s="64">
        <f>IFERROR(M19/O19-1,"n/a")</f>
        <v>0.47783251231527091</v>
      </c>
      <c r="S19" s="60">
        <f>IFERROR(M19/P19-1,"n/a")</f>
        <v>1.3513513513513598E-2</v>
      </c>
      <c r="T19" s="68">
        <v>411</v>
      </c>
      <c r="U19" s="70">
        <v>406</v>
      </c>
      <c r="V19" s="70">
        <v>1205</v>
      </c>
    </row>
    <row r="20" spans="1:38" ht="15">
      <c r="A20" s="9"/>
      <c r="B20" s="12"/>
      <c r="C20" s="33"/>
      <c r="D20" s="26" t="s">
        <v>11</v>
      </c>
      <c r="E20" s="32"/>
      <c r="F20" s="74">
        <v>251675</v>
      </c>
      <c r="G20" s="71">
        <v>5111</v>
      </c>
      <c r="H20" s="71">
        <v>0</v>
      </c>
      <c r="I20" s="74">
        <v>310947</v>
      </c>
      <c r="J20" s="64">
        <f t="shared" si="0"/>
        <v>48.241831344159657</v>
      </c>
      <c r="K20" s="64" t="str">
        <f>IFERROR(F20/H20-1,"n/a")</f>
        <v>n/a</v>
      </c>
      <c r="L20" s="60">
        <f t="shared" si="1"/>
        <v>-0.19061769369056458</v>
      </c>
      <c r="M20" s="68">
        <f>F20+'May-22'!M20</f>
        <v>1353065</v>
      </c>
      <c r="N20" s="68">
        <f>G20+'May-22'!N20</f>
        <v>5111</v>
      </c>
      <c r="O20" s="68">
        <f>H20+'May-22'!O20</f>
        <v>833999</v>
      </c>
      <c r="P20" s="68">
        <f>I20+'May-22'!P20</f>
        <v>2011754</v>
      </c>
      <c r="Q20" s="64">
        <f>IFERROR(M20/N20-1,"n/a")</f>
        <v>263.73586382312658</v>
      </c>
      <c r="R20" s="64">
        <f>IFERROR(M20/O20-1,"n/a")</f>
        <v>0.62238204122546903</v>
      </c>
      <c r="S20" s="60">
        <f>IFERROR(M20/P20-1,"n/a")</f>
        <v>-0.32742025118379281</v>
      </c>
      <c r="T20" s="68">
        <v>687449</v>
      </c>
      <c r="U20" s="70">
        <v>833999</v>
      </c>
      <c r="V20" s="70">
        <v>3859183</v>
      </c>
    </row>
    <row r="21" spans="1:38" ht="15">
      <c r="A21" s="9"/>
      <c r="B21" s="12"/>
      <c r="C21" s="31" t="s">
        <v>16</v>
      </c>
      <c r="D21" s="26"/>
      <c r="E21" s="32"/>
      <c r="F21" s="72"/>
      <c r="G21" s="72"/>
      <c r="H21" s="72"/>
      <c r="I21" s="72"/>
      <c r="J21" s="64"/>
      <c r="K21" s="64"/>
      <c r="L21" s="60"/>
      <c r="M21" s="43"/>
      <c r="N21" s="43"/>
      <c r="O21" s="43"/>
      <c r="P21" s="43"/>
      <c r="Q21" s="64"/>
      <c r="R21" s="64"/>
      <c r="S21" s="60"/>
      <c r="T21" s="43"/>
      <c r="U21" s="44"/>
      <c r="V21" s="44"/>
    </row>
    <row r="22" spans="1:38" ht="15">
      <c r="A22" s="9"/>
      <c r="B22" s="12"/>
      <c r="C22" s="33"/>
      <c r="D22" s="26" t="s">
        <v>5</v>
      </c>
      <c r="E22" s="32"/>
      <c r="F22" s="74">
        <v>40</v>
      </c>
      <c r="G22" s="74">
        <v>5</v>
      </c>
      <c r="H22" s="71">
        <v>0</v>
      </c>
      <c r="I22" s="74">
        <v>40</v>
      </c>
      <c r="J22" s="64">
        <f t="shared" si="0"/>
        <v>7</v>
      </c>
      <c r="K22" s="64" t="str">
        <f>IFERROR(F22/H22-1,"n/a")</f>
        <v>n/a</v>
      </c>
      <c r="L22" s="60">
        <f t="shared" si="1"/>
        <v>0</v>
      </c>
      <c r="M22" s="68">
        <f>F22+'May-22'!M22</f>
        <v>123</v>
      </c>
      <c r="N22" s="68">
        <f>G22+'May-22'!N22</f>
        <v>28</v>
      </c>
      <c r="O22" s="68">
        <f>H22+'May-22'!O22</f>
        <v>9</v>
      </c>
      <c r="P22" s="68">
        <f>I22+'May-22'!P22</f>
        <v>133</v>
      </c>
      <c r="Q22" s="64">
        <f>IFERROR(M22/N22-1,"n/a")</f>
        <v>3.3928571428571432</v>
      </c>
      <c r="R22" s="64">
        <f>IFERROR(M22/O22-1,"n/a")</f>
        <v>12.666666666666666</v>
      </c>
      <c r="S22" s="60">
        <f>IFERROR(M22/P22-1,"n/a")</f>
        <v>-7.5187969924812026E-2</v>
      </c>
      <c r="T22" s="68">
        <v>107</v>
      </c>
      <c r="U22" s="70">
        <v>32</v>
      </c>
      <c r="V22" s="70">
        <v>372</v>
      </c>
    </row>
    <row r="23" spans="1:38" ht="15">
      <c r="A23" s="9"/>
      <c r="B23" s="12"/>
      <c r="C23" s="33"/>
      <c r="D23" s="26" t="s">
        <v>11</v>
      </c>
      <c r="E23" s="32"/>
      <c r="F23" s="74">
        <v>70422</v>
      </c>
      <c r="G23" s="74">
        <v>5859</v>
      </c>
      <c r="H23" s="71">
        <v>0</v>
      </c>
      <c r="I23" s="74">
        <v>102192</v>
      </c>
      <c r="J23" s="64">
        <f t="shared" si="0"/>
        <v>11.019457245263697</v>
      </c>
      <c r="K23" s="64" t="str">
        <f>IFERROR(F23/H23-1,"n/a")</f>
        <v>n/a</v>
      </c>
      <c r="L23" s="60">
        <f t="shared" si="1"/>
        <v>-0.31088539220291211</v>
      </c>
      <c r="M23" s="68">
        <f>F23+'May-22'!M23</f>
        <v>176445</v>
      </c>
      <c r="N23" s="68">
        <f>G23+'May-22'!N23</f>
        <v>31401</v>
      </c>
      <c r="O23" s="68">
        <f>H23+'May-22'!O23</f>
        <v>40221</v>
      </c>
      <c r="P23" s="68">
        <f>I23+'May-22'!P23</f>
        <v>374371</v>
      </c>
      <c r="Q23" s="64">
        <f>IFERROR(M23/N23-1,"n/a")</f>
        <v>4.6190885640584698</v>
      </c>
      <c r="R23" s="64">
        <f>IFERROR(M23/O23-1,"n/a")</f>
        <v>3.3868874468561199</v>
      </c>
      <c r="S23" s="60">
        <f>IFERROR(M23/P23-1,"n/a")</f>
        <v>-0.52868945511270904</v>
      </c>
      <c r="T23" s="68">
        <v>147132</v>
      </c>
      <c r="U23" s="70">
        <v>59180</v>
      </c>
      <c r="V23" s="70">
        <v>902015</v>
      </c>
    </row>
    <row r="24" spans="1:38" ht="15">
      <c r="A24" s="9"/>
      <c r="B24" s="12"/>
      <c r="C24" s="31" t="s">
        <v>17</v>
      </c>
      <c r="D24" s="26"/>
      <c r="E24" s="32"/>
      <c r="F24" s="72"/>
      <c r="G24" s="72"/>
      <c r="H24" s="72"/>
      <c r="I24" s="72"/>
      <c r="J24" s="64"/>
      <c r="K24" s="64"/>
      <c r="L24" s="60"/>
      <c r="M24" s="43"/>
      <c r="N24" s="43"/>
      <c r="O24" s="43"/>
      <c r="P24" s="43"/>
      <c r="Q24" s="64"/>
      <c r="R24" s="64"/>
      <c r="S24" s="60"/>
      <c r="T24" s="43"/>
      <c r="U24" s="44"/>
      <c r="V24" s="44"/>
    </row>
    <row r="25" spans="1:38" ht="15">
      <c r="B25" s="12"/>
      <c r="C25" s="33"/>
      <c r="D25" s="26" t="s">
        <v>5</v>
      </c>
      <c r="E25" s="32"/>
      <c r="F25" s="74">
        <v>80</v>
      </c>
      <c r="G25" s="74">
        <v>10</v>
      </c>
      <c r="H25" s="71">
        <v>0</v>
      </c>
      <c r="I25" s="74">
        <v>46</v>
      </c>
      <c r="J25" s="64">
        <f t="shared" si="0"/>
        <v>7</v>
      </c>
      <c r="K25" s="64" t="str">
        <f>IFERROR(F25/H25-1,"n/a")</f>
        <v>n/a</v>
      </c>
      <c r="L25" s="60">
        <f t="shared" si="1"/>
        <v>0.73913043478260865</v>
      </c>
      <c r="M25" s="68">
        <f>F25+'May-22'!M25</f>
        <v>209</v>
      </c>
      <c r="N25" s="68">
        <f>G25+'May-22'!N25</f>
        <v>24</v>
      </c>
      <c r="O25" s="68">
        <f>H25+'May-22'!O25</f>
        <v>1</v>
      </c>
      <c r="P25" s="68">
        <f>I25+'May-22'!P25</f>
        <v>126</v>
      </c>
      <c r="Q25" s="64">
        <f>IFERROR(M25/N25-1,"n/a")</f>
        <v>7.7083333333333339</v>
      </c>
      <c r="R25" s="64">
        <f>IFERROR(M25/O25-1,"n/a")</f>
        <v>208</v>
      </c>
      <c r="S25" s="60">
        <f>IFERROR(M25/P25-1,"n/a")</f>
        <v>0.65873015873015883</v>
      </c>
      <c r="T25" s="68">
        <v>127</v>
      </c>
      <c r="U25" s="70">
        <v>37</v>
      </c>
      <c r="V25" s="70">
        <f>282+81</f>
        <v>363</v>
      </c>
    </row>
    <row r="26" spans="1:38" ht="15">
      <c r="A26" s="9"/>
      <c r="B26" s="12"/>
      <c r="C26" s="33"/>
      <c r="D26" s="26" t="s">
        <v>11</v>
      </c>
      <c r="E26" s="32"/>
      <c r="F26" s="74">
        <f>77597+19398</f>
        <v>96995</v>
      </c>
      <c r="G26" s="74">
        <v>17608</v>
      </c>
      <c r="H26" s="71">
        <v>2213</v>
      </c>
      <c r="I26" s="74">
        <f>96544+20022</f>
        <v>116566</v>
      </c>
      <c r="J26" s="64">
        <f t="shared" si="0"/>
        <v>4.508575647432985</v>
      </c>
      <c r="K26" s="64">
        <f>IFERROR(F26/H26-1,"n/a")</f>
        <v>42.829643018526887</v>
      </c>
      <c r="L26" s="60">
        <f t="shared" si="1"/>
        <v>-0.1678962990923597</v>
      </c>
      <c r="M26" s="68">
        <f>F26+'May-22'!M26</f>
        <v>220174</v>
      </c>
      <c r="N26" s="68">
        <f>G26+'May-22'!N26</f>
        <v>32652</v>
      </c>
      <c r="O26" s="68">
        <f>H26+'May-22'!O26</f>
        <v>3105</v>
      </c>
      <c r="P26" s="68">
        <f>I26+'May-22'!P26</f>
        <v>311181</v>
      </c>
      <c r="Q26" s="64">
        <f>IFERROR(M26/N26-1,"n/a")</f>
        <v>5.7430478990567195</v>
      </c>
      <c r="R26" s="64">
        <f>IFERROR(M26/O26-1,"n/a")</f>
        <v>69.909500805152973</v>
      </c>
      <c r="S26" s="60">
        <f>IFERROR(M26/P26-1,"n/a")</f>
        <v>-0.29245680166848231</v>
      </c>
      <c r="T26" s="68">
        <v>165083</v>
      </c>
      <c r="U26" s="70">
        <f>20768+8294</f>
        <v>29062</v>
      </c>
      <c r="V26" s="70">
        <f>659951+168729+38484</f>
        <v>867164</v>
      </c>
    </row>
    <row r="27" spans="1:38" ht="15.75" thickBot="1">
      <c r="A27" s="9"/>
      <c r="B27" s="12"/>
      <c r="C27" s="35" t="s">
        <v>12</v>
      </c>
      <c r="D27" s="36"/>
      <c r="E27" s="37"/>
      <c r="F27" s="75">
        <f t="shared" ref="F27:I28" si="2">F10+F13+F16+F19+F22+F25</f>
        <v>328</v>
      </c>
      <c r="G27" s="75">
        <f t="shared" si="2"/>
        <v>26</v>
      </c>
      <c r="H27" s="75">
        <f t="shared" si="2"/>
        <v>0</v>
      </c>
      <c r="I27" s="75">
        <f t="shared" si="2"/>
        <v>280</v>
      </c>
      <c r="J27" s="66">
        <f t="shared" si="0"/>
        <v>11.615384615384615</v>
      </c>
      <c r="K27" s="66" t="str">
        <f>IFERROR(F27/H27-1,"n/a")</f>
        <v>n/a</v>
      </c>
      <c r="L27" s="62">
        <f t="shared" si="1"/>
        <v>0.17142857142857149</v>
      </c>
      <c r="M27" s="46">
        <f t="shared" ref="M27:P28" si="3">M10+M13+M16+M19+M22+M25</f>
        <v>1645</v>
      </c>
      <c r="N27" s="46">
        <f t="shared" si="3"/>
        <v>63</v>
      </c>
      <c r="O27" s="46">
        <f t="shared" si="3"/>
        <v>607</v>
      </c>
      <c r="P27" s="46">
        <f t="shared" si="3"/>
        <v>1522</v>
      </c>
      <c r="Q27" s="66">
        <f>IFERROR(M27/N27-1,"n/a")</f>
        <v>25.111111111111111</v>
      </c>
      <c r="R27" s="66">
        <f>IFERROR(M27/O27-1,"n/a")</f>
        <v>1.7100494233937398</v>
      </c>
      <c r="S27" s="62">
        <f>IFERROR(M27/P27-1,"n/a")</f>
        <v>8.0814717477003972E-2</v>
      </c>
      <c r="T27" s="46">
        <f t="shared" ref="T27:V28" si="4">T10+T13+T16+T19+T22+T25</f>
        <v>1062</v>
      </c>
      <c r="U27" s="46">
        <f t="shared" si="4"/>
        <v>667</v>
      </c>
      <c r="V27" s="46">
        <f t="shared" si="4"/>
        <v>3344</v>
      </c>
    </row>
    <row r="28" spans="1:38" s="22" customFormat="1" ht="16.5" thickTop="1" thickBot="1">
      <c r="A28" s="9"/>
      <c r="B28" s="12"/>
      <c r="C28" s="38" t="s">
        <v>13</v>
      </c>
      <c r="D28" s="39"/>
      <c r="E28" s="40"/>
      <c r="F28" s="76">
        <f t="shared" si="2"/>
        <v>677738</v>
      </c>
      <c r="G28" s="76">
        <f t="shared" si="2"/>
        <v>33501</v>
      </c>
      <c r="H28" s="76">
        <f t="shared" si="2"/>
        <v>2213</v>
      </c>
      <c r="I28" s="76">
        <f t="shared" si="2"/>
        <v>852389</v>
      </c>
      <c r="J28" s="67">
        <f t="shared" si="0"/>
        <v>19.230381182651264</v>
      </c>
      <c r="K28" s="67">
        <f>IFERROR(F28/H28-1,"n/a")</f>
        <v>305.25305015815633</v>
      </c>
      <c r="L28" s="63">
        <f t="shared" si="1"/>
        <v>-0.20489588673715875</v>
      </c>
      <c r="M28" s="47">
        <f t="shared" si="3"/>
        <v>2632808</v>
      </c>
      <c r="N28" s="47">
        <f t="shared" si="3"/>
        <v>74087</v>
      </c>
      <c r="O28" s="47">
        <f t="shared" si="3"/>
        <v>1278404</v>
      </c>
      <c r="P28" s="47">
        <f t="shared" si="3"/>
        <v>4275202</v>
      </c>
      <c r="Q28" s="67">
        <f>IFERROR(M28/N28-1,"n/a")</f>
        <v>34.536706844655605</v>
      </c>
      <c r="R28" s="67">
        <f>IFERROR(M28/O28-1,"n/a")</f>
        <v>1.0594491256285181</v>
      </c>
      <c r="S28" s="63">
        <f>IFERROR(M28/P28-1,"n/a")</f>
        <v>-0.38416757851441874</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t="15" hidden="1">
      <c r="A30" s="9"/>
      <c r="B30" s="9"/>
      <c r="C30" s="9"/>
      <c r="D30" s="9"/>
      <c r="E30" s="9"/>
      <c r="F30" s="9"/>
      <c r="G30" s="41"/>
      <c r="H30" s="41"/>
      <c r="I30" s="41"/>
      <c r="J30" s="41"/>
      <c r="K30" s="9"/>
      <c r="L30" s="9"/>
      <c r="M30" s="9"/>
      <c r="N30" s="9"/>
      <c r="O30" s="9"/>
      <c r="P30" s="9"/>
      <c r="Q30" s="9"/>
      <c r="R30" s="9"/>
      <c r="S30" s="9"/>
      <c r="T30" s="9"/>
      <c r="U30" s="9"/>
      <c r="V30" s="9"/>
    </row>
    <row r="31" spans="1:38" ht="15" hidden="1">
      <c r="A31" s="9"/>
      <c r="B31" s="9"/>
      <c r="C31" s="9"/>
      <c r="D31" s="9"/>
      <c r="E31" s="9"/>
      <c r="F31" s="9"/>
      <c r="G31" s="41"/>
      <c r="H31" s="41"/>
      <c r="I31" s="41"/>
      <c r="J31" s="41"/>
      <c r="K31" s="9"/>
      <c r="L31" s="9"/>
      <c r="M31" s="9"/>
      <c r="N31" s="9"/>
      <c r="O31" s="9"/>
      <c r="P31" s="9"/>
      <c r="Q31" s="9"/>
      <c r="R31" s="9"/>
      <c r="S31" s="9"/>
      <c r="T31" s="9"/>
      <c r="U31" s="9"/>
      <c r="V31" s="9"/>
    </row>
    <row r="32" spans="1:38" ht="15" hidden="1">
      <c r="A32" s="9"/>
      <c r="B32" s="9"/>
      <c r="C32" s="9"/>
      <c r="D32" s="9"/>
      <c r="E32" s="9"/>
      <c r="F32" s="9"/>
      <c r="G32" s="41"/>
      <c r="H32" s="41"/>
      <c r="I32" s="41"/>
      <c r="J32" s="41"/>
      <c r="K32" s="9"/>
      <c r="L32" s="9"/>
      <c r="M32" s="9"/>
      <c r="N32" s="9"/>
      <c r="O32" s="9"/>
      <c r="P32" s="9"/>
      <c r="Q32" s="9"/>
      <c r="R32" s="9"/>
      <c r="S32" s="9"/>
      <c r="T32" s="9"/>
      <c r="U32" s="9"/>
      <c r="V32" s="9"/>
    </row>
    <row r="33" spans="7:10" s="9" customFormat="1" ht="15" hidden="1">
      <c r="G33" s="41"/>
      <c r="H33" s="41"/>
      <c r="I33" s="41"/>
      <c r="J33" s="41"/>
    </row>
    <row r="34" spans="7:10" s="9" customFormat="1" ht="15" hidden="1">
      <c r="G34" s="41"/>
      <c r="H34" s="41"/>
      <c r="I34" s="41"/>
      <c r="J34" s="41"/>
    </row>
    <row r="35" spans="7:10" s="9" customFormat="1" ht="15" hidden="1">
      <c r="G35" s="41"/>
      <c r="H35" s="41"/>
      <c r="I35" s="41"/>
      <c r="J35" s="41"/>
    </row>
    <row r="36" spans="7:10" s="9" customFormat="1" ht="15" hidden="1">
      <c r="G36" s="41"/>
      <c r="H36" s="41"/>
      <c r="I36" s="41"/>
      <c r="J36" s="41"/>
    </row>
    <row r="37" spans="7:10" s="9" customFormat="1" ht="15" hidden="1">
      <c r="G37" s="41"/>
      <c r="H37" s="41"/>
      <c r="I37" s="41"/>
      <c r="J37" s="41"/>
    </row>
    <row r="38" spans="7:10" s="9" customFormat="1" ht="15" hidden="1">
      <c r="G38" s="41"/>
      <c r="H38" s="41"/>
      <c r="I38" s="41"/>
      <c r="J38" s="41"/>
    </row>
    <row r="39" spans="7:10" s="9" customFormat="1" ht="15" hidden="1">
      <c r="G39" s="41"/>
      <c r="H39" s="41"/>
      <c r="I39" s="41"/>
      <c r="J39" s="41"/>
    </row>
    <row r="40" spans="7:10" s="9" customFormat="1" ht="15" hidden="1">
      <c r="G40" s="41"/>
      <c r="H40" s="41"/>
      <c r="I40" s="41"/>
      <c r="J40" s="41"/>
    </row>
    <row r="41" spans="7:10" s="9" customFormat="1" ht="15" hidden="1">
      <c r="G41" s="41"/>
      <c r="H41" s="41"/>
      <c r="I41" s="41"/>
      <c r="J41" s="41"/>
    </row>
    <row r="42" spans="7:10" s="9" customFormat="1" ht="15" hidden="1">
      <c r="G42" s="41"/>
      <c r="H42" s="41"/>
      <c r="I42" s="41"/>
      <c r="J42" s="41"/>
    </row>
    <row r="43" spans="7:10" s="9" customFormat="1" ht="15" hidden="1">
      <c r="G43" s="41"/>
      <c r="H43" s="41"/>
      <c r="I43" s="41"/>
      <c r="J43" s="41"/>
    </row>
    <row r="44" spans="7:10" s="9" customFormat="1" ht="15" hidden="1">
      <c r="G44" s="41"/>
      <c r="H44" s="41"/>
      <c r="I44" s="41"/>
      <c r="J44" s="41"/>
    </row>
    <row r="45" spans="7:10" s="9" customFormat="1" ht="15" hidden="1">
      <c r="G45" s="41"/>
      <c r="H45" s="41"/>
      <c r="I45" s="41"/>
      <c r="J45" s="41"/>
    </row>
    <row r="46" spans="7:10" s="9" customFormat="1" ht="15" hidden="1">
      <c r="G46" s="41"/>
      <c r="H46" s="41"/>
      <c r="I46" s="41"/>
      <c r="J46" s="41"/>
    </row>
    <row r="47" spans="7:10" s="9" customFormat="1" ht="15" hidden="1">
      <c r="G47" s="41"/>
      <c r="H47" s="41"/>
      <c r="I47" s="41"/>
      <c r="J47" s="41"/>
    </row>
    <row r="48" spans="7:10" s="9" customFormat="1" ht="15" hidden="1"/>
  </sheetData>
  <customSheetViews>
    <customSheetView guid="{5F6D01E3-9E6F-4D7F-980F-63899AF95899}" scale="85" showGridLines="0" fitToPage="1" hiddenRows="1" hiddenColumns="1" topLeftCell="A4">
      <selection activeCell="F16" sqref="F16"/>
      <pageMargins left="0.7" right="0.7" top="0.75" bottom="0.75" header="0.3" footer="0.3"/>
      <pageSetup paperSize="9" scale="85" orientation="landscape" horizontalDpi="4294967293" verticalDpi="4294967293" r:id="rId1"/>
    </customSheetView>
  </customSheetViews>
  <mergeCells count="3">
    <mergeCell ref="F6:L6"/>
    <mergeCell ref="M6:S6"/>
    <mergeCell ref="T6:V6"/>
  </mergeCells>
  <pageMargins left="0.7" right="0.7" top="0.75" bottom="0.75" header="0.3" footer="0.3"/>
  <pageSetup paperSize="9" scale="85" orientation="landscape" horizontalDpi="4294967293" verticalDpi="4294967293"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AL48"/>
  <sheetViews>
    <sheetView showGridLines="0" zoomScaleNormal="100" workbookViewId="0"/>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2.140625"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48</v>
      </c>
      <c r="F4" s="24"/>
      <c r="G4" s="24"/>
      <c r="H4" s="24"/>
      <c r="I4" s="24"/>
      <c r="J4" s="24"/>
      <c r="K4" s="24"/>
      <c r="L4" s="24"/>
      <c r="M4" s="24"/>
      <c r="N4" s="24"/>
      <c r="O4" s="24"/>
      <c r="P4" s="24"/>
      <c r="Q4" s="24"/>
      <c r="R4" s="24"/>
      <c r="S4" s="24"/>
      <c r="T4" s="24"/>
      <c r="U4" s="24"/>
      <c r="V4" s="24"/>
    </row>
    <row r="5" spans="1:38">
      <c r="A5" s="9"/>
      <c r="B5" s="10"/>
      <c r="C5" s="24"/>
      <c r="D5" s="24"/>
      <c r="E5" s="24"/>
      <c r="F5" s="24"/>
      <c r="G5" s="24"/>
      <c r="H5" s="24"/>
      <c r="I5" s="24"/>
      <c r="J5" s="24"/>
      <c r="K5" s="24"/>
      <c r="L5" s="24"/>
      <c r="M5" s="24"/>
      <c r="N5" s="24"/>
      <c r="O5" s="24"/>
      <c r="P5" s="24"/>
      <c r="Q5" s="24"/>
      <c r="R5" s="24"/>
      <c r="S5" s="24"/>
      <c r="T5" s="24"/>
      <c r="U5" s="24"/>
      <c r="V5" s="24"/>
    </row>
    <row r="6" spans="1:38" s="20" customFormat="1">
      <c r="A6" s="9"/>
      <c r="B6"/>
      <c r="C6" s="27" t="s">
        <v>7</v>
      </c>
      <c r="D6" s="28"/>
      <c r="E6" s="28"/>
      <c r="F6" s="170" t="s">
        <v>47</v>
      </c>
      <c r="G6" s="170"/>
      <c r="H6" s="170"/>
      <c r="I6" s="170"/>
      <c r="J6" s="170"/>
      <c r="K6" s="170"/>
      <c r="L6" s="171"/>
      <c r="M6" s="169" t="s">
        <v>49</v>
      </c>
      <c r="N6" s="170"/>
      <c r="O6" s="170"/>
      <c r="P6" s="170"/>
      <c r="Q6" s="170"/>
      <c r="R6" s="170"/>
      <c r="S6" s="171"/>
      <c r="T6" s="169" t="s">
        <v>9</v>
      </c>
      <c r="U6" s="170"/>
      <c r="V6" s="170"/>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c r="A9" s="9"/>
      <c r="B9" s="12"/>
      <c r="C9" s="31" t="s">
        <v>14</v>
      </c>
      <c r="D9" s="26"/>
      <c r="E9" s="32"/>
      <c r="F9" s="26"/>
      <c r="G9" s="26"/>
      <c r="H9" s="26"/>
      <c r="I9" s="26"/>
      <c r="J9" s="26"/>
      <c r="K9" s="26"/>
      <c r="L9" s="32"/>
      <c r="M9" s="26"/>
      <c r="N9" s="26"/>
      <c r="O9" s="26"/>
      <c r="P9" s="26"/>
      <c r="Q9" s="26"/>
      <c r="R9" s="26"/>
      <c r="S9" s="32"/>
      <c r="T9" s="26"/>
      <c r="U9" s="26"/>
      <c r="V9" s="26"/>
    </row>
    <row r="10" spans="1:38">
      <c r="A10" s="9"/>
      <c r="B10" s="12"/>
      <c r="C10" s="33"/>
      <c r="D10" s="26" t="s">
        <v>5</v>
      </c>
      <c r="E10" s="32"/>
      <c r="F10" s="68">
        <v>3</v>
      </c>
      <c r="G10" s="68">
        <v>0</v>
      </c>
      <c r="H10" s="68">
        <v>0</v>
      </c>
      <c r="I10" s="68">
        <v>8</v>
      </c>
      <c r="J10" s="64" t="str">
        <f t="shared" ref="J10:J28" si="0">IFERROR(F10/G10-1,"n/a")</f>
        <v>n/a</v>
      </c>
      <c r="K10" s="64" t="str">
        <f>IFERROR(F10/H10-1,"n/a")</f>
        <v>n/a</v>
      </c>
      <c r="L10" s="60">
        <f>IFERROR(F10/I10-1,"n/a")</f>
        <v>-0.625</v>
      </c>
      <c r="M10" s="68">
        <f>F10+'Apr-22'!M10</f>
        <v>225</v>
      </c>
      <c r="N10" s="68">
        <f>G10+'Apr-22'!N10</f>
        <v>0</v>
      </c>
      <c r="O10" s="68">
        <f>H10+'Apr-22'!O10</f>
        <v>145</v>
      </c>
      <c r="P10" s="68">
        <f>I10+'Apr-22'!P10</f>
        <v>235</v>
      </c>
      <c r="Q10" s="64" t="str">
        <f>IFERROR(M10/N10-1,"n/a")</f>
        <v>n/a</v>
      </c>
      <c r="R10" s="64">
        <f>IFERROR(M10/O10-1,"n/a")</f>
        <v>0.55172413793103448</v>
      </c>
      <c r="S10" s="60">
        <f>IFERROR(M10/P10-1,"n/a")</f>
        <v>-4.2553191489361653E-2</v>
      </c>
      <c r="T10" s="68">
        <v>111</v>
      </c>
      <c r="U10" s="70">
        <v>145</v>
      </c>
      <c r="V10" s="70">
        <v>386</v>
      </c>
    </row>
    <row r="11" spans="1:38">
      <c r="A11" s="9"/>
      <c r="B11" s="12"/>
      <c r="C11" s="33"/>
      <c r="D11" s="26" t="s">
        <v>11</v>
      </c>
      <c r="E11" s="32"/>
      <c r="F11" s="68">
        <v>3881</v>
      </c>
      <c r="G11" s="68">
        <v>0</v>
      </c>
      <c r="H11" s="68">
        <v>0</v>
      </c>
      <c r="I11" s="68">
        <v>15340</v>
      </c>
      <c r="J11" s="64" t="str">
        <f t="shared" si="0"/>
        <v>n/a</v>
      </c>
      <c r="K11" s="64" t="str">
        <f>IFERROR(F11/H11-1,"n/a")</f>
        <v>n/a</v>
      </c>
      <c r="L11" s="60">
        <f>IFERROR(F11/I11-1,"n/a")</f>
        <v>-0.74700130378096485</v>
      </c>
      <c r="M11" s="68">
        <f>F11+'Apr-22'!M11</f>
        <v>191024</v>
      </c>
      <c r="N11" s="68">
        <f>G11+'Apr-22'!N11</f>
        <v>0</v>
      </c>
      <c r="O11" s="68">
        <f>H11+'Apr-22'!O11</f>
        <v>258885</v>
      </c>
      <c r="P11" s="68">
        <f>I11+'Apr-22'!P11</f>
        <v>447395</v>
      </c>
      <c r="Q11" s="64" t="str">
        <f>IFERROR(M11/N11-1,"n/a")</f>
        <v>n/a</v>
      </c>
      <c r="R11" s="64">
        <f>IFERROR(M11/O11-1,"n/a")</f>
        <v>-0.26212797187940595</v>
      </c>
      <c r="S11" s="60">
        <f>IFERROR(M11/P11-1,"n/a")</f>
        <v>-0.57303054347947557</v>
      </c>
      <c r="T11" s="68">
        <v>80863</v>
      </c>
      <c r="U11" s="70">
        <v>258885</v>
      </c>
      <c r="V11" s="70">
        <v>733296</v>
      </c>
    </row>
    <row r="12" spans="1:38">
      <c r="A12" s="9"/>
      <c r="B12" s="12"/>
      <c r="C12" s="31" t="s">
        <v>74</v>
      </c>
      <c r="D12" s="26"/>
      <c r="E12" s="32"/>
      <c r="F12" s="45"/>
      <c r="G12" s="45"/>
      <c r="H12" s="45"/>
      <c r="I12" s="45"/>
      <c r="J12" s="64"/>
      <c r="K12" s="64"/>
      <c r="L12" s="61"/>
      <c r="M12" s="43"/>
      <c r="N12" s="43"/>
      <c r="O12" s="43"/>
      <c r="P12" s="43"/>
      <c r="Q12" s="64"/>
      <c r="R12" s="65"/>
      <c r="S12" s="61"/>
      <c r="T12" s="43"/>
      <c r="U12" s="44"/>
      <c r="V12" s="44"/>
    </row>
    <row r="13" spans="1:38">
      <c r="A13" s="9"/>
      <c r="B13" s="12"/>
      <c r="C13" s="33"/>
      <c r="D13" s="26" t="s">
        <v>5</v>
      </c>
      <c r="E13" s="32"/>
      <c r="F13" s="68">
        <v>103</v>
      </c>
      <c r="G13" s="68">
        <v>0</v>
      </c>
      <c r="H13" s="68">
        <v>0</v>
      </c>
      <c r="I13" s="68">
        <v>113</v>
      </c>
      <c r="J13" s="64" t="str">
        <f t="shared" si="0"/>
        <v>n/a</v>
      </c>
      <c r="K13" s="64" t="str">
        <f>IFERROR(F13/H13-1,"n/a")</f>
        <v>n/a</v>
      </c>
      <c r="L13" s="60">
        <f>IFERROR(F13/I13-1,"n/a")</f>
        <v>-8.8495575221238965E-2</v>
      </c>
      <c r="M13" s="68">
        <f>F13+'Apr-22'!M13</f>
        <v>252</v>
      </c>
      <c r="N13" s="68">
        <f>G13+'Apr-22'!N13</f>
        <v>0</v>
      </c>
      <c r="O13" s="68">
        <f>H13+'Apr-22'!O13</f>
        <v>43</v>
      </c>
      <c r="P13" s="68">
        <f>I13+'Apr-22'!P13</f>
        <v>292</v>
      </c>
      <c r="Q13" s="64" t="str">
        <f>IFERROR(M13/N13-1,"n/a")</f>
        <v>n/a</v>
      </c>
      <c r="R13" s="64">
        <f>IFERROR(M13/O13-1,"n/a")</f>
        <v>4.8604651162790695</v>
      </c>
      <c r="S13" s="60">
        <f>IFERROR(M13/P13-1,"n/a")</f>
        <v>-0.13698630136986301</v>
      </c>
      <c r="T13" s="68">
        <v>283</v>
      </c>
      <c r="U13" s="70">
        <v>43</v>
      </c>
      <c r="V13" s="70">
        <v>827</v>
      </c>
    </row>
    <row r="14" spans="1:38">
      <c r="A14" s="9"/>
      <c r="B14" s="12"/>
      <c r="C14" s="33"/>
      <c r="D14" s="26" t="s">
        <v>11</v>
      </c>
      <c r="E14" s="32"/>
      <c r="F14" s="68">
        <v>168018</v>
      </c>
      <c r="G14" s="68">
        <v>0</v>
      </c>
      <c r="H14" s="68">
        <v>0</v>
      </c>
      <c r="I14" s="68">
        <v>300445</v>
      </c>
      <c r="J14" s="64" t="str">
        <f t="shared" si="0"/>
        <v>n/a</v>
      </c>
      <c r="K14" s="64" t="str">
        <f>IFERROR(F14/H14-1,"n/a")</f>
        <v>n/a</v>
      </c>
      <c r="L14" s="60">
        <f>IFERROR(F14/I14-1,"n/a")</f>
        <v>-0.44076952520428037</v>
      </c>
      <c r="M14" s="68">
        <f>F14+'Apr-22'!M14</f>
        <v>351364</v>
      </c>
      <c r="N14" s="68">
        <f>G14+'Apr-22'!N14</f>
        <v>0</v>
      </c>
      <c r="O14" s="68">
        <f>H14+'Apr-22'!O14</f>
        <v>140552</v>
      </c>
      <c r="P14" s="68">
        <f>I14+'Apr-22'!P14</f>
        <v>765085</v>
      </c>
      <c r="Q14" s="64" t="str">
        <f>IFERROR(M14/N14-1,"n/a")</f>
        <v>n/a</v>
      </c>
      <c r="R14" s="64">
        <f>IFERROR(M14/O14-1,"n/a")</f>
        <v>1.4998861631282372</v>
      </c>
      <c r="S14" s="60">
        <f>IFERROR(M14/P14-1,"n/a")</f>
        <v>-0.54075168118575068</v>
      </c>
      <c r="T14" s="68">
        <v>465109</v>
      </c>
      <c r="U14" s="70">
        <v>140552</v>
      </c>
      <c r="V14" s="70">
        <v>2552942</v>
      </c>
    </row>
    <row r="15" spans="1:38">
      <c r="A15" s="9"/>
      <c r="B15" s="12"/>
      <c r="C15" s="31" t="s">
        <v>15</v>
      </c>
      <c r="D15" s="26"/>
      <c r="E15" s="32"/>
      <c r="F15" s="43"/>
      <c r="G15" s="43"/>
      <c r="H15" s="43"/>
      <c r="I15" s="43"/>
      <c r="J15" s="64"/>
      <c r="K15" s="64"/>
      <c r="L15" s="60"/>
      <c r="M15" s="43"/>
      <c r="N15" s="43"/>
      <c r="O15" s="43"/>
      <c r="P15" s="43"/>
      <c r="Q15" s="64"/>
      <c r="R15" s="64"/>
      <c r="S15" s="60"/>
      <c r="T15" s="43"/>
      <c r="U15" s="44"/>
      <c r="V15" s="44"/>
    </row>
    <row r="16" spans="1:38">
      <c r="A16" s="9"/>
      <c r="B16" s="12"/>
      <c r="C16" s="33"/>
      <c r="D16" s="26" t="s">
        <v>5</v>
      </c>
      <c r="E16" s="32"/>
      <c r="F16" s="68">
        <v>68</v>
      </c>
      <c r="G16" s="68">
        <v>0</v>
      </c>
      <c r="H16" s="68">
        <v>0</v>
      </c>
      <c r="I16" s="68">
        <v>23</v>
      </c>
      <c r="J16" s="64" t="str">
        <f t="shared" si="0"/>
        <v>n/a</v>
      </c>
      <c r="K16" s="64" t="str">
        <f>IFERROR(F16/H16-1,"n/a")</f>
        <v>n/a</v>
      </c>
      <c r="L16" s="60">
        <f>IFERROR(F16/I16-1,"n/a")</f>
        <v>1.9565217391304346</v>
      </c>
      <c r="M16" s="68">
        <f>F16+'Apr-22'!M16</f>
        <v>104</v>
      </c>
      <c r="N16" s="68">
        <f>G16+'Apr-22'!N16</f>
        <v>0</v>
      </c>
      <c r="O16" s="68">
        <f>H16+'Apr-22'!O16</f>
        <v>3</v>
      </c>
      <c r="P16" s="68">
        <f>I16+'Apr-22'!P16</f>
        <v>42</v>
      </c>
      <c r="Q16" s="64" t="str">
        <f>IFERROR(M16/N16-1,"n/a")</f>
        <v>n/a</v>
      </c>
      <c r="R16" s="64">
        <f>IFERROR(M16/O16-1,"n/a")</f>
        <v>33.666666666666664</v>
      </c>
      <c r="S16" s="60">
        <f>IFERROR(M16/P16-1,"n/a")</f>
        <v>1.4761904761904763</v>
      </c>
      <c r="T16" s="68">
        <v>23</v>
      </c>
      <c r="U16" s="70">
        <v>4</v>
      </c>
      <c r="V16" s="70">
        <v>191</v>
      </c>
    </row>
    <row r="17" spans="1:38">
      <c r="A17" s="9"/>
      <c r="B17" s="12"/>
      <c r="C17" s="33"/>
      <c r="D17" s="26" t="s">
        <v>11</v>
      </c>
      <c r="E17" s="32"/>
      <c r="F17" s="68">
        <v>59794</v>
      </c>
      <c r="G17" s="68">
        <v>0</v>
      </c>
      <c r="H17" s="68">
        <v>0</v>
      </c>
      <c r="I17" s="68">
        <v>23341</v>
      </c>
      <c r="J17" s="64" t="str">
        <f t="shared" si="0"/>
        <v>n/a</v>
      </c>
      <c r="K17" s="64" t="str">
        <f>IFERROR(F17/H17-1,"n/a")</f>
        <v>n/a</v>
      </c>
      <c r="L17" s="60">
        <f t="shared" ref="L17:L28" si="1">IFERROR(F17/I17-1,"n/a")</f>
        <v>1.5617582794224756</v>
      </c>
      <c r="M17" s="68">
        <f>F17+'Apr-22'!M17</f>
        <v>82090</v>
      </c>
      <c r="N17" s="68">
        <f>G17+'Apr-22'!N17</f>
        <v>0</v>
      </c>
      <c r="O17" s="68">
        <f>H17+'Apr-22'!O17</f>
        <v>1642</v>
      </c>
      <c r="P17" s="68">
        <f>I17+'Apr-22'!P17</f>
        <v>42732</v>
      </c>
      <c r="Q17" s="64" t="str">
        <f>IFERROR(M17/N17-1,"n/a")</f>
        <v>n/a</v>
      </c>
      <c r="R17" s="64">
        <f>IFERROR(M17/O17-1,"n/a")</f>
        <v>48.993909866017056</v>
      </c>
      <c r="S17" s="60">
        <f>IFERROR(M17/P17-1,"n/a")</f>
        <v>0.92104277824581104</v>
      </c>
      <c r="T17" s="68">
        <v>8611</v>
      </c>
      <c r="U17" s="70">
        <v>1753</v>
      </c>
      <c r="V17" s="70">
        <v>254421</v>
      </c>
    </row>
    <row r="18" spans="1:38">
      <c r="A18" s="9"/>
      <c r="B18" s="12"/>
      <c r="C18" s="31" t="s">
        <v>10</v>
      </c>
      <c r="D18" s="26"/>
      <c r="E18" s="34"/>
      <c r="F18" s="43"/>
      <c r="G18" s="43"/>
      <c r="H18" s="43"/>
      <c r="I18" s="43"/>
      <c r="J18" s="64"/>
      <c r="K18" s="64"/>
      <c r="L18" s="60"/>
      <c r="M18" s="43"/>
      <c r="N18" s="43"/>
      <c r="O18" s="43"/>
      <c r="P18" s="43"/>
      <c r="Q18" s="64"/>
      <c r="R18" s="64"/>
      <c r="S18" s="60"/>
      <c r="T18" s="43"/>
      <c r="U18" s="44"/>
      <c r="V18" s="44"/>
    </row>
    <row r="19" spans="1:38">
      <c r="A19" s="9"/>
      <c r="B19" s="12"/>
      <c r="C19" s="33"/>
      <c r="D19" s="26" t="s">
        <v>5</v>
      </c>
      <c r="E19" s="34"/>
      <c r="F19" s="68">
        <v>80</v>
      </c>
      <c r="G19" s="68">
        <v>0</v>
      </c>
      <c r="H19" s="68">
        <v>0</v>
      </c>
      <c r="I19" s="68">
        <v>82</v>
      </c>
      <c r="J19" s="64" t="str">
        <f t="shared" si="0"/>
        <v>n/a</v>
      </c>
      <c r="K19" s="64" t="str">
        <f>IFERROR(F19/H19-1,"n/a")</f>
        <v>n/a</v>
      </c>
      <c r="L19" s="60">
        <f t="shared" si="1"/>
        <v>-2.4390243902439046E-2</v>
      </c>
      <c r="M19" s="68">
        <f>F19+'Apr-22'!M19</f>
        <v>524</v>
      </c>
      <c r="N19" s="68">
        <f>G19+'Apr-22'!N19</f>
        <v>0</v>
      </c>
      <c r="O19" s="68">
        <f>H19+'Apr-22'!O19</f>
        <v>406</v>
      </c>
      <c r="P19" s="68">
        <f>I19+'Apr-22'!P19</f>
        <v>500</v>
      </c>
      <c r="Q19" s="64" t="str">
        <f>IFERROR(M19/N19-1,"n/a")</f>
        <v>n/a</v>
      </c>
      <c r="R19" s="64">
        <f>IFERROR(M19/O19-1,"n/a")</f>
        <v>0.29064039408866993</v>
      </c>
      <c r="S19" s="60">
        <f>IFERROR(M19/P19-1,"n/a")</f>
        <v>4.8000000000000043E-2</v>
      </c>
      <c r="T19" s="68">
        <v>411</v>
      </c>
      <c r="U19" s="70">
        <v>406</v>
      </c>
      <c r="V19" s="70">
        <v>1205</v>
      </c>
    </row>
    <row r="20" spans="1:38">
      <c r="A20" s="9"/>
      <c r="B20" s="12"/>
      <c r="C20" s="33"/>
      <c r="D20" s="26" t="s">
        <v>11</v>
      </c>
      <c r="E20" s="32"/>
      <c r="F20" s="68">
        <v>231087</v>
      </c>
      <c r="G20" s="68">
        <v>0</v>
      </c>
      <c r="H20" s="68">
        <v>0</v>
      </c>
      <c r="I20" s="68">
        <v>287713</v>
      </c>
      <c r="J20" s="64" t="str">
        <f t="shared" si="0"/>
        <v>n/a</v>
      </c>
      <c r="K20" s="64" t="str">
        <f>IFERROR(F20/H20-1,"n/a")</f>
        <v>n/a</v>
      </c>
      <c r="L20" s="60">
        <f t="shared" si="1"/>
        <v>-0.19681418635932335</v>
      </c>
      <c r="M20" s="68">
        <f>F20+'Apr-22'!M20</f>
        <v>1101390</v>
      </c>
      <c r="N20" s="68">
        <f>G20+'Apr-22'!N20</f>
        <v>0</v>
      </c>
      <c r="O20" s="68">
        <f>H20+'Apr-22'!O20</f>
        <v>833999</v>
      </c>
      <c r="P20" s="68">
        <f>I20+'Apr-22'!P20</f>
        <v>1700807</v>
      </c>
      <c r="Q20" s="64" t="str">
        <f>IFERROR(M20/N20-1,"n/a")</f>
        <v>n/a</v>
      </c>
      <c r="R20" s="64">
        <f>IFERROR(M20/O20-1,"n/a")</f>
        <v>0.32061309426030493</v>
      </c>
      <c r="S20" s="60">
        <f>IFERROR(M20/P20-1,"n/a")</f>
        <v>-0.35243093425650296</v>
      </c>
      <c r="T20" s="68">
        <v>687449</v>
      </c>
      <c r="U20" s="70">
        <v>833999</v>
      </c>
      <c r="V20" s="70">
        <v>3859183</v>
      </c>
    </row>
    <row r="21" spans="1:38">
      <c r="A21" s="9"/>
      <c r="B21" s="12"/>
      <c r="C21" s="31" t="s">
        <v>16</v>
      </c>
      <c r="D21" s="26"/>
      <c r="E21" s="32"/>
      <c r="F21" s="43"/>
      <c r="G21" s="43"/>
      <c r="H21" s="43"/>
      <c r="I21" s="43"/>
      <c r="J21" s="64"/>
      <c r="K21" s="64"/>
      <c r="L21" s="60"/>
      <c r="M21" s="43"/>
      <c r="N21" s="43"/>
      <c r="O21" s="43"/>
      <c r="P21" s="43"/>
      <c r="Q21" s="64"/>
      <c r="R21" s="64"/>
      <c r="S21" s="60"/>
      <c r="T21" s="43"/>
      <c r="U21" s="44"/>
      <c r="V21" s="44"/>
    </row>
    <row r="22" spans="1:38">
      <c r="A22" s="9"/>
      <c r="B22" s="12"/>
      <c r="C22" s="33"/>
      <c r="D22" s="26" t="s">
        <v>5</v>
      </c>
      <c r="E22" s="32"/>
      <c r="F22" s="68">
        <v>38</v>
      </c>
      <c r="G22" s="68">
        <v>9</v>
      </c>
      <c r="H22" s="68">
        <v>0</v>
      </c>
      <c r="I22" s="68">
        <v>44</v>
      </c>
      <c r="J22" s="64">
        <f t="shared" si="0"/>
        <v>3.2222222222222223</v>
      </c>
      <c r="K22" s="64" t="str">
        <f>IFERROR(F22/H22-1,"n/a")</f>
        <v>n/a</v>
      </c>
      <c r="L22" s="60">
        <f t="shared" si="1"/>
        <v>-0.13636363636363635</v>
      </c>
      <c r="M22" s="68">
        <f>F22+'Apr-22'!M22</f>
        <v>83</v>
      </c>
      <c r="N22" s="68">
        <f>G22+'Apr-22'!N22</f>
        <v>23</v>
      </c>
      <c r="O22" s="68">
        <f>H22+'Apr-22'!O22</f>
        <v>9</v>
      </c>
      <c r="P22" s="68">
        <f>I22+'Apr-22'!P22</f>
        <v>93</v>
      </c>
      <c r="Q22" s="64">
        <f>IFERROR(M22/N22-1,"n/a")</f>
        <v>2.6086956521739131</v>
      </c>
      <c r="R22" s="64">
        <f>IFERROR(M22/O22-1,"n/a")</f>
        <v>8.2222222222222214</v>
      </c>
      <c r="S22" s="60">
        <f>IFERROR(M22/P22-1,"n/a")</f>
        <v>-0.10752688172043012</v>
      </c>
      <c r="T22" s="68">
        <v>107</v>
      </c>
      <c r="U22" s="70">
        <v>32</v>
      </c>
      <c r="V22" s="70">
        <v>372</v>
      </c>
    </row>
    <row r="23" spans="1:38">
      <c r="A23" s="9"/>
      <c r="B23" s="12"/>
      <c r="C23" s="33"/>
      <c r="D23" s="26" t="s">
        <v>11</v>
      </c>
      <c r="E23" s="32"/>
      <c r="F23" s="68">
        <v>48885</v>
      </c>
      <c r="G23" s="68">
        <v>11576</v>
      </c>
      <c r="H23" s="68">
        <v>0</v>
      </c>
      <c r="I23" s="68">
        <v>102078</v>
      </c>
      <c r="J23" s="64">
        <f t="shared" si="0"/>
        <v>3.2229612992398069</v>
      </c>
      <c r="K23" s="64" t="str">
        <f>IFERROR(F23/H23-1,"n/a")</f>
        <v>n/a</v>
      </c>
      <c r="L23" s="60">
        <f t="shared" si="1"/>
        <v>-0.52110151060953391</v>
      </c>
      <c r="M23" s="68">
        <f>F23+'Apr-22'!M23</f>
        <v>106023</v>
      </c>
      <c r="N23" s="68">
        <f>G23+'Apr-22'!N23</f>
        <v>25542</v>
      </c>
      <c r="O23" s="68">
        <f>H23+'Apr-22'!O23</f>
        <v>40221</v>
      </c>
      <c r="P23" s="68">
        <f>I23+'Apr-22'!P23</f>
        <v>272179</v>
      </c>
      <c r="Q23" s="64">
        <f>IFERROR(M23/N23-1,"n/a")</f>
        <v>3.1509278834860233</v>
      </c>
      <c r="R23" s="64">
        <f>IFERROR(M23/O23-1,"n/a")</f>
        <v>1.6360110390094729</v>
      </c>
      <c r="S23" s="60">
        <f>IFERROR(M23/P23-1,"n/a")</f>
        <v>-0.61046590662762368</v>
      </c>
      <c r="T23" s="68">
        <v>147132</v>
      </c>
      <c r="U23" s="70">
        <v>59180</v>
      </c>
      <c r="V23" s="70">
        <v>902015</v>
      </c>
    </row>
    <row r="24" spans="1:38">
      <c r="A24" s="9"/>
      <c r="B24" s="12"/>
      <c r="C24" s="31" t="s">
        <v>17</v>
      </c>
      <c r="D24" s="26"/>
      <c r="E24" s="32"/>
      <c r="F24" s="43"/>
      <c r="G24" s="43"/>
      <c r="H24" s="43"/>
      <c r="I24" s="43"/>
      <c r="J24" s="64"/>
      <c r="K24" s="64"/>
      <c r="L24" s="60"/>
      <c r="M24" s="43"/>
      <c r="N24" s="43"/>
      <c r="O24" s="43"/>
      <c r="P24" s="43"/>
      <c r="Q24" s="64"/>
      <c r="R24" s="64"/>
      <c r="S24" s="60"/>
      <c r="T24" s="43"/>
      <c r="U24" s="44"/>
      <c r="V24" s="44"/>
    </row>
    <row r="25" spans="1:38">
      <c r="B25" s="12"/>
      <c r="C25" s="33"/>
      <c r="D25" s="26" t="s">
        <v>5</v>
      </c>
      <c r="E25" s="32"/>
      <c r="F25" s="68">
        <v>62</v>
      </c>
      <c r="G25" s="68">
        <v>9</v>
      </c>
      <c r="H25" s="68">
        <v>0</v>
      </c>
      <c r="I25" s="68">
        <v>45</v>
      </c>
      <c r="J25" s="64">
        <f t="shared" si="0"/>
        <v>5.8888888888888893</v>
      </c>
      <c r="K25" s="64" t="str">
        <f>IFERROR(F25/H25-1,"n/a")</f>
        <v>n/a</v>
      </c>
      <c r="L25" s="60">
        <f t="shared" si="1"/>
        <v>0.37777777777777777</v>
      </c>
      <c r="M25" s="68">
        <f>F25+'Apr-22'!M25</f>
        <v>129</v>
      </c>
      <c r="N25" s="68">
        <f>G25+'Apr-22'!N25</f>
        <v>14</v>
      </c>
      <c r="O25" s="68">
        <f>H25+'Apr-22'!O25</f>
        <v>1</v>
      </c>
      <c r="P25" s="68">
        <f>I25+'Apr-22'!P25</f>
        <v>80</v>
      </c>
      <c r="Q25" s="64">
        <f>IFERROR(M25/N25-1,"n/a")</f>
        <v>8.2142857142857135</v>
      </c>
      <c r="R25" s="64">
        <f>IFERROR(M25/O25-1,"n/a")</f>
        <v>128</v>
      </c>
      <c r="S25" s="60">
        <f>IFERROR(M25/P25-1,"n/a")</f>
        <v>0.61250000000000004</v>
      </c>
      <c r="T25" s="68">
        <v>127</v>
      </c>
      <c r="U25" s="70">
        <v>37</v>
      </c>
      <c r="V25" s="70">
        <f>282+81</f>
        <v>363</v>
      </c>
    </row>
    <row r="26" spans="1:38">
      <c r="A26" s="9"/>
      <c r="B26" s="12"/>
      <c r="C26" s="33"/>
      <c r="D26" s="26" t="s">
        <v>11</v>
      </c>
      <c r="E26" s="32"/>
      <c r="F26" s="68">
        <f>56524+11398</f>
        <v>67922</v>
      </c>
      <c r="G26" s="68">
        <v>12905</v>
      </c>
      <c r="H26" s="68">
        <v>0</v>
      </c>
      <c r="I26" s="68">
        <v>112132</v>
      </c>
      <c r="J26" s="64">
        <f t="shared" si="0"/>
        <v>4.2632313056954665</v>
      </c>
      <c r="K26" s="64" t="str">
        <f>IFERROR(F26/H26-1,"n/a")</f>
        <v>n/a</v>
      </c>
      <c r="L26" s="60">
        <f t="shared" si="1"/>
        <v>-0.39426747048121857</v>
      </c>
      <c r="M26" s="68">
        <f>F26+'Apr-22'!M26</f>
        <v>123179</v>
      </c>
      <c r="N26" s="68">
        <f>G26+'Apr-22'!N26</f>
        <v>15044</v>
      </c>
      <c r="O26" s="68">
        <f>H26+'Apr-22'!O26</f>
        <v>892</v>
      </c>
      <c r="P26" s="68">
        <f>I26+'Apr-22'!P26</f>
        <v>194615</v>
      </c>
      <c r="Q26" s="64">
        <f>IFERROR(M26/N26-1,"n/a")</f>
        <v>7.1879154480191438</v>
      </c>
      <c r="R26" s="64">
        <f>IFERROR(M26/O26-1,"n/a")</f>
        <v>137.09304932735427</v>
      </c>
      <c r="S26" s="60">
        <f>IFERROR(M26/P26-1,"n/a")</f>
        <v>-0.36706317601418181</v>
      </c>
      <c r="T26" s="68">
        <v>165083</v>
      </c>
      <c r="U26" s="70">
        <f>20768+8294</f>
        <v>29062</v>
      </c>
      <c r="V26" s="70">
        <f>659951+168729+38484</f>
        <v>867164</v>
      </c>
    </row>
    <row r="27" spans="1:38" ht="15.75" thickBot="1">
      <c r="A27" s="9"/>
      <c r="B27" s="12"/>
      <c r="C27" s="35" t="s">
        <v>12</v>
      </c>
      <c r="D27" s="36"/>
      <c r="E27" s="37"/>
      <c r="F27" s="46">
        <f t="shared" ref="F27:I28" si="2">F10+F13+F16+F19+F22+F25</f>
        <v>354</v>
      </c>
      <c r="G27" s="46">
        <f t="shared" si="2"/>
        <v>18</v>
      </c>
      <c r="H27" s="46">
        <f t="shared" si="2"/>
        <v>0</v>
      </c>
      <c r="I27" s="46">
        <f t="shared" si="2"/>
        <v>315</v>
      </c>
      <c r="J27" s="66">
        <f t="shared" si="0"/>
        <v>18.666666666666668</v>
      </c>
      <c r="K27" s="66" t="str">
        <f>IFERROR(F27/H27-1,"n/a")</f>
        <v>n/a</v>
      </c>
      <c r="L27" s="62">
        <f t="shared" si="1"/>
        <v>0.12380952380952381</v>
      </c>
      <c r="M27" s="46">
        <f t="shared" ref="M27:P28" si="3">M10+M13+M16+M19+M22+M25</f>
        <v>1317</v>
      </c>
      <c r="N27" s="46">
        <f t="shared" si="3"/>
        <v>37</v>
      </c>
      <c r="O27" s="46">
        <f t="shared" si="3"/>
        <v>607</v>
      </c>
      <c r="P27" s="46">
        <f t="shared" si="3"/>
        <v>1242</v>
      </c>
      <c r="Q27" s="66">
        <f>IFERROR(M27/N27-1,"n/a")</f>
        <v>34.594594594594597</v>
      </c>
      <c r="R27" s="66">
        <f>IFERROR(M27/O27-1,"n/a")</f>
        <v>1.1696869851729819</v>
      </c>
      <c r="S27" s="62">
        <f>IFERROR(M27/P27-1,"n/a")</f>
        <v>6.0386473429951737E-2</v>
      </c>
      <c r="T27" s="46">
        <f t="shared" ref="T27:V28" si="4">T10+T13+T16+T19+T22+T25</f>
        <v>1062</v>
      </c>
      <c r="U27" s="46">
        <f t="shared" si="4"/>
        <v>667</v>
      </c>
      <c r="V27" s="46">
        <f t="shared" si="4"/>
        <v>3344</v>
      </c>
    </row>
    <row r="28" spans="1:38" s="22" customFormat="1" ht="16.5" thickTop="1" thickBot="1">
      <c r="A28" s="9"/>
      <c r="B28" s="12"/>
      <c r="C28" s="38" t="s">
        <v>13</v>
      </c>
      <c r="D28" s="39"/>
      <c r="E28" s="40"/>
      <c r="F28" s="47">
        <f t="shared" si="2"/>
        <v>579587</v>
      </c>
      <c r="G28" s="47">
        <f t="shared" si="2"/>
        <v>24481</v>
      </c>
      <c r="H28" s="47">
        <f t="shared" si="2"/>
        <v>0</v>
      </c>
      <c r="I28" s="47">
        <f t="shared" si="2"/>
        <v>841049</v>
      </c>
      <c r="J28" s="67">
        <f t="shared" si="0"/>
        <v>22.674972427596913</v>
      </c>
      <c r="K28" s="67" t="str">
        <f>IFERROR(F28/H28-1,"n/a")</f>
        <v>n/a</v>
      </c>
      <c r="L28" s="63">
        <f t="shared" si="1"/>
        <v>-0.31087606072892304</v>
      </c>
      <c r="M28" s="47">
        <f t="shared" si="3"/>
        <v>1955070</v>
      </c>
      <c r="N28" s="47">
        <f t="shared" si="3"/>
        <v>40586</v>
      </c>
      <c r="O28" s="47">
        <f t="shared" si="3"/>
        <v>1276191</v>
      </c>
      <c r="P28" s="47">
        <f t="shared" si="3"/>
        <v>3422813</v>
      </c>
      <c r="Q28" s="67">
        <f>IFERROR(M28/N28-1,"n/a")</f>
        <v>47.171044202434338</v>
      </c>
      <c r="R28" s="67">
        <f>IFERROR(M28/O28-1,"n/a")</f>
        <v>0.53195720703248961</v>
      </c>
      <c r="S28" s="63">
        <f>IFERROR(M28/P28-1,"n/a")</f>
        <v>-0.42881191581310463</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idden="1">
      <c r="A30" s="9"/>
      <c r="B30" s="9"/>
      <c r="C30" s="9"/>
      <c r="D30" s="9"/>
      <c r="E30" s="9"/>
      <c r="F30" s="9"/>
      <c r="G30" s="41"/>
      <c r="H30" s="41"/>
      <c r="I30" s="41"/>
      <c r="J30" s="41"/>
      <c r="K30" s="9"/>
      <c r="L30" s="9"/>
      <c r="M30" s="9"/>
      <c r="N30" s="9"/>
      <c r="O30" s="9"/>
      <c r="P30" s="9"/>
      <c r="Q30" s="9"/>
      <c r="R30" s="9"/>
      <c r="S30" s="9"/>
      <c r="T30" s="9"/>
      <c r="U30" s="9"/>
      <c r="V30" s="9"/>
    </row>
    <row r="31" spans="1:38" hidden="1">
      <c r="A31" s="9"/>
      <c r="B31" s="9"/>
      <c r="C31" s="9"/>
      <c r="D31" s="9"/>
      <c r="E31" s="9"/>
      <c r="F31" s="9"/>
      <c r="G31" s="41"/>
      <c r="H31" s="41"/>
      <c r="I31" s="41"/>
      <c r="J31" s="41"/>
      <c r="K31" s="9"/>
      <c r="L31" s="9"/>
      <c r="M31" s="9"/>
      <c r="N31" s="9"/>
      <c r="O31" s="9"/>
      <c r="P31" s="9"/>
      <c r="Q31" s="9"/>
      <c r="R31" s="9"/>
      <c r="S31" s="9"/>
      <c r="T31" s="9"/>
      <c r="U31" s="9"/>
      <c r="V31" s="9"/>
    </row>
    <row r="32" spans="1:38" hidden="1">
      <c r="A32" s="9"/>
      <c r="B32" s="9"/>
      <c r="C32" s="9"/>
      <c r="D32" s="9"/>
      <c r="E32" s="9"/>
      <c r="F32" s="9"/>
      <c r="G32" s="41"/>
      <c r="H32" s="41"/>
      <c r="I32" s="41"/>
      <c r="J32" s="41"/>
      <c r="K32" s="9"/>
      <c r="L32" s="9"/>
      <c r="M32" s="9"/>
      <c r="N32" s="9"/>
      <c r="O32" s="9"/>
      <c r="P32" s="9"/>
      <c r="Q32" s="9"/>
      <c r="R32" s="9"/>
      <c r="S32" s="9"/>
      <c r="T32" s="9"/>
      <c r="U32" s="9"/>
      <c r="V32" s="9"/>
    </row>
    <row r="33" spans="7:10" s="9" customFormat="1" hidden="1">
      <c r="G33" s="41"/>
      <c r="H33" s="41"/>
      <c r="I33" s="41"/>
      <c r="J33" s="41"/>
    </row>
    <row r="34" spans="7:10" s="9" customFormat="1" hidden="1">
      <c r="G34" s="41"/>
      <c r="H34" s="41"/>
      <c r="I34" s="41"/>
      <c r="J34" s="41"/>
    </row>
    <row r="35" spans="7:10" s="9" customFormat="1" hidden="1">
      <c r="G35" s="41"/>
      <c r="H35" s="41"/>
      <c r="I35" s="41"/>
      <c r="J35" s="41"/>
    </row>
    <row r="36" spans="7:10" s="9" customFormat="1" hidden="1">
      <c r="G36" s="41"/>
      <c r="H36" s="41"/>
      <c r="I36" s="41"/>
      <c r="J36" s="41"/>
    </row>
    <row r="37" spans="7:10" s="9" customFormat="1" hidden="1">
      <c r="G37" s="41"/>
      <c r="H37" s="41"/>
      <c r="I37" s="41"/>
      <c r="J37" s="41"/>
    </row>
    <row r="38" spans="7:10" s="9" customFormat="1" hidden="1">
      <c r="G38" s="41"/>
      <c r="H38" s="41"/>
      <c r="I38" s="41"/>
      <c r="J38" s="41"/>
    </row>
    <row r="39" spans="7:10" s="9" customFormat="1" hidden="1">
      <c r="G39" s="41"/>
      <c r="H39" s="41"/>
      <c r="I39" s="41"/>
      <c r="J39" s="41"/>
    </row>
    <row r="40" spans="7:10" s="9" customFormat="1" hidden="1">
      <c r="G40" s="41"/>
      <c r="H40" s="41"/>
      <c r="I40" s="41"/>
      <c r="J40" s="41"/>
    </row>
    <row r="41" spans="7:10" s="9" customFormat="1" hidden="1">
      <c r="G41" s="41"/>
      <c r="H41" s="41"/>
      <c r="I41" s="41"/>
      <c r="J41" s="41"/>
    </row>
    <row r="42" spans="7:10" s="9" customFormat="1" hidden="1">
      <c r="G42" s="41"/>
      <c r="H42" s="41"/>
      <c r="I42" s="41"/>
      <c r="J42" s="41"/>
    </row>
    <row r="43" spans="7:10" s="9" customFormat="1" hidden="1">
      <c r="G43" s="41"/>
      <c r="H43" s="41"/>
      <c r="I43" s="41"/>
      <c r="J43" s="41"/>
    </row>
    <row r="44" spans="7:10" s="9" customFormat="1" hidden="1">
      <c r="G44" s="41"/>
      <c r="H44" s="41"/>
      <c r="I44" s="41"/>
      <c r="J44" s="41"/>
    </row>
    <row r="45" spans="7:10" s="9" customFormat="1" hidden="1">
      <c r="G45" s="41"/>
      <c r="H45" s="41"/>
      <c r="I45" s="41"/>
      <c r="J45" s="41"/>
    </row>
    <row r="46" spans="7:10" s="9" customFormat="1" hidden="1">
      <c r="G46" s="41"/>
      <c r="H46" s="41"/>
      <c r="I46" s="41"/>
      <c r="J46" s="41"/>
    </row>
    <row r="47" spans="7:10" s="9" customFormat="1" hidden="1">
      <c r="G47" s="41"/>
      <c r="H47" s="41"/>
      <c r="I47" s="41"/>
      <c r="J47" s="41"/>
    </row>
    <row r="48" spans="7:10" s="9" customFormat="1" hidden="1"/>
  </sheetData>
  <customSheetViews>
    <customSheetView guid="{5F6D01E3-9E6F-4D7F-980F-63899AF95899}" scale="79" showGridLines="0" fitToPage="1" hiddenRows="1" hiddenColumns="1">
      <pageMargins left="0.7" right="0.7" top="0.75" bottom="0.75" header="0.3" footer="0.3"/>
      <pageSetup paperSize="9" scale="85" orientation="landscape" horizontalDpi="4294967293" verticalDpi="4294967293" r:id="rId1"/>
    </customSheetView>
  </customSheetViews>
  <mergeCells count="3">
    <mergeCell ref="F6:L6"/>
    <mergeCell ref="M6:S6"/>
    <mergeCell ref="T6:V6"/>
  </mergeCells>
  <pageMargins left="0.7" right="0.7" top="0.75" bottom="0.75" header="0.3" footer="0.3"/>
  <pageSetup paperSize="9" scale="85" orientation="landscape" horizontalDpi="4294967293" verticalDpi="4294967293"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AL48"/>
  <sheetViews>
    <sheetView showGridLines="0" topLeftCell="A7" zoomScaleNormal="100" workbookViewId="0">
      <selection activeCell="F11" activeCellId="1" sqref="F20 F11"/>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44</v>
      </c>
      <c r="F4" s="24"/>
      <c r="G4" s="24"/>
      <c r="H4" s="24"/>
      <c r="I4" s="24"/>
      <c r="J4" s="24"/>
      <c r="K4" s="24"/>
      <c r="L4" s="24"/>
      <c r="M4" s="24"/>
      <c r="N4" s="24"/>
      <c r="O4" s="24"/>
      <c r="P4" s="24"/>
      <c r="Q4" s="24"/>
      <c r="R4" s="24"/>
      <c r="S4" s="24"/>
      <c r="T4" s="24"/>
      <c r="U4" s="24"/>
      <c r="V4" s="24"/>
    </row>
    <row r="5" spans="1:38">
      <c r="A5" s="9"/>
      <c r="B5" s="10"/>
      <c r="C5" s="24"/>
      <c r="D5" s="24"/>
      <c r="E5" s="24"/>
      <c r="F5" s="24"/>
      <c r="G5" s="24"/>
      <c r="H5" s="24"/>
      <c r="I5" s="24"/>
      <c r="J5" s="24"/>
      <c r="K5" s="24"/>
      <c r="L5" s="24"/>
      <c r="M5" s="24"/>
      <c r="N5" s="24"/>
      <c r="O5" s="24"/>
      <c r="P5" s="24"/>
      <c r="Q5" s="24"/>
      <c r="R5" s="24"/>
      <c r="S5" s="24"/>
      <c r="T5" s="24"/>
      <c r="U5" s="24"/>
      <c r="V5" s="24"/>
    </row>
    <row r="6" spans="1:38" s="20" customFormat="1">
      <c r="A6" s="9"/>
      <c r="B6"/>
      <c r="C6" s="27" t="s">
        <v>7</v>
      </c>
      <c r="D6" s="28"/>
      <c r="E6" s="28"/>
      <c r="F6" s="170" t="s">
        <v>45</v>
      </c>
      <c r="G6" s="170"/>
      <c r="H6" s="170"/>
      <c r="I6" s="170"/>
      <c r="J6" s="170"/>
      <c r="K6" s="170"/>
      <c r="L6" s="171"/>
      <c r="M6" s="169" t="s">
        <v>46</v>
      </c>
      <c r="N6" s="170"/>
      <c r="O6" s="170"/>
      <c r="P6" s="170"/>
      <c r="Q6" s="170"/>
      <c r="R6" s="170"/>
      <c r="S6" s="171"/>
      <c r="T6" s="169" t="s">
        <v>9</v>
      </c>
      <c r="U6" s="170"/>
      <c r="V6" s="170"/>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c r="A9" s="9"/>
      <c r="B9" s="12"/>
      <c r="C9" s="31" t="s">
        <v>14</v>
      </c>
      <c r="D9" s="26"/>
      <c r="E9" s="32"/>
      <c r="F9" s="26"/>
      <c r="G9" s="26"/>
      <c r="H9" s="26"/>
      <c r="I9" s="26"/>
      <c r="J9" s="26"/>
      <c r="K9" s="26"/>
      <c r="L9" s="32"/>
      <c r="M9" s="26"/>
      <c r="N9" s="26"/>
      <c r="O9" s="26"/>
      <c r="P9" s="26"/>
      <c r="Q9" s="26"/>
      <c r="R9" s="26"/>
      <c r="S9" s="32"/>
      <c r="T9" s="26"/>
      <c r="U9" s="26"/>
      <c r="V9" s="26"/>
    </row>
    <row r="10" spans="1:38">
      <c r="A10" s="9"/>
      <c r="B10" s="12"/>
      <c r="C10" s="33"/>
      <c r="D10" s="26" t="s">
        <v>5</v>
      </c>
      <c r="E10" s="32"/>
      <c r="F10" s="68">
        <v>25</v>
      </c>
      <c r="G10" s="68">
        <v>0</v>
      </c>
      <c r="H10" s="68">
        <v>0</v>
      </c>
      <c r="I10" s="68">
        <v>27</v>
      </c>
      <c r="J10" s="64" t="str">
        <f t="shared" ref="J10:J28" si="0">IFERROR(F10/G10-1,"n/a")</f>
        <v>n/a</v>
      </c>
      <c r="K10" s="64" t="str">
        <f>IFERROR(F10/H10-1,"n/a")</f>
        <v>n/a</v>
      </c>
      <c r="L10" s="60">
        <f>IFERROR(F10/I10-1,"n/a")</f>
        <v>-7.407407407407407E-2</v>
      </c>
      <c r="M10" s="68">
        <f>F10+'Mar-22'!M10</f>
        <v>222</v>
      </c>
      <c r="N10" s="68">
        <f>G10+'Mar-22'!N10</f>
        <v>0</v>
      </c>
      <c r="O10" s="68">
        <f>H10+'Mar-22'!O10</f>
        <v>145</v>
      </c>
      <c r="P10" s="68">
        <f>I10+'Mar-22'!P10</f>
        <v>227</v>
      </c>
      <c r="Q10" s="64" t="str">
        <f>IFERROR(M10/N10-1,"n/a")</f>
        <v>n/a</v>
      </c>
      <c r="R10" s="64">
        <f>IFERROR(M10/O10-1,"n/a")</f>
        <v>0.53103448275862064</v>
      </c>
      <c r="S10" s="60">
        <f>IFERROR(M10/P10-1,"n/a")</f>
        <v>-2.2026431718061623E-2</v>
      </c>
      <c r="T10" s="68">
        <v>111</v>
      </c>
      <c r="U10" s="70">
        <v>145</v>
      </c>
      <c r="V10" s="70">
        <v>386</v>
      </c>
    </row>
    <row r="11" spans="1:38">
      <c r="A11" s="9"/>
      <c r="B11" s="12"/>
      <c r="C11" s="33"/>
      <c r="D11" s="26" t="s">
        <v>11</v>
      </c>
      <c r="E11" s="32"/>
      <c r="F11" s="68">
        <v>30815</v>
      </c>
      <c r="G11" s="68">
        <v>0</v>
      </c>
      <c r="H11" s="68">
        <v>0</v>
      </c>
      <c r="I11" s="68">
        <v>46675</v>
      </c>
      <c r="J11" s="64" t="str">
        <f t="shared" si="0"/>
        <v>n/a</v>
      </c>
      <c r="K11" s="64" t="str">
        <f>IFERROR(F11/H11-1,"n/a")</f>
        <v>n/a</v>
      </c>
      <c r="L11" s="60">
        <f>IFERROR(F11/I11-1,"n/a")</f>
        <v>-0.33979646491697912</v>
      </c>
      <c r="M11" s="68">
        <f>F11+'Mar-22'!M11</f>
        <v>187143</v>
      </c>
      <c r="N11" s="68">
        <f>G11+'Mar-22'!N11</f>
        <v>0</v>
      </c>
      <c r="O11" s="68">
        <f>H11+'Mar-22'!O11</f>
        <v>258885</v>
      </c>
      <c r="P11" s="68">
        <f>I11+'Mar-22'!P11</f>
        <v>432055</v>
      </c>
      <c r="Q11" s="64" t="str">
        <f>IFERROR(M11/N11-1,"n/a")</f>
        <v>n/a</v>
      </c>
      <c r="R11" s="64">
        <f>IFERROR(M11/O11-1,"n/a")</f>
        <v>-0.27711918419375403</v>
      </c>
      <c r="S11" s="60">
        <f>IFERROR(M11/P11-1,"n/a")</f>
        <v>-0.56685375704482066</v>
      </c>
      <c r="T11" s="68">
        <v>80863</v>
      </c>
      <c r="U11" s="70">
        <v>258885</v>
      </c>
      <c r="V11" s="70">
        <v>733296</v>
      </c>
    </row>
    <row r="12" spans="1:38">
      <c r="A12" s="9"/>
      <c r="B12" s="12"/>
      <c r="C12" s="31" t="s">
        <v>74</v>
      </c>
      <c r="D12" s="26"/>
      <c r="E12" s="32"/>
      <c r="F12" s="45"/>
      <c r="G12" s="45"/>
      <c r="H12" s="45"/>
      <c r="I12" s="45"/>
      <c r="J12" s="64"/>
      <c r="K12" s="64"/>
      <c r="L12" s="61"/>
      <c r="M12" s="43"/>
      <c r="N12" s="43"/>
      <c r="O12" s="43"/>
      <c r="P12" s="43"/>
      <c r="Q12" s="64"/>
      <c r="R12" s="65"/>
      <c r="S12" s="61"/>
      <c r="T12" s="43"/>
      <c r="U12" s="44"/>
      <c r="V12" s="44"/>
    </row>
    <row r="13" spans="1:38">
      <c r="A13" s="9"/>
      <c r="B13" s="12"/>
      <c r="C13" s="33"/>
      <c r="D13" s="26" t="s">
        <v>5</v>
      </c>
      <c r="E13" s="32"/>
      <c r="F13" s="68">
        <v>96</v>
      </c>
      <c r="G13" s="68">
        <v>0</v>
      </c>
      <c r="H13" s="68">
        <v>0</v>
      </c>
      <c r="I13" s="68">
        <v>90</v>
      </c>
      <c r="J13" s="64" t="str">
        <f t="shared" si="0"/>
        <v>n/a</v>
      </c>
      <c r="K13" s="64" t="str">
        <f>IFERROR(F13/H13-1,"n/a")</f>
        <v>n/a</v>
      </c>
      <c r="L13" s="60">
        <f>IFERROR(F13/I13-1,"n/a")</f>
        <v>6.6666666666666652E-2</v>
      </c>
      <c r="M13" s="68">
        <f>F13+'Mar-22'!M13</f>
        <v>149</v>
      </c>
      <c r="N13" s="68">
        <f>G13+'Mar-22'!N13</f>
        <v>0</v>
      </c>
      <c r="O13" s="68">
        <f>H13+'Mar-22'!O13</f>
        <v>43</v>
      </c>
      <c r="P13" s="68">
        <f>I13+'Mar-22'!P13</f>
        <v>179</v>
      </c>
      <c r="Q13" s="64" t="str">
        <f>IFERROR(M13/N13-1,"n/a")</f>
        <v>n/a</v>
      </c>
      <c r="R13" s="64">
        <f>IFERROR(M13/O13-1,"n/a")</f>
        <v>2.4651162790697674</v>
      </c>
      <c r="S13" s="60">
        <f>IFERROR(M13/P13-1,"n/a")</f>
        <v>-0.16759776536312854</v>
      </c>
      <c r="T13" s="68">
        <v>283</v>
      </c>
      <c r="U13" s="70">
        <v>43</v>
      </c>
      <c r="V13" s="70">
        <v>827</v>
      </c>
    </row>
    <row r="14" spans="1:38">
      <c r="A14" s="9"/>
      <c r="B14" s="12"/>
      <c r="C14" s="33"/>
      <c r="D14" s="26" t="s">
        <v>11</v>
      </c>
      <c r="E14" s="32"/>
      <c r="F14" s="68">
        <v>114892</v>
      </c>
      <c r="G14" s="68">
        <v>0</v>
      </c>
      <c r="H14" s="68">
        <v>0</v>
      </c>
      <c r="I14" s="68">
        <v>212740</v>
      </c>
      <c r="J14" s="64" t="str">
        <f t="shared" si="0"/>
        <v>n/a</v>
      </c>
      <c r="K14" s="64" t="str">
        <f>IFERROR(F14/H14-1,"n/a")</f>
        <v>n/a</v>
      </c>
      <c r="L14" s="60">
        <f>IFERROR(F14/I14-1,"n/a")</f>
        <v>-0.45994171288897245</v>
      </c>
      <c r="M14" s="68">
        <f>F14+'Mar-22'!M14</f>
        <v>183346</v>
      </c>
      <c r="N14" s="68">
        <f>G14+'Mar-22'!N14</f>
        <v>0</v>
      </c>
      <c r="O14" s="68">
        <f>H14+'Mar-22'!O14</f>
        <v>140552</v>
      </c>
      <c r="P14" s="68">
        <f>I14+'Mar-22'!P14</f>
        <v>464640</v>
      </c>
      <c r="Q14" s="64" t="str">
        <f>IFERROR(M14/N14-1,"n/a")</f>
        <v>n/a</v>
      </c>
      <c r="R14" s="64">
        <f>IFERROR(M14/O14-1,"n/a")</f>
        <v>0.30447094313848266</v>
      </c>
      <c r="S14" s="60">
        <f>IFERROR(M14/P14-1,"n/a")</f>
        <v>-0.60540203168044071</v>
      </c>
      <c r="T14" s="68">
        <v>465109</v>
      </c>
      <c r="U14" s="70">
        <v>140552</v>
      </c>
      <c r="V14" s="70">
        <v>2552942</v>
      </c>
    </row>
    <row r="15" spans="1:38">
      <c r="A15" s="9"/>
      <c r="B15" s="12"/>
      <c r="C15" s="31" t="s">
        <v>15</v>
      </c>
      <c r="D15" s="26"/>
      <c r="E15" s="32"/>
      <c r="F15" s="43"/>
      <c r="G15" s="43"/>
      <c r="H15" s="43"/>
      <c r="I15" s="43"/>
      <c r="J15" s="64"/>
      <c r="K15" s="64"/>
      <c r="L15" s="60"/>
      <c r="M15" s="43"/>
      <c r="N15" s="43"/>
      <c r="O15" s="43"/>
      <c r="P15" s="43"/>
      <c r="Q15" s="64"/>
      <c r="R15" s="64"/>
      <c r="S15" s="60"/>
      <c r="T15" s="43"/>
      <c r="U15" s="44"/>
      <c r="V15" s="44"/>
    </row>
    <row r="16" spans="1:38">
      <c r="A16" s="9"/>
      <c r="B16" s="12"/>
      <c r="C16" s="33"/>
      <c r="D16" s="26" t="s">
        <v>5</v>
      </c>
      <c r="E16" s="32"/>
      <c r="F16" s="68">
        <v>26</v>
      </c>
      <c r="G16" s="68">
        <v>0</v>
      </c>
      <c r="H16" s="68">
        <v>0</v>
      </c>
      <c r="I16" s="68">
        <v>13</v>
      </c>
      <c r="J16" s="64" t="str">
        <f t="shared" si="0"/>
        <v>n/a</v>
      </c>
      <c r="K16" s="64" t="str">
        <f>IFERROR(F16/H16-1,"n/a")</f>
        <v>n/a</v>
      </c>
      <c r="L16" s="60">
        <f>IFERROR(F16/I16-1,"n/a")</f>
        <v>1</v>
      </c>
      <c r="M16" s="68">
        <f>F16+'Mar-22'!M16</f>
        <v>36</v>
      </c>
      <c r="N16" s="68">
        <f>G16+'Mar-22'!N16</f>
        <v>0</v>
      </c>
      <c r="O16" s="68">
        <f>H16+'Mar-22'!O16</f>
        <v>3</v>
      </c>
      <c r="P16" s="68">
        <f>I16+'Mar-22'!P16</f>
        <v>19</v>
      </c>
      <c r="Q16" s="64" t="str">
        <f>IFERROR(M16/N16-1,"n/a")</f>
        <v>n/a</v>
      </c>
      <c r="R16" s="64">
        <f>IFERROR(M16/O16-1,"n/a")</f>
        <v>11</v>
      </c>
      <c r="S16" s="60">
        <f>IFERROR(M16/P16-1,"n/a")</f>
        <v>0.89473684210526305</v>
      </c>
      <c r="T16" s="68">
        <v>23</v>
      </c>
      <c r="U16" s="70">
        <v>4</v>
      </c>
      <c r="V16" s="70">
        <v>191</v>
      </c>
    </row>
    <row r="17" spans="1:38">
      <c r="A17" s="9"/>
      <c r="B17" s="12"/>
      <c r="C17" s="33"/>
      <c r="D17" s="26" t="s">
        <v>11</v>
      </c>
      <c r="E17" s="32"/>
      <c r="F17" s="68">
        <v>20824</v>
      </c>
      <c r="G17" s="68">
        <v>0</v>
      </c>
      <c r="H17" s="68">
        <v>0</v>
      </c>
      <c r="I17" s="68">
        <v>14253</v>
      </c>
      <c r="J17" s="64" t="str">
        <f t="shared" si="0"/>
        <v>n/a</v>
      </c>
      <c r="K17" s="64" t="str">
        <f>IFERROR(F17/H17-1,"n/a")</f>
        <v>n/a</v>
      </c>
      <c r="L17" s="60">
        <f t="shared" ref="L17:L28" si="1">IFERROR(F17/I17-1,"n/a")</f>
        <v>0.46102574896513016</v>
      </c>
      <c r="M17" s="68">
        <f>F17+'Mar-22'!M17</f>
        <v>22296</v>
      </c>
      <c r="N17" s="68">
        <f>G17+'Mar-22'!N17</f>
        <v>0</v>
      </c>
      <c r="O17" s="68">
        <f>H17+'Mar-22'!O17</f>
        <v>1642</v>
      </c>
      <c r="P17" s="68">
        <f>I17+'Mar-22'!P17</f>
        <v>19391</v>
      </c>
      <c r="Q17" s="64" t="str">
        <f>IFERROR(M17/N17-1,"n/a")</f>
        <v>n/a</v>
      </c>
      <c r="R17" s="64">
        <f>IFERROR(M17/O17-1,"n/a")</f>
        <v>12.578562728380025</v>
      </c>
      <c r="S17" s="60">
        <f>IFERROR(M17/P17-1,"n/a")</f>
        <v>0.14981176834613996</v>
      </c>
      <c r="T17" s="68">
        <v>8611</v>
      </c>
      <c r="U17" s="70">
        <v>1753</v>
      </c>
      <c r="V17" s="70">
        <v>254421</v>
      </c>
    </row>
    <row r="18" spans="1:38">
      <c r="A18" s="9"/>
      <c r="B18" s="12"/>
      <c r="C18" s="31" t="s">
        <v>10</v>
      </c>
      <c r="D18" s="26"/>
      <c r="E18" s="34"/>
      <c r="F18" s="43"/>
      <c r="G18" s="43"/>
      <c r="H18" s="43"/>
      <c r="I18" s="43"/>
      <c r="J18" s="64"/>
      <c r="K18" s="64"/>
      <c r="L18" s="60"/>
      <c r="M18" s="43"/>
      <c r="N18" s="43"/>
      <c r="O18" s="43"/>
      <c r="P18" s="43"/>
      <c r="Q18" s="64"/>
      <c r="R18" s="64"/>
      <c r="S18" s="60"/>
      <c r="T18" s="43"/>
      <c r="U18" s="44"/>
      <c r="V18" s="44"/>
    </row>
    <row r="19" spans="1:38">
      <c r="A19" s="9"/>
      <c r="B19" s="12"/>
      <c r="C19" s="33"/>
      <c r="D19" s="26" t="s">
        <v>5</v>
      </c>
      <c r="E19" s="34"/>
      <c r="F19" s="68">
        <v>111</v>
      </c>
      <c r="G19" s="68">
        <v>0</v>
      </c>
      <c r="H19" s="68">
        <v>42</v>
      </c>
      <c r="I19" s="68">
        <v>102</v>
      </c>
      <c r="J19" s="64" t="str">
        <f t="shared" si="0"/>
        <v>n/a</v>
      </c>
      <c r="K19" s="64">
        <f>IFERROR(F19/H19-1,"n/a")</f>
        <v>1.6428571428571428</v>
      </c>
      <c r="L19" s="60">
        <f t="shared" si="1"/>
        <v>8.8235294117646967E-2</v>
      </c>
      <c r="M19" s="68">
        <f>F19+'Mar-22'!M19</f>
        <v>444</v>
      </c>
      <c r="N19" s="68">
        <f>G19+'Mar-22'!N19</f>
        <v>0</v>
      </c>
      <c r="O19" s="68">
        <f>H19+'Mar-22'!O19</f>
        <v>406</v>
      </c>
      <c r="P19" s="68">
        <f>I19+'Mar-22'!P19</f>
        <v>418</v>
      </c>
      <c r="Q19" s="64" t="str">
        <f>IFERROR(M19/N19-1,"n/a")</f>
        <v>n/a</v>
      </c>
      <c r="R19" s="64">
        <f>IFERROR(M19/O19-1,"n/a")</f>
        <v>9.3596059113300489E-2</v>
      </c>
      <c r="S19" s="60">
        <f>IFERROR(M19/P19-1,"n/a")</f>
        <v>6.2200956937799035E-2</v>
      </c>
      <c r="T19" s="68">
        <v>411</v>
      </c>
      <c r="U19" s="70">
        <v>406</v>
      </c>
      <c r="V19" s="70">
        <v>1205</v>
      </c>
    </row>
    <row r="20" spans="1:38">
      <c r="A20" s="9"/>
      <c r="B20" s="12"/>
      <c r="C20" s="33"/>
      <c r="D20" s="26" t="s">
        <v>11</v>
      </c>
      <c r="E20" s="32"/>
      <c r="F20" s="68">
        <v>266973</v>
      </c>
      <c r="G20" s="68">
        <v>0</v>
      </c>
      <c r="H20" s="68">
        <v>0</v>
      </c>
      <c r="I20" s="68">
        <v>347370</v>
      </c>
      <c r="J20" s="64" t="str">
        <f t="shared" si="0"/>
        <v>n/a</v>
      </c>
      <c r="K20" s="64" t="str">
        <f>IFERROR(F20/H20-1,"n/a")</f>
        <v>n/a</v>
      </c>
      <c r="L20" s="60">
        <f t="shared" si="1"/>
        <v>-0.23144485706883156</v>
      </c>
      <c r="M20" s="68">
        <f>F20+'Mar-22'!M20</f>
        <v>870303</v>
      </c>
      <c r="N20" s="68">
        <f>G20+'Mar-22'!N20</f>
        <v>0</v>
      </c>
      <c r="O20" s="68">
        <f>H20+'Mar-22'!O20</f>
        <v>833999</v>
      </c>
      <c r="P20" s="68">
        <f>I20+'Mar-22'!P20</f>
        <v>1413094</v>
      </c>
      <c r="Q20" s="64" t="str">
        <f>IFERROR(M20/N20-1,"n/a")</f>
        <v>n/a</v>
      </c>
      <c r="R20" s="64">
        <f>IFERROR(M20/O20-1,"n/a")</f>
        <v>4.353002821346319E-2</v>
      </c>
      <c r="S20" s="60">
        <f>IFERROR(M20/P20-1,"n/a")</f>
        <v>-0.38411528178592502</v>
      </c>
      <c r="T20" s="68">
        <v>687449</v>
      </c>
      <c r="U20" s="70">
        <v>833999</v>
      </c>
      <c r="V20" s="70">
        <v>3859183</v>
      </c>
    </row>
    <row r="21" spans="1:38">
      <c r="A21" s="9"/>
      <c r="B21" s="12"/>
      <c r="C21" s="31" t="s">
        <v>16</v>
      </c>
      <c r="D21" s="26"/>
      <c r="E21" s="32"/>
      <c r="F21" s="43"/>
      <c r="G21" s="43"/>
      <c r="H21" s="43"/>
      <c r="I21" s="43"/>
      <c r="J21" s="64"/>
      <c r="K21" s="64"/>
      <c r="L21" s="60"/>
      <c r="M21" s="43"/>
      <c r="N21" s="43"/>
      <c r="O21" s="43"/>
      <c r="P21" s="43"/>
      <c r="Q21" s="64"/>
      <c r="R21" s="64"/>
      <c r="S21" s="60"/>
      <c r="T21" s="43"/>
      <c r="U21" s="44"/>
      <c r="V21" s="44"/>
    </row>
    <row r="22" spans="1:38">
      <c r="A22" s="9"/>
      <c r="B22" s="12"/>
      <c r="C22" s="33"/>
      <c r="D22" s="26" t="s">
        <v>5</v>
      </c>
      <c r="E22" s="32"/>
      <c r="F22" s="68">
        <v>22</v>
      </c>
      <c r="G22" s="68">
        <v>5</v>
      </c>
      <c r="H22" s="68">
        <v>0</v>
      </c>
      <c r="I22" s="68">
        <v>29</v>
      </c>
      <c r="J22" s="64">
        <f t="shared" si="0"/>
        <v>3.4000000000000004</v>
      </c>
      <c r="K22" s="64" t="str">
        <f>IFERROR(F22/H22-1,"n/a")</f>
        <v>n/a</v>
      </c>
      <c r="L22" s="60">
        <f t="shared" si="1"/>
        <v>-0.24137931034482762</v>
      </c>
      <c r="M22" s="68">
        <f>F22+'Mar-22'!M22</f>
        <v>45</v>
      </c>
      <c r="N22" s="68">
        <f>G22+'Mar-22'!N22</f>
        <v>14</v>
      </c>
      <c r="O22" s="68">
        <f>H22+'Mar-22'!O22</f>
        <v>9</v>
      </c>
      <c r="P22" s="68">
        <f>I22+'Mar-22'!P22</f>
        <v>49</v>
      </c>
      <c r="Q22" s="64">
        <f>IFERROR(M22/N22-1,"n/a")</f>
        <v>2.2142857142857144</v>
      </c>
      <c r="R22" s="64">
        <f>IFERROR(M22/O22-1,"n/a")</f>
        <v>4</v>
      </c>
      <c r="S22" s="60">
        <f>IFERROR(M22/P22-1,"n/a")</f>
        <v>-8.1632653061224469E-2</v>
      </c>
      <c r="T22" s="68">
        <v>107</v>
      </c>
      <c r="U22" s="70">
        <v>32</v>
      </c>
      <c r="V22" s="70">
        <v>372</v>
      </c>
    </row>
    <row r="23" spans="1:38">
      <c r="A23" s="9"/>
      <c r="B23" s="12"/>
      <c r="C23" s="33"/>
      <c r="D23" s="26" t="s">
        <v>11</v>
      </c>
      <c r="E23" s="32"/>
      <c r="F23" s="68">
        <v>30617</v>
      </c>
      <c r="G23" s="68">
        <v>6002</v>
      </c>
      <c r="H23" s="68">
        <v>0</v>
      </c>
      <c r="I23" s="68">
        <v>93826</v>
      </c>
      <c r="J23" s="64">
        <f t="shared" si="0"/>
        <v>4.1011329556814395</v>
      </c>
      <c r="K23" s="64" t="str">
        <f>IFERROR(F23/H23-1,"n/a")</f>
        <v>n/a</v>
      </c>
      <c r="L23" s="60">
        <f t="shared" si="1"/>
        <v>-0.6736832008185365</v>
      </c>
      <c r="M23" s="68">
        <f>F23+'Mar-22'!M23</f>
        <v>57138</v>
      </c>
      <c r="N23" s="68">
        <f>G23+'Mar-22'!N23</f>
        <v>13966</v>
      </c>
      <c r="O23" s="68">
        <f>H23+'Mar-22'!O23</f>
        <v>40221</v>
      </c>
      <c r="P23" s="68">
        <f>I23+'Mar-22'!P23</f>
        <v>170101</v>
      </c>
      <c r="Q23" s="64">
        <f>IFERROR(M23/N23-1,"n/a")</f>
        <v>3.0912215380209078</v>
      </c>
      <c r="R23" s="64">
        <f>IFERROR(M23/O23-1,"n/a")</f>
        <v>0.42060117848884904</v>
      </c>
      <c r="S23" s="60">
        <f>IFERROR(M23/P23-1,"n/a")</f>
        <v>-0.66409368551625203</v>
      </c>
      <c r="T23" s="68">
        <v>147132</v>
      </c>
      <c r="U23" s="70">
        <v>59180</v>
      </c>
      <c r="V23" s="70">
        <v>902015</v>
      </c>
    </row>
    <row r="24" spans="1:38">
      <c r="A24" s="9"/>
      <c r="B24" s="12"/>
      <c r="C24" s="31" t="s">
        <v>17</v>
      </c>
      <c r="D24" s="26"/>
      <c r="E24" s="32"/>
      <c r="F24" s="43"/>
      <c r="G24" s="43"/>
      <c r="H24" s="43"/>
      <c r="I24" s="43"/>
      <c r="J24" s="64"/>
      <c r="K24" s="64"/>
      <c r="L24" s="60"/>
      <c r="M24" s="43"/>
      <c r="N24" s="43"/>
      <c r="O24" s="43"/>
      <c r="P24" s="43"/>
      <c r="Q24" s="64"/>
      <c r="R24" s="64"/>
      <c r="S24" s="60"/>
      <c r="T24" s="43"/>
      <c r="U24" s="44"/>
      <c r="V24" s="44"/>
    </row>
    <row r="25" spans="1:38">
      <c r="B25" s="12"/>
      <c r="C25" s="33"/>
      <c r="D25" s="26" t="s">
        <v>5</v>
      </c>
      <c r="E25" s="32"/>
      <c r="F25" s="68">
        <v>51</v>
      </c>
      <c r="G25" s="68">
        <v>2</v>
      </c>
      <c r="H25" s="68">
        <v>0</v>
      </c>
      <c r="I25" s="68">
        <v>31</v>
      </c>
      <c r="J25" s="64">
        <f t="shared" si="0"/>
        <v>24.5</v>
      </c>
      <c r="K25" s="64" t="str">
        <f>IFERROR(F25/H25-1,"n/a")</f>
        <v>n/a</v>
      </c>
      <c r="L25" s="60">
        <f t="shared" si="1"/>
        <v>0.64516129032258074</v>
      </c>
      <c r="M25" s="68">
        <f>F25+'Mar-22'!M25</f>
        <v>67</v>
      </c>
      <c r="N25" s="68">
        <f>G25+'Mar-22'!N25</f>
        <v>5</v>
      </c>
      <c r="O25" s="68">
        <f>H25+'Mar-22'!O25</f>
        <v>1</v>
      </c>
      <c r="P25" s="68">
        <f>I25+'Mar-22'!P25</f>
        <v>35</v>
      </c>
      <c r="Q25" s="64">
        <f>IFERROR(M25/N25-1,"n/a")</f>
        <v>12.4</v>
      </c>
      <c r="R25" s="64">
        <f>IFERROR(M25/O25-1,"n/a")</f>
        <v>66</v>
      </c>
      <c r="S25" s="60">
        <f>IFERROR(M25/P25-1,"n/a")</f>
        <v>0.91428571428571437</v>
      </c>
      <c r="T25" s="68">
        <v>127</v>
      </c>
      <c r="U25" s="70">
        <v>37</v>
      </c>
      <c r="V25" s="70">
        <f>282+81</f>
        <v>363</v>
      </c>
    </row>
    <row r="26" spans="1:38">
      <c r="A26" s="9"/>
      <c r="B26" s="12"/>
      <c r="C26" s="33"/>
      <c r="D26" s="26" t="s">
        <v>11</v>
      </c>
      <c r="E26" s="32"/>
      <c r="F26" s="68">
        <f>42314+1343</f>
        <v>43657</v>
      </c>
      <c r="G26" s="68">
        <v>0</v>
      </c>
      <c r="H26" s="68">
        <v>0</v>
      </c>
      <c r="I26" s="68">
        <v>76374</v>
      </c>
      <c r="J26" s="64" t="str">
        <f t="shared" si="0"/>
        <v>n/a</v>
      </c>
      <c r="K26" s="64" t="str">
        <f>IFERROR(F26/H26-1,"n/a")</f>
        <v>n/a</v>
      </c>
      <c r="L26" s="60">
        <f t="shared" si="1"/>
        <v>-0.42837876764343885</v>
      </c>
      <c r="M26" s="68">
        <f>F26+'Mar-22'!M26</f>
        <v>55257</v>
      </c>
      <c r="N26" s="68">
        <f>G26+'Mar-22'!N26</f>
        <v>2139</v>
      </c>
      <c r="O26" s="68">
        <f>H26+'Mar-22'!O26</f>
        <v>892</v>
      </c>
      <c r="P26" s="68">
        <f>I26+'Mar-22'!P26</f>
        <v>82483</v>
      </c>
      <c r="Q26" s="64">
        <f>IFERROR(M26/N26-1,"n/a")</f>
        <v>24.833099579242635</v>
      </c>
      <c r="R26" s="64">
        <f>IFERROR(M26/O26-1,"n/a")</f>
        <v>60.947309417040358</v>
      </c>
      <c r="S26" s="60">
        <f>IFERROR(M26/P26-1,"n/a")</f>
        <v>-0.3300801377253495</v>
      </c>
      <c r="T26" s="68">
        <v>165083</v>
      </c>
      <c r="U26" s="70">
        <f>20768+8294</f>
        <v>29062</v>
      </c>
      <c r="V26" s="70">
        <f>659951+168729+38484</f>
        <v>867164</v>
      </c>
    </row>
    <row r="27" spans="1:38" ht="15.75" thickBot="1">
      <c r="A27" s="9"/>
      <c r="B27" s="12"/>
      <c r="C27" s="35" t="s">
        <v>12</v>
      </c>
      <c r="D27" s="36"/>
      <c r="E27" s="37"/>
      <c r="F27" s="46">
        <f t="shared" ref="F27:I28" si="2">F10+F13+F16+F19+F22+F25</f>
        <v>331</v>
      </c>
      <c r="G27" s="46">
        <f t="shared" si="2"/>
        <v>7</v>
      </c>
      <c r="H27" s="46">
        <f t="shared" si="2"/>
        <v>42</v>
      </c>
      <c r="I27" s="46">
        <f t="shared" si="2"/>
        <v>292</v>
      </c>
      <c r="J27" s="66">
        <f t="shared" si="0"/>
        <v>46.285714285714285</v>
      </c>
      <c r="K27" s="66">
        <f>IFERROR(F27/H27-1,"n/a")</f>
        <v>6.8809523809523814</v>
      </c>
      <c r="L27" s="62">
        <f t="shared" si="1"/>
        <v>0.13356164383561642</v>
      </c>
      <c r="M27" s="46">
        <f t="shared" ref="M27:P28" si="3">M10+M13+M16+M19+M22+M25</f>
        <v>963</v>
      </c>
      <c r="N27" s="46">
        <f t="shared" si="3"/>
        <v>19</v>
      </c>
      <c r="O27" s="46">
        <f t="shared" si="3"/>
        <v>607</v>
      </c>
      <c r="P27" s="46">
        <f t="shared" si="3"/>
        <v>927</v>
      </c>
      <c r="Q27" s="66">
        <f>IFERROR(M27/N27-1,"n/a")</f>
        <v>49.684210526315788</v>
      </c>
      <c r="R27" s="66">
        <f>IFERROR(M27/O27-1,"n/a")</f>
        <v>0.58649093904448102</v>
      </c>
      <c r="S27" s="62">
        <f>IFERROR(M27/P27-1,"n/a")</f>
        <v>3.8834951456310662E-2</v>
      </c>
      <c r="T27" s="46">
        <f t="shared" ref="T27:V28" si="4">T10+T13+T16+T19+T22+T25</f>
        <v>1062</v>
      </c>
      <c r="U27" s="46">
        <f t="shared" si="4"/>
        <v>667</v>
      </c>
      <c r="V27" s="46">
        <f t="shared" si="4"/>
        <v>3344</v>
      </c>
    </row>
    <row r="28" spans="1:38" s="22" customFormat="1" ht="16.5" thickTop="1" thickBot="1">
      <c r="A28" s="9"/>
      <c r="B28" s="12"/>
      <c r="C28" s="38" t="s">
        <v>13</v>
      </c>
      <c r="D28" s="39"/>
      <c r="E28" s="40"/>
      <c r="F28" s="47">
        <f t="shared" si="2"/>
        <v>507778</v>
      </c>
      <c r="G28" s="47">
        <f t="shared" si="2"/>
        <v>6002</v>
      </c>
      <c r="H28" s="47">
        <f t="shared" si="2"/>
        <v>0</v>
      </c>
      <c r="I28" s="47">
        <f t="shared" si="2"/>
        <v>791238</v>
      </c>
      <c r="J28" s="67">
        <f t="shared" si="0"/>
        <v>83.601466177940679</v>
      </c>
      <c r="K28" s="67" t="str">
        <f>IFERROR(F28/H28-1,"n/a")</f>
        <v>n/a</v>
      </c>
      <c r="L28" s="63">
        <f t="shared" si="1"/>
        <v>-0.35824871909589784</v>
      </c>
      <c r="M28" s="47">
        <f t="shared" si="3"/>
        <v>1375483</v>
      </c>
      <c r="N28" s="47">
        <f t="shared" si="3"/>
        <v>16105</v>
      </c>
      <c r="O28" s="47">
        <f t="shared" si="3"/>
        <v>1276191</v>
      </c>
      <c r="P28" s="47">
        <f t="shared" si="3"/>
        <v>2581764</v>
      </c>
      <c r="Q28" s="67">
        <f>IFERROR(M28/N28-1,"n/a")</f>
        <v>84.407202732070786</v>
      </c>
      <c r="R28" s="67">
        <f>IFERROR(M28/O28-1,"n/a")</f>
        <v>7.7803400901589104E-2</v>
      </c>
      <c r="S28" s="63">
        <f>IFERROR(M28/P28-1,"n/a")</f>
        <v>-0.46723131936149087</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idden="1">
      <c r="A30" s="9"/>
      <c r="B30" s="9"/>
      <c r="C30" s="9"/>
      <c r="D30" s="9"/>
      <c r="E30" s="9"/>
      <c r="F30" s="9"/>
      <c r="G30" s="41"/>
      <c r="H30" s="41"/>
      <c r="I30" s="41"/>
      <c r="J30" s="41"/>
      <c r="K30" s="9"/>
      <c r="L30" s="9"/>
      <c r="M30" s="9"/>
      <c r="N30" s="9"/>
      <c r="O30" s="9"/>
      <c r="P30" s="9"/>
      <c r="Q30" s="9"/>
      <c r="R30" s="9"/>
      <c r="S30" s="9"/>
      <c r="T30" s="9"/>
      <c r="U30" s="9"/>
      <c r="V30" s="9"/>
    </row>
    <row r="31" spans="1:38" hidden="1">
      <c r="A31" s="9"/>
      <c r="B31" s="9"/>
      <c r="C31" s="9"/>
      <c r="D31" s="9"/>
      <c r="E31" s="9"/>
      <c r="F31" s="9"/>
      <c r="G31" s="41"/>
      <c r="H31" s="41"/>
      <c r="I31" s="41"/>
      <c r="J31" s="41"/>
      <c r="K31" s="9"/>
      <c r="L31" s="9"/>
      <c r="M31" s="9"/>
      <c r="N31" s="9"/>
      <c r="O31" s="9"/>
      <c r="P31" s="9"/>
      <c r="Q31" s="9"/>
      <c r="R31" s="9"/>
      <c r="S31" s="9"/>
      <c r="T31" s="9"/>
      <c r="U31" s="9"/>
      <c r="V31" s="9"/>
    </row>
    <row r="32" spans="1:38" hidden="1">
      <c r="A32" s="9"/>
      <c r="B32" s="9"/>
      <c r="C32" s="9"/>
      <c r="D32" s="9"/>
      <c r="E32" s="9"/>
      <c r="F32" s="9"/>
      <c r="G32" s="41"/>
      <c r="H32" s="41"/>
      <c r="I32" s="41"/>
      <c r="J32" s="41"/>
      <c r="K32" s="9"/>
      <c r="L32" s="9"/>
      <c r="M32" s="9"/>
      <c r="N32" s="9"/>
      <c r="O32" s="9"/>
      <c r="P32" s="9"/>
      <c r="Q32" s="9"/>
      <c r="R32" s="9"/>
      <c r="S32" s="9"/>
      <c r="T32" s="9"/>
      <c r="U32" s="9"/>
      <c r="V32" s="9"/>
    </row>
    <row r="33" spans="7:10" s="9" customFormat="1" hidden="1">
      <c r="G33" s="41"/>
      <c r="H33" s="41"/>
      <c r="I33" s="41"/>
      <c r="J33" s="41"/>
    </row>
    <row r="34" spans="7:10" s="9" customFormat="1" hidden="1">
      <c r="G34" s="41"/>
      <c r="H34" s="41"/>
      <c r="I34" s="41"/>
      <c r="J34" s="41"/>
    </row>
    <row r="35" spans="7:10" s="9" customFormat="1" hidden="1">
      <c r="G35" s="41"/>
      <c r="H35" s="41"/>
      <c r="I35" s="41"/>
      <c r="J35" s="41"/>
    </row>
    <row r="36" spans="7:10" s="9" customFormat="1" hidden="1">
      <c r="G36" s="41"/>
      <c r="H36" s="41"/>
      <c r="I36" s="41"/>
      <c r="J36" s="41"/>
    </row>
    <row r="37" spans="7:10" s="9" customFormat="1" hidden="1">
      <c r="G37" s="41"/>
      <c r="H37" s="41"/>
      <c r="I37" s="41"/>
      <c r="J37" s="41"/>
    </row>
    <row r="38" spans="7:10" s="9" customFormat="1" hidden="1">
      <c r="G38" s="41"/>
      <c r="H38" s="41"/>
      <c r="I38" s="41"/>
      <c r="J38" s="41"/>
    </row>
    <row r="39" spans="7:10" s="9" customFormat="1" hidden="1">
      <c r="G39" s="41"/>
      <c r="H39" s="41"/>
      <c r="I39" s="41"/>
      <c r="J39" s="41"/>
    </row>
    <row r="40" spans="7:10" s="9" customFormat="1" hidden="1">
      <c r="G40" s="41"/>
      <c r="H40" s="41"/>
      <c r="I40" s="41"/>
      <c r="J40" s="41"/>
    </row>
    <row r="41" spans="7:10" s="9" customFormat="1" hidden="1">
      <c r="G41" s="41"/>
      <c r="H41" s="41"/>
      <c r="I41" s="41"/>
      <c r="J41" s="41"/>
    </row>
    <row r="42" spans="7:10" s="9" customFormat="1" hidden="1">
      <c r="G42" s="41"/>
      <c r="H42" s="41"/>
      <c r="I42" s="41"/>
      <c r="J42" s="41"/>
    </row>
    <row r="43" spans="7:10" s="9" customFormat="1" hidden="1">
      <c r="G43" s="41"/>
      <c r="H43" s="41"/>
      <c r="I43" s="41"/>
      <c r="J43" s="41"/>
    </row>
    <row r="44" spans="7:10" s="9" customFormat="1" hidden="1">
      <c r="G44" s="41"/>
      <c r="H44" s="41"/>
      <c r="I44" s="41"/>
      <c r="J44" s="41"/>
    </row>
    <row r="45" spans="7:10" s="9" customFormat="1" hidden="1">
      <c r="G45" s="41"/>
      <c r="H45" s="41"/>
      <c r="I45" s="41"/>
      <c r="J45" s="41"/>
    </row>
    <row r="46" spans="7:10" s="9" customFormat="1" hidden="1">
      <c r="G46" s="41"/>
      <c r="H46" s="41"/>
      <c r="I46" s="41"/>
      <c r="J46" s="41"/>
    </row>
    <row r="47" spans="7:10" s="9" customFormat="1" hidden="1">
      <c r="G47" s="41"/>
      <c r="H47" s="41"/>
      <c r="I47" s="41"/>
      <c r="J47" s="41"/>
    </row>
    <row r="48" spans="7:10" s="9" customFormat="1" hidden="1"/>
  </sheetData>
  <customSheetViews>
    <customSheetView guid="{5F6D01E3-9E6F-4D7F-980F-63899AF95899}" scale="79" showGridLines="0" fitToPage="1" hiddenRows="1" hiddenColumns="1">
      <selection activeCell="F16" sqref="F16"/>
      <pageMargins left="0.7" right="0.7" top="0.75" bottom="0.75" header="0.3" footer="0.3"/>
      <pageSetup paperSize="9" scale="85" orientation="landscape" horizontalDpi="4294967293" verticalDpi="4294967293" r:id="rId1"/>
    </customSheetView>
  </customSheetViews>
  <mergeCells count="3">
    <mergeCell ref="F6:L6"/>
    <mergeCell ref="M6:S6"/>
    <mergeCell ref="T6:V6"/>
  </mergeCells>
  <pageMargins left="0.7" right="0.7" top="0.75" bottom="0.75" header="0.3" footer="0.3"/>
  <pageSetup paperSize="9" scale="85" orientation="landscape" horizontalDpi="4294967293" verticalDpi="4294967293" r:id="rId2"/>
  <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pageSetUpPr fitToPage="1"/>
  </sheetPr>
  <dimension ref="A1:AL48"/>
  <sheetViews>
    <sheetView showGridLines="0" topLeftCell="A17" zoomScaleNormal="100" workbookViewId="0"/>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42</v>
      </c>
      <c r="F4" s="24"/>
      <c r="G4" s="24"/>
      <c r="H4" s="24"/>
      <c r="I4" s="24"/>
      <c r="J4" s="24"/>
      <c r="K4" s="24"/>
      <c r="L4" s="24"/>
      <c r="M4" s="24"/>
      <c r="N4" s="24"/>
      <c r="O4" s="24"/>
      <c r="P4" s="24"/>
      <c r="Q4" s="24"/>
      <c r="R4" s="24"/>
      <c r="S4" s="24"/>
      <c r="T4" s="24"/>
      <c r="U4" s="24"/>
      <c r="V4" s="24"/>
    </row>
    <row r="5" spans="1:38">
      <c r="A5" s="9"/>
      <c r="B5" s="10"/>
      <c r="C5" s="24"/>
      <c r="D5" s="24"/>
      <c r="E5" s="24"/>
      <c r="F5" s="24"/>
      <c r="G5" s="24"/>
      <c r="H5" s="24"/>
      <c r="I5" s="24"/>
      <c r="J5" s="24"/>
      <c r="K5" s="24"/>
      <c r="L5" s="24"/>
      <c r="M5" s="24"/>
      <c r="N5" s="24"/>
      <c r="O5" s="24"/>
      <c r="P5" s="24"/>
      <c r="Q5" s="24"/>
      <c r="R5" s="24"/>
      <c r="S5" s="24"/>
      <c r="T5" s="24"/>
      <c r="U5" s="24"/>
      <c r="V5" s="24"/>
    </row>
    <row r="6" spans="1:38" s="20" customFormat="1">
      <c r="A6" s="9"/>
      <c r="B6"/>
      <c r="C6" s="27" t="s">
        <v>7</v>
      </c>
      <c r="D6" s="28"/>
      <c r="E6" s="28"/>
      <c r="F6" s="170" t="s">
        <v>41</v>
      </c>
      <c r="G6" s="170"/>
      <c r="H6" s="170"/>
      <c r="I6" s="170"/>
      <c r="J6" s="170"/>
      <c r="K6" s="170"/>
      <c r="L6" s="171"/>
      <c r="M6" s="169" t="s">
        <v>43</v>
      </c>
      <c r="N6" s="170"/>
      <c r="O6" s="170"/>
      <c r="P6" s="170"/>
      <c r="Q6" s="170"/>
      <c r="R6" s="170"/>
      <c r="S6" s="171"/>
      <c r="T6" s="169" t="s">
        <v>9</v>
      </c>
      <c r="U6" s="170"/>
      <c r="V6" s="170"/>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c r="A9" s="9"/>
      <c r="B9" s="12"/>
      <c r="C9" s="31" t="s">
        <v>14</v>
      </c>
      <c r="D9" s="26"/>
      <c r="E9" s="32"/>
      <c r="F9" s="26"/>
      <c r="G9" s="26"/>
      <c r="H9" s="26"/>
      <c r="I9" s="26"/>
      <c r="J9" s="26"/>
      <c r="K9" s="26"/>
      <c r="L9" s="32"/>
      <c r="M9" s="26"/>
      <c r="N9" s="26"/>
      <c r="O9" s="26"/>
      <c r="P9" s="26"/>
      <c r="Q9" s="26"/>
      <c r="R9" s="26"/>
      <c r="S9" s="32"/>
      <c r="T9" s="26"/>
      <c r="U9" s="26"/>
      <c r="V9" s="26"/>
    </row>
    <row r="10" spans="1:38">
      <c r="A10" s="9"/>
      <c r="B10" s="12"/>
      <c r="C10" s="33"/>
      <c r="D10" s="26" t="s">
        <v>5</v>
      </c>
      <c r="E10" s="32"/>
      <c r="F10" s="68">
        <v>74</v>
      </c>
      <c r="G10" s="68">
        <v>0</v>
      </c>
      <c r="H10" s="68">
        <v>29</v>
      </c>
      <c r="I10" s="68">
        <v>62</v>
      </c>
      <c r="J10" s="64" t="str">
        <f t="shared" ref="J10:J28" si="0">IFERROR(F10/G10-1,"n/a")</f>
        <v>n/a</v>
      </c>
      <c r="K10" s="64">
        <f>IFERROR(F10/H10-1,"n/a")</f>
        <v>1.5517241379310347</v>
      </c>
      <c r="L10" s="60">
        <f>IFERROR(F10/I10-1,"n/a")</f>
        <v>0.19354838709677424</v>
      </c>
      <c r="M10" s="68">
        <v>197</v>
      </c>
      <c r="N10" s="68">
        <v>0</v>
      </c>
      <c r="O10" s="68">
        <v>145</v>
      </c>
      <c r="P10" s="68">
        <v>200</v>
      </c>
      <c r="Q10" s="64" t="str">
        <f>IFERROR(M10/N10-1,"n/a")</f>
        <v>n/a</v>
      </c>
      <c r="R10" s="64">
        <f>IFERROR(M10/O10-1,"n/a")</f>
        <v>0.35862068965517246</v>
      </c>
      <c r="S10" s="60">
        <f>IFERROR(M10/P10-1,"n/a")</f>
        <v>-1.5000000000000013E-2</v>
      </c>
      <c r="T10" s="68">
        <v>111</v>
      </c>
      <c r="U10" s="70">
        <v>145</v>
      </c>
      <c r="V10" s="70">
        <v>386</v>
      </c>
    </row>
    <row r="11" spans="1:38">
      <c r="A11" s="9"/>
      <c r="B11" s="12"/>
      <c r="C11" s="33"/>
      <c r="D11" s="26" t="s">
        <v>11</v>
      </c>
      <c r="E11" s="32"/>
      <c r="F11" s="68">
        <v>60824</v>
      </c>
      <c r="G11" s="68">
        <v>0</v>
      </c>
      <c r="H11" s="68">
        <v>48626</v>
      </c>
      <c r="I11" s="68">
        <v>108846</v>
      </c>
      <c r="J11" s="64" t="str">
        <f t="shared" si="0"/>
        <v>n/a</v>
      </c>
      <c r="K11" s="64">
        <f>IFERROR(F11/H11-1,"n/a")</f>
        <v>0.25085345288528771</v>
      </c>
      <c r="L11" s="60">
        <f>IFERROR(F11/I11-1,"n/a")</f>
        <v>-0.44119214302776399</v>
      </c>
      <c r="M11" s="68">
        <v>156328</v>
      </c>
      <c r="N11" s="68">
        <v>0</v>
      </c>
      <c r="O11" s="68">
        <v>258885</v>
      </c>
      <c r="P11" s="68">
        <v>385380</v>
      </c>
      <c r="Q11" s="64" t="str">
        <f>IFERROR(M11/N11-1,"n/a")</f>
        <v>n/a</v>
      </c>
      <c r="R11" s="64">
        <f>IFERROR(M11/O11-1,"n/a")</f>
        <v>-0.39614886918902215</v>
      </c>
      <c r="S11" s="60">
        <f>IFERROR(M11/P11-1,"n/a")</f>
        <v>-0.59435362499351285</v>
      </c>
      <c r="T11" s="68">
        <v>80863</v>
      </c>
      <c r="U11" s="70">
        <v>258885</v>
      </c>
      <c r="V11" s="70">
        <v>733296</v>
      </c>
    </row>
    <row r="12" spans="1:38">
      <c r="A12" s="9"/>
      <c r="B12" s="12"/>
      <c r="C12" s="31" t="s">
        <v>74</v>
      </c>
      <c r="D12" s="26"/>
      <c r="E12" s="32"/>
      <c r="F12" s="45"/>
      <c r="G12" s="45"/>
      <c r="H12" s="45"/>
      <c r="I12" s="45"/>
      <c r="J12" s="64"/>
      <c r="K12" s="64"/>
      <c r="L12" s="61"/>
      <c r="M12" s="43"/>
      <c r="N12" s="43"/>
      <c r="O12" s="43"/>
      <c r="P12" s="43"/>
      <c r="Q12" s="64"/>
      <c r="R12" s="65"/>
      <c r="S12" s="61"/>
      <c r="T12" s="43"/>
      <c r="U12" s="44"/>
      <c r="V12" s="44"/>
    </row>
    <row r="13" spans="1:38">
      <c r="A13" s="9"/>
      <c r="B13" s="12"/>
      <c r="C13" s="33"/>
      <c r="D13" s="26" t="s">
        <v>5</v>
      </c>
      <c r="E13" s="32"/>
      <c r="F13" s="68">
        <v>24</v>
      </c>
      <c r="G13" s="68">
        <v>0</v>
      </c>
      <c r="H13" s="68">
        <v>10</v>
      </c>
      <c r="I13" s="68">
        <v>44</v>
      </c>
      <c r="J13" s="64" t="str">
        <f t="shared" si="0"/>
        <v>n/a</v>
      </c>
      <c r="K13" s="64">
        <f>IFERROR(F13/H13-1,"n/a")</f>
        <v>1.4</v>
      </c>
      <c r="L13" s="60">
        <f>IFERROR(F13/I13-1,"n/a")</f>
        <v>-0.45454545454545459</v>
      </c>
      <c r="M13" s="68">
        <v>53</v>
      </c>
      <c r="N13" s="68">
        <v>0</v>
      </c>
      <c r="O13" s="68">
        <v>43</v>
      </c>
      <c r="P13" s="68">
        <v>89</v>
      </c>
      <c r="Q13" s="64" t="str">
        <f>IFERROR(M13/N13-1,"n/a")</f>
        <v>n/a</v>
      </c>
      <c r="R13" s="64">
        <f>IFERROR(M13/O13-1,"n/a")</f>
        <v>0.23255813953488369</v>
      </c>
      <c r="S13" s="60">
        <f>IFERROR(M13/P13-1,"n/a")</f>
        <v>-0.4044943820224719</v>
      </c>
      <c r="T13" s="68">
        <v>283</v>
      </c>
      <c r="U13" s="70">
        <v>43</v>
      </c>
      <c r="V13" s="70">
        <v>827</v>
      </c>
    </row>
    <row r="14" spans="1:38">
      <c r="A14" s="9"/>
      <c r="B14" s="12"/>
      <c r="C14" s="33"/>
      <c r="D14" s="26" t="s">
        <v>11</v>
      </c>
      <c r="E14" s="32"/>
      <c r="F14" s="68">
        <v>32594</v>
      </c>
      <c r="G14" s="68">
        <v>0</v>
      </c>
      <c r="H14" s="68">
        <v>28535</v>
      </c>
      <c r="I14" s="68">
        <v>117674</v>
      </c>
      <c r="J14" s="64" t="str">
        <f t="shared" si="0"/>
        <v>n/a</v>
      </c>
      <c r="K14" s="64">
        <f>IFERROR(F14/H14-1,"n/a")</f>
        <v>0.14224636411424574</v>
      </c>
      <c r="L14" s="60">
        <f>IFERROR(F14/I14-1,"n/a")</f>
        <v>-0.7230144296955997</v>
      </c>
      <c r="M14" s="68">
        <v>68454</v>
      </c>
      <c r="N14" s="68">
        <v>0</v>
      </c>
      <c r="O14" s="68">
        <v>140552</v>
      </c>
      <c r="P14" s="68">
        <v>251900</v>
      </c>
      <c r="Q14" s="64" t="str">
        <f>IFERROR(M14/N14-1,"n/a")</f>
        <v>n/a</v>
      </c>
      <c r="R14" s="64">
        <f>IFERROR(M14/O14-1,"n/a")</f>
        <v>-0.51296317377198475</v>
      </c>
      <c r="S14" s="60">
        <f>IFERROR(M14/P14-1,"n/a")</f>
        <v>-0.72824930527987297</v>
      </c>
      <c r="T14" s="68">
        <v>465109</v>
      </c>
      <c r="U14" s="70">
        <v>140552</v>
      </c>
      <c r="V14" s="70">
        <v>2552942</v>
      </c>
    </row>
    <row r="15" spans="1:38">
      <c r="A15" s="9"/>
      <c r="B15" s="12"/>
      <c r="C15" s="31" t="s">
        <v>15</v>
      </c>
      <c r="D15" s="26"/>
      <c r="E15" s="32"/>
      <c r="F15" s="43"/>
      <c r="G15" s="43"/>
      <c r="H15" s="43"/>
      <c r="I15" s="43"/>
      <c r="J15" s="64"/>
      <c r="K15" s="64"/>
      <c r="L15" s="60"/>
      <c r="M15" s="43"/>
      <c r="N15" s="43"/>
      <c r="O15" s="43"/>
      <c r="P15" s="43"/>
      <c r="Q15" s="64"/>
      <c r="R15" s="64"/>
      <c r="S15" s="60"/>
      <c r="T15" s="43"/>
      <c r="U15" s="44"/>
      <c r="V15" s="44"/>
    </row>
    <row r="16" spans="1:38">
      <c r="A16" s="9"/>
      <c r="B16" s="12"/>
      <c r="C16" s="33"/>
      <c r="D16" s="26" t="s">
        <v>5</v>
      </c>
      <c r="E16" s="32"/>
      <c r="F16" s="68">
        <v>5</v>
      </c>
      <c r="G16" s="68">
        <v>0</v>
      </c>
      <c r="H16" s="68">
        <v>2</v>
      </c>
      <c r="I16" s="68">
        <v>5</v>
      </c>
      <c r="J16" s="64" t="str">
        <f t="shared" si="0"/>
        <v>n/a</v>
      </c>
      <c r="K16" s="64">
        <f>IFERROR(F16/H16-1,"n/a")</f>
        <v>1.5</v>
      </c>
      <c r="L16" s="60">
        <f>IFERROR(F16/I16-1,"n/a")</f>
        <v>0</v>
      </c>
      <c r="M16" s="68">
        <v>10</v>
      </c>
      <c r="N16" s="68">
        <v>0</v>
      </c>
      <c r="O16" s="68">
        <v>3</v>
      </c>
      <c r="P16" s="68">
        <v>6</v>
      </c>
      <c r="Q16" s="64" t="str">
        <f>IFERROR(M16/N16-1,"n/a")</f>
        <v>n/a</v>
      </c>
      <c r="R16" s="64">
        <f>IFERROR(M16/O16-1,"n/a")</f>
        <v>2.3333333333333335</v>
      </c>
      <c r="S16" s="60">
        <f>IFERROR(M16/P16-1,"n/a")</f>
        <v>0.66666666666666674</v>
      </c>
      <c r="T16" s="68">
        <v>23</v>
      </c>
      <c r="U16" s="70">
        <v>4</v>
      </c>
      <c r="V16" s="70">
        <v>191</v>
      </c>
    </row>
    <row r="17" spans="1:38">
      <c r="A17" s="9"/>
      <c r="B17" s="12"/>
      <c r="C17" s="33"/>
      <c r="D17" s="26" t="s">
        <v>11</v>
      </c>
      <c r="E17" s="32"/>
      <c r="F17" s="68">
        <v>364</v>
      </c>
      <c r="G17" s="68">
        <v>0</v>
      </c>
      <c r="H17" s="68">
        <v>819</v>
      </c>
      <c r="I17" s="68">
        <v>4555</v>
      </c>
      <c r="J17" s="64" t="str">
        <f t="shared" si="0"/>
        <v>n/a</v>
      </c>
      <c r="K17" s="64">
        <f>IFERROR(F17/H17-1,"n/a")</f>
        <v>-0.55555555555555558</v>
      </c>
      <c r="L17" s="60">
        <f t="shared" ref="L17:L28" si="1">IFERROR(F17/I17-1,"n/a")</f>
        <v>-0.92008781558726671</v>
      </c>
      <c r="M17" s="68">
        <v>1472</v>
      </c>
      <c r="N17" s="68">
        <v>0</v>
      </c>
      <c r="O17" s="68">
        <v>1642</v>
      </c>
      <c r="P17" s="68">
        <v>5138</v>
      </c>
      <c r="Q17" s="64" t="str">
        <f>IFERROR(M17/N17-1,"n/a")</f>
        <v>n/a</v>
      </c>
      <c r="R17" s="64">
        <f>IFERROR(M17/O17-1,"n/a")</f>
        <v>-0.10353227771010964</v>
      </c>
      <c r="S17" s="60">
        <f>IFERROR(M17/P17-1,"n/a")</f>
        <v>-0.71350720124562084</v>
      </c>
      <c r="T17" s="68">
        <v>8611</v>
      </c>
      <c r="U17" s="70">
        <v>1753</v>
      </c>
      <c r="V17" s="70">
        <v>254421</v>
      </c>
    </row>
    <row r="18" spans="1:38">
      <c r="A18" s="9"/>
      <c r="B18" s="12"/>
      <c r="C18" s="31" t="s">
        <v>10</v>
      </c>
      <c r="D18" s="26"/>
      <c r="E18" s="34"/>
      <c r="F18" s="43"/>
      <c r="G18" s="43"/>
      <c r="H18" s="43"/>
      <c r="I18" s="43"/>
      <c r="J18" s="64"/>
      <c r="K18" s="64"/>
      <c r="L18" s="60"/>
      <c r="M18" s="43"/>
      <c r="N18" s="43"/>
      <c r="O18" s="43"/>
      <c r="P18" s="43"/>
      <c r="Q18" s="64"/>
      <c r="R18" s="64"/>
      <c r="S18" s="60"/>
      <c r="T18" s="43"/>
      <c r="U18" s="44"/>
      <c r="V18" s="44"/>
    </row>
    <row r="19" spans="1:38">
      <c r="A19" s="9"/>
      <c r="B19" s="12"/>
      <c r="C19" s="33"/>
      <c r="D19" s="26" t="s">
        <v>5</v>
      </c>
      <c r="E19" s="34"/>
      <c r="F19" s="68">
        <v>130</v>
      </c>
      <c r="G19" s="68">
        <v>0</v>
      </c>
      <c r="H19" s="68">
        <v>118</v>
      </c>
      <c r="I19" s="68">
        <v>108</v>
      </c>
      <c r="J19" s="64" t="str">
        <f t="shared" si="0"/>
        <v>n/a</v>
      </c>
      <c r="K19" s="64">
        <f>IFERROR(F19/H19-1,"n/a")</f>
        <v>0.10169491525423724</v>
      </c>
      <c r="L19" s="60">
        <f t="shared" si="1"/>
        <v>0.20370370370370372</v>
      </c>
      <c r="M19" s="68">
        <v>333</v>
      </c>
      <c r="N19" s="68">
        <v>0</v>
      </c>
      <c r="O19" s="68">
        <v>364</v>
      </c>
      <c r="P19" s="68">
        <v>316</v>
      </c>
      <c r="Q19" s="64" t="str">
        <f>IFERROR(M19/N19-1,"n/a")</f>
        <v>n/a</v>
      </c>
      <c r="R19" s="64">
        <f>IFERROR(M19/O19-1,"n/a")</f>
        <v>-8.5164835164835195E-2</v>
      </c>
      <c r="S19" s="60">
        <f>IFERROR(M19/P19-1,"n/a")</f>
        <v>5.3797468354430444E-2</v>
      </c>
      <c r="T19" s="68">
        <v>411</v>
      </c>
      <c r="U19" s="70">
        <v>406</v>
      </c>
      <c r="V19" s="70">
        <v>1205</v>
      </c>
    </row>
    <row r="20" spans="1:38">
      <c r="A20" s="9"/>
      <c r="B20" s="12"/>
      <c r="C20" s="33"/>
      <c r="D20" s="26" t="s">
        <v>11</v>
      </c>
      <c r="E20" s="32"/>
      <c r="F20" s="68">
        <v>283677</v>
      </c>
      <c r="G20" s="68">
        <v>0</v>
      </c>
      <c r="H20" s="68">
        <v>147660</v>
      </c>
      <c r="I20" s="68">
        <v>391750</v>
      </c>
      <c r="J20" s="64" t="str">
        <f t="shared" si="0"/>
        <v>n/a</v>
      </c>
      <c r="K20" s="64">
        <f>IFERROR(F20/H20-1,"n/a")</f>
        <v>0.92114993904916709</v>
      </c>
      <c r="L20" s="60">
        <f t="shared" si="1"/>
        <v>-0.27587236758136569</v>
      </c>
      <c r="M20" s="68">
        <v>603330</v>
      </c>
      <c r="N20" s="68">
        <v>0</v>
      </c>
      <c r="O20" s="68">
        <v>833999</v>
      </c>
      <c r="P20" s="68">
        <v>1065724</v>
      </c>
      <c r="Q20" s="64" t="str">
        <f>IFERROR(M20/N20-1,"n/a")</f>
        <v>n/a</v>
      </c>
      <c r="R20" s="64">
        <f>IFERROR(M20/O20-1,"n/a")</f>
        <v>-0.27658186640511562</v>
      </c>
      <c r="S20" s="60">
        <f>IFERROR(M20/P20-1,"n/a")</f>
        <v>-0.43387781451858076</v>
      </c>
      <c r="T20" s="68">
        <v>687449</v>
      </c>
      <c r="U20" s="70">
        <v>833999</v>
      </c>
      <c r="V20" s="70">
        <v>3859183</v>
      </c>
    </row>
    <row r="21" spans="1:38">
      <c r="A21" s="9"/>
      <c r="B21" s="12"/>
      <c r="C21" s="31" t="s">
        <v>16</v>
      </c>
      <c r="D21" s="26"/>
      <c r="E21" s="32"/>
      <c r="F21" s="43"/>
      <c r="G21" s="43"/>
      <c r="H21" s="43"/>
      <c r="I21" s="43"/>
      <c r="J21" s="64"/>
      <c r="K21" s="64"/>
      <c r="L21" s="60"/>
      <c r="M21" s="43"/>
      <c r="N21" s="43"/>
      <c r="O21" s="43"/>
      <c r="P21" s="43"/>
      <c r="Q21" s="64"/>
      <c r="R21" s="64"/>
      <c r="S21" s="60"/>
      <c r="T21" s="43"/>
      <c r="U21" s="44"/>
      <c r="V21" s="44"/>
    </row>
    <row r="22" spans="1:38">
      <c r="A22" s="9"/>
      <c r="B22" s="12"/>
      <c r="C22" s="33"/>
      <c r="D22" s="26" t="s">
        <v>5</v>
      </c>
      <c r="E22" s="32"/>
      <c r="F22" s="68">
        <v>14</v>
      </c>
      <c r="G22" s="68">
        <v>4</v>
      </c>
      <c r="H22" s="68">
        <v>1</v>
      </c>
      <c r="I22" s="68">
        <v>9</v>
      </c>
      <c r="J22" s="64">
        <f t="shared" si="0"/>
        <v>2.5</v>
      </c>
      <c r="K22" s="64">
        <f>IFERROR(F22/H22-1,"n/a")</f>
        <v>13</v>
      </c>
      <c r="L22" s="60">
        <f t="shared" si="1"/>
        <v>0.55555555555555558</v>
      </c>
      <c r="M22" s="68">
        <v>23</v>
      </c>
      <c r="N22" s="68">
        <v>9</v>
      </c>
      <c r="O22" s="68">
        <v>9</v>
      </c>
      <c r="P22" s="68">
        <v>20</v>
      </c>
      <c r="Q22" s="64">
        <f>IFERROR(M22/N22-1,"n/a")</f>
        <v>1.5555555555555554</v>
      </c>
      <c r="R22" s="64">
        <f>IFERROR(M22/O22-1,"n/a")</f>
        <v>1.5555555555555554</v>
      </c>
      <c r="S22" s="60">
        <f>IFERROR(M22/P22-1,"n/a")</f>
        <v>0.14999999999999991</v>
      </c>
      <c r="T22" s="68">
        <v>107</v>
      </c>
      <c r="U22" s="70">
        <v>32</v>
      </c>
      <c r="V22" s="70">
        <v>372</v>
      </c>
    </row>
    <row r="23" spans="1:38">
      <c r="A23" s="9"/>
      <c r="B23" s="12"/>
      <c r="C23" s="33"/>
      <c r="D23" s="26" t="s">
        <v>11</v>
      </c>
      <c r="E23" s="32"/>
      <c r="F23" s="68">
        <v>19157</v>
      </c>
      <c r="G23" s="68">
        <v>3290</v>
      </c>
      <c r="H23" s="68">
        <v>565</v>
      </c>
      <c r="I23" s="68">
        <v>31670</v>
      </c>
      <c r="J23" s="64">
        <f t="shared" si="0"/>
        <v>4.8227963525835866</v>
      </c>
      <c r="K23" s="64">
        <f>IFERROR(F23/H23-1,"n/a")</f>
        <v>32.906194690265487</v>
      </c>
      <c r="L23" s="60">
        <f t="shared" si="1"/>
        <v>-0.39510577833912219</v>
      </c>
      <c r="M23" s="68">
        <v>26521</v>
      </c>
      <c r="N23" s="68">
        <v>7964</v>
      </c>
      <c r="O23" s="68">
        <v>40221</v>
      </c>
      <c r="P23" s="68">
        <v>76275</v>
      </c>
      <c r="Q23" s="64">
        <f>IFERROR(M23/N23-1,"n/a")</f>
        <v>2.3301104972375692</v>
      </c>
      <c r="R23" s="64">
        <f>IFERROR(M23/O23-1,"n/a")</f>
        <v>-0.34061808507993341</v>
      </c>
      <c r="S23" s="60">
        <f>IFERROR(M23/P23-1,"n/a")</f>
        <v>-0.65229760734185516</v>
      </c>
      <c r="T23" s="68">
        <v>147132</v>
      </c>
      <c r="U23" s="70">
        <v>59180</v>
      </c>
      <c r="V23" s="70">
        <v>902015</v>
      </c>
    </row>
    <row r="24" spans="1:38">
      <c r="A24" s="9"/>
      <c r="B24" s="12"/>
      <c r="C24" s="31" t="s">
        <v>17</v>
      </c>
      <c r="D24" s="26"/>
      <c r="E24" s="32"/>
      <c r="F24" s="43"/>
      <c r="G24" s="43"/>
      <c r="H24" s="43"/>
      <c r="I24" s="43"/>
      <c r="J24" s="64"/>
      <c r="K24" s="64"/>
      <c r="L24" s="60"/>
      <c r="M24" s="43"/>
      <c r="N24" s="43"/>
      <c r="O24" s="43"/>
      <c r="P24" s="43"/>
      <c r="Q24" s="64"/>
      <c r="R24" s="64"/>
      <c r="S24" s="60"/>
      <c r="T24" s="43"/>
      <c r="U24" s="44"/>
      <c r="V24" s="44"/>
    </row>
    <row r="25" spans="1:38">
      <c r="B25" s="12"/>
      <c r="C25" s="33"/>
      <c r="D25" s="26" t="s">
        <v>5</v>
      </c>
      <c r="E25" s="32"/>
      <c r="F25" s="68">
        <v>14</v>
      </c>
      <c r="G25" s="68">
        <v>1</v>
      </c>
      <c r="H25" s="68">
        <v>0</v>
      </c>
      <c r="I25" s="68">
        <v>1</v>
      </c>
      <c r="J25" s="64">
        <f t="shared" si="0"/>
        <v>13</v>
      </c>
      <c r="K25" s="64" t="str">
        <f>IFERROR(F25/H25-1,"n/a")</f>
        <v>n/a</v>
      </c>
      <c r="L25" s="60">
        <f t="shared" si="1"/>
        <v>13</v>
      </c>
      <c r="M25" s="68">
        <v>16</v>
      </c>
      <c r="N25" s="68">
        <v>3</v>
      </c>
      <c r="O25" s="68">
        <v>1</v>
      </c>
      <c r="P25" s="68">
        <v>4</v>
      </c>
      <c r="Q25" s="64">
        <f>IFERROR(M25/N25-1,"n/a")</f>
        <v>4.333333333333333</v>
      </c>
      <c r="R25" s="64">
        <f>IFERROR(M25/O25-1,"n/a")</f>
        <v>15</v>
      </c>
      <c r="S25" s="60">
        <f>IFERROR(M25/P25-1,"n/a")</f>
        <v>3</v>
      </c>
      <c r="T25" s="68">
        <v>127</v>
      </c>
      <c r="U25" s="70">
        <v>37</v>
      </c>
      <c r="V25" s="70">
        <f>282+81</f>
        <v>363</v>
      </c>
    </row>
    <row r="26" spans="1:38">
      <c r="A26" s="9"/>
      <c r="B26" s="12"/>
      <c r="C26" s="33"/>
      <c r="D26" s="26" t="s">
        <v>11</v>
      </c>
      <c r="E26" s="32"/>
      <c r="F26" s="68">
        <f>8889+728</f>
        <v>9617</v>
      </c>
      <c r="G26" s="68">
        <v>856</v>
      </c>
      <c r="H26" s="68">
        <v>0</v>
      </c>
      <c r="I26" s="68">
        <v>1452</v>
      </c>
      <c r="J26" s="64">
        <f t="shared" si="0"/>
        <v>10.234813084112149</v>
      </c>
      <c r="K26" s="64" t="str">
        <f>IFERROR(F26/H26-1,"n/a")</f>
        <v>n/a</v>
      </c>
      <c r="L26" s="60">
        <f t="shared" si="1"/>
        <v>5.6232782369146008</v>
      </c>
      <c r="M26" s="68">
        <f>10872+728</f>
        <v>11600</v>
      </c>
      <c r="N26" s="68">
        <v>2139</v>
      </c>
      <c r="O26" s="68">
        <v>892</v>
      </c>
      <c r="P26" s="68">
        <v>6109</v>
      </c>
      <c r="Q26" s="64">
        <f>IFERROR(M26/N26-1,"n/a")</f>
        <v>4.4230949041608225</v>
      </c>
      <c r="R26" s="64">
        <f>IFERROR(M26/O26-1,"n/a")</f>
        <v>12.004484304932735</v>
      </c>
      <c r="S26" s="60">
        <f>IFERROR(M26/P26-1,"n/a")</f>
        <v>0.89883778032411188</v>
      </c>
      <c r="T26" s="68">
        <v>165083</v>
      </c>
      <c r="U26" s="70">
        <f>20768+8294</f>
        <v>29062</v>
      </c>
      <c r="V26" s="70">
        <f>659951+168729+38484</f>
        <v>867164</v>
      </c>
    </row>
    <row r="27" spans="1:38" ht="15.75" thickBot="1">
      <c r="A27" s="9"/>
      <c r="B27" s="12"/>
      <c r="C27" s="35" t="s">
        <v>12</v>
      </c>
      <c r="D27" s="36"/>
      <c r="E27" s="37"/>
      <c r="F27" s="46">
        <f t="shared" ref="F27:I28" si="2">F10+F13+F16+F19+F22+F25</f>
        <v>261</v>
      </c>
      <c r="G27" s="46">
        <f t="shared" si="2"/>
        <v>5</v>
      </c>
      <c r="H27" s="46">
        <f t="shared" si="2"/>
        <v>160</v>
      </c>
      <c r="I27" s="46">
        <f t="shared" si="2"/>
        <v>229</v>
      </c>
      <c r="J27" s="66">
        <f t="shared" si="0"/>
        <v>51.2</v>
      </c>
      <c r="K27" s="66">
        <f>IFERROR(F27/H27-1,"n/a")</f>
        <v>0.63125000000000009</v>
      </c>
      <c r="L27" s="62">
        <f t="shared" si="1"/>
        <v>0.13973799126637565</v>
      </c>
      <c r="M27" s="46">
        <f t="shared" ref="M27:P28" si="3">M10+M13+M16+M19+M22+M25</f>
        <v>632</v>
      </c>
      <c r="N27" s="46">
        <f t="shared" si="3"/>
        <v>12</v>
      </c>
      <c r="O27" s="46">
        <f t="shared" si="3"/>
        <v>565</v>
      </c>
      <c r="P27" s="46">
        <f t="shared" si="3"/>
        <v>635</v>
      </c>
      <c r="Q27" s="66">
        <f>IFERROR(M27/N27-1,"n/a")</f>
        <v>51.666666666666664</v>
      </c>
      <c r="R27" s="66">
        <f>IFERROR(M27/O27-1,"n/a")</f>
        <v>0.11858407079646027</v>
      </c>
      <c r="S27" s="62">
        <f>IFERROR(M27/P27-1,"n/a")</f>
        <v>-4.7244094488189115E-3</v>
      </c>
      <c r="T27" s="46">
        <f t="shared" ref="T27:V28" si="4">T10+T13+T16+T19+T22+T25</f>
        <v>1062</v>
      </c>
      <c r="U27" s="46">
        <f t="shared" si="4"/>
        <v>667</v>
      </c>
      <c r="V27" s="46">
        <f t="shared" si="4"/>
        <v>3344</v>
      </c>
    </row>
    <row r="28" spans="1:38" s="22" customFormat="1" ht="16.5" thickTop="1" thickBot="1">
      <c r="A28" s="9"/>
      <c r="B28" s="12"/>
      <c r="C28" s="38" t="s">
        <v>13</v>
      </c>
      <c r="D28" s="39"/>
      <c r="E28" s="40"/>
      <c r="F28" s="47">
        <f t="shared" si="2"/>
        <v>406233</v>
      </c>
      <c r="G28" s="47">
        <f t="shared" si="2"/>
        <v>4146</v>
      </c>
      <c r="H28" s="47">
        <f t="shared" si="2"/>
        <v>226205</v>
      </c>
      <c r="I28" s="47">
        <f t="shared" si="2"/>
        <v>655947</v>
      </c>
      <c r="J28" s="67">
        <f t="shared" si="0"/>
        <v>96.981910274963823</v>
      </c>
      <c r="K28" s="67">
        <f>IFERROR(F28/H28-1,"n/a")</f>
        <v>0.79586216042969871</v>
      </c>
      <c r="L28" s="63">
        <f t="shared" si="1"/>
        <v>-0.38069234252157569</v>
      </c>
      <c r="M28" s="47">
        <f t="shared" si="3"/>
        <v>867705</v>
      </c>
      <c r="N28" s="47">
        <f t="shared" si="3"/>
        <v>10103</v>
      </c>
      <c r="O28" s="47">
        <f t="shared" si="3"/>
        <v>1276191</v>
      </c>
      <c r="P28" s="47">
        <f t="shared" si="3"/>
        <v>1790526</v>
      </c>
      <c r="Q28" s="67">
        <f>IFERROR(M28/N28-1,"n/a")</f>
        <v>84.88587548252994</v>
      </c>
      <c r="R28" s="67">
        <f>IFERROR(M28/O28-1,"n/a")</f>
        <v>-0.32008218205582084</v>
      </c>
      <c r="S28" s="63">
        <f>IFERROR(M28/P28-1,"n/a")</f>
        <v>-0.51539100800546878</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idden="1">
      <c r="A30" s="9"/>
      <c r="B30" s="9"/>
      <c r="C30" s="9"/>
      <c r="D30" s="9"/>
      <c r="E30" s="9"/>
      <c r="F30" s="9"/>
      <c r="G30" s="41"/>
      <c r="H30" s="41"/>
      <c r="I30" s="41"/>
      <c r="J30" s="41"/>
      <c r="K30" s="9"/>
      <c r="L30" s="9"/>
      <c r="M30" s="9"/>
      <c r="N30" s="9"/>
      <c r="O30" s="9"/>
      <c r="P30" s="9"/>
      <c r="Q30" s="9"/>
      <c r="R30" s="9"/>
      <c r="S30" s="9"/>
      <c r="T30" s="9"/>
      <c r="U30" s="9"/>
      <c r="V30" s="9"/>
    </row>
    <row r="31" spans="1:38" hidden="1">
      <c r="A31" s="9"/>
      <c r="B31" s="9"/>
      <c r="C31" s="9"/>
      <c r="D31" s="9"/>
      <c r="E31" s="9"/>
      <c r="F31" s="9"/>
      <c r="G31" s="41"/>
      <c r="H31" s="41"/>
      <c r="I31" s="41"/>
      <c r="J31" s="41"/>
      <c r="K31" s="9"/>
      <c r="L31" s="9"/>
      <c r="M31" s="9"/>
      <c r="N31" s="9"/>
      <c r="O31" s="9"/>
      <c r="P31" s="9"/>
      <c r="Q31" s="9"/>
      <c r="R31" s="9"/>
      <c r="S31" s="9"/>
      <c r="T31" s="9"/>
      <c r="U31" s="9"/>
      <c r="V31" s="9"/>
    </row>
    <row r="32" spans="1:38" hidden="1">
      <c r="A32" s="9"/>
      <c r="B32" s="9"/>
      <c r="C32" s="9"/>
      <c r="D32" s="9"/>
      <c r="E32" s="9"/>
      <c r="F32" s="9"/>
      <c r="G32" s="41"/>
      <c r="H32" s="41"/>
      <c r="I32" s="41"/>
      <c r="J32" s="41"/>
      <c r="K32" s="9"/>
      <c r="L32" s="9"/>
      <c r="M32" s="9"/>
      <c r="N32" s="9"/>
      <c r="O32" s="9"/>
      <c r="P32" s="9"/>
      <c r="Q32" s="9"/>
      <c r="R32" s="9"/>
      <c r="S32" s="9"/>
      <c r="T32" s="9"/>
      <c r="U32" s="9"/>
      <c r="V32" s="9"/>
    </row>
    <row r="33" spans="7:10" s="9" customFormat="1" hidden="1">
      <c r="G33" s="41"/>
      <c r="H33" s="41"/>
      <c r="I33" s="41"/>
      <c r="J33" s="41"/>
    </row>
    <row r="34" spans="7:10" s="9" customFormat="1" hidden="1">
      <c r="G34" s="41"/>
      <c r="H34" s="41"/>
      <c r="I34" s="41"/>
      <c r="J34" s="41"/>
    </row>
    <row r="35" spans="7:10" s="9" customFormat="1" hidden="1">
      <c r="G35" s="41"/>
      <c r="H35" s="41"/>
      <c r="I35" s="41"/>
      <c r="J35" s="41"/>
    </row>
    <row r="36" spans="7:10" s="9" customFormat="1" hidden="1">
      <c r="G36" s="41"/>
      <c r="H36" s="41"/>
      <c r="I36" s="41"/>
      <c r="J36" s="41"/>
    </row>
    <row r="37" spans="7:10" s="9" customFormat="1" hidden="1">
      <c r="G37" s="41"/>
      <c r="H37" s="41"/>
      <c r="I37" s="41"/>
      <c r="J37" s="41"/>
    </row>
    <row r="38" spans="7:10" s="9" customFormat="1" hidden="1">
      <c r="G38" s="41"/>
      <c r="H38" s="41"/>
      <c r="I38" s="41"/>
      <c r="J38" s="41"/>
    </row>
    <row r="39" spans="7:10" s="9" customFormat="1" hidden="1">
      <c r="G39" s="41"/>
      <c r="H39" s="41"/>
      <c r="I39" s="41"/>
      <c r="J39" s="41"/>
    </row>
    <row r="40" spans="7:10" s="9" customFormat="1" hidden="1">
      <c r="G40" s="41"/>
      <c r="H40" s="41"/>
      <c r="I40" s="41"/>
      <c r="J40" s="41"/>
    </row>
    <row r="41" spans="7:10" s="9" customFormat="1" hidden="1">
      <c r="G41" s="41"/>
      <c r="H41" s="41"/>
      <c r="I41" s="41"/>
      <c r="J41" s="41"/>
    </row>
    <row r="42" spans="7:10" s="9" customFormat="1" hidden="1">
      <c r="G42" s="41"/>
      <c r="H42" s="41"/>
      <c r="I42" s="41"/>
      <c r="J42" s="41"/>
    </row>
    <row r="43" spans="7:10" s="9" customFormat="1" hidden="1">
      <c r="G43" s="41"/>
      <c r="H43" s="41"/>
      <c r="I43" s="41"/>
      <c r="J43" s="41"/>
    </row>
    <row r="44" spans="7:10" s="9" customFormat="1" hidden="1">
      <c r="G44" s="41"/>
      <c r="H44" s="41"/>
      <c r="I44" s="41"/>
      <c r="J44" s="41"/>
    </row>
    <row r="45" spans="7:10" s="9" customFormat="1" hidden="1">
      <c r="G45" s="41"/>
      <c r="H45" s="41"/>
      <c r="I45" s="41"/>
      <c r="J45" s="41"/>
    </row>
    <row r="46" spans="7:10" s="9" customFormat="1" hidden="1">
      <c r="G46" s="41"/>
      <c r="H46" s="41"/>
      <c r="I46" s="41"/>
      <c r="J46" s="41"/>
    </row>
    <row r="47" spans="7:10" s="9" customFormat="1" hidden="1">
      <c r="G47" s="41"/>
      <c r="H47" s="41"/>
      <c r="I47" s="41"/>
      <c r="J47" s="41"/>
    </row>
    <row r="48" spans="7:10" s="9" customFormat="1" hidden="1"/>
  </sheetData>
  <customSheetViews>
    <customSheetView guid="{5F6D01E3-9E6F-4D7F-980F-63899AF95899}" scale="79" showGridLines="0" fitToPage="1" hiddenRows="1" hiddenColumns="1">
      <pageMargins left="0.7" right="0.7" top="0.75" bottom="0.75" header="0.3" footer="0.3"/>
      <pageSetup paperSize="9" scale="85" orientation="landscape" horizontalDpi="4294967293" verticalDpi="4294967293" r:id="rId1"/>
    </customSheetView>
  </customSheetViews>
  <mergeCells count="3">
    <mergeCell ref="F6:L6"/>
    <mergeCell ref="M6:S6"/>
    <mergeCell ref="T6:V6"/>
  </mergeCells>
  <pageMargins left="0.7" right="0.7" top="0.75" bottom="0.75" header="0.3" footer="0.3"/>
  <pageSetup paperSize="9" scale="85" orientation="landscape" horizontalDpi="4294967293" verticalDpi="4294967293" r:id="rId2"/>
  <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pageSetUpPr fitToPage="1"/>
  </sheetPr>
  <dimension ref="A1:AL48"/>
  <sheetViews>
    <sheetView showGridLines="0" zoomScaleNormal="100" workbookViewId="0"/>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8.5703125" customWidth="1"/>
    <col min="11" max="12" width="9.140625" customWidth="1"/>
    <col min="13" max="13" width="10.85546875"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40</v>
      </c>
      <c r="F4" s="24"/>
      <c r="G4" s="24"/>
      <c r="H4" s="24"/>
      <c r="I4" s="24"/>
      <c r="J4" s="24"/>
      <c r="K4" s="24"/>
      <c r="L4" s="24"/>
      <c r="M4" s="24"/>
      <c r="N4" s="24"/>
      <c r="O4" s="24"/>
      <c r="P4" s="24"/>
      <c r="Q4" s="24"/>
      <c r="R4" s="24"/>
      <c r="S4" s="24"/>
      <c r="T4" s="24"/>
      <c r="U4" s="24"/>
      <c r="V4" s="24"/>
    </row>
    <row r="5" spans="1:38">
      <c r="A5" s="9"/>
      <c r="B5" s="10"/>
      <c r="C5" s="24"/>
      <c r="D5" s="24"/>
      <c r="E5" s="24"/>
      <c r="F5" s="24"/>
      <c r="G5" s="24"/>
      <c r="H5" s="24"/>
      <c r="I5" s="24"/>
      <c r="J5" s="24"/>
      <c r="K5" s="24"/>
      <c r="L5" s="24"/>
      <c r="M5" s="24"/>
      <c r="N5" s="24"/>
      <c r="O5" s="24"/>
      <c r="P5" s="24"/>
      <c r="Q5" s="24"/>
      <c r="R5" s="24"/>
      <c r="S5" s="24"/>
      <c r="T5" s="24"/>
      <c r="U5" s="24"/>
      <c r="V5" s="24"/>
    </row>
    <row r="6" spans="1:38" s="20" customFormat="1">
      <c r="A6" s="9"/>
      <c r="B6"/>
      <c r="C6" s="27" t="s">
        <v>7</v>
      </c>
      <c r="D6" s="28"/>
      <c r="E6" s="28"/>
      <c r="F6" s="170" t="s">
        <v>39</v>
      </c>
      <c r="G6" s="170"/>
      <c r="H6" s="170"/>
      <c r="I6" s="170"/>
      <c r="J6" s="170"/>
      <c r="K6" s="170"/>
      <c r="L6" s="171"/>
      <c r="M6" s="169" t="s">
        <v>38</v>
      </c>
      <c r="N6" s="170"/>
      <c r="O6" s="170"/>
      <c r="P6" s="170"/>
      <c r="Q6" s="170"/>
      <c r="R6" s="170"/>
      <c r="S6" s="171"/>
      <c r="T6" s="169" t="s">
        <v>9</v>
      </c>
      <c r="U6" s="170"/>
      <c r="V6" s="170"/>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c r="A9" s="9"/>
      <c r="B9" s="12"/>
      <c r="C9" s="31" t="s">
        <v>14</v>
      </c>
      <c r="D9" s="26"/>
      <c r="E9" s="32"/>
      <c r="F9" s="26"/>
      <c r="G9" s="26"/>
      <c r="H9" s="26"/>
      <c r="I9" s="26"/>
      <c r="J9" s="26"/>
      <c r="K9" s="26"/>
      <c r="L9" s="32"/>
      <c r="M9" s="26"/>
      <c r="N9" s="26"/>
      <c r="O9" s="26"/>
      <c r="P9" s="26"/>
      <c r="Q9" s="26"/>
      <c r="R9" s="26"/>
      <c r="S9" s="32"/>
      <c r="T9" s="26"/>
      <c r="U9" s="26"/>
      <c r="V9" s="26"/>
    </row>
    <row r="10" spans="1:38">
      <c r="A10" s="9"/>
      <c r="B10" s="12"/>
      <c r="C10" s="33"/>
      <c r="D10" s="26" t="s">
        <v>5</v>
      </c>
      <c r="E10" s="32"/>
      <c r="F10" s="68">
        <v>59</v>
      </c>
      <c r="G10" s="68">
        <v>0</v>
      </c>
      <c r="H10" s="68">
        <v>55</v>
      </c>
      <c r="I10" s="68">
        <v>62</v>
      </c>
      <c r="J10" s="64" t="str">
        <f t="shared" ref="J10:J28" si="0">IFERROR(F10/G10-1,"n/a")</f>
        <v>n/a</v>
      </c>
      <c r="K10" s="64">
        <f>IFERROR(F10/H10-1,"n/a")</f>
        <v>7.2727272727272751E-2</v>
      </c>
      <c r="L10" s="60">
        <f>IFERROR(F10/I10-1,"n/a")</f>
        <v>-4.8387096774193505E-2</v>
      </c>
      <c r="M10" s="68">
        <v>123</v>
      </c>
      <c r="N10" s="68">
        <v>0</v>
      </c>
      <c r="O10" s="68">
        <v>116</v>
      </c>
      <c r="P10" s="68">
        <v>138</v>
      </c>
      <c r="Q10" s="64" t="str">
        <f>IFERROR(M10/N10-1,"n/a")</f>
        <v>n/a</v>
      </c>
      <c r="R10" s="64">
        <f>IFERROR(M10/O10-1,"n/a")</f>
        <v>6.0344827586206851E-2</v>
      </c>
      <c r="S10" s="60">
        <f>IFERROR(M10/P10-1,"n/a")</f>
        <v>-0.10869565217391308</v>
      </c>
      <c r="T10" s="68">
        <v>111</v>
      </c>
      <c r="U10" s="70">
        <v>145</v>
      </c>
      <c r="V10" s="70">
        <v>386</v>
      </c>
    </row>
    <row r="11" spans="1:38">
      <c r="A11" s="9"/>
      <c r="B11" s="12"/>
      <c r="C11" s="33"/>
      <c r="D11" s="26" t="s">
        <v>11</v>
      </c>
      <c r="E11" s="32"/>
      <c r="F11" s="68">
        <v>44710</v>
      </c>
      <c r="G11" s="68">
        <v>0</v>
      </c>
      <c r="H11" s="68">
        <v>101463</v>
      </c>
      <c r="I11" s="68">
        <v>119668</v>
      </c>
      <c r="J11" s="64" t="str">
        <f t="shared" si="0"/>
        <v>n/a</v>
      </c>
      <c r="K11" s="64">
        <f>IFERROR(F11/H11-1,"n/a")</f>
        <v>-0.55934675694588176</v>
      </c>
      <c r="L11" s="60">
        <f>IFERROR(F11/I11-1,"n/a")</f>
        <v>-0.62638299294715383</v>
      </c>
      <c r="M11" s="68">
        <v>95504</v>
      </c>
      <c r="N11" s="68">
        <v>0</v>
      </c>
      <c r="O11" s="68">
        <v>210259</v>
      </c>
      <c r="P11" s="68">
        <v>276534</v>
      </c>
      <c r="Q11" s="64" t="str">
        <f>IFERROR(M11/N11-1,"n/a")</f>
        <v>n/a</v>
      </c>
      <c r="R11" s="64">
        <f>IFERROR(M11/O11-1,"n/a")</f>
        <v>-0.54577925320675935</v>
      </c>
      <c r="S11" s="60">
        <f>IFERROR(M11/P11-1,"n/a")</f>
        <v>-0.65463921253806046</v>
      </c>
      <c r="T11" s="68">
        <v>80863</v>
      </c>
      <c r="U11" s="70">
        <v>258885</v>
      </c>
      <c r="V11" s="70">
        <v>733296</v>
      </c>
    </row>
    <row r="12" spans="1:38">
      <c r="A12" s="9"/>
      <c r="B12" s="12"/>
      <c r="C12" s="31" t="s">
        <v>74</v>
      </c>
      <c r="D12" s="26"/>
      <c r="E12" s="32"/>
      <c r="F12" s="45"/>
      <c r="G12" s="45"/>
      <c r="H12" s="45"/>
      <c r="I12" s="45"/>
      <c r="J12" s="64"/>
      <c r="K12" s="64"/>
      <c r="L12" s="61"/>
      <c r="M12" s="43"/>
      <c r="N12" s="43"/>
      <c r="O12" s="43"/>
      <c r="P12" s="43"/>
      <c r="Q12" s="64"/>
      <c r="R12" s="65"/>
      <c r="S12" s="61"/>
      <c r="T12" s="43"/>
      <c r="U12" s="44"/>
      <c r="V12" s="44"/>
    </row>
    <row r="13" spans="1:38">
      <c r="A13" s="9"/>
      <c r="B13" s="12"/>
      <c r="C13" s="33"/>
      <c r="D13" s="26" t="s">
        <v>5</v>
      </c>
      <c r="E13" s="32"/>
      <c r="F13" s="68">
        <v>13</v>
      </c>
      <c r="G13" s="68">
        <v>0</v>
      </c>
      <c r="H13" s="68">
        <v>14</v>
      </c>
      <c r="I13" s="68">
        <v>21</v>
      </c>
      <c r="J13" s="64" t="str">
        <f t="shared" si="0"/>
        <v>n/a</v>
      </c>
      <c r="K13" s="64">
        <f>IFERROR(F13/H13-1,"n/a")</f>
        <v>-7.1428571428571397E-2</v>
      </c>
      <c r="L13" s="60">
        <f>IFERROR(F13/I13-1,"n/a")</f>
        <v>-0.38095238095238093</v>
      </c>
      <c r="M13" s="68">
        <v>29</v>
      </c>
      <c r="N13" s="68">
        <v>0</v>
      </c>
      <c r="O13" s="68">
        <v>33</v>
      </c>
      <c r="P13" s="68">
        <v>45</v>
      </c>
      <c r="Q13" s="64" t="str">
        <f>IFERROR(M13/N13-1,"n/a")</f>
        <v>n/a</v>
      </c>
      <c r="R13" s="64">
        <f>IFERROR(M13/O13-1,"n/a")</f>
        <v>-0.12121212121212122</v>
      </c>
      <c r="S13" s="60">
        <f>IFERROR(M13/P13-1,"n/a")</f>
        <v>-0.35555555555555551</v>
      </c>
      <c r="T13" s="68">
        <v>283</v>
      </c>
      <c r="U13" s="70">
        <v>43</v>
      </c>
      <c r="V13" s="70">
        <v>827</v>
      </c>
    </row>
    <row r="14" spans="1:38">
      <c r="A14" s="9"/>
      <c r="B14" s="12"/>
      <c r="C14" s="33"/>
      <c r="D14" s="26" t="s">
        <v>11</v>
      </c>
      <c r="E14" s="32"/>
      <c r="F14" s="68">
        <v>14032</v>
      </c>
      <c r="G14" s="68">
        <v>0</v>
      </c>
      <c r="H14" s="68">
        <v>47023</v>
      </c>
      <c r="I14" s="68">
        <v>59703</v>
      </c>
      <c r="J14" s="64" t="str">
        <f t="shared" si="0"/>
        <v>n/a</v>
      </c>
      <c r="K14" s="64">
        <f>IFERROR(F14/H14-1,"n/a")</f>
        <v>-0.70159283754758306</v>
      </c>
      <c r="L14" s="60">
        <f>IFERROR(F14/I14-1,"n/a")</f>
        <v>-0.76496993450915363</v>
      </c>
      <c r="M14" s="68">
        <v>35860</v>
      </c>
      <c r="N14" s="68">
        <v>0</v>
      </c>
      <c r="O14" s="68">
        <v>112017</v>
      </c>
      <c r="P14" s="68">
        <v>134226</v>
      </c>
      <c r="Q14" s="64" t="str">
        <f>IFERROR(M14/N14-1,"n/a")</f>
        <v>n/a</v>
      </c>
      <c r="R14" s="64">
        <f>IFERROR(M14/O14-1,"n/a")</f>
        <v>-0.67987001972914829</v>
      </c>
      <c r="S14" s="60">
        <f>IFERROR(M14/P14-1,"n/a")</f>
        <v>-0.73283864526991782</v>
      </c>
      <c r="T14" s="68">
        <v>465109</v>
      </c>
      <c r="U14" s="70">
        <v>140552</v>
      </c>
      <c r="V14" s="70">
        <v>2552942</v>
      </c>
    </row>
    <row r="15" spans="1:38">
      <c r="A15" s="9"/>
      <c r="B15" s="12"/>
      <c r="C15" s="31" t="s">
        <v>15</v>
      </c>
      <c r="D15" s="26"/>
      <c r="E15" s="32"/>
      <c r="F15" s="43"/>
      <c r="G15" s="43"/>
      <c r="H15" s="43"/>
      <c r="I15" s="43"/>
      <c r="J15" s="64"/>
      <c r="K15" s="64"/>
      <c r="L15" s="60"/>
      <c r="M15" s="43"/>
      <c r="N15" s="43"/>
      <c r="O15" s="43"/>
      <c r="P15" s="43"/>
      <c r="Q15" s="64"/>
      <c r="R15" s="64"/>
      <c r="S15" s="60"/>
      <c r="T15" s="43"/>
      <c r="U15" s="44"/>
      <c r="V15" s="44"/>
    </row>
    <row r="16" spans="1:38">
      <c r="A16" s="9"/>
      <c r="B16" s="12"/>
      <c r="C16" s="33"/>
      <c r="D16" s="26" t="s">
        <v>5</v>
      </c>
      <c r="E16" s="32"/>
      <c r="F16" s="68">
        <v>2</v>
      </c>
      <c r="G16" s="68">
        <v>0</v>
      </c>
      <c r="H16" s="68">
        <v>0</v>
      </c>
      <c r="I16" s="68">
        <v>1</v>
      </c>
      <c r="J16" s="64" t="str">
        <f t="shared" si="0"/>
        <v>n/a</v>
      </c>
      <c r="K16" s="64" t="str">
        <f>IFERROR(F16/H16-1,"n/a")</f>
        <v>n/a</v>
      </c>
      <c r="L16" s="60">
        <f>IFERROR(F16/I16-1,"n/a")</f>
        <v>1</v>
      </c>
      <c r="M16" s="68">
        <v>5</v>
      </c>
      <c r="N16" s="68">
        <v>0</v>
      </c>
      <c r="O16" s="68">
        <v>1</v>
      </c>
      <c r="P16" s="68">
        <v>1</v>
      </c>
      <c r="Q16" s="64" t="str">
        <f>IFERROR(M16/N16-1,"n/a")</f>
        <v>n/a</v>
      </c>
      <c r="R16" s="64">
        <f>IFERROR(M16/O16-1,"n/a")</f>
        <v>4</v>
      </c>
      <c r="S16" s="60">
        <f>IFERROR(M16/P16-1,"n/a")</f>
        <v>4</v>
      </c>
      <c r="T16" s="68">
        <v>23</v>
      </c>
      <c r="U16" s="70">
        <v>4</v>
      </c>
      <c r="V16" s="70">
        <v>191</v>
      </c>
    </row>
    <row r="17" spans="1:38">
      <c r="A17" s="9"/>
      <c r="B17" s="12"/>
      <c r="C17" s="33"/>
      <c r="D17" s="26" t="s">
        <v>11</v>
      </c>
      <c r="E17" s="32"/>
      <c r="F17" s="68">
        <v>294</v>
      </c>
      <c r="G17" s="68">
        <v>0</v>
      </c>
      <c r="H17" s="68">
        <v>0</v>
      </c>
      <c r="I17" s="68">
        <v>583</v>
      </c>
      <c r="J17" s="64" t="str">
        <f t="shared" si="0"/>
        <v>n/a</v>
      </c>
      <c r="K17" s="64" t="str">
        <f>IFERROR(F17/H17-1,"n/a")</f>
        <v>n/a</v>
      </c>
      <c r="L17" s="60">
        <f t="shared" ref="L17:L28" si="1">IFERROR(F17/I17-1,"n/a")</f>
        <v>-0.49571183533447682</v>
      </c>
      <c r="M17" s="68">
        <v>1108</v>
      </c>
      <c r="N17" s="68">
        <v>0</v>
      </c>
      <c r="O17" s="68">
        <v>823</v>
      </c>
      <c r="P17" s="68">
        <v>583</v>
      </c>
      <c r="Q17" s="64" t="str">
        <f>IFERROR(M17/N17-1,"n/a")</f>
        <v>n/a</v>
      </c>
      <c r="R17" s="64">
        <f>IFERROR(M17/O17-1,"n/a")</f>
        <v>0.34629404617253945</v>
      </c>
      <c r="S17" s="60">
        <f>IFERROR(M17/P17-1,"n/a")</f>
        <v>0.90051457975986282</v>
      </c>
      <c r="T17" s="68">
        <v>8611</v>
      </c>
      <c r="U17" s="70">
        <v>1753</v>
      </c>
      <c r="V17" s="70">
        <v>254421</v>
      </c>
    </row>
    <row r="18" spans="1:38">
      <c r="A18" s="9"/>
      <c r="B18" s="12"/>
      <c r="C18" s="31" t="s">
        <v>10</v>
      </c>
      <c r="D18" s="26"/>
      <c r="E18" s="34"/>
      <c r="F18" s="43"/>
      <c r="G18" s="43"/>
      <c r="H18" s="43"/>
      <c r="I18" s="43"/>
      <c r="J18" s="64"/>
      <c r="K18" s="64"/>
      <c r="L18" s="60"/>
      <c r="M18" s="43"/>
      <c r="N18" s="43"/>
      <c r="O18" s="43"/>
      <c r="P18" s="43"/>
      <c r="Q18" s="64"/>
      <c r="R18" s="64"/>
      <c r="S18" s="60"/>
      <c r="T18" s="43"/>
      <c r="U18" s="44"/>
      <c r="V18" s="44"/>
    </row>
    <row r="19" spans="1:38">
      <c r="A19" s="9"/>
      <c r="B19" s="12"/>
      <c r="C19" s="33"/>
      <c r="D19" s="26" t="s">
        <v>5</v>
      </c>
      <c r="E19" s="34"/>
      <c r="F19" s="68">
        <v>103</v>
      </c>
      <c r="G19" s="68">
        <v>0</v>
      </c>
      <c r="H19" s="68">
        <v>120</v>
      </c>
      <c r="I19" s="68">
        <v>95</v>
      </c>
      <c r="J19" s="64" t="str">
        <f t="shared" si="0"/>
        <v>n/a</v>
      </c>
      <c r="K19" s="64">
        <f>IFERROR(F19/H19-1,"n/a")</f>
        <v>-0.14166666666666672</v>
      </c>
      <c r="L19" s="60">
        <f t="shared" si="1"/>
        <v>8.4210526315789513E-2</v>
      </c>
      <c r="M19" s="68">
        <v>203</v>
      </c>
      <c r="N19" s="68">
        <v>0</v>
      </c>
      <c r="O19" s="68">
        <v>246</v>
      </c>
      <c r="P19" s="68">
        <v>208</v>
      </c>
      <c r="Q19" s="64" t="str">
        <f>IFERROR(M19/N19-1,"n/a")</f>
        <v>n/a</v>
      </c>
      <c r="R19" s="64">
        <f>IFERROR(M19/O19-1,"n/a")</f>
        <v>-0.17479674796747968</v>
      </c>
      <c r="S19" s="60">
        <f>IFERROR(M19/P19-1,"n/a")</f>
        <v>-2.4038461538461564E-2</v>
      </c>
      <c r="T19" s="68">
        <v>411</v>
      </c>
      <c r="U19" s="70">
        <v>406</v>
      </c>
      <c r="V19" s="70">
        <v>1205</v>
      </c>
    </row>
    <row r="20" spans="1:38">
      <c r="A20" s="9"/>
      <c r="B20" s="12"/>
      <c r="C20" s="33"/>
      <c r="D20" s="26" t="s">
        <v>11</v>
      </c>
      <c r="E20" s="32"/>
      <c r="F20" s="68">
        <v>174835</v>
      </c>
      <c r="G20" s="68">
        <v>0</v>
      </c>
      <c r="H20" s="68">
        <v>329055</v>
      </c>
      <c r="I20" s="68">
        <v>305578</v>
      </c>
      <c r="J20" s="64" t="str">
        <f t="shared" si="0"/>
        <v>n/a</v>
      </c>
      <c r="K20" s="64">
        <f>IFERROR(F20/H20-1,"n/a")</f>
        <v>-0.46867544939295858</v>
      </c>
      <c r="L20" s="60">
        <f t="shared" si="1"/>
        <v>-0.42785475394171046</v>
      </c>
      <c r="M20" s="68">
        <v>319653</v>
      </c>
      <c r="N20" s="68">
        <v>0</v>
      </c>
      <c r="O20" s="68">
        <v>686339</v>
      </c>
      <c r="P20" s="68">
        <v>673974</v>
      </c>
      <c r="Q20" s="64" t="str">
        <f>IFERROR(M20/N20-1,"n/a")</f>
        <v>n/a</v>
      </c>
      <c r="R20" s="64">
        <f>IFERROR(M20/O20-1,"n/a")</f>
        <v>-0.53426368019302417</v>
      </c>
      <c r="S20" s="60">
        <f>IFERROR(M20/P20-1,"n/a")</f>
        <v>-0.52571909302139253</v>
      </c>
      <c r="T20" s="68">
        <v>687449</v>
      </c>
      <c r="U20" s="70">
        <v>833999</v>
      </c>
      <c r="V20" s="70">
        <v>3859183</v>
      </c>
    </row>
    <row r="21" spans="1:38">
      <c r="A21" s="9"/>
      <c r="B21" s="12"/>
      <c r="C21" s="31" t="s">
        <v>16</v>
      </c>
      <c r="D21" s="26"/>
      <c r="E21" s="32"/>
      <c r="F21" s="43"/>
      <c r="G21" s="43"/>
      <c r="H21" s="43"/>
      <c r="I21" s="43"/>
      <c r="J21" s="64"/>
      <c r="K21" s="64"/>
      <c r="L21" s="60"/>
      <c r="M21" s="43"/>
      <c r="N21" s="43"/>
      <c r="O21" s="43"/>
      <c r="P21" s="43"/>
      <c r="Q21" s="64"/>
      <c r="R21" s="64"/>
      <c r="S21" s="60"/>
      <c r="T21" s="43"/>
      <c r="U21" s="44"/>
      <c r="V21" s="44"/>
    </row>
    <row r="22" spans="1:38">
      <c r="A22" s="9"/>
      <c r="B22" s="12"/>
      <c r="C22" s="33"/>
      <c r="D22" s="26" t="s">
        <v>5</v>
      </c>
      <c r="E22" s="32"/>
      <c r="F22" s="68">
        <v>6</v>
      </c>
      <c r="G22" s="68">
        <v>4</v>
      </c>
      <c r="H22" s="68">
        <v>3</v>
      </c>
      <c r="I22" s="68">
        <v>7</v>
      </c>
      <c r="J22" s="64">
        <f t="shared" si="0"/>
        <v>0.5</v>
      </c>
      <c r="K22" s="64">
        <f>IFERROR(F22/H22-1,"n/a")</f>
        <v>1</v>
      </c>
      <c r="L22" s="60">
        <f t="shared" si="1"/>
        <v>-0.1428571428571429</v>
      </c>
      <c r="M22" s="68">
        <v>9</v>
      </c>
      <c r="N22" s="68">
        <v>5</v>
      </c>
      <c r="O22" s="68">
        <v>8</v>
      </c>
      <c r="P22" s="68">
        <v>11</v>
      </c>
      <c r="Q22" s="64">
        <f>IFERROR(M22/N22-1,"n/a")</f>
        <v>0.8</v>
      </c>
      <c r="R22" s="64">
        <f>IFERROR(M22/O22-1,"n/a")</f>
        <v>0.125</v>
      </c>
      <c r="S22" s="60">
        <f>IFERROR(M22/P22-1,"n/a")</f>
        <v>-0.18181818181818177</v>
      </c>
      <c r="T22" s="68">
        <v>107</v>
      </c>
      <c r="U22" s="70">
        <v>32</v>
      </c>
      <c r="V22" s="70">
        <v>372</v>
      </c>
    </row>
    <row r="23" spans="1:38">
      <c r="A23" s="9"/>
      <c r="B23" s="12"/>
      <c r="C23" s="33"/>
      <c r="D23" s="26" t="s">
        <v>11</v>
      </c>
      <c r="E23" s="32"/>
      <c r="F23" s="68">
        <v>5662</v>
      </c>
      <c r="G23" s="68">
        <v>4030</v>
      </c>
      <c r="H23" s="68">
        <v>16515</v>
      </c>
      <c r="I23" s="68">
        <v>24890</v>
      </c>
      <c r="J23" s="64">
        <f t="shared" si="0"/>
        <v>0.4049627791563275</v>
      </c>
      <c r="K23" s="64">
        <f>IFERROR(F23/H23-1,"n/a")</f>
        <v>-0.657160157432637</v>
      </c>
      <c r="L23" s="60">
        <f t="shared" si="1"/>
        <v>-0.77251908396946567</v>
      </c>
      <c r="M23" s="68">
        <v>7364</v>
      </c>
      <c r="N23" s="68">
        <v>4674</v>
      </c>
      <c r="O23" s="68">
        <v>39656</v>
      </c>
      <c r="P23" s="68">
        <v>44605</v>
      </c>
      <c r="Q23" s="64">
        <f>IFERROR(M23/N23-1,"n/a")</f>
        <v>0.57552417629439456</v>
      </c>
      <c r="R23" s="64">
        <f>IFERROR(M23/O23-1,"n/a")</f>
        <v>-0.81430300585031268</v>
      </c>
      <c r="S23" s="60">
        <f>IFERROR(M23/P23-1,"n/a")</f>
        <v>-0.83490640062773225</v>
      </c>
      <c r="T23" s="68">
        <v>147132</v>
      </c>
      <c r="U23" s="70">
        <v>59180</v>
      </c>
      <c r="V23" s="70">
        <v>902015</v>
      </c>
    </row>
    <row r="24" spans="1:38">
      <c r="A24" s="9"/>
      <c r="B24" s="12"/>
      <c r="C24" s="31" t="s">
        <v>17</v>
      </c>
      <c r="D24" s="26"/>
      <c r="E24" s="32"/>
      <c r="F24" s="43"/>
      <c r="G24" s="43"/>
      <c r="H24" s="43"/>
      <c r="I24" s="43"/>
      <c r="J24" s="64"/>
      <c r="K24" s="64"/>
      <c r="L24" s="60"/>
      <c r="M24" s="43"/>
      <c r="N24" s="43"/>
      <c r="O24" s="43"/>
      <c r="P24" s="43"/>
      <c r="Q24" s="64"/>
      <c r="R24" s="64"/>
      <c r="S24" s="60"/>
      <c r="T24" s="43"/>
      <c r="U24" s="44"/>
      <c r="V24" s="44"/>
    </row>
    <row r="25" spans="1:38">
      <c r="B25" s="12"/>
      <c r="C25" s="33"/>
      <c r="D25" s="26" t="s">
        <v>5</v>
      </c>
      <c r="E25" s="32"/>
      <c r="F25" s="68">
        <v>1</v>
      </c>
      <c r="G25" s="68">
        <v>1</v>
      </c>
      <c r="H25" s="68">
        <v>1</v>
      </c>
      <c r="I25" s="68">
        <v>2</v>
      </c>
      <c r="J25" s="64">
        <f t="shared" si="0"/>
        <v>0</v>
      </c>
      <c r="K25" s="64">
        <f>IFERROR(F25/H25-1,"n/a")</f>
        <v>0</v>
      </c>
      <c r="L25" s="60">
        <f t="shared" si="1"/>
        <v>-0.5</v>
      </c>
      <c r="M25" s="68">
        <v>1</v>
      </c>
      <c r="N25" s="68">
        <v>2</v>
      </c>
      <c r="O25" s="68">
        <v>1</v>
      </c>
      <c r="P25" s="68">
        <v>3</v>
      </c>
      <c r="Q25" s="64">
        <f>IFERROR(M25/N25-1,"n/a")</f>
        <v>-0.5</v>
      </c>
      <c r="R25" s="64">
        <f>IFERROR(M25/O25-1,"n/a")</f>
        <v>0</v>
      </c>
      <c r="S25" s="60">
        <f>IFERROR(M25/P25-1,"n/a")</f>
        <v>-0.66666666666666674</v>
      </c>
      <c r="T25" s="68">
        <v>127</v>
      </c>
      <c r="U25" s="70">
        <v>37</v>
      </c>
      <c r="V25" s="70">
        <f>282+81</f>
        <v>363</v>
      </c>
    </row>
    <row r="26" spans="1:38">
      <c r="A26" s="9"/>
      <c r="B26" s="12"/>
      <c r="C26" s="33"/>
      <c r="D26" s="26" t="s">
        <v>11</v>
      </c>
      <c r="E26" s="32"/>
      <c r="F26" s="68">
        <v>1983</v>
      </c>
      <c r="G26" s="68">
        <v>639</v>
      </c>
      <c r="H26" s="68">
        <v>892</v>
      </c>
      <c r="I26" s="68">
        <v>3305</v>
      </c>
      <c r="J26" s="64">
        <f t="shared" si="0"/>
        <v>2.103286384976526</v>
      </c>
      <c r="K26" s="64">
        <f>IFERROR(F26/H26-1,"n/a")</f>
        <v>1.2230941704035874</v>
      </c>
      <c r="L26" s="60">
        <f t="shared" si="1"/>
        <v>-0.4</v>
      </c>
      <c r="M26" s="68">
        <v>1983</v>
      </c>
      <c r="N26" s="68">
        <v>1283</v>
      </c>
      <c r="O26" s="68">
        <v>892</v>
      </c>
      <c r="P26" s="68">
        <v>4657</v>
      </c>
      <c r="Q26" s="64">
        <f>IFERROR(M26/N26-1,"n/a")</f>
        <v>0.54559625876851126</v>
      </c>
      <c r="R26" s="64">
        <f>IFERROR(M26/O26-1,"n/a")</f>
        <v>1.2230941704035874</v>
      </c>
      <c r="S26" s="60">
        <f>IFERROR(M26/P26-1,"n/a")</f>
        <v>-0.57418939231264765</v>
      </c>
      <c r="T26" s="68">
        <v>165083</v>
      </c>
      <c r="U26" s="70">
        <f>20768+8294</f>
        <v>29062</v>
      </c>
      <c r="V26" s="70">
        <f>659951+168729+38484</f>
        <v>867164</v>
      </c>
    </row>
    <row r="27" spans="1:38" ht="15.75" thickBot="1">
      <c r="A27" s="9"/>
      <c r="B27" s="12"/>
      <c r="C27" s="35" t="s">
        <v>12</v>
      </c>
      <c r="D27" s="36"/>
      <c r="E27" s="37"/>
      <c r="F27" s="46">
        <f t="shared" ref="F27:I28" si="2">F10+F13+F16+F19+F22+F25</f>
        <v>184</v>
      </c>
      <c r="G27" s="46">
        <f t="shared" si="2"/>
        <v>5</v>
      </c>
      <c r="H27" s="46">
        <f t="shared" si="2"/>
        <v>193</v>
      </c>
      <c r="I27" s="46">
        <f t="shared" si="2"/>
        <v>188</v>
      </c>
      <c r="J27" s="66">
        <f t="shared" si="0"/>
        <v>35.799999999999997</v>
      </c>
      <c r="K27" s="66">
        <f>IFERROR(F27/H27-1,"n/a")</f>
        <v>-4.6632124352331661E-2</v>
      </c>
      <c r="L27" s="62">
        <f t="shared" si="1"/>
        <v>-2.1276595744680882E-2</v>
      </c>
      <c r="M27" s="46">
        <f t="shared" ref="M27:P28" si="3">M10+M13+M16+M19+M22+M25</f>
        <v>370</v>
      </c>
      <c r="N27" s="46">
        <f t="shared" si="3"/>
        <v>7</v>
      </c>
      <c r="O27" s="46">
        <f t="shared" si="3"/>
        <v>405</v>
      </c>
      <c r="P27" s="46">
        <f t="shared" si="3"/>
        <v>406</v>
      </c>
      <c r="Q27" s="66">
        <f>IFERROR(M27/N27-1,"n/a")</f>
        <v>51.857142857142854</v>
      </c>
      <c r="R27" s="66">
        <f>IFERROR(M27/O27-1,"n/a")</f>
        <v>-8.6419753086419804E-2</v>
      </c>
      <c r="S27" s="62">
        <f>IFERROR(M27/P27-1,"n/a")</f>
        <v>-8.8669950738916259E-2</v>
      </c>
      <c r="T27" s="46">
        <f t="shared" ref="T27:V28" si="4">T10+T13+T16+T19+T22+T25</f>
        <v>1062</v>
      </c>
      <c r="U27" s="46">
        <f t="shared" si="4"/>
        <v>667</v>
      </c>
      <c r="V27" s="46">
        <f t="shared" si="4"/>
        <v>3344</v>
      </c>
    </row>
    <row r="28" spans="1:38" s="22" customFormat="1" ht="16.5" thickTop="1" thickBot="1">
      <c r="A28" s="9"/>
      <c r="B28" s="12"/>
      <c r="C28" s="38" t="s">
        <v>13</v>
      </c>
      <c r="D28" s="39"/>
      <c r="E28" s="40"/>
      <c r="F28" s="47">
        <f t="shared" si="2"/>
        <v>241516</v>
      </c>
      <c r="G28" s="47">
        <f t="shared" si="2"/>
        <v>4669</v>
      </c>
      <c r="H28" s="47">
        <f t="shared" si="2"/>
        <v>494948</v>
      </c>
      <c r="I28" s="47">
        <f t="shared" si="2"/>
        <v>513727</v>
      </c>
      <c r="J28" s="67">
        <f t="shared" si="0"/>
        <v>50.727564789034055</v>
      </c>
      <c r="K28" s="67">
        <f>IFERROR(F28/H28-1,"n/a")</f>
        <v>-0.5120376281952852</v>
      </c>
      <c r="L28" s="63">
        <f t="shared" si="1"/>
        <v>-0.52987481678011861</v>
      </c>
      <c r="M28" s="47">
        <f t="shared" si="3"/>
        <v>461472</v>
      </c>
      <c r="N28" s="47">
        <f t="shared" si="3"/>
        <v>5957</v>
      </c>
      <c r="O28" s="47">
        <f t="shared" si="3"/>
        <v>1049986</v>
      </c>
      <c r="P28" s="47">
        <f t="shared" si="3"/>
        <v>1134579</v>
      </c>
      <c r="Q28" s="67">
        <f>IFERROR(M28/N28-1,"n/a")</f>
        <v>76.467181467181462</v>
      </c>
      <c r="R28" s="67">
        <f>IFERROR(M28/O28-1,"n/a")</f>
        <v>-0.56049699710281853</v>
      </c>
      <c r="S28" s="63">
        <f>IFERROR(M28/P28-1,"n/a")</f>
        <v>-0.59326587218695215</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idden="1">
      <c r="A30" s="9"/>
      <c r="B30" s="9"/>
      <c r="C30" s="9"/>
      <c r="D30" s="9"/>
      <c r="E30" s="9"/>
      <c r="F30" s="9"/>
      <c r="G30" s="41"/>
      <c r="H30" s="41"/>
      <c r="I30" s="41"/>
      <c r="J30" s="41"/>
      <c r="K30" s="9"/>
      <c r="L30" s="9"/>
      <c r="M30" s="9"/>
      <c r="N30" s="9"/>
      <c r="O30" s="9"/>
      <c r="P30" s="9"/>
      <c r="Q30" s="9"/>
      <c r="R30" s="9"/>
      <c r="S30" s="9"/>
      <c r="T30" s="9"/>
      <c r="U30" s="9"/>
      <c r="V30" s="9"/>
    </row>
    <row r="31" spans="1:38" hidden="1">
      <c r="A31" s="9"/>
      <c r="B31" s="9"/>
      <c r="C31" s="9"/>
      <c r="D31" s="9"/>
      <c r="E31" s="9"/>
      <c r="F31" s="9"/>
      <c r="G31" s="41"/>
      <c r="H31" s="41"/>
      <c r="I31" s="41"/>
      <c r="J31" s="41"/>
      <c r="K31" s="9"/>
      <c r="L31" s="9"/>
      <c r="M31" s="9"/>
      <c r="N31" s="9"/>
      <c r="O31" s="9"/>
      <c r="P31" s="9"/>
      <c r="Q31" s="9"/>
      <c r="R31" s="9"/>
      <c r="S31" s="9"/>
      <c r="T31" s="9"/>
      <c r="U31" s="9"/>
      <c r="V31" s="9"/>
    </row>
    <row r="32" spans="1:38" hidden="1">
      <c r="A32" s="9"/>
      <c r="B32" s="9"/>
      <c r="C32" s="9"/>
      <c r="D32" s="9"/>
      <c r="E32" s="9"/>
      <c r="F32" s="9"/>
      <c r="G32" s="41"/>
      <c r="H32" s="41"/>
      <c r="I32" s="41"/>
      <c r="J32" s="41"/>
      <c r="K32" s="9"/>
      <c r="L32" s="9"/>
      <c r="M32" s="9"/>
      <c r="N32" s="9"/>
      <c r="O32" s="9"/>
      <c r="P32" s="9"/>
      <c r="Q32" s="9"/>
      <c r="R32" s="9"/>
      <c r="S32" s="9"/>
      <c r="T32" s="9"/>
      <c r="U32" s="9"/>
      <c r="V32" s="9"/>
    </row>
    <row r="33" spans="7:10" s="9" customFormat="1" hidden="1">
      <c r="G33" s="41"/>
      <c r="H33" s="41"/>
      <c r="I33" s="41"/>
      <c r="J33" s="41"/>
    </row>
    <row r="34" spans="7:10" s="9" customFormat="1" hidden="1">
      <c r="G34" s="41"/>
      <c r="H34" s="41"/>
      <c r="I34" s="41"/>
      <c r="J34" s="41"/>
    </row>
    <row r="35" spans="7:10" s="9" customFormat="1" hidden="1">
      <c r="G35" s="41"/>
      <c r="H35" s="41"/>
      <c r="I35" s="41"/>
      <c r="J35" s="41"/>
    </row>
    <row r="36" spans="7:10" s="9" customFormat="1" hidden="1">
      <c r="G36" s="41"/>
      <c r="H36" s="41"/>
      <c r="I36" s="41"/>
      <c r="J36" s="41"/>
    </row>
    <row r="37" spans="7:10" s="9" customFormat="1" hidden="1">
      <c r="G37" s="41"/>
      <c r="H37" s="41"/>
      <c r="I37" s="41"/>
      <c r="J37" s="41"/>
    </row>
    <row r="38" spans="7:10" s="9" customFormat="1" hidden="1">
      <c r="G38" s="41"/>
      <c r="H38" s="41"/>
      <c r="I38" s="41"/>
      <c r="J38" s="41"/>
    </row>
    <row r="39" spans="7:10" s="9" customFormat="1" hidden="1">
      <c r="G39" s="41"/>
      <c r="H39" s="41"/>
      <c r="I39" s="41"/>
      <c r="J39" s="41"/>
    </row>
    <row r="40" spans="7:10" s="9" customFormat="1" hidden="1">
      <c r="G40" s="41"/>
      <c r="H40" s="41"/>
      <c r="I40" s="41"/>
      <c r="J40" s="41"/>
    </row>
    <row r="41" spans="7:10" s="9" customFormat="1" hidden="1">
      <c r="G41" s="41"/>
      <c r="H41" s="41"/>
      <c r="I41" s="41"/>
      <c r="J41" s="41"/>
    </row>
    <row r="42" spans="7:10" s="9" customFormat="1" hidden="1">
      <c r="G42" s="41"/>
      <c r="H42" s="41"/>
      <c r="I42" s="41"/>
      <c r="J42" s="41"/>
    </row>
    <row r="43" spans="7:10" s="9" customFormat="1" hidden="1">
      <c r="G43" s="41"/>
      <c r="H43" s="41"/>
      <c r="I43" s="41"/>
      <c r="J43" s="41"/>
    </row>
    <row r="44" spans="7:10" s="9" customFormat="1" hidden="1">
      <c r="G44" s="41"/>
      <c r="H44" s="41"/>
      <c r="I44" s="41"/>
      <c r="J44" s="41"/>
    </row>
    <row r="45" spans="7:10" s="9" customFormat="1" hidden="1">
      <c r="G45" s="41"/>
      <c r="H45" s="41"/>
      <c r="I45" s="41"/>
      <c r="J45" s="41"/>
    </row>
    <row r="46" spans="7:10" s="9" customFormat="1" hidden="1">
      <c r="G46" s="41"/>
      <c r="H46" s="41"/>
      <c r="I46" s="41"/>
      <c r="J46" s="41"/>
    </row>
    <row r="47" spans="7:10" s="9" customFormat="1" hidden="1">
      <c r="G47" s="41"/>
      <c r="H47" s="41"/>
      <c r="I47" s="41"/>
      <c r="J47" s="41"/>
    </row>
    <row r="48" spans="7:10" s="9" customFormat="1" hidden="1"/>
  </sheetData>
  <customSheetViews>
    <customSheetView guid="{5F6D01E3-9E6F-4D7F-980F-63899AF95899}" scale="79" showGridLines="0" fitToPage="1" hiddenRows="1" hiddenColumns="1">
      <pageMargins left="0.7" right="0.7" top="0.75" bottom="0.75" header="0.3" footer="0.3"/>
      <pageSetup paperSize="9" scale="85" orientation="landscape" horizontalDpi="4294967293" verticalDpi="4294967293" r:id="rId1"/>
    </customSheetView>
  </customSheetViews>
  <mergeCells count="3">
    <mergeCell ref="F6:L6"/>
    <mergeCell ref="M6:S6"/>
    <mergeCell ref="T6:V6"/>
  </mergeCells>
  <pageMargins left="0.7" right="0.7" top="0.75" bottom="0.75" header="0.3" footer="0.3"/>
  <pageSetup paperSize="9" scale="85" orientation="landscape" horizontalDpi="4294967293" verticalDpi="4294967293"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pageSetUpPr fitToPage="1"/>
  </sheetPr>
  <dimension ref="A1:AL48"/>
  <sheetViews>
    <sheetView showGridLines="0" zoomScaleNormal="100" workbookViewId="0"/>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37</v>
      </c>
      <c r="F4" s="24"/>
      <c r="G4" s="24"/>
      <c r="H4" s="24"/>
      <c r="I4" s="24"/>
      <c r="J4" s="24"/>
      <c r="K4" s="24"/>
      <c r="L4" s="24"/>
      <c r="M4" s="24"/>
      <c r="N4" s="24"/>
      <c r="O4" s="24"/>
      <c r="P4" s="24"/>
      <c r="Q4" s="24"/>
      <c r="R4" s="24"/>
      <c r="S4" s="24"/>
      <c r="T4" s="24"/>
      <c r="U4" s="24"/>
      <c r="V4" s="24"/>
    </row>
    <row r="5" spans="1:38">
      <c r="A5" s="9"/>
      <c r="B5" s="10"/>
      <c r="C5" s="24"/>
      <c r="D5" s="24"/>
      <c r="E5" s="24"/>
      <c r="F5" s="24"/>
      <c r="G5" s="24"/>
      <c r="H5" s="24"/>
      <c r="I5" s="24"/>
      <c r="J5" s="24"/>
      <c r="K5" s="24"/>
      <c r="L5" s="24"/>
      <c r="M5" s="24"/>
      <c r="N5" s="24"/>
      <c r="O5" s="24"/>
      <c r="P5" s="24"/>
      <c r="Q5" s="24"/>
      <c r="R5" s="24"/>
      <c r="S5" s="24"/>
      <c r="T5" s="24"/>
      <c r="U5" s="24"/>
      <c r="V5" s="24"/>
    </row>
    <row r="6" spans="1:38" s="20" customFormat="1">
      <c r="A6" s="9"/>
      <c r="B6"/>
      <c r="C6" s="27" t="s">
        <v>7</v>
      </c>
      <c r="D6" s="28"/>
      <c r="E6" s="28"/>
      <c r="F6" s="170" t="s">
        <v>33</v>
      </c>
      <c r="G6" s="170"/>
      <c r="H6" s="170"/>
      <c r="I6" s="170"/>
      <c r="J6" s="170"/>
      <c r="K6" s="170"/>
      <c r="L6" s="171"/>
      <c r="M6" s="169" t="s">
        <v>33</v>
      </c>
      <c r="N6" s="170"/>
      <c r="O6" s="170"/>
      <c r="P6" s="170"/>
      <c r="Q6" s="170"/>
      <c r="R6" s="170"/>
      <c r="S6" s="171"/>
      <c r="T6" s="169" t="s">
        <v>9</v>
      </c>
      <c r="U6" s="170"/>
      <c r="V6" s="170"/>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c r="A9" s="9"/>
      <c r="B9" s="12"/>
      <c r="C9" s="31" t="s">
        <v>14</v>
      </c>
      <c r="D9" s="26"/>
      <c r="E9" s="32"/>
      <c r="F9" s="26"/>
      <c r="G9" s="26"/>
      <c r="H9" s="26"/>
      <c r="I9" s="26"/>
      <c r="J9" s="26"/>
      <c r="K9" s="26"/>
      <c r="L9" s="32"/>
      <c r="M9" s="26"/>
      <c r="N9" s="26"/>
      <c r="O9" s="26"/>
      <c r="P9" s="26"/>
      <c r="Q9" s="26"/>
      <c r="R9" s="26"/>
      <c r="S9" s="32"/>
      <c r="T9" s="26"/>
      <c r="U9" s="26"/>
      <c r="V9" s="26"/>
    </row>
    <row r="10" spans="1:38">
      <c r="A10" s="9"/>
      <c r="B10" s="12"/>
      <c r="C10" s="33"/>
      <c r="D10" s="26" t="s">
        <v>5</v>
      </c>
      <c r="E10" s="32"/>
      <c r="F10" s="68">
        <v>64</v>
      </c>
      <c r="G10" s="68">
        <v>0</v>
      </c>
      <c r="H10" s="68">
        <v>61</v>
      </c>
      <c r="I10" s="68">
        <v>76</v>
      </c>
      <c r="J10" s="64" t="str">
        <f t="shared" ref="J10:J28" si="0">IFERROR(F10/G10-1,"n/a")</f>
        <v>n/a</v>
      </c>
      <c r="K10" s="64">
        <f>IFERROR(F10/H10-1,"n/a")</f>
        <v>4.9180327868852514E-2</v>
      </c>
      <c r="L10" s="60">
        <f>IFERROR(F10/I10-1,"n/a")</f>
        <v>-0.15789473684210531</v>
      </c>
      <c r="M10" s="68">
        <v>64</v>
      </c>
      <c r="N10" s="68">
        <v>0</v>
      </c>
      <c r="O10" s="68">
        <v>61</v>
      </c>
      <c r="P10" s="68">
        <v>76</v>
      </c>
      <c r="Q10" s="64" t="str">
        <f>IFERROR(M10/N10-1,"n/a")</f>
        <v>n/a</v>
      </c>
      <c r="R10" s="64">
        <f>IFERROR(M10/O10-1,"n/a")</f>
        <v>4.9180327868852514E-2</v>
      </c>
      <c r="S10" s="60">
        <f>IFERROR(M10/P10-1,"n/a")</f>
        <v>-0.15789473684210531</v>
      </c>
      <c r="T10" s="68">
        <v>111</v>
      </c>
      <c r="U10" s="70">
        <v>145</v>
      </c>
      <c r="V10" s="70">
        <v>386</v>
      </c>
    </row>
    <row r="11" spans="1:38">
      <c r="A11" s="9"/>
      <c r="B11" s="12"/>
      <c r="C11" s="33"/>
      <c r="D11" s="26" t="s">
        <v>11</v>
      </c>
      <c r="E11" s="32"/>
      <c r="F11" s="68">
        <v>50794</v>
      </c>
      <c r="G11" s="68">
        <v>0</v>
      </c>
      <c r="H11" s="68">
        <v>108796</v>
      </c>
      <c r="I11" s="68">
        <v>156866</v>
      </c>
      <c r="J11" s="64" t="str">
        <f t="shared" si="0"/>
        <v>n/a</v>
      </c>
      <c r="K11" s="64">
        <f>IFERROR(F11/H11-1,"n/a")</f>
        <v>-0.53312621787565717</v>
      </c>
      <c r="L11" s="60">
        <f>IFERROR(F11/I11-1,"n/a")</f>
        <v>-0.67619496895439424</v>
      </c>
      <c r="M11" s="68">
        <v>50794</v>
      </c>
      <c r="N11" s="68">
        <v>0</v>
      </c>
      <c r="O11" s="68">
        <v>108796</v>
      </c>
      <c r="P11" s="68">
        <v>156866</v>
      </c>
      <c r="Q11" s="64" t="str">
        <f>IFERROR(M11/N11-1,"n/a")</f>
        <v>n/a</v>
      </c>
      <c r="R11" s="64">
        <f>IFERROR(M11/O11-1,"n/a")</f>
        <v>-0.53312621787565717</v>
      </c>
      <c r="S11" s="60">
        <f>IFERROR(M11/P11-1,"n/a")</f>
        <v>-0.67619496895439424</v>
      </c>
      <c r="T11" s="68">
        <v>80863</v>
      </c>
      <c r="U11" s="70">
        <v>258885</v>
      </c>
      <c r="V11" s="70">
        <v>733296</v>
      </c>
    </row>
    <row r="12" spans="1:38">
      <c r="A12" s="9"/>
      <c r="B12" s="12"/>
      <c r="C12" s="31" t="s">
        <v>74</v>
      </c>
      <c r="D12" s="26"/>
      <c r="E12" s="32"/>
      <c r="F12" s="45"/>
      <c r="G12" s="45"/>
      <c r="H12" s="45"/>
      <c r="I12" s="45"/>
      <c r="J12" s="64"/>
      <c r="K12" s="64"/>
      <c r="L12" s="61"/>
      <c r="M12" s="43"/>
      <c r="N12" s="43"/>
      <c r="O12" s="43"/>
      <c r="P12" s="43"/>
      <c r="Q12" s="64"/>
      <c r="R12" s="65"/>
      <c r="S12" s="61"/>
      <c r="T12" s="43"/>
      <c r="U12" s="44"/>
      <c r="V12" s="44"/>
    </row>
    <row r="13" spans="1:38">
      <c r="A13" s="9"/>
      <c r="B13" s="12"/>
      <c r="C13" s="33"/>
      <c r="D13" s="26" t="s">
        <v>5</v>
      </c>
      <c r="E13" s="32"/>
      <c r="F13" s="68">
        <v>16</v>
      </c>
      <c r="G13" s="68">
        <v>0</v>
      </c>
      <c r="H13" s="68">
        <v>19</v>
      </c>
      <c r="I13" s="68">
        <v>24</v>
      </c>
      <c r="J13" s="64" t="str">
        <f t="shared" si="0"/>
        <v>n/a</v>
      </c>
      <c r="K13" s="64">
        <f>IFERROR(F13/H13-1,"n/a")</f>
        <v>-0.15789473684210531</v>
      </c>
      <c r="L13" s="60">
        <f>IFERROR(F13/I13-1,"n/a")</f>
        <v>-0.33333333333333337</v>
      </c>
      <c r="M13" s="68">
        <v>16</v>
      </c>
      <c r="N13" s="68">
        <v>0</v>
      </c>
      <c r="O13" s="68">
        <v>19</v>
      </c>
      <c r="P13" s="68">
        <v>24</v>
      </c>
      <c r="Q13" s="64" t="str">
        <f>IFERROR(M13/N13-1,"n/a")</f>
        <v>n/a</v>
      </c>
      <c r="R13" s="64">
        <f>IFERROR(M13/O13-1,"n/a")</f>
        <v>-0.15789473684210531</v>
      </c>
      <c r="S13" s="60">
        <f>IFERROR(M13/P13-1,"n/a")</f>
        <v>-0.33333333333333337</v>
      </c>
      <c r="T13" s="68">
        <v>283</v>
      </c>
      <c r="U13" s="70">
        <v>43</v>
      </c>
      <c r="V13" s="70">
        <v>827</v>
      </c>
    </row>
    <row r="14" spans="1:38">
      <c r="A14" s="9"/>
      <c r="B14" s="12"/>
      <c r="C14" s="33"/>
      <c r="D14" s="26" t="s">
        <v>11</v>
      </c>
      <c r="E14" s="32"/>
      <c r="F14" s="68">
        <v>21828</v>
      </c>
      <c r="G14" s="68">
        <v>0</v>
      </c>
      <c r="H14" s="68">
        <v>64994</v>
      </c>
      <c r="I14" s="68">
        <v>74523</v>
      </c>
      <c r="J14" s="64" t="str">
        <f t="shared" si="0"/>
        <v>n/a</v>
      </c>
      <c r="K14" s="64">
        <f>IFERROR(F14/H14-1,"n/a")</f>
        <v>-0.66415361417977037</v>
      </c>
      <c r="L14" s="60">
        <f>IFERROR(F14/I14-1,"n/a")</f>
        <v>-0.70709713779638506</v>
      </c>
      <c r="M14" s="68">
        <v>21828</v>
      </c>
      <c r="N14" s="68">
        <v>0</v>
      </c>
      <c r="O14" s="68">
        <v>64994</v>
      </c>
      <c r="P14" s="68">
        <v>74523</v>
      </c>
      <c r="Q14" s="64" t="str">
        <f>IFERROR(M14/N14-1,"n/a")</f>
        <v>n/a</v>
      </c>
      <c r="R14" s="64">
        <f>IFERROR(M14/O14-1,"n/a")</f>
        <v>-0.66415361417977037</v>
      </c>
      <c r="S14" s="60">
        <f>IFERROR(M14/P14-1,"n/a")</f>
        <v>-0.70709713779638506</v>
      </c>
      <c r="T14" s="68">
        <v>465109</v>
      </c>
      <c r="U14" s="70">
        <v>140552</v>
      </c>
      <c r="V14" s="70">
        <v>2552942</v>
      </c>
    </row>
    <row r="15" spans="1:38">
      <c r="A15" s="9"/>
      <c r="B15" s="12"/>
      <c r="C15" s="31" t="s">
        <v>15</v>
      </c>
      <c r="D15" s="26"/>
      <c r="E15" s="32"/>
      <c r="F15" s="43"/>
      <c r="G15" s="43"/>
      <c r="H15" s="43"/>
      <c r="I15" s="43"/>
      <c r="J15" s="64"/>
      <c r="K15" s="64"/>
      <c r="L15" s="60"/>
      <c r="M15" s="43"/>
      <c r="N15" s="43"/>
      <c r="O15" s="43"/>
      <c r="P15" s="43"/>
      <c r="Q15" s="64"/>
      <c r="R15" s="64"/>
      <c r="S15" s="60"/>
      <c r="T15" s="43"/>
      <c r="U15" s="44"/>
      <c r="V15" s="44"/>
    </row>
    <row r="16" spans="1:38">
      <c r="A16" s="9"/>
      <c r="B16" s="12"/>
      <c r="C16" s="33"/>
      <c r="D16" s="26" t="s">
        <v>5</v>
      </c>
      <c r="E16" s="32"/>
      <c r="F16" s="68">
        <v>3</v>
      </c>
      <c r="G16" s="68">
        <v>0</v>
      </c>
      <c r="H16" s="68">
        <v>1</v>
      </c>
      <c r="I16" s="68">
        <v>0</v>
      </c>
      <c r="J16" s="64" t="str">
        <f t="shared" si="0"/>
        <v>n/a</v>
      </c>
      <c r="K16" s="64">
        <f>IFERROR(F16/H16-1,"n/a")</f>
        <v>2</v>
      </c>
      <c r="L16" s="60" t="str">
        <f>IFERROR(F16/I16-1,"n/a")</f>
        <v>n/a</v>
      </c>
      <c r="M16" s="68">
        <v>3</v>
      </c>
      <c r="N16" s="68">
        <v>0</v>
      </c>
      <c r="O16" s="68">
        <v>1</v>
      </c>
      <c r="P16" s="68">
        <v>0</v>
      </c>
      <c r="Q16" s="64" t="str">
        <f>IFERROR(M16/N16-1,"n/a")</f>
        <v>n/a</v>
      </c>
      <c r="R16" s="64">
        <f>IFERROR(M16/O16-1,"n/a")</f>
        <v>2</v>
      </c>
      <c r="S16" s="60" t="str">
        <f>IFERROR(M16/P16-1,"n/a")</f>
        <v>n/a</v>
      </c>
      <c r="T16" s="68">
        <v>23</v>
      </c>
      <c r="U16" s="70">
        <v>4</v>
      </c>
      <c r="V16" s="70">
        <v>191</v>
      </c>
    </row>
    <row r="17" spans="1:38">
      <c r="A17" s="9"/>
      <c r="B17" s="12"/>
      <c r="C17" s="33"/>
      <c r="D17" s="26" t="s">
        <v>11</v>
      </c>
      <c r="E17" s="32"/>
      <c r="F17" s="68">
        <v>814</v>
      </c>
      <c r="G17" s="68">
        <v>0</v>
      </c>
      <c r="H17" s="68">
        <v>823</v>
      </c>
      <c r="I17" s="68">
        <v>0</v>
      </c>
      <c r="J17" s="64" t="str">
        <f t="shared" si="0"/>
        <v>n/a</v>
      </c>
      <c r="K17" s="64">
        <f>IFERROR(F17/H17-1,"n/a")</f>
        <v>-1.0935601458080146E-2</v>
      </c>
      <c r="L17" s="60" t="str">
        <f t="shared" ref="L17:L28" si="1">IFERROR(F17/I17-1,"n/a")</f>
        <v>n/a</v>
      </c>
      <c r="M17" s="68">
        <v>814</v>
      </c>
      <c r="N17" s="68">
        <v>0</v>
      </c>
      <c r="O17" s="68">
        <v>823</v>
      </c>
      <c r="P17" s="68">
        <v>0</v>
      </c>
      <c r="Q17" s="64" t="str">
        <f>IFERROR(M17/N17-1,"n/a")</f>
        <v>n/a</v>
      </c>
      <c r="R17" s="64">
        <f>IFERROR(M17/O17-1,"n/a")</f>
        <v>-1.0935601458080146E-2</v>
      </c>
      <c r="S17" s="60" t="str">
        <f>IFERROR(M17/P17-1,"n/a")</f>
        <v>n/a</v>
      </c>
      <c r="T17" s="68">
        <v>8611</v>
      </c>
      <c r="U17" s="70">
        <v>1753</v>
      </c>
      <c r="V17" s="70">
        <v>254421</v>
      </c>
    </row>
    <row r="18" spans="1:38">
      <c r="A18" s="9"/>
      <c r="B18" s="12"/>
      <c r="C18" s="31" t="s">
        <v>10</v>
      </c>
      <c r="D18" s="26"/>
      <c r="E18" s="34"/>
      <c r="F18" s="43"/>
      <c r="G18" s="43"/>
      <c r="H18" s="43"/>
      <c r="I18" s="43"/>
      <c r="J18" s="64"/>
      <c r="K18" s="64"/>
      <c r="L18" s="60"/>
      <c r="M18" s="43"/>
      <c r="N18" s="43"/>
      <c r="O18" s="43"/>
      <c r="P18" s="43"/>
      <c r="Q18" s="64"/>
      <c r="R18" s="64"/>
      <c r="S18" s="60"/>
      <c r="T18" s="43"/>
      <c r="U18" s="44"/>
      <c r="V18" s="44"/>
    </row>
    <row r="19" spans="1:38">
      <c r="A19" s="9"/>
      <c r="B19" s="12"/>
      <c r="C19" s="33"/>
      <c r="D19" s="26" t="s">
        <v>5</v>
      </c>
      <c r="E19" s="34"/>
      <c r="F19" s="68">
        <v>100</v>
      </c>
      <c r="G19" s="68">
        <v>0</v>
      </c>
      <c r="H19" s="68">
        <v>126</v>
      </c>
      <c r="I19" s="68">
        <v>113</v>
      </c>
      <c r="J19" s="64" t="str">
        <f t="shared" si="0"/>
        <v>n/a</v>
      </c>
      <c r="K19" s="64">
        <f>IFERROR(F19/H19-1,"n/a")</f>
        <v>-0.20634920634920639</v>
      </c>
      <c r="L19" s="60">
        <f t="shared" si="1"/>
        <v>-0.11504424778761058</v>
      </c>
      <c r="M19" s="68">
        <v>100</v>
      </c>
      <c r="N19" s="68">
        <v>0</v>
      </c>
      <c r="O19" s="68">
        <v>126</v>
      </c>
      <c r="P19" s="68">
        <v>113</v>
      </c>
      <c r="Q19" s="64" t="str">
        <f>IFERROR(M19/N19-1,"n/a")</f>
        <v>n/a</v>
      </c>
      <c r="R19" s="64">
        <f>IFERROR(M19/O19-1,"n/a")</f>
        <v>-0.20634920634920639</v>
      </c>
      <c r="S19" s="60">
        <f>IFERROR(M19/P19-1,"n/a")</f>
        <v>-0.11504424778761058</v>
      </c>
      <c r="T19" s="68">
        <v>411</v>
      </c>
      <c r="U19" s="70">
        <v>406</v>
      </c>
      <c r="V19" s="70">
        <v>1205</v>
      </c>
    </row>
    <row r="20" spans="1:38">
      <c r="A20" s="9"/>
      <c r="B20" s="12"/>
      <c r="C20" s="33"/>
      <c r="D20" s="26" t="s">
        <v>11</v>
      </c>
      <c r="E20" s="32"/>
      <c r="F20" s="68">
        <v>144818</v>
      </c>
      <c r="G20" s="68">
        <v>0</v>
      </c>
      <c r="H20" s="68">
        <v>357284</v>
      </c>
      <c r="I20" s="68">
        <v>368396</v>
      </c>
      <c r="J20" s="64" t="str">
        <f t="shared" si="0"/>
        <v>n/a</v>
      </c>
      <c r="K20" s="64">
        <f>IFERROR(F20/H20-1,"n/a")</f>
        <v>-0.59466978650037505</v>
      </c>
      <c r="L20" s="60">
        <f t="shared" si="1"/>
        <v>-0.60689584034571498</v>
      </c>
      <c r="M20" s="68">
        <v>144818</v>
      </c>
      <c r="N20" s="68">
        <v>0</v>
      </c>
      <c r="O20" s="68">
        <v>357284</v>
      </c>
      <c r="P20" s="68">
        <v>368396</v>
      </c>
      <c r="Q20" s="64" t="str">
        <f>IFERROR(M20/N20-1,"n/a")</f>
        <v>n/a</v>
      </c>
      <c r="R20" s="64">
        <f>IFERROR(M20/O20-1,"n/a")</f>
        <v>-0.59466978650037505</v>
      </c>
      <c r="S20" s="60">
        <f>IFERROR(M20/P20-1,"n/a")</f>
        <v>-0.60689584034571498</v>
      </c>
      <c r="T20" s="68">
        <v>687449</v>
      </c>
      <c r="U20" s="70">
        <v>833999</v>
      </c>
      <c r="V20" s="70">
        <v>3859183</v>
      </c>
    </row>
    <row r="21" spans="1:38">
      <c r="A21" s="9"/>
      <c r="B21" s="12"/>
      <c r="C21" s="31" t="s">
        <v>16</v>
      </c>
      <c r="D21" s="26"/>
      <c r="E21" s="32"/>
      <c r="F21" s="43"/>
      <c r="G21" s="43"/>
      <c r="H21" s="43"/>
      <c r="I21" s="43"/>
      <c r="J21" s="64"/>
      <c r="K21" s="64"/>
      <c r="L21" s="60"/>
      <c r="M21" s="43"/>
      <c r="N21" s="43"/>
      <c r="O21" s="43"/>
      <c r="P21" s="43"/>
      <c r="Q21" s="64"/>
      <c r="R21" s="64"/>
      <c r="S21" s="60"/>
      <c r="T21" s="43"/>
      <c r="U21" s="44"/>
      <c r="V21" s="44"/>
    </row>
    <row r="22" spans="1:38">
      <c r="A22" s="9"/>
      <c r="B22" s="12"/>
      <c r="C22" s="33"/>
      <c r="D22" s="26" t="s">
        <v>5</v>
      </c>
      <c r="E22" s="32"/>
      <c r="F22" s="68">
        <v>3</v>
      </c>
      <c r="G22" s="68">
        <v>1</v>
      </c>
      <c r="H22" s="68">
        <v>5</v>
      </c>
      <c r="I22" s="68">
        <v>4</v>
      </c>
      <c r="J22" s="64">
        <f t="shared" si="0"/>
        <v>2</v>
      </c>
      <c r="K22" s="64">
        <f>IFERROR(F22/H22-1,"n/a")</f>
        <v>-0.4</v>
      </c>
      <c r="L22" s="60">
        <f t="shared" si="1"/>
        <v>-0.25</v>
      </c>
      <c r="M22" s="68">
        <v>3</v>
      </c>
      <c r="N22" s="68">
        <v>1</v>
      </c>
      <c r="O22" s="68">
        <v>5</v>
      </c>
      <c r="P22" s="68">
        <v>4</v>
      </c>
      <c r="Q22" s="64">
        <f>IFERROR(M22/N22-1,"n/a")</f>
        <v>2</v>
      </c>
      <c r="R22" s="64">
        <f>IFERROR(M22/O22-1,"n/a")</f>
        <v>-0.4</v>
      </c>
      <c r="S22" s="60">
        <f>IFERROR(M22/P22-1,"n/a")</f>
        <v>-0.25</v>
      </c>
      <c r="T22" s="68">
        <v>107</v>
      </c>
      <c r="U22" s="70">
        <v>32</v>
      </c>
      <c r="V22" s="70">
        <v>372</v>
      </c>
    </row>
    <row r="23" spans="1:38">
      <c r="A23" s="9"/>
      <c r="B23" s="12"/>
      <c r="C23" s="33"/>
      <c r="D23" s="26" t="s">
        <v>11</v>
      </c>
      <c r="E23" s="32"/>
      <c r="F23" s="68">
        <v>1702</v>
      </c>
      <c r="G23" s="68">
        <v>644</v>
      </c>
      <c r="H23" s="68">
        <v>23141</v>
      </c>
      <c r="I23" s="68">
        <v>19715</v>
      </c>
      <c r="J23" s="64">
        <f t="shared" si="0"/>
        <v>1.6428571428571428</v>
      </c>
      <c r="K23" s="64">
        <f>IFERROR(F23/H23-1,"n/a")</f>
        <v>-0.92645088803422493</v>
      </c>
      <c r="L23" s="60">
        <f t="shared" si="1"/>
        <v>-0.9136697945726604</v>
      </c>
      <c r="M23" s="68">
        <v>1702</v>
      </c>
      <c r="N23" s="68">
        <v>644</v>
      </c>
      <c r="O23" s="68">
        <v>23141</v>
      </c>
      <c r="P23" s="68">
        <v>19715</v>
      </c>
      <c r="Q23" s="64">
        <f>IFERROR(M23/N23-1,"n/a")</f>
        <v>1.6428571428571428</v>
      </c>
      <c r="R23" s="64">
        <f>IFERROR(M23/O23-1,"n/a")</f>
        <v>-0.92645088803422493</v>
      </c>
      <c r="S23" s="60">
        <f>IFERROR(M23/P23-1,"n/a")</f>
        <v>-0.9136697945726604</v>
      </c>
      <c r="T23" s="68">
        <v>147132</v>
      </c>
      <c r="U23" s="70">
        <v>59180</v>
      </c>
      <c r="V23" s="70">
        <v>902015</v>
      </c>
    </row>
    <row r="24" spans="1:38">
      <c r="A24" s="9"/>
      <c r="B24" s="12"/>
      <c r="C24" s="31" t="s">
        <v>17</v>
      </c>
      <c r="D24" s="26"/>
      <c r="E24" s="32"/>
      <c r="F24" s="43"/>
      <c r="G24" s="43"/>
      <c r="H24" s="43"/>
      <c r="I24" s="43"/>
      <c r="J24" s="64"/>
      <c r="K24" s="64"/>
      <c r="L24" s="60"/>
      <c r="M24" s="43"/>
      <c r="N24" s="43"/>
      <c r="O24" s="43"/>
      <c r="P24" s="43"/>
      <c r="Q24" s="64"/>
      <c r="R24" s="64"/>
      <c r="S24" s="60"/>
      <c r="T24" s="43"/>
      <c r="U24" s="44"/>
      <c r="V24" s="44"/>
    </row>
    <row r="25" spans="1:38">
      <c r="B25" s="12"/>
      <c r="C25" s="33"/>
      <c r="D25" s="26" t="s">
        <v>5</v>
      </c>
      <c r="E25" s="32"/>
      <c r="F25" s="68">
        <v>0</v>
      </c>
      <c r="G25" s="68">
        <v>1</v>
      </c>
      <c r="H25" s="68">
        <v>0</v>
      </c>
      <c r="I25" s="68">
        <v>1</v>
      </c>
      <c r="J25" s="64">
        <f t="shared" si="0"/>
        <v>-1</v>
      </c>
      <c r="K25" s="64" t="str">
        <f>IFERROR(F25/H25-1,"n/a")</f>
        <v>n/a</v>
      </c>
      <c r="L25" s="60">
        <f t="shared" si="1"/>
        <v>-1</v>
      </c>
      <c r="M25" s="68">
        <v>0</v>
      </c>
      <c r="N25" s="68">
        <v>1</v>
      </c>
      <c r="O25" s="68">
        <v>0</v>
      </c>
      <c r="P25" s="68">
        <v>1</v>
      </c>
      <c r="Q25" s="64">
        <f>IFERROR(M25/N25-1,"n/a")</f>
        <v>-1</v>
      </c>
      <c r="R25" s="64" t="str">
        <f>IFERROR(M25/O25-1,"n/a")</f>
        <v>n/a</v>
      </c>
      <c r="S25" s="60">
        <f>IFERROR(M25/P25-1,"n/a")</f>
        <v>-1</v>
      </c>
      <c r="T25" s="68">
        <v>127</v>
      </c>
      <c r="U25" s="70">
        <v>37</v>
      </c>
      <c r="V25" s="70">
        <f>282+81</f>
        <v>363</v>
      </c>
    </row>
    <row r="26" spans="1:38">
      <c r="A26" s="9"/>
      <c r="B26" s="12"/>
      <c r="C26" s="33"/>
      <c r="D26" s="26" t="s">
        <v>11</v>
      </c>
      <c r="E26" s="32"/>
      <c r="F26" s="68">
        <v>0</v>
      </c>
      <c r="G26" s="68">
        <v>644</v>
      </c>
      <c r="H26" s="68">
        <v>0</v>
      </c>
      <c r="I26" s="68">
        <v>1352</v>
      </c>
      <c r="J26" s="64">
        <f t="shared" si="0"/>
        <v>-1</v>
      </c>
      <c r="K26" s="64" t="str">
        <f>IFERROR(F26/H26-1,"n/a")</f>
        <v>n/a</v>
      </c>
      <c r="L26" s="60">
        <f t="shared" si="1"/>
        <v>-1</v>
      </c>
      <c r="M26" s="68">
        <v>0</v>
      </c>
      <c r="N26" s="68">
        <v>644</v>
      </c>
      <c r="O26" s="68">
        <v>0</v>
      </c>
      <c r="P26" s="68">
        <v>1352</v>
      </c>
      <c r="Q26" s="64">
        <f>IFERROR(M26/N26-1,"n/a")</f>
        <v>-1</v>
      </c>
      <c r="R26" s="64" t="str">
        <f>IFERROR(M26/O26-1,"n/a")</f>
        <v>n/a</v>
      </c>
      <c r="S26" s="60">
        <f>IFERROR(M26/P26-1,"n/a")</f>
        <v>-1</v>
      </c>
      <c r="T26" s="68">
        <v>165083</v>
      </c>
      <c r="U26" s="70">
        <f>20768+8294</f>
        <v>29062</v>
      </c>
      <c r="V26" s="70">
        <f>659951+168729+38484</f>
        <v>867164</v>
      </c>
    </row>
    <row r="27" spans="1:38" ht="15.75" thickBot="1">
      <c r="A27" s="9"/>
      <c r="B27" s="12"/>
      <c r="C27" s="35" t="s">
        <v>12</v>
      </c>
      <c r="D27" s="36"/>
      <c r="E27" s="37"/>
      <c r="F27" s="46">
        <f>F10+F13+F16+F19+F22+F25</f>
        <v>186</v>
      </c>
      <c r="G27" s="46">
        <f t="shared" ref="G27:I28" si="2">G10+G13+G16+G19+G22+G25</f>
        <v>2</v>
      </c>
      <c r="H27" s="46">
        <f t="shared" si="2"/>
        <v>212</v>
      </c>
      <c r="I27" s="46">
        <f t="shared" si="2"/>
        <v>218</v>
      </c>
      <c r="J27" s="66">
        <f t="shared" si="0"/>
        <v>92</v>
      </c>
      <c r="K27" s="66">
        <f>IFERROR(F27/H27-1,"n/a")</f>
        <v>-0.12264150943396224</v>
      </c>
      <c r="L27" s="62">
        <f t="shared" si="1"/>
        <v>-0.14678899082568808</v>
      </c>
      <c r="M27" s="46">
        <f t="shared" ref="M27:P28" si="3">M10+M13+M16+M19+M22+M25</f>
        <v>186</v>
      </c>
      <c r="N27" s="46">
        <f t="shared" si="3"/>
        <v>2</v>
      </c>
      <c r="O27" s="46">
        <f t="shared" si="3"/>
        <v>212</v>
      </c>
      <c r="P27" s="46">
        <f t="shared" si="3"/>
        <v>218</v>
      </c>
      <c r="Q27" s="66">
        <f>IFERROR(M27/N27-1,"n/a")</f>
        <v>92</v>
      </c>
      <c r="R27" s="66">
        <f>IFERROR(M27/O27-1,"n/a")</f>
        <v>-0.12264150943396224</v>
      </c>
      <c r="S27" s="62">
        <f>IFERROR(M27/P27-1,"n/a")</f>
        <v>-0.14678899082568808</v>
      </c>
      <c r="T27" s="46">
        <f t="shared" ref="T27:V28" si="4">T10+T13+T16+T19+T22+T25</f>
        <v>1062</v>
      </c>
      <c r="U27" s="46">
        <f t="shared" si="4"/>
        <v>667</v>
      </c>
      <c r="V27" s="46">
        <f t="shared" si="4"/>
        <v>3344</v>
      </c>
    </row>
    <row r="28" spans="1:38" s="22" customFormat="1" ht="16.5" thickTop="1" thickBot="1">
      <c r="A28" s="9"/>
      <c r="B28" s="12"/>
      <c r="C28" s="38" t="s">
        <v>13</v>
      </c>
      <c r="D28" s="39"/>
      <c r="E28" s="40"/>
      <c r="F28" s="47">
        <f>F11+F14+F17+F20+F23+F26</f>
        <v>219956</v>
      </c>
      <c r="G28" s="47">
        <f t="shared" si="2"/>
        <v>1288</v>
      </c>
      <c r="H28" s="47">
        <f t="shared" si="2"/>
        <v>555038</v>
      </c>
      <c r="I28" s="47">
        <f t="shared" si="2"/>
        <v>620852</v>
      </c>
      <c r="J28" s="67">
        <f t="shared" si="0"/>
        <v>169.77329192546583</v>
      </c>
      <c r="K28" s="67">
        <f>IFERROR(F28/H28-1,"n/a")</f>
        <v>-0.60371001625113951</v>
      </c>
      <c r="L28" s="63">
        <f t="shared" si="1"/>
        <v>-0.64571910857982262</v>
      </c>
      <c r="M28" s="47">
        <f t="shared" si="3"/>
        <v>219956</v>
      </c>
      <c r="N28" s="47">
        <f t="shared" si="3"/>
        <v>1288</v>
      </c>
      <c r="O28" s="47">
        <f t="shared" si="3"/>
        <v>555038</v>
      </c>
      <c r="P28" s="47">
        <f t="shared" si="3"/>
        <v>620852</v>
      </c>
      <c r="Q28" s="67">
        <f>IFERROR(M28/N28-1,"n/a")</f>
        <v>169.77329192546583</v>
      </c>
      <c r="R28" s="67">
        <f>IFERROR(M28/O28-1,"n/a")</f>
        <v>-0.60371001625113951</v>
      </c>
      <c r="S28" s="63">
        <f>IFERROR(M28/P28-1,"n/a")</f>
        <v>-0.64571910857982262</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idden="1">
      <c r="A30" s="9"/>
      <c r="B30" s="9"/>
      <c r="C30" s="9"/>
      <c r="D30" s="9"/>
      <c r="E30" s="9"/>
      <c r="F30" s="9"/>
      <c r="G30" s="41"/>
      <c r="H30" s="41"/>
      <c r="I30" s="41"/>
      <c r="J30" s="41"/>
      <c r="K30" s="9"/>
      <c r="L30" s="9"/>
      <c r="M30" s="9"/>
      <c r="N30" s="9"/>
      <c r="O30" s="9"/>
      <c r="P30" s="9"/>
      <c r="Q30" s="9"/>
      <c r="R30" s="9"/>
      <c r="S30" s="9"/>
      <c r="T30" s="9"/>
      <c r="U30" s="9"/>
      <c r="V30" s="9"/>
    </row>
    <row r="31" spans="1:38" hidden="1">
      <c r="A31" s="9"/>
      <c r="B31" s="9"/>
      <c r="C31" s="9"/>
      <c r="D31" s="9"/>
      <c r="E31" s="9"/>
      <c r="F31" s="9"/>
      <c r="G31" s="41"/>
      <c r="H31" s="41"/>
      <c r="I31" s="41"/>
      <c r="J31" s="41"/>
      <c r="K31" s="9"/>
      <c r="L31" s="9"/>
      <c r="M31" s="9"/>
      <c r="N31" s="9"/>
      <c r="O31" s="9"/>
      <c r="P31" s="9"/>
      <c r="Q31" s="9"/>
      <c r="R31" s="9"/>
      <c r="S31" s="9"/>
      <c r="T31" s="9"/>
      <c r="U31" s="9"/>
      <c r="V31" s="9"/>
    </row>
    <row r="32" spans="1:38" hidden="1">
      <c r="A32" s="9"/>
      <c r="B32" s="9"/>
      <c r="C32" s="9"/>
      <c r="D32" s="9"/>
      <c r="E32" s="9"/>
      <c r="F32" s="9"/>
      <c r="G32" s="41"/>
      <c r="H32" s="41"/>
      <c r="I32" s="41"/>
      <c r="J32" s="41"/>
      <c r="K32" s="9"/>
      <c r="L32" s="9"/>
      <c r="M32" s="9"/>
      <c r="N32" s="9"/>
      <c r="O32" s="9"/>
      <c r="P32" s="9"/>
      <c r="Q32" s="9"/>
      <c r="R32" s="9"/>
      <c r="S32" s="9"/>
      <c r="T32" s="9"/>
      <c r="U32" s="9"/>
      <c r="V32" s="9"/>
    </row>
    <row r="33" spans="7:10" s="9" customFormat="1" hidden="1">
      <c r="G33" s="41"/>
      <c r="H33" s="41"/>
      <c r="I33" s="41"/>
      <c r="J33" s="41"/>
    </row>
    <row r="34" spans="7:10" s="9" customFormat="1" hidden="1">
      <c r="G34" s="41"/>
      <c r="H34" s="41"/>
      <c r="I34" s="41"/>
      <c r="J34" s="41"/>
    </row>
    <row r="35" spans="7:10" s="9" customFormat="1" hidden="1">
      <c r="G35" s="41"/>
      <c r="H35" s="41"/>
      <c r="I35" s="41"/>
      <c r="J35" s="41"/>
    </row>
    <row r="36" spans="7:10" s="9" customFormat="1" hidden="1">
      <c r="G36" s="41"/>
      <c r="H36" s="41"/>
      <c r="I36" s="41"/>
      <c r="J36" s="41"/>
    </row>
    <row r="37" spans="7:10" s="9" customFormat="1" hidden="1">
      <c r="G37" s="41"/>
      <c r="H37" s="41"/>
      <c r="I37" s="41"/>
      <c r="J37" s="41"/>
    </row>
    <row r="38" spans="7:10" s="9" customFormat="1" hidden="1">
      <c r="G38" s="41"/>
      <c r="H38" s="41"/>
      <c r="I38" s="41"/>
      <c r="J38" s="41"/>
    </row>
    <row r="39" spans="7:10" s="9" customFormat="1" hidden="1">
      <c r="G39" s="41"/>
      <c r="H39" s="41"/>
      <c r="I39" s="41"/>
      <c r="J39" s="41"/>
    </row>
    <row r="40" spans="7:10" s="9" customFormat="1" hidden="1">
      <c r="G40" s="41"/>
      <c r="H40" s="41"/>
      <c r="I40" s="41"/>
      <c r="J40" s="41"/>
    </row>
    <row r="41" spans="7:10" s="9" customFormat="1" hidden="1">
      <c r="G41" s="41"/>
      <c r="H41" s="41"/>
      <c r="I41" s="41"/>
      <c r="J41" s="41"/>
    </row>
    <row r="42" spans="7:10" s="9" customFormat="1" hidden="1">
      <c r="G42" s="41"/>
      <c r="H42" s="41"/>
      <c r="I42" s="41"/>
      <c r="J42" s="41"/>
    </row>
    <row r="43" spans="7:10" s="9" customFormat="1" hidden="1">
      <c r="G43" s="41"/>
      <c r="H43" s="41"/>
      <c r="I43" s="41"/>
      <c r="J43" s="41"/>
    </row>
    <row r="44" spans="7:10" s="9" customFormat="1" hidden="1">
      <c r="G44" s="41"/>
      <c r="H44" s="41"/>
      <c r="I44" s="41"/>
      <c r="J44" s="41"/>
    </row>
    <row r="45" spans="7:10" s="9" customFormat="1" hidden="1">
      <c r="G45" s="41"/>
      <c r="H45" s="41"/>
      <c r="I45" s="41"/>
      <c r="J45" s="41"/>
    </row>
    <row r="46" spans="7:10" s="9" customFormat="1" hidden="1">
      <c r="G46" s="41"/>
      <c r="H46" s="41"/>
      <c r="I46" s="41"/>
      <c r="J46" s="41"/>
    </row>
    <row r="47" spans="7:10" s="9" customFormat="1" hidden="1">
      <c r="G47" s="41"/>
      <c r="H47" s="41"/>
      <c r="I47" s="41"/>
      <c r="J47" s="41"/>
    </row>
    <row r="48" spans="7:10" s="9" customFormat="1" hidden="1"/>
  </sheetData>
  <customSheetViews>
    <customSheetView guid="{5F6D01E3-9E6F-4D7F-980F-63899AF95899}" scale="79" showGridLines="0" fitToPage="1" hiddenRows="1" hiddenColumns="1" topLeftCell="A3">
      <selection activeCell="A3" sqref="A3"/>
      <pageMargins left="0.7" right="0.7" top="0.75" bottom="0.75" header="0.3" footer="0.3"/>
      <pageSetup paperSize="9" scale="85" orientation="landscape" horizontalDpi="4294967293" verticalDpi="4294967293" r:id="rId1"/>
    </customSheetView>
  </customSheetViews>
  <mergeCells count="3">
    <mergeCell ref="T6:V6"/>
    <mergeCell ref="M6:S6"/>
    <mergeCell ref="F6:L6"/>
  </mergeCells>
  <pageMargins left="0.7" right="0.7" top="0.75" bottom="0.75" header="0.3" footer="0.3"/>
  <pageSetup paperSize="9" scale="85" orientation="landscape" horizontalDpi="4294967293" verticalDpi="4294967293" r:id="rId2"/>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pageSetUpPr fitToPage="1"/>
  </sheetPr>
  <dimension ref="A1:AG48"/>
  <sheetViews>
    <sheetView showGridLines="0" zoomScaleNormal="100" workbookViewId="0"/>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140625" bestFit="1" customWidth="1"/>
    <col min="12" max="12" width="12.140625" bestFit="1" customWidth="1"/>
    <col min="13" max="13" width="12.5703125" bestFit="1" customWidth="1"/>
    <col min="14" max="15" width="9.140625" customWidth="1"/>
    <col min="16" max="16" width="11.85546875" bestFit="1" customWidth="1"/>
    <col min="17" max="17" width="12.42578125" customWidth="1"/>
    <col min="18" max="18" width="3.140625" style="9" customWidth="1"/>
    <col min="19" max="33" width="0" style="9" hidden="1" customWidth="1"/>
    <col min="34" max="16384" width="9.140625" hidden="1"/>
  </cols>
  <sheetData>
    <row r="1" spans="1:33">
      <c r="A1" s="9"/>
      <c r="B1" s="9"/>
      <c r="C1" s="9"/>
      <c r="D1" s="9"/>
      <c r="E1" s="9"/>
      <c r="F1" s="9"/>
      <c r="G1" s="9"/>
      <c r="H1" s="9"/>
      <c r="I1" s="9"/>
      <c r="J1" s="9"/>
      <c r="K1" s="9"/>
      <c r="L1" s="9"/>
      <c r="M1" s="9"/>
      <c r="N1" s="9"/>
      <c r="O1" s="9"/>
      <c r="P1" s="9"/>
      <c r="Q1" s="9"/>
    </row>
    <row r="2" spans="1:33" ht="19.5" thickBot="1">
      <c r="A2" s="9"/>
      <c r="B2" s="8" t="s">
        <v>6</v>
      </c>
      <c r="C2" s="23"/>
      <c r="D2" s="23"/>
      <c r="E2" s="23"/>
      <c r="F2" s="23"/>
      <c r="G2" s="23"/>
      <c r="H2" s="23"/>
      <c r="I2" s="23"/>
      <c r="J2" s="23"/>
      <c r="K2" s="23"/>
      <c r="L2" s="23"/>
      <c r="M2" s="23"/>
      <c r="N2" s="23"/>
      <c r="O2" s="23"/>
      <c r="P2" s="23"/>
      <c r="Q2" s="23"/>
    </row>
    <row r="3" spans="1:33">
      <c r="A3" s="9"/>
      <c r="B3" s="10"/>
      <c r="C3" s="24"/>
      <c r="D3" s="24"/>
      <c r="E3" s="24"/>
      <c r="F3" s="24"/>
      <c r="G3" s="24"/>
      <c r="H3" s="24"/>
      <c r="I3" s="24"/>
      <c r="J3" s="24"/>
      <c r="K3" s="24"/>
      <c r="L3" s="24"/>
      <c r="M3" s="24"/>
      <c r="N3" s="24"/>
      <c r="O3" s="24"/>
      <c r="P3" s="24"/>
      <c r="Q3" s="25"/>
    </row>
    <row r="4" spans="1:33" ht="15.75">
      <c r="A4" s="9"/>
      <c r="B4" s="11" t="s">
        <v>7</v>
      </c>
      <c r="C4" s="26"/>
      <c r="D4" s="24"/>
      <c r="E4" s="58" t="s">
        <v>30</v>
      </c>
      <c r="F4" s="24"/>
      <c r="G4" s="24"/>
      <c r="H4" s="24"/>
      <c r="I4" s="24"/>
      <c r="J4" s="24"/>
      <c r="K4" s="24"/>
      <c r="L4" s="24"/>
      <c r="M4" s="24"/>
      <c r="N4" s="24"/>
      <c r="O4" s="24"/>
      <c r="P4" s="24"/>
      <c r="Q4" s="24"/>
    </row>
    <row r="5" spans="1:33">
      <c r="A5" s="9"/>
      <c r="B5" s="10"/>
      <c r="C5" s="24"/>
      <c r="D5" s="24"/>
      <c r="E5" s="24"/>
      <c r="F5" s="24"/>
      <c r="G5" s="24"/>
      <c r="H5" s="24"/>
      <c r="I5" s="24"/>
      <c r="J5" s="24"/>
      <c r="K5" s="24"/>
      <c r="L5" s="24"/>
      <c r="M5" s="24"/>
      <c r="N5" s="24"/>
      <c r="O5" s="24"/>
      <c r="P5" s="24"/>
      <c r="Q5" s="24"/>
    </row>
    <row r="6" spans="1:33" s="20" customFormat="1">
      <c r="A6" s="9"/>
      <c r="B6"/>
      <c r="C6" s="27" t="s">
        <v>7</v>
      </c>
      <c r="D6" s="28"/>
      <c r="E6" s="28"/>
      <c r="F6" s="169" t="s">
        <v>31</v>
      </c>
      <c r="G6" s="181"/>
      <c r="H6" s="181"/>
      <c r="I6" s="182"/>
      <c r="J6" s="183"/>
      <c r="K6" s="169" t="s">
        <v>32</v>
      </c>
      <c r="L6" s="181"/>
      <c r="M6" s="181"/>
      <c r="N6" s="182"/>
      <c r="O6" s="183"/>
      <c r="P6" s="170" t="s">
        <v>9</v>
      </c>
      <c r="Q6" s="181"/>
      <c r="R6" s="9"/>
      <c r="S6" s="19"/>
      <c r="T6" s="19"/>
      <c r="U6" s="19"/>
      <c r="V6" s="19"/>
      <c r="W6" s="19"/>
      <c r="X6" s="19"/>
      <c r="Y6" s="19"/>
      <c r="Z6" s="19"/>
      <c r="AA6" s="19"/>
      <c r="AB6" s="19"/>
      <c r="AC6" s="19"/>
      <c r="AD6" s="19"/>
      <c r="AE6" s="19"/>
      <c r="AF6" s="19"/>
      <c r="AG6" s="19"/>
    </row>
    <row r="7" spans="1:33" ht="15.75">
      <c r="A7" s="9"/>
      <c r="B7" s="18"/>
      <c r="C7" s="29"/>
      <c r="D7" s="30"/>
      <c r="E7" s="30"/>
      <c r="F7" s="29"/>
      <c r="G7" s="30"/>
      <c r="H7" s="30"/>
      <c r="I7" s="30"/>
      <c r="J7" s="56"/>
      <c r="K7" s="29"/>
      <c r="L7" s="30"/>
      <c r="M7" s="30"/>
      <c r="N7" s="30"/>
      <c r="O7" s="56"/>
      <c r="P7" s="30"/>
      <c r="Q7" s="30"/>
    </row>
    <row r="8" spans="1:33" s="54" customFormat="1" ht="22.5">
      <c r="A8" s="48"/>
      <c r="B8" s="49"/>
      <c r="C8" s="59" t="s">
        <v>29</v>
      </c>
      <c r="D8" s="50"/>
      <c r="E8" s="51"/>
      <c r="F8" s="55">
        <v>2021</v>
      </c>
      <c r="G8" s="52">
        <v>2020</v>
      </c>
      <c r="H8" s="52">
        <v>2019</v>
      </c>
      <c r="I8" s="53" t="s">
        <v>19</v>
      </c>
      <c r="J8" s="57" t="s">
        <v>18</v>
      </c>
      <c r="K8" s="55">
        <v>2021</v>
      </c>
      <c r="L8" s="52">
        <v>2020</v>
      </c>
      <c r="M8" s="52">
        <v>2019</v>
      </c>
      <c r="N8" s="53" t="s">
        <v>19</v>
      </c>
      <c r="O8" s="57" t="s">
        <v>18</v>
      </c>
      <c r="P8" s="52">
        <v>2020</v>
      </c>
      <c r="Q8" s="52">
        <v>2019</v>
      </c>
      <c r="R8" s="48"/>
      <c r="S8" s="48"/>
      <c r="T8" s="48"/>
      <c r="U8" s="48"/>
      <c r="V8" s="48"/>
      <c r="W8" s="48"/>
      <c r="X8" s="48"/>
      <c r="Y8" s="48"/>
      <c r="Z8" s="48"/>
      <c r="AA8" s="48"/>
      <c r="AB8" s="48"/>
      <c r="AC8" s="48"/>
      <c r="AD8" s="48"/>
      <c r="AE8" s="48"/>
      <c r="AF8" s="48"/>
      <c r="AG8" s="48"/>
    </row>
    <row r="9" spans="1:33">
      <c r="A9" s="9"/>
      <c r="B9" s="12"/>
      <c r="C9" s="31" t="s">
        <v>14</v>
      </c>
      <c r="D9" s="26"/>
      <c r="E9" s="32"/>
      <c r="F9" s="26"/>
      <c r="G9" s="26"/>
      <c r="H9" s="26"/>
      <c r="I9" s="26"/>
      <c r="J9" s="32"/>
      <c r="K9" s="26"/>
      <c r="L9" s="26"/>
      <c r="M9" s="26"/>
      <c r="N9" s="26"/>
      <c r="O9" s="32"/>
      <c r="P9" s="26"/>
      <c r="Q9" s="26"/>
    </row>
    <row r="10" spans="1:33">
      <c r="A10" s="9"/>
      <c r="B10" s="12"/>
      <c r="C10" s="33"/>
      <c r="D10" s="26" t="s">
        <v>5</v>
      </c>
      <c r="E10" s="32"/>
      <c r="F10" s="68">
        <v>70</v>
      </c>
      <c r="G10" s="68">
        <f>L10-'Nov-21'!L10</f>
        <v>0</v>
      </c>
      <c r="H10" s="68">
        <f>M10-'Nov-21'!M10</f>
        <v>69</v>
      </c>
      <c r="I10" s="64" t="str">
        <f>IFERROR(F10/G10-1,"n/a")</f>
        <v>n/a</v>
      </c>
      <c r="J10" s="60">
        <f>F10/H10-1</f>
        <v>1.449275362318847E-2</v>
      </c>
      <c r="K10" s="68">
        <v>111</v>
      </c>
      <c r="L10" s="68">
        <v>145</v>
      </c>
      <c r="M10" s="68">
        <v>386</v>
      </c>
      <c r="N10" s="64">
        <f>K10/L10-1</f>
        <v>-0.23448275862068968</v>
      </c>
      <c r="O10" s="60">
        <f>K10/M10-1</f>
        <v>-0.71243523316062174</v>
      </c>
      <c r="P10" s="70">
        <v>145</v>
      </c>
      <c r="Q10" s="70">
        <v>386</v>
      </c>
    </row>
    <row r="11" spans="1:33">
      <c r="A11" s="9"/>
      <c r="B11" s="12"/>
      <c r="C11" s="33"/>
      <c r="D11" s="26" t="s">
        <v>11</v>
      </c>
      <c r="E11" s="32"/>
      <c r="F11" s="68">
        <v>52767</v>
      </c>
      <c r="G11" s="68">
        <f>L11-'Nov-21'!L11</f>
        <v>0</v>
      </c>
      <c r="H11" s="68">
        <f>M11-'Nov-21'!M11</f>
        <v>120203</v>
      </c>
      <c r="I11" s="64" t="str">
        <f t="shared" ref="I11:I26" si="0">IFERROR(F11/G11-1,"n/a")</f>
        <v>n/a</v>
      </c>
      <c r="J11" s="60">
        <f>F11/H11-1</f>
        <v>-0.56101761187324772</v>
      </c>
      <c r="K11" s="68">
        <v>80863</v>
      </c>
      <c r="L11" s="68">
        <v>258885</v>
      </c>
      <c r="M11" s="68">
        <v>733296</v>
      </c>
      <c r="N11" s="64">
        <f>K11/L11-1</f>
        <v>-0.68764895610019894</v>
      </c>
      <c r="O11" s="60">
        <f>K11/M11-1</f>
        <v>-0.8897266588117213</v>
      </c>
      <c r="P11" s="70">
        <v>258885</v>
      </c>
      <c r="Q11" s="70">
        <v>733296</v>
      </c>
    </row>
    <row r="12" spans="1:33">
      <c r="A12" s="9"/>
      <c r="B12" s="12"/>
      <c r="C12" s="31" t="s">
        <v>74</v>
      </c>
      <c r="D12" s="26"/>
      <c r="E12" s="32"/>
      <c r="F12" s="45"/>
      <c r="G12" s="45"/>
      <c r="H12" s="45"/>
      <c r="I12" s="64"/>
      <c r="J12" s="61"/>
      <c r="K12" s="43"/>
      <c r="L12" s="43"/>
      <c r="M12" s="43"/>
      <c r="N12" s="65"/>
      <c r="O12" s="61"/>
      <c r="P12" s="44"/>
      <c r="Q12" s="44"/>
    </row>
    <row r="13" spans="1:33">
      <c r="A13" s="9"/>
      <c r="B13" s="12"/>
      <c r="C13" s="33"/>
      <c r="D13" s="26" t="s">
        <v>5</v>
      </c>
      <c r="E13" s="32"/>
      <c r="F13" s="68">
        <v>25</v>
      </c>
      <c r="G13" s="68">
        <f>L13-'Nov-21'!L13</f>
        <v>0</v>
      </c>
      <c r="H13" s="68">
        <f>M13-'Nov-21'!M13</f>
        <v>20</v>
      </c>
      <c r="I13" s="64" t="str">
        <f t="shared" si="0"/>
        <v>n/a</v>
      </c>
      <c r="J13" s="60">
        <f>F13/H13-1</f>
        <v>0.25</v>
      </c>
      <c r="K13" s="68">
        <v>283</v>
      </c>
      <c r="L13" s="68">
        <v>43</v>
      </c>
      <c r="M13" s="68">
        <v>827</v>
      </c>
      <c r="N13" s="64">
        <f>K13/L13-1</f>
        <v>5.5813953488372094</v>
      </c>
      <c r="O13" s="60">
        <f>K13/M13-1</f>
        <v>-0.65779927448609432</v>
      </c>
      <c r="P13" s="70">
        <v>43</v>
      </c>
      <c r="Q13" s="70">
        <v>827</v>
      </c>
    </row>
    <row r="14" spans="1:33">
      <c r="A14" s="9"/>
      <c r="B14" s="12"/>
      <c r="C14" s="33"/>
      <c r="D14" s="26" t="s">
        <v>11</v>
      </c>
      <c r="E14" s="32"/>
      <c r="F14" s="68">
        <v>39214</v>
      </c>
      <c r="G14" s="68">
        <f>L14-'Nov-21'!L14</f>
        <v>0</v>
      </c>
      <c r="H14" s="68">
        <f>M14-'Nov-21'!M14</f>
        <v>58943</v>
      </c>
      <c r="I14" s="64" t="str">
        <f t="shared" si="0"/>
        <v>n/a</v>
      </c>
      <c r="J14" s="60">
        <f>F14/H14-1</f>
        <v>-0.33471319749588591</v>
      </c>
      <c r="K14" s="68">
        <v>465109</v>
      </c>
      <c r="L14" s="68">
        <v>140552</v>
      </c>
      <c r="M14" s="68">
        <v>2552942</v>
      </c>
      <c r="N14" s="64">
        <f>K14/L14-1</f>
        <v>2.3091595992942113</v>
      </c>
      <c r="O14" s="60">
        <f>K14/M14-1</f>
        <v>-0.81781450577412262</v>
      </c>
      <c r="P14" s="70">
        <v>140552</v>
      </c>
      <c r="Q14" s="70">
        <v>2552942</v>
      </c>
    </row>
    <row r="15" spans="1:33">
      <c r="A15" s="9"/>
      <c r="B15" s="12"/>
      <c r="C15" s="31" t="s">
        <v>15</v>
      </c>
      <c r="D15" s="26"/>
      <c r="E15" s="32"/>
      <c r="F15" s="43"/>
      <c r="G15" s="43"/>
      <c r="H15" s="43"/>
      <c r="I15" s="64"/>
      <c r="J15" s="60"/>
      <c r="K15" s="43"/>
      <c r="L15" s="43"/>
      <c r="M15" s="43"/>
      <c r="N15" s="64"/>
      <c r="O15" s="60"/>
      <c r="P15" s="44"/>
      <c r="Q15" s="44"/>
    </row>
    <row r="16" spans="1:33">
      <c r="A16" s="9"/>
      <c r="B16" s="12"/>
      <c r="C16" s="33"/>
      <c r="D16" s="26" t="s">
        <v>5</v>
      </c>
      <c r="E16" s="32"/>
      <c r="F16" s="68">
        <v>3</v>
      </c>
      <c r="G16" s="68">
        <f>L16-'Nov-21'!L16</f>
        <v>0</v>
      </c>
      <c r="H16" s="68">
        <f>M16-'Nov-21'!M16</f>
        <v>9</v>
      </c>
      <c r="I16" s="64" t="str">
        <f t="shared" si="0"/>
        <v>n/a</v>
      </c>
      <c r="J16" s="60">
        <f>F16/H16-1</f>
        <v>-0.66666666666666674</v>
      </c>
      <c r="K16" s="68">
        <v>23</v>
      </c>
      <c r="L16" s="68">
        <v>4</v>
      </c>
      <c r="M16" s="68">
        <v>191</v>
      </c>
      <c r="N16" s="64">
        <f>K16/L16-1</f>
        <v>4.75</v>
      </c>
      <c r="O16" s="60">
        <f>K16/M16-1</f>
        <v>-0.87958115183246077</v>
      </c>
      <c r="P16" s="70">
        <v>4</v>
      </c>
      <c r="Q16" s="70">
        <v>191</v>
      </c>
    </row>
    <row r="17" spans="1:33">
      <c r="A17" s="9"/>
      <c r="B17" s="12"/>
      <c r="C17" s="33"/>
      <c r="D17" s="26" t="s">
        <v>11</v>
      </c>
      <c r="E17" s="32"/>
      <c r="F17" s="68">
        <v>864</v>
      </c>
      <c r="G17" s="68">
        <f>L17-'Nov-21'!L17</f>
        <v>0</v>
      </c>
      <c r="H17" s="68">
        <f>M17-'Nov-21'!M17</f>
        <v>9813</v>
      </c>
      <c r="I17" s="64" t="str">
        <f t="shared" si="0"/>
        <v>n/a</v>
      </c>
      <c r="J17" s="60">
        <f>F17/H17-1</f>
        <v>-0.911953531030266</v>
      </c>
      <c r="K17" s="68">
        <v>8611</v>
      </c>
      <c r="L17" s="68">
        <v>1753</v>
      </c>
      <c r="M17" s="68">
        <v>254421</v>
      </c>
      <c r="N17" s="64">
        <f>K17/L17-1</f>
        <v>3.9121505989731888</v>
      </c>
      <c r="O17" s="60">
        <f>K17/M17-1</f>
        <v>-0.96615452340805197</v>
      </c>
      <c r="P17" s="70">
        <v>1753</v>
      </c>
      <c r="Q17" s="70">
        <v>254421</v>
      </c>
    </row>
    <row r="18" spans="1:33">
      <c r="A18" s="9"/>
      <c r="B18" s="12"/>
      <c r="C18" s="31" t="s">
        <v>10</v>
      </c>
      <c r="D18" s="26"/>
      <c r="E18" s="34"/>
      <c r="F18" s="43"/>
      <c r="G18" s="43"/>
      <c r="H18" s="43"/>
      <c r="I18" s="64"/>
      <c r="J18" s="60"/>
      <c r="K18" s="43"/>
      <c r="L18" s="43"/>
      <c r="M18" s="43"/>
      <c r="N18" s="64"/>
      <c r="O18" s="60"/>
      <c r="P18" s="44"/>
      <c r="Q18" s="44"/>
    </row>
    <row r="19" spans="1:33">
      <c r="A19" s="9"/>
      <c r="B19" s="12"/>
      <c r="C19" s="33"/>
      <c r="D19" s="26" t="s">
        <v>5</v>
      </c>
      <c r="E19" s="34"/>
      <c r="F19" s="68">
        <v>102</v>
      </c>
      <c r="G19" s="68">
        <f>L19-'Nov-21'!L19</f>
        <v>0</v>
      </c>
      <c r="H19" s="68">
        <f>M19-'Nov-21'!M19</f>
        <v>131</v>
      </c>
      <c r="I19" s="64" t="str">
        <f t="shared" si="0"/>
        <v>n/a</v>
      </c>
      <c r="J19" s="60">
        <f>F19/H19-1</f>
        <v>-0.22137404580152675</v>
      </c>
      <c r="K19" s="68">
        <v>411</v>
      </c>
      <c r="L19" s="68">
        <v>406</v>
      </c>
      <c r="M19" s="68">
        <v>1205</v>
      </c>
      <c r="N19" s="64">
        <f>K19/L19-1</f>
        <v>1.2315270935960632E-2</v>
      </c>
      <c r="O19" s="60">
        <f>K19/M19-1</f>
        <v>-0.65892116182572613</v>
      </c>
      <c r="P19" s="70">
        <v>406</v>
      </c>
      <c r="Q19" s="70">
        <v>1205</v>
      </c>
    </row>
    <row r="20" spans="1:33">
      <c r="A20" s="9"/>
      <c r="B20" s="12"/>
      <c r="C20" s="33"/>
      <c r="D20" s="26" t="s">
        <v>11</v>
      </c>
      <c r="E20" s="32"/>
      <c r="F20" s="68">
        <v>200450</v>
      </c>
      <c r="G20" s="68">
        <f>L20-'Nov-21'!L20</f>
        <v>0</v>
      </c>
      <c r="H20" s="68">
        <f>M20-'Nov-21'!M20</f>
        <v>386408</v>
      </c>
      <c r="I20" s="64" t="str">
        <f t="shared" si="0"/>
        <v>n/a</v>
      </c>
      <c r="J20" s="60">
        <f>F20/H20-1</f>
        <v>-0.48124780025258274</v>
      </c>
      <c r="K20" s="68">
        <v>687449</v>
      </c>
      <c r="L20" s="68">
        <v>833999</v>
      </c>
      <c r="M20" s="68">
        <v>3859183</v>
      </c>
      <c r="N20" s="64">
        <f>K20/L20-1</f>
        <v>-0.17571963515543787</v>
      </c>
      <c r="O20" s="60">
        <f>K20/M20-1</f>
        <v>-0.82186670080169821</v>
      </c>
      <c r="P20" s="70">
        <v>833999</v>
      </c>
      <c r="Q20" s="70">
        <v>3859183</v>
      </c>
    </row>
    <row r="21" spans="1:33">
      <c r="A21" s="9"/>
      <c r="B21" s="12"/>
      <c r="C21" s="31" t="s">
        <v>16</v>
      </c>
      <c r="D21" s="26"/>
      <c r="E21" s="32"/>
      <c r="F21" s="43"/>
      <c r="G21" s="43"/>
      <c r="H21" s="43"/>
      <c r="I21" s="64"/>
      <c r="J21" s="60"/>
      <c r="K21" s="43"/>
      <c r="L21" s="43"/>
      <c r="M21" s="43"/>
      <c r="N21" s="64"/>
      <c r="O21" s="60"/>
      <c r="P21" s="44"/>
      <c r="Q21" s="44"/>
    </row>
    <row r="22" spans="1:33">
      <c r="A22" s="9"/>
      <c r="B22" s="12"/>
      <c r="C22" s="33"/>
      <c r="D22" s="26" t="s">
        <v>5</v>
      </c>
      <c r="E22" s="32"/>
      <c r="F22" s="68">
        <v>7</v>
      </c>
      <c r="G22" s="68">
        <f>L22-'Nov-21'!L22</f>
        <v>3</v>
      </c>
      <c r="H22" s="68">
        <f>M22-'Nov-21'!M22</f>
        <v>44</v>
      </c>
      <c r="I22" s="64">
        <f t="shared" si="0"/>
        <v>1.3333333333333335</v>
      </c>
      <c r="J22" s="60">
        <f>F22/H22-1</f>
        <v>-0.84090909090909094</v>
      </c>
      <c r="K22" s="68">
        <v>107</v>
      </c>
      <c r="L22" s="68">
        <v>32</v>
      </c>
      <c r="M22" s="68">
        <v>372</v>
      </c>
      <c r="N22" s="64">
        <f>K22/L22-1</f>
        <v>2.34375</v>
      </c>
      <c r="O22" s="60">
        <f>K22/M22-1</f>
        <v>-0.7123655913978495</v>
      </c>
      <c r="P22" s="70">
        <v>32</v>
      </c>
      <c r="Q22" s="70">
        <v>372</v>
      </c>
    </row>
    <row r="23" spans="1:33">
      <c r="A23" s="9"/>
      <c r="B23" s="12"/>
      <c r="C23" s="33"/>
      <c r="D23" s="26" t="s">
        <v>11</v>
      </c>
      <c r="E23" s="32"/>
      <c r="F23" s="68">
        <v>13748</v>
      </c>
      <c r="G23" s="68">
        <f>L23-'Nov-21'!L23</f>
        <v>1045</v>
      </c>
      <c r="H23" s="68">
        <f>M23-'Nov-21'!M23</f>
        <v>52611</v>
      </c>
      <c r="I23" s="64">
        <f t="shared" si="0"/>
        <v>12.15598086124402</v>
      </c>
      <c r="J23" s="60">
        <f>F23/H23-1</f>
        <v>-0.7386858261580278</v>
      </c>
      <c r="K23" s="68">
        <v>147132</v>
      </c>
      <c r="L23" s="68">
        <v>59180</v>
      </c>
      <c r="M23" s="68">
        <v>902015</v>
      </c>
      <c r="N23" s="64">
        <f>K23/L23-1</f>
        <v>1.4861777627576882</v>
      </c>
      <c r="O23" s="60">
        <f>K23/M23-1</f>
        <v>-0.83688519592246247</v>
      </c>
      <c r="P23" s="70">
        <v>59180</v>
      </c>
      <c r="Q23" s="70">
        <v>902015</v>
      </c>
    </row>
    <row r="24" spans="1:33">
      <c r="A24" s="9"/>
      <c r="B24" s="12"/>
      <c r="C24" s="31" t="s">
        <v>17</v>
      </c>
      <c r="D24" s="26"/>
      <c r="E24" s="32"/>
      <c r="F24" s="43"/>
      <c r="G24" s="43"/>
      <c r="H24" s="43"/>
      <c r="I24" s="64"/>
      <c r="J24" s="60"/>
      <c r="K24" s="43"/>
      <c r="L24" s="43"/>
      <c r="M24" s="43"/>
      <c r="N24" s="64"/>
      <c r="O24" s="60"/>
      <c r="P24" s="44"/>
      <c r="Q24" s="44"/>
    </row>
    <row r="25" spans="1:33">
      <c r="B25" s="12"/>
      <c r="C25" s="33"/>
      <c r="D25" s="26" t="s">
        <v>5</v>
      </c>
      <c r="E25" s="32"/>
      <c r="F25" s="68">
        <v>0</v>
      </c>
      <c r="G25" s="68">
        <f>L25-'Nov-21'!L25</f>
        <v>5</v>
      </c>
      <c r="H25" s="68">
        <f>M25-'Nov-21'!M25</f>
        <v>20</v>
      </c>
      <c r="I25" s="64">
        <f t="shared" si="0"/>
        <v>-1</v>
      </c>
      <c r="J25" s="60">
        <f>F25/H25-1</f>
        <v>-1</v>
      </c>
      <c r="K25" s="68">
        <v>127</v>
      </c>
      <c r="L25" s="68">
        <v>37</v>
      </c>
      <c r="M25" s="68">
        <f>282+81</f>
        <v>363</v>
      </c>
      <c r="N25" s="64">
        <f>K25/L25-1</f>
        <v>2.4324324324324325</v>
      </c>
      <c r="O25" s="60">
        <f>K25/M25-1</f>
        <v>-0.65013774104683197</v>
      </c>
      <c r="P25" s="70">
        <v>37</v>
      </c>
      <c r="Q25" s="70">
        <f>282+81</f>
        <v>363</v>
      </c>
    </row>
    <row r="26" spans="1:33">
      <c r="A26" s="9"/>
      <c r="B26" s="12"/>
      <c r="C26" s="33"/>
      <c r="D26" s="26" t="s">
        <v>11</v>
      </c>
      <c r="E26" s="32"/>
      <c r="F26" s="68">
        <v>0</v>
      </c>
      <c r="G26" s="68">
        <f>L26-'Nov-21'!L26</f>
        <v>1063</v>
      </c>
      <c r="H26" s="68">
        <f>M26-'Nov-21'!M26</f>
        <v>24347</v>
      </c>
      <c r="I26" s="64">
        <f t="shared" si="0"/>
        <v>-1</v>
      </c>
      <c r="J26" s="60">
        <f>F26/H26-1</f>
        <v>-1</v>
      </c>
      <c r="K26" s="68">
        <v>165083</v>
      </c>
      <c r="L26" s="68">
        <f>20768+8294</f>
        <v>29062</v>
      </c>
      <c r="M26" s="70">
        <f>659951+168729+38484</f>
        <v>867164</v>
      </c>
      <c r="N26" s="64">
        <f>K26/L26-1</f>
        <v>4.6803729956644418</v>
      </c>
      <c r="O26" s="60">
        <f>K26/M26-1</f>
        <v>-0.80962885913160598</v>
      </c>
      <c r="P26" s="70">
        <f>20768+8294</f>
        <v>29062</v>
      </c>
      <c r="Q26" s="70">
        <f>659951+168729+38484</f>
        <v>867164</v>
      </c>
    </row>
    <row r="27" spans="1:33" ht="15.75" thickBot="1">
      <c r="A27" s="9"/>
      <c r="B27" s="12"/>
      <c r="C27" s="35" t="s">
        <v>12</v>
      </c>
      <c r="D27" s="36"/>
      <c r="E27" s="37"/>
      <c r="F27" s="46">
        <f t="shared" ref="F27:H28" si="1">F10+F13+F16+F19+F22+F25</f>
        <v>207</v>
      </c>
      <c r="G27" s="46">
        <f t="shared" si="1"/>
        <v>8</v>
      </c>
      <c r="H27" s="46">
        <f t="shared" si="1"/>
        <v>293</v>
      </c>
      <c r="I27" s="66">
        <f>F27/G27-1</f>
        <v>24.875</v>
      </c>
      <c r="J27" s="62">
        <f>F27/H27-1</f>
        <v>-0.29351535836177478</v>
      </c>
      <c r="K27" s="46">
        <f t="shared" ref="K27:M28" si="2">K10+K13+K16+K19+K22+K25</f>
        <v>1062</v>
      </c>
      <c r="L27" s="46">
        <f t="shared" si="2"/>
        <v>667</v>
      </c>
      <c r="M27" s="46">
        <f t="shared" si="2"/>
        <v>3344</v>
      </c>
      <c r="N27" s="66">
        <f>K27/L27-1</f>
        <v>0.59220389805097451</v>
      </c>
      <c r="O27" s="62">
        <f>K27/M27-1</f>
        <v>-0.68241626794258381</v>
      </c>
      <c r="P27" s="46">
        <f>P10+P13+P16+P19+P22+P25</f>
        <v>667</v>
      </c>
      <c r="Q27" s="46">
        <f>Q10+Q13+Q16+Q19+Q22+Q25</f>
        <v>3344</v>
      </c>
    </row>
    <row r="28" spans="1:33" s="22" customFormat="1" ht="16.5" thickTop="1" thickBot="1">
      <c r="A28" s="9"/>
      <c r="B28" s="12"/>
      <c r="C28" s="38" t="s">
        <v>13</v>
      </c>
      <c r="D28" s="39"/>
      <c r="E28" s="40"/>
      <c r="F28" s="47">
        <f t="shared" si="1"/>
        <v>307043</v>
      </c>
      <c r="G28" s="47">
        <f t="shared" si="1"/>
        <v>2108</v>
      </c>
      <c r="H28" s="47">
        <f t="shared" si="1"/>
        <v>652325</v>
      </c>
      <c r="I28" s="67">
        <f>F28/G28-1</f>
        <v>144.65607210626186</v>
      </c>
      <c r="J28" s="63">
        <f>F28/H28-1</f>
        <v>-0.52930977656842826</v>
      </c>
      <c r="K28" s="47">
        <f t="shared" si="2"/>
        <v>1554247</v>
      </c>
      <c r="L28" s="47">
        <f t="shared" si="2"/>
        <v>1323431</v>
      </c>
      <c r="M28" s="47">
        <f t="shared" si="2"/>
        <v>9169021</v>
      </c>
      <c r="N28" s="67">
        <f>K28/L28-1</f>
        <v>0.17440727926125343</v>
      </c>
      <c r="O28" s="63">
        <f>K28/M28-1</f>
        <v>-0.83048931832526063</v>
      </c>
      <c r="P28" s="47">
        <f>P11+P14+P17+P20+P23+P26</f>
        <v>1323431</v>
      </c>
      <c r="Q28" s="47">
        <f>Q11+Q14+Q17+Q20+Q23+Q26</f>
        <v>9169021</v>
      </c>
      <c r="R28" s="9"/>
      <c r="S28" s="21"/>
      <c r="T28" s="21"/>
      <c r="U28" s="21"/>
      <c r="V28" s="21"/>
      <c r="W28" s="21"/>
      <c r="X28" s="21"/>
      <c r="Y28" s="21"/>
      <c r="Z28" s="21"/>
      <c r="AA28" s="21"/>
      <c r="AB28" s="21"/>
      <c r="AC28" s="21"/>
      <c r="AD28" s="21"/>
      <c r="AE28" s="21"/>
      <c r="AF28" s="21"/>
      <c r="AG28" s="21"/>
    </row>
    <row r="29" spans="1:33" ht="15.75" thickTop="1">
      <c r="A29" s="9"/>
      <c r="B29" s="9"/>
      <c r="C29" s="9"/>
      <c r="D29" s="9"/>
      <c r="E29" s="9"/>
      <c r="F29" s="41"/>
      <c r="G29" s="41"/>
      <c r="H29" s="41"/>
      <c r="I29" s="9"/>
      <c r="J29" s="9"/>
      <c r="K29" s="9"/>
      <c r="L29" s="9"/>
      <c r="M29" s="9"/>
      <c r="N29" s="9"/>
      <c r="O29" s="9"/>
      <c r="P29" s="9"/>
      <c r="Q29" s="9"/>
    </row>
    <row r="30" spans="1:33" hidden="1">
      <c r="A30" s="9"/>
      <c r="B30" s="9"/>
      <c r="C30" s="9"/>
      <c r="D30" s="9"/>
      <c r="E30" s="9"/>
      <c r="F30" s="41"/>
      <c r="G30" s="41"/>
      <c r="H30" s="41"/>
      <c r="I30" s="9"/>
      <c r="J30" s="9"/>
      <c r="K30" s="9"/>
      <c r="L30" s="9"/>
      <c r="M30" s="9"/>
      <c r="N30" s="9"/>
      <c r="O30" s="9"/>
      <c r="P30" s="9"/>
      <c r="Q30" s="9"/>
    </row>
    <row r="31" spans="1:33" hidden="1">
      <c r="A31" s="9"/>
      <c r="B31" s="9"/>
      <c r="C31" s="9"/>
      <c r="D31" s="9"/>
      <c r="E31" s="9"/>
      <c r="F31" s="41"/>
      <c r="G31" s="41"/>
      <c r="H31" s="41"/>
      <c r="I31" s="9"/>
      <c r="J31" s="9"/>
      <c r="K31" s="9"/>
      <c r="L31" s="9"/>
      <c r="M31" s="9"/>
      <c r="N31" s="9"/>
      <c r="O31" s="9"/>
      <c r="P31" s="9"/>
      <c r="Q31" s="9"/>
    </row>
    <row r="32" spans="1:33" hidden="1">
      <c r="A32" s="9"/>
      <c r="B32" s="9"/>
      <c r="C32" s="9"/>
      <c r="D32" s="9"/>
      <c r="E32" s="9"/>
      <c r="F32" s="41"/>
      <c r="G32" s="41"/>
      <c r="H32" s="41"/>
      <c r="I32" s="9"/>
      <c r="J32" s="9"/>
      <c r="K32" s="9"/>
      <c r="L32" s="9"/>
      <c r="M32" s="9"/>
      <c r="N32" s="9"/>
      <c r="O32" s="9"/>
      <c r="P32" s="9"/>
      <c r="Q32" s="9"/>
    </row>
    <row r="33" spans="6:8" s="9" customFormat="1" hidden="1">
      <c r="F33" s="41"/>
      <c r="G33" s="41"/>
      <c r="H33" s="41"/>
    </row>
    <row r="34" spans="6:8" s="9" customFormat="1" hidden="1">
      <c r="F34" s="41"/>
      <c r="G34" s="41"/>
      <c r="H34" s="41"/>
    </row>
    <row r="35" spans="6:8" s="9" customFormat="1" hidden="1">
      <c r="F35" s="41"/>
      <c r="G35" s="41"/>
      <c r="H35" s="41"/>
    </row>
    <row r="36" spans="6:8" s="9" customFormat="1" hidden="1">
      <c r="F36" s="41"/>
      <c r="G36" s="41"/>
      <c r="H36" s="41"/>
    </row>
    <row r="37" spans="6:8" s="9" customFormat="1" hidden="1">
      <c r="F37" s="41"/>
      <c r="G37" s="41"/>
      <c r="H37" s="41"/>
    </row>
    <row r="38" spans="6:8" s="9" customFormat="1" hidden="1">
      <c r="F38" s="41"/>
      <c r="G38" s="41"/>
      <c r="H38" s="41"/>
    </row>
    <row r="39" spans="6:8" s="9" customFormat="1" hidden="1">
      <c r="F39" s="41"/>
      <c r="G39" s="41"/>
      <c r="H39" s="41"/>
    </row>
    <row r="40" spans="6:8" s="9" customFormat="1" hidden="1">
      <c r="F40" s="41"/>
      <c r="G40" s="41"/>
      <c r="H40" s="41"/>
    </row>
    <row r="41" spans="6:8" s="9" customFormat="1" hidden="1">
      <c r="F41" s="41"/>
      <c r="G41" s="41"/>
      <c r="H41" s="41"/>
    </row>
    <row r="42" spans="6:8" s="9" customFormat="1" hidden="1">
      <c r="F42" s="41"/>
      <c r="G42" s="41"/>
      <c r="H42" s="41"/>
    </row>
    <row r="43" spans="6:8" s="9" customFormat="1" hidden="1">
      <c r="F43" s="41"/>
      <c r="G43" s="41"/>
      <c r="H43" s="41"/>
    </row>
    <row r="44" spans="6:8" s="9" customFormat="1" hidden="1">
      <c r="F44" s="41"/>
      <c r="G44" s="41"/>
      <c r="H44" s="41"/>
    </row>
    <row r="45" spans="6:8" s="9" customFormat="1" hidden="1">
      <c r="F45" s="41"/>
      <c r="G45" s="41"/>
      <c r="H45" s="41"/>
    </row>
    <row r="46" spans="6:8" s="9" customFormat="1" hidden="1">
      <c r="F46" s="41"/>
      <c r="G46" s="41"/>
      <c r="H46" s="41"/>
    </row>
    <row r="47" spans="6:8" s="9" customFormat="1" hidden="1">
      <c r="F47" s="41"/>
      <c r="G47" s="41"/>
      <c r="H47" s="41"/>
    </row>
    <row r="48" spans="6:8" s="9" customFormat="1" hidden="1"/>
  </sheetData>
  <customSheetViews>
    <customSheetView guid="{5F6D01E3-9E6F-4D7F-980F-63899AF95899}" scale="79" showGridLines="0" fitToPage="1" hiddenRows="1" hiddenColumns="1" topLeftCell="A7">
      <selection activeCell="P28" sqref="P28"/>
      <pageMargins left="0.7" right="0.7" top="0.75" bottom="0.75" header="0.3" footer="0.3"/>
      <pageSetup paperSize="9" scale="85" orientation="landscape" horizontalDpi="4294967293" verticalDpi="4294967293" r:id="rId1"/>
    </customSheetView>
  </customSheetViews>
  <mergeCells count="3">
    <mergeCell ref="F6:J6"/>
    <mergeCell ref="K6:O6"/>
    <mergeCell ref="P6:Q6"/>
  </mergeCells>
  <pageMargins left="0.7" right="0.7" top="0.75" bottom="0.75" header="0.3" footer="0.3"/>
  <pageSetup paperSize="9" scale="85" orientation="landscape" horizontalDpi="4294967293" verticalDpi="4294967293"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DF100-95C3-4777-B9E3-8EAE01EE2A84}">
  <dimension ref="A1:AS71"/>
  <sheetViews>
    <sheetView showGridLines="0" tabSelected="1" topLeftCell="C4" zoomScale="85" zoomScaleNormal="85" workbookViewId="0">
      <selection activeCell="F58" sqref="F58"/>
    </sheetView>
  </sheetViews>
  <sheetFormatPr defaultColWidth="0" defaultRowHeight="0" customHeight="1" zeroHeight="1"/>
  <cols>
    <col min="1" max="2" width="4.140625" customWidth="1"/>
    <col min="3" max="3" width="6.28515625" customWidth="1"/>
    <col min="4" max="4" width="10" customWidth="1"/>
    <col min="5" max="5" width="20.42578125" customWidth="1"/>
    <col min="6" max="8" width="13" customWidth="1"/>
    <col min="9" max="9" width="11.140625" bestFit="1" customWidth="1"/>
    <col min="10" max="10" width="10.140625" bestFit="1" customWidth="1"/>
    <col min="11" max="12" width="8.85546875" customWidth="1"/>
    <col min="13" max="13" width="10.140625" bestFit="1" customWidth="1"/>
    <col min="14" max="15" width="10.140625" customWidth="1"/>
    <col min="16" max="16" width="8" customWidth="1"/>
    <col min="17" max="17" width="8.85546875" bestFit="1" customWidth="1"/>
    <col min="18" max="18" width="8.5703125" bestFit="1" customWidth="1"/>
    <col min="19" max="20" width="8" customWidth="1"/>
    <col min="21" max="21" width="10" bestFit="1" customWidth="1"/>
    <col min="22" max="22" width="11.85546875" bestFit="1" customWidth="1"/>
    <col min="23" max="24" width="12.5703125" bestFit="1" customWidth="1"/>
    <col min="25" max="27" width="11.5703125" bestFit="1" customWidth="1"/>
    <col min="28" max="28" width="11.85546875" bestFit="1" customWidth="1"/>
    <col min="29" max="29" width="8.42578125" customWidth="1"/>
    <col min="30" max="30" width="9.140625" customWidth="1"/>
    <col min="31" max="31" width="8.85546875" customWidth="1"/>
    <col min="32" max="32" width="8.85546875" bestFit="1" customWidth="1"/>
    <col min="33" max="33" width="8.85546875" customWidth="1"/>
    <col min="34" max="34" width="9" bestFit="1" customWidth="1"/>
    <col min="35" max="35" width="7.85546875" customWidth="1"/>
    <col min="36" max="36" width="10.85546875" bestFit="1" customWidth="1"/>
    <col min="37" max="37" width="12.85546875" bestFit="1" customWidth="1"/>
    <col min="38" max="38" width="10.85546875" bestFit="1" customWidth="1"/>
    <col min="39" max="39" width="13.42578125" bestFit="1" customWidth="1"/>
    <col min="40" max="40" width="13.140625" bestFit="1" customWidth="1"/>
    <col min="41" max="41" width="12.85546875" bestFit="1" customWidth="1"/>
    <col min="42" max="42" width="15.42578125" bestFit="1" customWidth="1"/>
    <col min="43" max="43" width="11.140625" customWidth="1"/>
    <col min="44" max="44" width="3.42578125" customWidth="1"/>
    <col min="45" max="45" width="0" hidden="1" customWidth="1"/>
    <col min="46" max="16384" width="8.85546875" hidden="1"/>
  </cols>
  <sheetData>
    <row r="1" spans="1:4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row>
    <row r="2" spans="1:4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4"/>
      <c r="AR2" s="9"/>
    </row>
    <row r="3" spans="1:4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f>Occupancy_2026!AY3</f>
        <v>46154</v>
      </c>
      <c r="AQ3" s="25"/>
      <c r="AR3" s="9"/>
    </row>
    <row r="4" spans="1:44" ht="15.75">
      <c r="A4" s="9"/>
      <c r="B4" s="11" t="s">
        <v>7</v>
      </c>
      <c r="C4" s="26"/>
      <c r="D4" s="151" t="s">
        <v>45</v>
      </c>
      <c r="E4" s="133" t="s">
        <v>156</v>
      </c>
      <c r="F4" s="133"/>
      <c r="G4" s="133"/>
      <c r="H4" s="133"/>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9"/>
    </row>
    <row r="5" spans="1:4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9"/>
    </row>
    <row r="6" spans="1:4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9"/>
    </row>
    <row r="7" spans="1:4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9"/>
    </row>
    <row r="8" spans="1:4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9"/>
    </row>
    <row r="9" spans="1:44" s="123" customFormat="1" ht="15" customHeight="1">
      <c r="A9" s="122"/>
      <c r="C9" s="27" t="s">
        <v>7</v>
      </c>
      <c r="D9" s="28"/>
      <c r="E9" s="28"/>
      <c r="F9" s="167" t="str">
        <f>D4</f>
        <v>April</v>
      </c>
      <c r="G9" s="167"/>
      <c r="H9" s="167"/>
      <c r="I9" s="167"/>
      <c r="J9" s="167"/>
      <c r="K9" s="167"/>
      <c r="L9" s="167"/>
      <c r="M9" s="167"/>
      <c r="N9" s="167"/>
      <c r="O9" s="167"/>
      <c r="P9" s="167"/>
      <c r="Q9" s="167"/>
      <c r="R9" s="167"/>
      <c r="S9" s="167"/>
      <c r="T9" s="168"/>
      <c r="U9" s="169" t="str">
        <f xml:space="preserve"> "January to "&amp; F9</f>
        <v>January to April</v>
      </c>
      <c r="V9" s="170"/>
      <c r="W9" s="170"/>
      <c r="X9" s="170"/>
      <c r="Y9" s="170"/>
      <c r="Z9" s="170"/>
      <c r="AA9" s="170"/>
      <c r="AB9" s="170"/>
      <c r="AC9" s="170"/>
      <c r="AD9" s="170"/>
      <c r="AE9" s="170"/>
      <c r="AF9" s="170"/>
      <c r="AG9" s="170"/>
      <c r="AH9" s="170"/>
      <c r="AI9" s="171"/>
      <c r="AJ9" s="169" t="s">
        <v>57</v>
      </c>
      <c r="AK9" s="170"/>
      <c r="AL9" s="170"/>
      <c r="AM9" s="170"/>
      <c r="AN9" s="170"/>
      <c r="AO9" s="170"/>
      <c r="AP9" s="172"/>
      <c r="AQ9" s="122"/>
      <c r="AR9" s="122"/>
    </row>
    <row r="10" spans="1:44" s="123" customFormat="1" ht="13.5">
      <c r="A10" s="122"/>
      <c r="B10" s="124"/>
      <c r="C10" s="29"/>
      <c r="D10" s="30"/>
      <c r="E10" s="30"/>
      <c r="F10" s="30"/>
      <c r="G10" s="173"/>
      <c r="H10" s="173"/>
      <c r="I10" s="173"/>
      <c r="J10" s="173"/>
      <c r="K10" s="173"/>
      <c r="L10" s="173"/>
      <c r="M10" s="173"/>
      <c r="N10" s="173"/>
      <c r="O10" s="173"/>
      <c r="P10" s="173"/>
      <c r="Q10" s="173"/>
      <c r="R10" s="173"/>
      <c r="S10" s="173"/>
      <c r="T10" s="174"/>
      <c r="U10" s="175"/>
      <c r="V10" s="173"/>
      <c r="W10" s="173"/>
      <c r="X10" s="173"/>
      <c r="Y10" s="173"/>
      <c r="Z10" s="173"/>
      <c r="AA10" s="173"/>
      <c r="AB10" s="173"/>
      <c r="AC10" s="173"/>
      <c r="AD10" s="173"/>
      <c r="AE10" s="173"/>
      <c r="AF10" s="173"/>
      <c r="AG10" s="173"/>
      <c r="AH10" s="173"/>
      <c r="AI10" s="174"/>
      <c r="AJ10" s="152"/>
      <c r="AK10" s="152"/>
      <c r="AL10" s="30"/>
      <c r="AM10" s="30"/>
      <c r="AN10" s="30"/>
      <c r="AO10" s="30"/>
      <c r="AP10" s="56"/>
      <c r="AQ10" s="122"/>
      <c r="AR10" s="122"/>
    </row>
    <row r="11" spans="1:44" s="123" customFormat="1" ht="26.25" customHeight="1">
      <c r="A11" s="125"/>
      <c r="B11" s="126"/>
      <c r="C11" s="59" t="s">
        <v>29</v>
      </c>
      <c r="D11" s="50"/>
      <c r="E11" s="51"/>
      <c r="F11" s="55">
        <v>2026</v>
      </c>
      <c r="G11" s="52">
        <v>2025</v>
      </c>
      <c r="H11" s="52">
        <v>2024</v>
      </c>
      <c r="I11" s="52">
        <v>2023</v>
      </c>
      <c r="J11" s="52">
        <v>2022</v>
      </c>
      <c r="K11" s="52">
        <v>2021</v>
      </c>
      <c r="L11" s="52">
        <v>2020</v>
      </c>
      <c r="M11" s="52">
        <v>2019</v>
      </c>
      <c r="N11" s="53" t="s">
        <v>146</v>
      </c>
      <c r="O11" s="53" t="s">
        <v>147</v>
      </c>
      <c r="P11" s="53" t="s">
        <v>148</v>
      </c>
      <c r="Q11" s="53" t="s">
        <v>149</v>
      </c>
      <c r="R11" s="53" t="s">
        <v>150</v>
      </c>
      <c r="S11" s="53" t="s">
        <v>151</v>
      </c>
      <c r="T11" s="57" t="s">
        <v>157</v>
      </c>
      <c r="U11" s="53">
        <v>2026</v>
      </c>
      <c r="V11" s="53">
        <v>2025</v>
      </c>
      <c r="W11" s="53">
        <v>2024</v>
      </c>
      <c r="X11" s="53">
        <v>2023</v>
      </c>
      <c r="Y11" s="53">
        <v>2022</v>
      </c>
      <c r="Z11" s="52">
        <v>2021</v>
      </c>
      <c r="AA11" s="52">
        <v>2020</v>
      </c>
      <c r="AB11" s="52">
        <v>2019</v>
      </c>
      <c r="AC11" s="53" t="s">
        <v>146</v>
      </c>
      <c r="AD11" s="53" t="s">
        <v>147</v>
      </c>
      <c r="AE11" s="53" t="s">
        <v>148</v>
      </c>
      <c r="AF11" s="53" t="s">
        <v>149</v>
      </c>
      <c r="AG11" s="53" t="s">
        <v>150</v>
      </c>
      <c r="AH11" s="53" t="s">
        <v>151</v>
      </c>
      <c r="AI11" s="57" t="s">
        <v>157</v>
      </c>
      <c r="AJ11" s="53">
        <v>2025</v>
      </c>
      <c r="AK11" s="53">
        <v>2024</v>
      </c>
      <c r="AL11" s="53">
        <v>2023</v>
      </c>
      <c r="AM11" s="53">
        <v>2022</v>
      </c>
      <c r="AN11" s="53">
        <v>2021</v>
      </c>
      <c r="AO11" s="52">
        <v>2020</v>
      </c>
      <c r="AP11" s="77">
        <v>2019</v>
      </c>
      <c r="AQ11" s="125"/>
      <c r="AR11" s="125"/>
    </row>
    <row r="12" spans="1:44" s="123" customFormat="1" ht="12.75">
      <c r="A12" s="122"/>
      <c r="B12" s="127"/>
      <c r="C12" s="31" t="s">
        <v>107</v>
      </c>
      <c r="D12" s="26"/>
      <c r="E12" s="32"/>
      <c r="F12" s="26"/>
      <c r="G12" s="26"/>
      <c r="H12" s="26"/>
      <c r="I12" s="26"/>
      <c r="J12" s="26"/>
      <c r="K12" s="26"/>
      <c r="L12" s="26"/>
      <c r="M12" s="26"/>
      <c r="N12" s="146"/>
      <c r="O12" s="26"/>
      <c r="P12" s="26"/>
      <c r="Q12" s="26"/>
      <c r="R12" s="26"/>
      <c r="S12" s="26"/>
      <c r="T12" s="32"/>
      <c r="U12" s="26"/>
      <c r="V12" s="26"/>
      <c r="W12" s="26"/>
      <c r="X12" s="26"/>
      <c r="Y12" s="26"/>
      <c r="Z12" s="26"/>
      <c r="AA12" s="26"/>
      <c r="AB12" s="26"/>
      <c r="AC12" s="26"/>
      <c r="AD12" s="26"/>
      <c r="AE12" s="26"/>
      <c r="AF12" s="26"/>
      <c r="AG12" s="26"/>
      <c r="AH12" s="26"/>
      <c r="AI12" s="32"/>
      <c r="AJ12" s="26"/>
      <c r="AK12" s="26"/>
      <c r="AL12" s="26"/>
      <c r="AM12" s="26"/>
      <c r="AN12" s="26"/>
      <c r="AO12" s="26"/>
      <c r="AP12" s="32"/>
      <c r="AQ12" s="122"/>
      <c r="AR12" s="122"/>
    </row>
    <row r="13" spans="1:44" s="123" customFormat="1" ht="12.75">
      <c r="A13" s="122"/>
      <c r="B13" s="127"/>
      <c r="C13" s="33"/>
      <c r="D13" s="26" t="s">
        <v>5</v>
      </c>
      <c r="E13" s="32"/>
      <c r="F13" s="71">
        <v>226</v>
      </c>
      <c r="G13" s="71">
        <v>230</v>
      </c>
      <c r="H13" s="71">
        <v>187</v>
      </c>
      <c r="I13" s="73">
        <v>129</v>
      </c>
      <c r="J13" s="73">
        <v>136</v>
      </c>
      <c r="K13" s="73">
        <v>0</v>
      </c>
      <c r="L13" s="73">
        <v>42</v>
      </c>
      <c r="M13" s="73">
        <v>129</v>
      </c>
      <c r="N13" s="64">
        <f>IFERROR(F13/G13-1,"n/a")</f>
        <v>-1.7391304347826098E-2</v>
      </c>
      <c r="O13" s="64">
        <f>IFERROR(F13/H13-1,"n/a")</f>
        <v>0.20855614973262027</v>
      </c>
      <c r="P13" s="64">
        <f>IFERROR(F13/I13-1,"n/a")</f>
        <v>0.75193798449612403</v>
      </c>
      <c r="Q13" s="64">
        <f>IFERROR(F13/J13-1,"n/a")</f>
        <v>0.66176470588235303</v>
      </c>
      <c r="R13" s="64" t="str">
        <f>IFERROR(F13/K13-1,"n/a")</f>
        <v>n/a</v>
      </c>
      <c r="S13" s="64">
        <f>IFERROR(F13/L13-1,"n/a")</f>
        <v>4.3809523809523814</v>
      </c>
      <c r="T13" s="60">
        <f>IFERROR(F13/M13-1,"n/a")</f>
        <v>0.75193798449612403</v>
      </c>
      <c r="U13" s="68">
        <f>F13+'Mar-26'!U13</f>
        <v>1421</v>
      </c>
      <c r="V13" s="68">
        <f>G13+'Mar-26'!V13</f>
        <v>1323</v>
      </c>
      <c r="W13" s="68">
        <f>H13+'Mar-26'!W13</f>
        <v>889</v>
      </c>
      <c r="X13" s="68">
        <f>I13+'Mar-26'!X13</f>
        <v>659</v>
      </c>
      <c r="Y13" s="68">
        <f>J13+'Mar-26'!Y13</f>
        <v>666</v>
      </c>
      <c r="Z13" s="68">
        <f>K13+'Mar-26'!Z13</f>
        <v>0</v>
      </c>
      <c r="AA13" s="68">
        <f>L13+'Mar-26'!AA13</f>
        <v>551</v>
      </c>
      <c r="AB13" s="68">
        <f>M13+'Mar-26'!AB13</f>
        <v>645</v>
      </c>
      <c r="AC13" s="64">
        <f>IFERROR(U13/V13-1,"n/a")</f>
        <v>7.4074074074074181E-2</v>
      </c>
      <c r="AD13" s="64">
        <f>IFERROR(U13/W13-1,"n/a")</f>
        <v>0.59842519685039375</v>
      </c>
      <c r="AE13" s="64">
        <f>IFERROR(U13/X13-1,"n/a")</f>
        <v>1.1562974203338392</v>
      </c>
      <c r="AF13" s="64">
        <f>IFERROR(U13/Y13-1,"n/a")</f>
        <v>1.1336336336336337</v>
      </c>
      <c r="AG13" s="64" t="str">
        <f>IFERROR(U13/Z13-1,"n/a")</f>
        <v>n/a</v>
      </c>
      <c r="AH13" s="64">
        <f>IFERROR(U13/AA13-1,"n/a")</f>
        <v>1.5789473684210527</v>
      </c>
      <c r="AI13" s="60">
        <f>IFERROR(U13/AB13-1,"n/a")</f>
        <v>1.2031007751937985</v>
      </c>
      <c r="AJ13" s="68">
        <v>2979</v>
      </c>
      <c r="AK13" s="68">
        <v>2483</v>
      </c>
      <c r="AL13" s="68">
        <v>1630</v>
      </c>
      <c r="AM13" s="68">
        <v>1486</v>
      </c>
      <c r="AN13" s="68">
        <v>522</v>
      </c>
      <c r="AO13" s="68">
        <v>551</v>
      </c>
      <c r="AP13" s="134">
        <v>1591</v>
      </c>
      <c r="AQ13" s="122"/>
      <c r="AR13" s="122"/>
    </row>
    <row r="14" spans="1:44" s="123" customFormat="1" ht="12.75">
      <c r="A14" s="122"/>
      <c r="B14" s="127"/>
      <c r="C14" s="33"/>
      <c r="D14" s="26" t="s">
        <v>11</v>
      </c>
      <c r="E14" s="32"/>
      <c r="F14" s="71">
        <v>790877</v>
      </c>
      <c r="G14" s="71">
        <v>770590</v>
      </c>
      <c r="H14" s="71">
        <v>659714</v>
      </c>
      <c r="I14" s="73">
        <v>449751</v>
      </c>
      <c r="J14" s="73">
        <v>297788</v>
      </c>
      <c r="K14" s="73">
        <v>0</v>
      </c>
      <c r="L14" s="73">
        <v>0</v>
      </c>
      <c r="M14" s="73">
        <v>394045</v>
      </c>
      <c r="N14" s="64">
        <f>IFERROR(F14/G14-1,"n/a")</f>
        <v>2.6326580931494092E-2</v>
      </c>
      <c r="O14" s="64">
        <f>IFERROR(F14/H14-1,"n/a")</f>
        <v>0.19881797263662748</v>
      </c>
      <c r="P14" s="64">
        <f>IFERROR(F14/I14-1,"n/a")</f>
        <v>0.75847746864376075</v>
      </c>
      <c r="Q14" s="64">
        <f>IFERROR(F14/J14-1,"n/a")</f>
        <v>1.6558390532862304</v>
      </c>
      <c r="R14" s="64" t="str">
        <f>IFERROR(F14/K14-1,"n/a")</f>
        <v>n/a</v>
      </c>
      <c r="S14" s="64" t="str">
        <f>IFERROR(F14/L14-1,"n/a")</f>
        <v>n/a</v>
      </c>
      <c r="T14" s="60">
        <f>IFERROR(F14/M14-1,"n/a")</f>
        <v>1.007072796254235</v>
      </c>
      <c r="U14" s="68">
        <f>F14+'Mar-26'!U14</f>
        <v>4294141</v>
      </c>
      <c r="V14" s="68">
        <f>G14+'Mar-26'!V14</f>
        <v>3696171</v>
      </c>
      <c r="W14" s="68">
        <f>H14+'Mar-26'!W14</f>
        <v>2813538</v>
      </c>
      <c r="X14" s="68">
        <f>I14+'Mar-26'!X14</f>
        <v>1987935</v>
      </c>
      <c r="Y14" s="68">
        <f>J14+'Mar-26'!Y14</f>
        <v>1057446</v>
      </c>
      <c r="Z14" s="68">
        <f>K14+'Mar-26'!Z14</f>
        <v>0</v>
      </c>
      <c r="AA14" s="68">
        <f>L14+'Mar-26'!AA14</f>
        <v>1092884</v>
      </c>
      <c r="AB14" s="68">
        <f>M14+'Mar-26'!AB14</f>
        <v>1845149</v>
      </c>
      <c r="AC14" s="64">
        <f>IFERROR(U14/V14-1,"n/a")</f>
        <v>0.16178093491886614</v>
      </c>
      <c r="AD14" s="64">
        <f>IFERROR(U14/W14-1,"n/a")</f>
        <v>0.52624240369243269</v>
      </c>
      <c r="AE14" s="64">
        <f>IFERROR(U14/X14-1,"n/a")</f>
        <v>1.1601013111595702</v>
      </c>
      <c r="AF14" s="64">
        <f>IFERROR(U14/Y14-1,"n/a")</f>
        <v>3.0608607910002021</v>
      </c>
      <c r="AG14" s="64" t="str">
        <f>IFERROR(U14/Z14-1,"n/a")</f>
        <v>n/a</v>
      </c>
      <c r="AH14" s="64">
        <f>IFERROR(U14/AA14-1,"n/a")</f>
        <v>2.9291827860962369</v>
      </c>
      <c r="AI14" s="60">
        <f>IFERROR(U14/AB14-1,"n/a")</f>
        <v>1.327259749754627</v>
      </c>
      <c r="AJ14" s="68">
        <v>9306898</v>
      </c>
      <c r="AK14" s="68">
        <v>8019489</v>
      </c>
      <c r="AL14" s="68">
        <v>5232537</v>
      </c>
      <c r="AM14" s="68">
        <v>3592413</v>
      </c>
      <c r="AN14" s="68">
        <v>768312</v>
      </c>
      <c r="AO14" s="68">
        <v>1092884</v>
      </c>
      <c r="AP14" s="134">
        <v>4592479</v>
      </c>
      <c r="AQ14" s="122"/>
      <c r="AR14" s="122"/>
    </row>
    <row r="15" spans="1:44" s="123" customFormat="1" ht="12.75">
      <c r="A15" s="122"/>
      <c r="B15" s="127"/>
      <c r="C15" s="31" t="s">
        <v>163</v>
      </c>
      <c r="D15" s="26"/>
      <c r="E15" s="32"/>
      <c r="F15" s="97"/>
      <c r="G15" s="97"/>
      <c r="H15" s="97"/>
      <c r="I15" s="97"/>
      <c r="J15" s="26"/>
      <c r="K15" s="26"/>
      <c r="L15" s="26"/>
      <c r="M15" s="26"/>
      <c r="N15" s="64"/>
      <c r="O15" s="64"/>
      <c r="P15" s="64"/>
      <c r="Q15" s="64"/>
      <c r="R15" s="64"/>
      <c r="S15" s="64"/>
      <c r="T15" s="61"/>
      <c r="U15" s="87"/>
      <c r="V15" s="87"/>
      <c r="W15" s="87"/>
      <c r="X15" s="87"/>
      <c r="Y15" s="87"/>
      <c r="Z15" s="87"/>
      <c r="AA15" s="87"/>
      <c r="AB15" s="87"/>
      <c r="AC15" s="64"/>
      <c r="AD15" s="64"/>
      <c r="AE15" s="64"/>
      <c r="AF15" s="64"/>
      <c r="AG15" s="64"/>
      <c r="AH15" s="64"/>
      <c r="AI15" s="61"/>
      <c r="AJ15" s="43"/>
      <c r="AK15" s="43"/>
      <c r="AL15" s="43"/>
      <c r="AM15" s="43"/>
      <c r="AN15" s="43"/>
      <c r="AO15" s="43"/>
      <c r="AP15" s="135"/>
      <c r="AQ15" s="122"/>
      <c r="AR15" s="122"/>
    </row>
    <row r="16" spans="1:44" s="123" customFormat="1" ht="12.75">
      <c r="A16" s="122"/>
      <c r="B16" s="127"/>
      <c r="C16" s="33"/>
      <c r="D16" s="26" t="s">
        <v>5</v>
      </c>
      <c r="E16" s="32"/>
      <c r="F16" s="71">
        <v>86</v>
      </c>
      <c r="G16" s="71">
        <v>62</v>
      </c>
      <c r="H16" s="71">
        <v>55</v>
      </c>
      <c r="I16" s="73">
        <v>46</v>
      </c>
      <c r="J16" s="73">
        <v>56</v>
      </c>
      <c r="K16" s="73">
        <v>5</v>
      </c>
      <c r="L16" s="73">
        <v>0</v>
      </c>
      <c r="M16" s="73">
        <v>51</v>
      </c>
      <c r="N16" s="64">
        <f t="shared" ref="N16:N17" si="0">IFERROR(F16/G16-1,"n/a")</f>
        <v>0.38709677419354849</v>
      </c>
      <c r="O16" s="64">
        <f>IFERROR(F16/H16-1,"n/a")</f>
        <v>0.56363636363636371</v>
      </c>
      <c r="P16" s="64">
        <f>IFERROR(F16/I16-1,"n/a")</f>
        <v>0.86956521739130443</v>
      </c>
      <c r="Q16" s="64">
        <f>IFERROR(F16/J16-1,"n/a")</f>
        <v>0.53571428571428581</v>
      </c>
      <c r="R16" s="64">
        <f>IFERROR(F16/K16-1,"n/a")</f>
        <v>16.2</v>
      </c>
      <c r="S16" s="64" t="str">
        <f>IFERROR(F16/L16-1,"n/a")</f>
        <v>n/a</v>
      </c>
      <c r="T16" s="60">
        <f>IFERROR(F16/M16-1,"n/a")</f>
        <v>0.68627450980392157</v>
      </c>
      <c r="U16" s="68">
        <f>F16+'Mar-26'!U16</f>
        <v>177</v>
      </c>
      <c r="V16" s="68">
        <f>G16+'Mar-26'!V16</f>
        <v>119</v>
      </c>
      <c r="W16" s="68">
        <f>H16+'Mar-26'!W16</f>
        <v>92</v>
      </c>
      <c r="X16" s="68">
        <f>I16+'Mar-26'!X16</f>
        <v>73</v>
      </c>
      <c r="Y16" s="68">
        <f>J16+'Mar-26'!Y16</f>
        <v>92</v>
      </c>
      <c r="Z16" s="68">
        <f>K16+'Mar-26'!Z16</f>
        <v>17</v>
      </c>
      <c r="AA16" s="68">
        <f>L16+'Mar-26'!AA16</f>
        <v>10</v>
      </c>
      <c r="AB16" s="68">
        <f>M16+'Mar-26'!AB16</f>
        <v>74</v>
      </c>
      <c r="AC16" s="64">
        <f t="shared" ref="AC16:AC17" si="1">IFERROR(U16/V16-1,"n/a")</f>
        <v>0.48739495798319332</v>
      </c>
      <c r="AD16" s="64">
        <f>IFERROR(U16/W16-1,"n/a")</f>
        <v>0.92391304347826098</v>
      </c>
      <c r="AE16" s="64">
        <f>IFERROR(U16/X16-1,"n/a")</f>
        <v>1.4246575342465753</v>
      </c>
      <c r="AF16" s="64">
        <f>IFERROR(U16/Y16-1,"n/a")</f>
        <v>0.92391304347826098</v>
      </c>
      <c r="AG16" s="64">
        <f>IFERROR(U16/Z16-1,"n/a")</f>
        <v>9.4117647058823533</v>
      </c>
      <c r="AH16" s="64">
        <f>IFERROR(U16/AA16-1,"n/a")</f>
        <v>16.7</v>
      </c>
      <c r="AI16" s="60">
        <f>IFERROR(U16/AB16-1,"n/a")</f>
        <v>1.3918918918918921</v>
      </c>
      <c r="AJ16" s="68">
        <v>1003</v>
      </c>
      <c r="AK16" s="68">
        <v>797</v>
      </c>
      <c r="AL16" s="68">
        <v>575</v>
      </c>
      <c r="AM16" s="68">
        <v>572</v>
      </c>
      <c r="AN16" s="68">
        <v>202</v>
      </c>
      <c r="AO16" s="68">
        <v>54</v>
      </c>
      <c r="AP16" s="134">
        <v>586</v>
      </c>
      <c r="AQ16" s="122"/>
      <c r="AR16" s="122"/>
    </row>
    <row r="17" spans="1:44" s="123" customFormat="1" ht="12.75">
      <c r="A17" s="122"/>
      <c r="B17" s="127"/>
      <c r="C17" s="33"/>
      <c r="D17" s="26" t="s">
        <v>11</v>
      </c>
      <c r="E17" s="32"/>
      <c r="F17" s="71">
        <v>178388</v>
      </c>
      <c r="G17" s="71">
        <v>142373</v>
      </c>
      <c r="H17" s="71">
        <v>129597</v>
      </c>
      <c r="I17" s="73">
        <v>107348</v>
      </c>
      <c r="J17" s="73">
        <v>60367</v>
      </c>
      <c r="K17" s="73">
        <v>6002</v>
      </c>
      <c r="L17" s="73">
        <v>0</v>
      </c>
      <c r="M17" s="73">
        <v>147331</v>
      </c>
      <c r="N17" s="64">
        <f t="shared" si="0"/>
        <v>0.25296228919809227</v>
      </c>
      <c r="O17" s="64">
        <f>IFERROR(F17/H17-1,"n/a")</f>
        <v>0.37648248030432807</v>
      </c>
      <c r="P17" s="64">
        <f>IFERROR(F17/I17-1,"n/a")</f>
        <v>0.66177292543875987</v>
      </c>
      <c r="Q17" s="64">
        <f>IFERROR(F17/J17-1,"n/a")</f>
        <v>1.9550582271771</v>
      </c>
      <c r="R17" s="64">
        <f>IFERROR(F17/K17-1,"n/a")</f>
        <v>28.721426191269575</v>
      </c>
      <c r="S17" s="64" t="str">
        <f>IFERROR(F17/L17-1,"n/a")</f>
        <v>n/a</v>
      </c>
      <c r="T17" s="60">
        <f>IFERROR(F17/M17-1,"n/a")</f>
        <v>0.2107974560683088</v>
      </c>
      <c r="U17" s="68">
        <f>F17+'Mar-26'!U17-5</f>
        <v>340829</v>
      </c>
      <c r="V17" s="68">
        <f>G17+'Mar-26'!V17</f>
        <v>291954</v>
      </c>
      <c r="W17" s="68">
        <f>H17+'Mar-26'!W17</f>
        <v>260171</v>
      </c>
      <c r="X17" s="68">
        <f>I17+'Mar-26'!X17</f>
        <v>190403</v>
      </c>
      <c r="Y17" s="68">
        <f>J17+'Mar-26'!Y17</f>
        <v>96875</v>
      </c>
      <c r="Z17" s="68">
        <f>K17+'Mar-26'!Z17</f>
        <v>16105</v>
      </c>
      <c r="AA17" s="68">
        <f>L17+'Mar-26'!AA17</f>
        <v>41113</v>
      </c>
      <c r="AB17" s="68">
        <f>M17+'Mar-26'!AB17</f>
        <v>227705</v>
      </c>
      <c r="AC17" s="64">
        <f t="shared" si="1"/>
        <v>0.16740650924460709</v>
      </c>
      <c r="AD17" s="64">
        <f>IFERROR(U17/W17-1,"n/a")</f>
        <v>0.31001917969335557</v>
      </c>
      <c r="AE17" s="64">
        <f>IFERROR(U17/X17-1,"n/a")</f>
        <v>0.79004007289801104</v>
      </c>
      <c r="AF17" s="64">
        <f>IFERROR(U17/Y17-1,"n/a")</f>
        <v>2.5182348387096773</v>
      </c>
      <c r="AG17" s="64">
        <f>IFERROR(U17/Z17-1,"n/a")</f>
        <v>20.162930766842596</v>
      </c>
      <c r="AH17" s="64">
        <f>IFERROR(U17/AA17-1,"n/a")</f>
        <v>7.2900542407511004</v>
      </c>
      <c r="AI17" s="60">
        <f>IFERROR(U17/AB17-1,"n/a")</f>
        <v>0.49680068509694553</v>
      </c>
      <c r="AJ17" s="68">
        <v>2427137</v>
      </c>
      <c r="AK17" s="68">
        <v>2060976</v>
      </c>
      <c r="AL17" s="68">
        <v>1660685</v>
      </c>
      <c r="AM17" s="68">
        <v>965963</v>
      </c>
      <c r="AN17" s="68">
        <v>301521</v>
      </c>
      <c r="AO17" s="68">
        <v>70675</v>
      </c>
      <c r="AP17" s="134">
        <v>1400932</v>
      </c>
      <c r="AQ17" s="122"/>
      <c r="AR17" s="122"/>
    </row>
    <row r="18" spans="1:44" s="123" customFormat="1" ht="12.75">
      <c r="A18" s="122"/>
      <c r="B18" s="127"/>
      <c r="C18" s="31" t="s">
        <v>164</v>
      </c>
      <c r="D18" s="26"/>
      <c r="E18" s="32"/>
      <c r="F18" s="72"/>
      <c r="G18" s="72"/>
      <c r="H18" s="72"/>
      <c r="I18" s="72"/>
      <c r="J18" s="72"/>
      <c r="K18" s="72"/>
      <c r="L18" s="72"/>
      <c r="M18" s="72"/>
      <c r="N18" s="64"/>
      <c r="O18" s="64"/>
      <c r="P18" s="64"/>
      <c r="Q18" s="64"/>
      <c r="R18" s="64"/>
      <c r="S18" s="64"/>
      <c r="T18" s="60"/>
      <c r="U18" s="87"/>
      <c r="V18" s="87"/>
      <c r="W18" s="87"/>
      <c r="X18" s="87"/>
      <c r="Y18" s="87"/>
      <c r="Z18" s="87"/>
      <c r="AA18" s="87"/>
      <c r="AB18" s="87"/>
      <c r="AC18" s="64"/>
      <c r="AD18" s="64"/>
      <c r="AE18" s="64"/>
      <c r="AF18" s="64"/>
      <c r="AG18" s="64"/>
      <c r="AH18" s="64"/>
      <c r="AI18" s="60"/>
      <c r="AJ18" s="43"/>
      <c r="AK18" s="43"/>
      <c r="AL18" s="43"/>
      <c r="AM18" s="43"/>
      <c r="AN18" s="43"/>
      <c r="AO18" s="43"/>
      <c r="AP18" s="135"/>
      <c r="AQ18" s="122"/>
      <c r="AR18" s="122"/>
    </row>
    <row r="19" spans="1:44" s="123" customFormat="1" ht="12.75">
      <c r="A19" s="122"/>
      <c r="B19" s="127"/>
      <c r="C19" s="33"/>
      <c r="D19" s="26" t="s">
        <v>5</v>
      </c>
      <c r="E19" s="32"/>
      <c r="F19" s="71">
        <v>47</v>
      </c>
      <c r="G19" s="71">
        <v>61</v>
      </c>
      <c r="H19" s="71">
        <v>52</v>
      </c>
      <c r="I19" s="73">
        <v>47</v>
      </c>
      <c r="J19" s="73">
        <v>35</v>
      </c>
      <c r="K19" s="73">
        <v>2</v>
      </c>
      <c r="L19" s="73">
        <v>0</v>
      </c>
      <c r="M19" s="73">
        <v>21</v>
      </c>
      <c r="N19" s="64">
        <f t="shared" ref="N19:N20" si="2">IFERROR(F19/G19-1,"n/a")</f>
        <v>-0.22950819672131151</v>
      </c>
      <c r="O19" s="64">
        <f>IFERROR(F19/H19-1,"n/a")</f>
        <v>-9.6153846153846145E-2</v>
      </c>
      <c r="P19" s="64">
        <f>IFERROR(F19/I19-1,"n/a")</f>
        <v>0</v>
      </c>
      <c r="Q19" s="64">
        <f>IFERROR(F19/J19-1,"n/a")</f>
        <v>0.34285714285714275</v>
      </c>
      <c r="R19" s="64">
        <f>IFERROR(F19/K19-1,"n/a")</f>
        <v>22.5</v>
      </c>
      <c r="S19" s="64" t="str">
        <f>IFERROR(F19/L19-1,"n/a")</f>
        <v>n/a</v>
      </c>
      <c r="T19" s="60">
        <f>IFERROR(F19/M19-1,"n/a")</f>
        <v>1.2380952380952381</v>
      </c>
      <c r="U19" s="68">
        <f>F19+'Mar-26'!U19</f>
        <v>69</v>
      </c>
      <c r="V19" s="68">
        <f>G19+'Mar-26'!V19</f>
        <v>83</v>
      </c>
      <c r="W19" s="68">
        <f>H19+'Mar-26'!W19</f>
        <v>79</v>
      </c>
      <c r="X19" s="68">
        <f>I19+'Mar-26'!X19</f>
        <v>70</v>
      </c>
      <c r="Y19" s="68">
        <f>J19+'Mar-26'!Y19</f>
        <v>47</v>
      </c>
      <c r="Z19" s="68">
        <f>K19+'Mar-26'!Z19</f>
        <v>2</v>
      </c>
      <c r="AA19" s="68">
        <f>L19+'Mar-26'!AA19</f>
        <v>3</v>
      </c>
      <c r="AB19" s="68">
        <f>M19+'Mar-26'!AB19</f>
        <v>27</v>
      </c>
      <c r="AC19" s="64">
        <f t="shared" ref="AC19:AC20" si="3">IFERROR(U19/V19-1,"n/a")</f>
        <v>-0.16867469879518071</v>
      </c>
      <c r="AD19" s="64">
        <f>IFERROR(U19/W19-1,"n/a")</f>
        <v>-0.12658227848101267</v>
      </c>
      <c r="AE19" s="64">
        <f>IFERROR(U19/X19-1,"n/a")</f>
        <v>-1.4285714285714235E-2</v>
      </c>
      <c r="AF19" s="64">
        <f>IFERROR(U19/Y19-1,"n/a")</f>
        <v>0.46808510638297873</v>
      </c>
      <c r="AG19" s="64">
        <f>IFERROR(U19/Z19-1,"n/a")</f>
        <v>33.5</v>
      </c>
      <c r="AH19" s="64">
        <f>IFERROR(U19/AA19-1,"n/a")</f>
        <v>22</v>
      </c>
      <c r="AI19" s="60">
        <f>IFERROR(U19/AB19-1,"n/a")</f>
        <v>1.5555555555555554</v>
      </c>
      <c r="AJ19" s="68">
        <v>860</v>
      </c>
      <c r="AK19" s="68">
        <v>733</v>
      </c>
      <c r="AL19" s="68">
        <v>708</v>
      </c>
      <c r="AM19" s="68">
        <v>658</v>
      </c>
      <c r="AN19" s="68">
        <v>47</v>
      </c>
      <c r="AO19" s="68">
        <v>9</v>
      </c>
      <c r="AP19" s="134">
        <v>290</v>
      </c>
      <c r="AQ19" s="122"/>
      <c r="AR19" s="122"/>
    </row>
    <row r="20" spans="1:44" s="123" customFormat="1" ht="12.75">
      <c r="A20" s="122"/>
      <c r="B20" s="127"/>
      <c r="C20" s="33"/>
      <c r="D20" s="26" t="s">
        <v>11</v>
      </c>
      <c r="E20" s="32"/>
      <c r="F20" s="71">
        <v>57569</v>
      </c>
      <c r="G20" s="71">
        <v>80791</v>
      </c>
      <c r="H20" s="71">
        <v>75571.399999999994</v>
      </c>
      <c r="I20" s="73">
        <v>66302</v>
      </c>
      <c r="J20" s="73">
        <v>32576</v>
      </c>
      <c r="K20" s="73">
        <v>0</v>
      </c>
      <c r="L20" s="73">
        <v>0</v>
      </c>
      <c r="M20" s="73">
        <v>36063</v>
      </c>
      <c r="N20" s="64">
        <f t="shared" si="2"/>
        <v>-0.28743300615167533</v>
      </c>
      <c r="O20" s="64">
        <f>IFERROR(F20/H20-1,"n/a")</f>
        <v>-0.23821710329569112</v>
      </c>
      <c r="P20" s="64">
        <f>IFERROR(F20/I20-1,"n/a")</f>
        <v>-0.13171548369581609</v>
      </c>
      <c r="Q20" s="64">
        <f>IFERROR(F20/J20-1,"n/a")</f>
        <v>0.76722126719056982</v>
      </c>
      <c r="R20" s="64" t="str">
        <f>IFERROR(F20/K20-1,"n/a")</f>
        <v>n/a</v>
      </c>
      <c r="S20" s="64" t="str">
        <f>IFERROR(F20/L20-1,"n/a")</f>
        <v>n/a</v>
      </c>
      <c r="T20" s="60">
        <f>IFERROR(F20/M20-1,"n/a")</f>
        <v>0.59634528464076753</v>
      </c>
      <c r="U20" s="68">
        <f>F20+'Mar-26'!U20</f>
        <v>93082</v>
      </c>
      <c r="V20" s="68">
        <f>G20+'Mar-26'!V20</f>
        <v>108773</v>
      </c>
      <c r="W20" s="68">
        <f>H20+'Mar-26'!W20</f>
        <v>115312.4</v>
      </c>
      <c r="X20" s="68">
        <f>I20+'Mar-26'!X20</f>
        <v>87148</v>
      </c>
      <c r="Y20" s="68">
        <f>J20+'Mar-26'!Y20</f>
        <v>35661</v>
      </c>
      <c r="Z20" s="68">
        <f>K20+'Mar-26'!Z20</f>
        <v>0</v>
      </c>
      <c r="AA20" s="68">
        <f>L20+'Mar-26'!AA20</f>
        <v>1753</v>
      </c>
      <c r="AB20" s="68">
        <f>M20+'Mar-26'!AB20</f>
        <v>42547</v>
      </c>
      <c r="AC20" s="64">
        <f t="shared" si="3"/>
        <v>-0.14425454846331354</v>
      </c>
      <c r="AD20" s="64">
        <f>IFERROR(U20/W20-1,"n/a")</f>
        <v>-0.19278412382363042</v>
      </c>
      <c r="AE20" s="64">
        <f>IFERROR(U20/X20-1,"n/a")</f>
        <v>6.8091063478221026E-2</v>
      </c>
      <c r="AF20" s="64">
        <f>IFERROR(U20/Y20-1,"n/a")</f>
        <v>1.6101904040828918</v>
      </c>
      <c r="AG20" s="64" t="str">
        <f>IFERROR(U20/Z20-1,"n/a")</f>
        <v>n/a</v>
      </c>
      <c r="AH20" s="64">
        <f>IFERROR(U20/AA20-1,"n/a")</f>
        <v>52.098687963491159</v>
      </c>
      <c r="AI20" s="60">
        <f>IFERROR(U20/AB20-1,"n/a")</f>
        <v>1.1877453169436154</v>
      </c>
      <c r="AJ20" s="68">
        <v>1728606</v>
      </c>
      <c r="AK20" s="68">
        <v>1496271.4</v>
      </c>
      <c r="AL20" s="68">
        <v>1277526</v>
      </c>
      <c r="AM20" s="68">
        <v>887495</v>
      </c>
      <c r="AN20" s="68">
        <v>17541</v>
      </c>
      <c r="AO20" s="68">
        <v>10046.999999999998</v>
      </c>
      <c r="AP20" s="134">
        <v>585930</v>
      </c>
      <c r="AQ20" s="122"/>
      <c r="AR20" s="122"/>
    </row>
    <row r="21" spans="1:44" s="123" customFormat="1" ht="12.75">
      <c r="A21" s="122"/>
      <c r="B21" s="127"/>
      <c r="C21" s="31" t="s">
        <v>110</v>
      </c>
      <c r="D21" s="26"/>
      <c r="E21" s="34"/>
      <c r="F21" s="72"/>
      <c r="G21" s="72"/>
      <c r="H21" s="72"/>
      <c r="I21" s="72"/>
      <c r="J21" s="72"/>
      <c r="K21" s="72"/>
      <c r="L21" s="72"/>
      <c r="M21" s="72"/>
      <c r="N21" s="64"/>
      <c r="O21" s="64"/>
      <c r="P21" s="64"/>
      <c r="Q21" s="64"/>
      <c r="R21" s="64"/>
      <c r="S21" s="64"/>
      <c r="T21" s="60"/>
      <c r="U21" s="87"/>
      <c r="V21" s="87"/>
      <c r="W21" s="87"/>
      <c r="X21" s="87"/>
      <c r="Y21" s="87"/>
      <c r="Z21" s="87"/>
      <c r="AA21" s="87"/>
      <c r="AB21" s="87"/>
      <c r="AC21" s="64"/>
      <c r="AD21" s="64"/>
      <c r="AE21" s="64"/>
      <c r="AF21" s="64"/>
      <c r="AG21" s="64"/>
      <c r="AH21" s="64"/>
      <c r="AI21" s="60"/>
      <c r="AJ21" s="43"/>
      <c r="AK21" s="43"/>
      <c r="AL21" s="43"/>
      <c r="AM21" s="43"/>
      <c r="AN21" s="43"/>
      <c r="AO21" s="43"/>
      <c r="AP21" s="135"/>
      <c r="AQ21" s="122"/>
      <c r="AR21" s="122"/>
    </row>
    <row r="22" spans="1:44" s="123" customFormat="1" ht="12.75">
      <c r="A22" s="122"/>
      <c r="B22" s="127"/>
      <c r="C22" s="33"/>
      <c r="D22" s="26" t="s">
        <v>5</v>
      </c>
      <c r="E22" s="34"/>
      <c r="F22" s="71">
        <v>205</v>
      </c>
      <c r="G22" s="71">
        <v>212</v>
      </c>
      <c r="H22" s="71">
        <v>194</v>
      </c>
      <c r="I22" s="73">
        <v>162</v>
      </c>
      <c r="J22" s="73">
        <v>100</v>
      </c>
      <c r="K22" s="73">
        <v>0</v>
      </c>
      <c r="L22" s="73">
        <v>0</v>
      </c>
      <c r="M22" s="73">
        <v>90</v>
      </c>
      <c r="N22" s="64">
        <f t="shared" ref="N22:N23" si="4">IFERROR(F22/G22-1,"n/a")</f>
        <v>-3.301886792452835E-2</v>
      </c>
      <c r="O22" s="64">
        <f>IFERROR(F22/H22-1,"n/a")</f>
        <v>5.6701030927835072E-2</v>
      </c>
      <c r="P22" s="64">
        <f>IFERROR(F22/I22-1,"n/a")</f>
        <v>0.26543209876543217</v>
      </c>
      <c r="Q22" s="64">
        <f>IFERROR(F22/J22-1,"n/a")</f>
        <v>1.0499999999999998</v>
      </c>
      <c r="R22" s="64" t="str">
        <f>IFERROR(F22/K22-1,"n/a")</f>
        <v>n/a</v>
      </c>
      <c r="S22" s="64" t="str">
        <f>IFERROR(F22/L22-1,"n/a")</f>
        <v>n/a</v>
      </c>
      <c r="T22" s="60">
        <f>IFERROR(F22/M22-1,"n/a")</f>
        <v>1.2777777777777777</v>
      </c>
      <c r="U22" s="68">
        <f>F22+'Mar-26'!U22+1</f>
        <v>656</v>
      </c>
      <c r="V22" s="68">
        <f>G22+'Mar-26'!V22</f>
        <v>608</v>
      </c>
      <c r="W22" s="68">
        <f>H22+'Mar-26'!W22</f>
        <v>453</v>
      </c>
      <c r="X22" s="68">
        <f>I22+'Mar-26'!X22</f>
        <v>449</v>
      </c>
      <c r="Y22" s="68">
        <f>J22+'Mar-26'!Y22</f>
        <v>153</v>
      </c>
      <c r="Z22" s="68">
        <f>K22+'Mar-26'!Z22</f>
        <v>0</v>
      </c>
      <c r="AA22" s="68">
        <f>L22+'Mar-26'!AA22</f>
        <v>43</v>
      </c>
      <c r="AB22" s="68">
        <f>M22+'Mar-26'!AB22</f>
        <v>179</v>
      </c>
      <c r="AC22" s="64">
        <f t="shared" ref="AC22:AC23" si="5">IFERROR(U22/V22-1,"n/a")</f>
        <v>7.8947368421052655E-2</v>
      </c>
      <c r="AD22" s="64">
        <f>IFERROR(U22/W22-1,"n/a")</f>
        <v>0.44812362030905084</v>
      </c>
      <c r="AE22" s="64">
        <f>IFERROR(U22/X22-1,"n/a")</f>
        <v>0.46102449888641428</v>
      </c>
      <c r="AF22" s="64">
        <f>IFERROR(U22/Y22-1,"n/a")</f>
        <v>3.2875816993464051</v>
      </c>
      <c r="AG22" s="64" t="str">
        <f>IFERROR(U22/Z22-1,"n/a")</f>
        <v>n/a</v>
      </c>
      <c r="AH22" s="64">
        <f>IFERROR(U22/AA22-1,"n/a")</f>
        <v>14.255813953488373</v>
      </c>
      <c r="AI22" s="60">
        <f>IFERROR(U22/AB22-1,"n/a")</f>
        <v>2.6648044692737431</v>
      </c>
      <c r="AJ22" s="68">
        <v>1736</v>
      </c>
      <c r="AK22" s="68">
        <v>1651</v>
      </c>
      <c r="AL22" s="68">
        <v>1500</v>
      </c>
      <c r="AM22" s="68">
        <v>895</v>
      </c>
      <c r="AN22" s="68">
        <v>283</v>
      </c>
      <c r="AO22" s="68">
        <v>43</v>
      </c>
      <c r="AP22" s="134">
        <v>827</v>
      </c>
      <c r="AQ22" s="122"/>
      <c r="AR22" s="122"/>
    </row>
    <row r="23" spans="1:44" s="123" customFormat="1" ht="12.75">
      <c r="A23" s="122"/>
      <c r="B23" s="127"/>
      <c r="C23" s="33"/>
      <c r="D23" s="26" t="s">
        <v>11</v>
      </c>
      <c r="E23" s="32"/>
      <c r="F23" s="71">
        <v>368088</v>
      </c>
      <c r="G23" s="71">
        <v>482739</v>
      </c>
      <c r="H23" s="71">
        <v>433106</v>
      </c>
      <c r="I23" s="73">
        <v>352703</v>
      </c>
      <c r="J23" s="73">
        <v>115809</v>
      </c>
      <c r="K23" s="73">
        <v>0</v>
      </c>
      <c r="L23" s="73">
        <v>0</v>
      </c>
      <c r="M23" s="73">
        <v>212740</v>
      </c>
      <c r="N23" s="64">
        <f t="shared" si="4"/>
        <v>-0.23750100986247225</v>
      </c>
      <c r="O23" s="64">
        <f>IFERROR(F23/H23-1,"n/a")</f>
        <v>-0.15012029387724946</v>
      </c>
      <c r="P23" s="64">
        <f>IFERROR(F23/I23-1,"n/a")</f>
        <v>4.362026974536648E-2</v>
      </c>
      <c r="Q23" s="64">
        <f>IFERROR(F23/J23-1,"n/a")</f>
        <v>2.1784058233816026</v>
      </c>
      <c r="R23" s="64" t="str">
        <f>IFERROR(F23/K23-1,"n/a")</f>
        <v>n/a</v>
      </c>
      <c r="S23" s="64" t="str">
        <f>IFERROR(F23/L23-1,"n/a")</f>
        <v>n/a</v>
      </c>
      <c r="T23" s="60">
        <f>IFERROR(F23/M23-1,"n/a")</f>
        <v>0.7302246874118643</v>
      </c>
      <c r="U23" s="68">
        <f>F23+'Mar-26'!U23+2651</f>
        <v>1628396</v>
      </c>
      <c r="V23" s="68">
        <f>G23+'Mar-26'!V23</f>
        <v>1596730</v>
      </c>
      <c r="W23" s="68">
        <f>H23+'Mar-26'!W23</f>
        <v>1346161</v>
      </c>
      <c r="X23" s="68">
        <f>I23+'Mar-26'!X23</f>
        <v>1188977</v>
      </c>
      <c r="Y23" s="68">
        <f>J23+'Mar-26'!Y23</f>
        <v>184263</v>
      </c>
      <c r="Z23" s="68">
        <f>K23+'Mar-26'!Z23</f>
        <v>0</v>
      </c>
      <c r="AA23" s="68">
        <f>L23+'Mar-26'!AA23</f>
        <v>140552</v>
      </c>
      <c r="AB23" s="68">
        <f>M23+'Mar-26'!AB23</f>
        <v>464640</v>
      </c>
      <c r="AC23" s="64">
        <f t="shared" si="5"/>
        <v>1.9831781202833243E-2</v>
      </c>
      <c r="AD23" s="64">
        <f>IFERROR(U23/W23-1,"n/a")</f>
        <v>0.20965917152554558</v>
      </c>
      <c r="AE23" s="64">
        <f>IFERROR(U23/X23-1,"n/a")</f>
        <v>0.36957737618137276</v>
      </c>
      <c r="AF23" s="64">
        <f>IFERROR(U23/Y23-1,"n/a")</f>
        <v>7.8373466186917611</v>
      </c>
      <c r="AG23" s="64" t="str">
        <f>IFERROR(U23/Z23-1,"n/a")</f>
        <v>n/a</v>
      </c>
      <c r="AH23" s="64">
        <f>IFERROR(U23/AA23-1,"n/a")</f>
        <v>10.585719164437361</v>
      </c>
      <c r="AI23" s="60">
        <f>IFERROR(U23/AB23-1,"n/a")</f>
        <v>2.5046401515151517</v>
      </c>
      <c r="AJ23" s="68">
        <v>4526210</v>
      </c>
      <c r="AK23" s="68">
        <v>5046474</v>
      </c>
      <c r="AL23" s="68">
        <v>4449177</v>
      </c>
      <c r="AM23" s="68">
        <v>2165161</v>
      </c>
      <c r="AN23" s="68">
        <v>465109</v>
      </c>
      <c r="AO23" s="68">
        <v>140552</v>
      </c>
      <c r="AP23" s="134">
        <v>2552942</v>
      </c>
      <c r="AQ23" s="122"/>
      <c r="AR23" s="122"/>
    </row>
    <row r="24" spans="1:44" s="123" customFormat="1" ht="12.75">
      <c r="A24" s="122"/>
      <c r="B24" s="127"/>
      <c r="C24" s="31" t="s">
        <v>111</v>
      </c>
      <c r="D24" s="26"/>
      <c r="E24" s="32"/>
      <c r="F24" s="72"/>
      <c r="G24" s="72"/>
      <c r="H24" s="72"/>
      <c r="I24" s="72"/>
      <c r="J24" s="72"/>
      <c r="K24" s="72"/>
      <c r="L24" s="72"/>
      <c r="M24" s="72"/>
      <c r="N24" s="64"/>
      <c r="O24" s="64"/>
      <c r="P24" s="64"/>
      <c r="Q24" s="64"/>
      <c r="R24" s="64"/>
      <c r="S24" s="64"/>
      <c r="T24" s="60"/>
      <c r="U24" s="87"/>
      <c r="V24" s="87"/>
      <c r="W24" s="87"/>
      <c r="X24" s="87"/>
      <c r="Y24" s="87"/>
      <c r="Z24" s="87"/>
      <c r="AA24" s="87"/>
      <c r="AB24" s="87"/>
      <c r="AC24" s="64"/>
      <c r="AD24" s="64"/>
      <c r="AE24" s="64"/>
      <c r="AF24" s="64"/>
      <c r="AG24" s="64"/>
      <c r="AH24" s="64"/>
      <c r="AI24" s="60"/>
      <c r="AJ24" s="43"/>
      <c r="AK24" s="43"/>
      <c r="AL24" s="43"/>
      <c r="AM24" s="43"/>
      <c r="AN24" s="43"/>
      <c r="AO24" s="43"/>
      <c r="AP24" s="135"/>
      <c r="AQ24" s="122"/>
      <c r="AR24" s="122"/>
    </row>
    <row r="25" spans="1:44" s="123" customFormat="1" ht="12.75">
      <c r="B25" s="127"/>
      <c r="C25" s="33"/>
      <c r="D25" s="26" t="s">
        <v>5</v>
      </c>
      <c r="E25" s="32"/>
      <c r="F25" s="71">
        <v>4</v>
      </c>
      <c r="G25" s="71">
        <v>1</v>
      </c>
      <c r="H25" s="71">
        <v>1</v>
      </c>
      <c r="I25" s="73">
        <v>1</v>
      </c>
      <c r="J25" s="73">
        <v>1</v>
      </c>
      <c r="K25" s="73">
        <v>0</v>
      </c>
      <c r="L25" s="73">
        <v>0</v>
      </c>
      <c r="M25" s="73">
        <v>1</v>
      </c>
      <c r="N25" s="64">
        <f t="shared" ref="N25:N28" si="6">IFERROR(F25/G25-1,"n/a")</f>
        <v>3</v>
      </c>
      <c r="O25" s="64">
        <f>IFERROR(F25/H25-1,"n/a")</f>
        <v>3</v>
      </c>
      <c r="P25" s="64">
        <f>IFERROR(F25/I25-1,"n/a")</f>
        <v>3</v>
      </c>
      <c r="Q25" s="64">
        <f>IFERROR(F25/J25-1,"n/a")</f>
        <v>3</v>
      </c>
      <c r="R25" s="64" t="str">
        <f>IFERROR(F25/K25-1,"n/a")</f>
        <v>n/a</v>
      </c>
      <c r="S25" s="64" t="str">
        <f>IFERROR(F25/L25-1,"n/a")</f>
        <v>n/a</v>
      </c>
      <c r="T25" s="60">
        <f>IFERROR(F25/M25-1,"n/a")</f>
        <v>3</v>
      </c>
      <c r="U25" s="68">
        <f>F25+'Mar-26'!U25</f>
        <v>5</v>
      </c>
      <c r="V25" s="68">
        <f>G25+'Mar-26'!V25</f>
        <v>1</v>
      </c>
      <c r="W25" s="68">
        <f>H25+'Mar-26'!W25</f>
        <v>1</v>
      </c>
      <c r="X25" s="68">
        <f>I25+'Mar-26'!X25</f>
        <v>1</v>
      </c>
      <c r="Y25" s="68">
        <f>J25+'Mar-26'!Y25</f>
        <v>1</v>
      </c>
      <c r="Z25" s="68">
        <f>K25+'Mar-26'!Z25</f>
        <v>0</v>
      </c>
      <c r="AA25" s="68">
        <f>L25+'Mar-26'!AA25</f>
        <v>0</v>
      </c>
      <c r="AB25" s="68">
        <f>M25+'Mar-26'!AB25</f>
        <v>1</v>
      </c>
      <c r="AC25" s="64">
        <f t="shared" ref="AC25:AC28" si="7">IFERROR(U25/V25-1,"n/a")</f>
        <v>4</v>
      </c>
      <c r="AD25" s="64">
        <f>IFERROR(U25/W25-1,"n/a")</f>
        <v>4</v>
      </c>
      <c r="AE25" s="64">
        <f>IFERROR(U25/X25-1,"n/a")</f>
        <v>4</v>
      </c>
      <c r="AF25" s="64">
        <f>IFERROR(U25/Y25-1,"n/a")</f>
        <v>4</v>
      </c>
      <c r="AG25" s="64" t="str">
        <f>IFERROR(U25/Z25-1,"n/a")</f>
        <v>n/a</v>
      </c>
      <c r="AH25" s="64" t="str">
        <f>IFERROR(U25/AA25-1,"n/a")</f>
        <v>n/a</v>
      </c>
      <c r="AI25" s="60">
        <f>IFERROR(U25/AB25-1,"n/a")</f>
        <v>4</v>
      </c>
      <c r="AJ25" s="68">
        <v>23</v>
      </c>
      <c r="AK25" s="68">
        <v>14</v>
      </c>
      <c r="AL25" s="68">
        <v>21</v>
      </c>
      <c r="AM25" s="68">
        <v>9</v>
      </c>
      <c r="AN25" s="68">
        <v>0</v>
      </c>
      <c r="AO25" s="68">
        <v>0</v>
      </c>
      <c r="AP25" s="134">
        <v>16</v>
      </c>
      <c r="AQ25" s="122"/>
      <c r="AR25" s="122"/>
    </row>
    <row r="26" spans="1:44" s="123" customFormat="1" ht="12.75">
      <c r="A26" s="122"/>
      <c r="B26" s="127"/>
      <c r="C26" s="33"/>
      <c r="D26" s="26" t="s">
        <v>11</v>
      </c>
      <c r="E26" s="32"/>
      <c r="F26" s="71">
        <v>11692</v>
      </c>
      <c r="G26" s="71">
        <v>4387</v>
      </c>
      <c r="H26" s="71">
        <v>4131</v>
      </c>
      <c r="I26" s="73">
        <v>2258</v>
      </c>
      <c r="J26" s="73">
        <v>925</v>
      </c>
      <c r="K26" s="73">
        <v>0</v>
      </c>
      <c r="L26" s="73">
        <v>0</v>
      </c>
      <c r="M26" s="73">
        <v>1059</v>
      </c>
      <c r="N26" s="64">
        <f t="shared" si="6"/>
        <v>1.6651470253020286</v>
      </c>
      <c r="O26" s="64">
        <f>IFERROR(F26/H26-1,"n/a")</f>
        <v>1.8303074316146213</v>
      </c>
      <c r="P26" s="64">
        <f>IFERROR(F26/I26-1,"n/a")</f>
        <v>4.1780336581045177</v>
      </c>
      <c r="Q26" s="64">
        <f>IFERROR(F26/J26-1,"n/a")</f>
        <v>11.64</v>
      </c>
      <c r="R26" s="64" t="str">
        <f>IFERROR(F26/K26-1,"n/a")</f>
        <v>n/a</v>
      </c>
      <c r="S26" s="64" t="str">
        <f>IFERROR(F26/L26-1,"n/a")</f>
        <v>n/a</v>
      </c>
      <c r="T26" s="60">
        <f>IFERROR(F26/M26-1,"n/a")</f>
        <v>10.04060434372049</v>
      </c>
      <c r="U26" s="68">
        <f>F26+'Mar-26'!U26</f>
        <v>16100</v>
      </c>
      <c r="V26" s="68">
        <f>G26+'Mar-26'!V26</f>
        <v>4387</v>
      </c>
      <c r="W26" s="68">
        <f>H26+'Mar-26'!W26</f>
        <v>4131</v>
      </c>
      <c r="X26" s="68">
        <f>I26+'Mar-26'!X26</f>
        <v>2258</v>
      </c>
      <c r="Y26" s="68">
        <f>J26+'Mar-26'!Y26</f>
        <v>925</v>
      </c>
      <c r="Z26" s="68">
        <f>K26+'Mar-26'!Z26</f>
        <v>0</v>
      </c>
      <c r="AA26" s="68">
        <f>L26+'Mar-26'!AA26</f>
        <v>0</v>
      </c>
      <c r="AB26" s="68">
        <f>M26+'Mar-26'!AB26</f>
        <v>1059</v>
      </c>
      <c r="AC26" s="64">
        <f t="shared" si="7"/>
        <v>2.6699338956006384</v>
      </c>
      <c r="AD26" s="64">
        <f>IFERROR(U26/W26-1,"n/a")</f>
        <v>2.8973614137012831</v>
      </c>
      <c r="AE26" s="64">
        <f>IFERROR(U26/X26-1,"n/a")</f>
        <v>6.1302037201062891</v>
      </c>
      <c r="AF26" s="64">
        <f>IFERROR(U26/Y26-1,"n/a")</f>
        <v>16.405405405405407</v>
      </c>
      <c r="AG26" s="64" t="str">
        <f>IFERROR(U26/Z26-1,"n/a")</f>
        <v>n/a</v>
      </c>
      <c r="AH26" s="64" t="str">
        <f>IFERROR(U26/AA26-1,"n/a")</f>
        <v>n/a</v>
      </c>
      <c r="AI26" s="60">
        <f>IFERROR(U26/AB26-1,"n/a")</f>
        <v>14.203021718602455</v>
      </c>
      <c r="AJ26" s="68">
        <v>72837</v>
      </c>
      <c r="AK26" s="68">
        <v>47798</v>
      </c>
      <c r="AL26" s="68">
        <v>38626</v>
      </c>
      <c r="AM26" s="68">
        <v>15637</v>
      </c>
      <c r="AN26" s="68">
        <v>0</v>
      </c>
      <c r="AO26" s="68">
        <v>0</v>
      </c>
      <c r="AP26" s="136">
        <v>20248</v>
      </c>
      <c r="AQ26" s="122"/>
      <c r="AR26" s="122"/>
    </row>
    <row r="27" spans="1:44" s="123" customFormat="1" ht="13.5" thickBot="1">
      <c r="A27" s="122"/>
      <c r="B27" s="127"/>
      <c r="C27" s="35" t="s">
        <v>158</v>
      </c>
      <c r="D27" s="36"/>
      <c r="E27" s="37"/>
      <c r="F27" s="75">
        <f>F13+F16+F19+F22+F25</f>
        <v>568</v>
      </c>
      <c r="G27" s="75">
        <f t="shared" ref="G27:M28" si="8">G13+G16+G19+G22+G25</f>
        <v>566</v>
      </c>
      <c r="H27" s="75">
        <f t="shared" si="8"/>
        <v>489</v>
      </c>
      <c r="I27" s="75">
        <f t="shared" si="8"/>
        <v>385</v>
      </c>
      <c r="J27" s="75">
        <f t="shared" si="8"/>
        <v>328</v>
      </c>
      <c r="K27" s="75">
        <f t="shared" si="8"/>
        <v>7</v>
      </c>
      <c r="L27" s="75">
        <f t="shared" si="8"/>
        <v>42</v>
      </c>
      <c r="M27" s="75">
        <f t="shared" si="8"/>
        <v>292</v>
      </c>
      <c r="N27" s="66">
        <f t="shared" si="6"/>
        <v>3.5335689045936647E-3</v>
      </c>
      <c r="O27" s="66">
        <f>IFERROR(F27/H27-1,"n/a")</f>
        <v>0.16155419222903888</v>
      </c>
      <c r="P27" s="66">
        <f>IFERROR(F27/I27-1,"n/a")</f>
        <v>0.47532467532467537</v>
      </c>
      <c r="Q27" s="66">
        <f>IFERROR(F27/J27-1,"n/a")</f>
        <v>0.73170731707317072</v>
      </c>
      <c r="R27" s="66">
        <f>IFERROR(F27/K27-1,"n/a")</f>
        <v>80.142857142857139</v>
      </c>
      <c r="S27" s="66">
        <f>IFERROR(F27/L27-1,"n/a")</f>
        <v>12.523809523809524</v>
      </c>
      <c r="T27" s="62">
        <f>IFERROR(F27/M27-1,"n/a")</f>
        <v>0.9452054794520548</v>
      </c>
      <c r="U27" s="75">
        <f>U13+U16+U19+U22+U25</f>
        <v>2328</v>
      </c>
      <c r="V27" s="75">
        <f t="shared" ref="V27:AB28" si="9">V13+V16+V19+V22+V25</f>
        <v>2134</v>
      </c>
      <c r="W27" s="75">
        <f t="shared" si="9"/>
        <v>1514</v>
      </c>
      <c r="X27" s="75">
        <f t="shared" si="9"/>
        <v>1252</v>
      </c>
      <c r="Y27" s="75">
        <f t="shared" si="9"/>
        <v>959</v>
      </c>
      <c r="Z27" s="75">
        <f t="shared" si="9"/>
        <v>19</v>
      </c>
      <c r="AA27" s="75">
        <f t="shared" si="9"/>
        <v>607</v>
      </c>
      <c r="AB27" s="75">
        <f t="shared" si="9"/>
        <v>926</v>
      </c>
      <c r="AC27" s="66">
        <f t="shared" si="7"/>
        <v>9.0909090909090828E-2</v>
      </c>
      <c r="AD27" s="66">
        <f>IFERROR(U27/W27-1,"n/a")</f>
        <v>0.53764861294583888</v>
      </c>
      <c r="AE27" s="66">
        <f>IFERROR(U27/X27-1,"n/a")</f>
        <v>0.85942492012779548</v>
      </c>
      <c r="AF27" s="66">
        <f>IFERROR(U27/Y27-1,"n/a")</f>
        <v>1.4275286757038583</v>
      </c>
      <c r="AG27" s="66">
        <f>IFERROR(U27/Z27-1,"n/a")</f>
        <v>121.52631578947368</v>
      </c>
      <c r="AH27" s="66">
        <f>IFERROR(U27/AA27-1,"n/a")</f>
        <v>2.8352553542009886</v>
      </c>
      <c r="AI27" s="62">
        <f>IFERROR(U27/AB27-1,"n/a")</f>
        <v>1.514038876889849</v>
      </c>
      <c r="AJ27" s="75">
        <f>AJ13+AJ16+AJ19+AJ22+AJ25</f>
        <v>6601</v>
      </c>
      <c r="AK27" s="75">
        <f t="shared" ref="AK27:AP28" si="10">AK13+AK16+AK19+AK22+AK25</f>
        <v>5678</v>
      </c>
      <c r="AL27" s="75">
        <f t="shared" si="10"/>
        <v>4434</v>
      </c>
      <c r="AM27" s="75">
        <f t="shared" si="10"/>
        <v>3620</v>
      </c>
      <c r="AN27" s="75">
        <f t="shared" si="10"/>
        <v>1054</v>
      </c>
      <c r="AO27" s="75">
        <f t="shared" si="10"/>
        <v>657</v>
      </c>
      <c r="AP27" s="75">
        <f t="shared" si="10"/>
        <v>3310</v>
      </c>
      <c r="AQ27" s="122"/>
      <c r="AR27" s="122"/>
    </row>
    <row r="28" spans="1:44" s="123" customFormat="1" ht="14.25" thickTop="1" thickBot="1">
      <c r="A28" s="122"/>
      <c r="B28" s="127"/>
      <c r="C28" s="38" t="s">
        <v>159</v>
      </c>
      <c r="D28" s="39"/>
      <c r="E28" s="40"/>
      <c r="F28" s="75">
        <f>F14+F17+F20+F23+F26</f>
        <v>1406614</v>
      </c>
      <c r="G28" s="75">
        <f t="shared" si="8"/>
        <v>1480880</v>
      </c>
      <c r="H28" s="75">
        <f t="shared" si="8"/>
        <v>1302119.3999999999</v>
      </c>
      <c r="I28" s="75">
        <f t="shared" si="8"/>
        <v>978362</v>
      </c>
      <c r="J28" s="75">
        <f t="shared" si="8"/>
        <v>507465</v>
      </c>
      <c r="K28" s="75">
        <f t="shared" si="8"/>
        <v>6002</v>
      </c>
      <c r="L28" s="75">
        <f t="shared" si="8"/>
        <v>0</v>
      </c>
      <c r="M28" s="75">
        <f t="shared" si="8"/>
        <v>791238</v>
      </c>
      <c r="N28" s="67">
        <f t="shared" si="6"/>
        <v>-5.0149910863810709E-2</v>
      </c>
      <c r="O28" s="67">
        <f>IFERROR(F28/H28-1,"n/a")</f>
        <v>8.0249629949450174E-2</v>
      </c>
      <c r="P28" s="67">
        <f>IFERROR(F28/I28-1,"n/a")</f>
        <v>0.43772346023251107</v>
      </c>
      <c r="Q28" s="67">
        <f>IFERROR(F28/J28-1,"n/a")</f>
        <v>1.7718443636506951</v>
      </c>
      <c r="R28" s="67">
        <f>IFERROR(F28/K28-1,"n/a")</f>
        <v>233.35754748417193</v>
      </c>
      <c r="S28" s="67" t="str">
        <f>IFERROR(F28/L28-1,"n/a")</f>
        <v>n/a</v>
      </c>
      <c r="T28" s="63">
        <f>IFERROR(F28/M28-1,"n/a")</f>
        <v>0.77773817738784023</v>
      </c>
      <c r="U28" s="75">
        <f>U14+U17+U20+U23+U26</f>
        <v>6372548</v>
      </c>
      <c r="V28" s="75">
        <f t="shared" si="9"/>
        <v>5698015</v>
      </c>
      <c r="W28" s="75">
        <f t="shared" si="9"/>
        <v>4539313.4000000004</v>
      </c>
      <c r="X28" s="75">
        <f t="shared" si="9"/>
        <v>3456721</v>
      </c>
      <c r="Y28" s="75">
        <f t="shared" si="9"/>
        <v>1375170</v>
      </c>
      <c r="Z28" s="75">
        <f t="shared" si="9"/>
        <v>16105</v>
      </c>
      <c r="AA28" s="75">
        <f t="shared" si="9"/>
        <v>1276302</v>
      </c>
      <c r="AB28" s="75">
        <f t="shared" si="9"/>
        <v>2581100</v>
      </c>
      <c r="AC28" s="67">
        <f t="shared" si="7"/>
        <v>0.1183803482440815</v>
      </c>
      <c r="AD28" s="67">
        <f>IFERROR(U28/W28-1,"n/a")</f>
        <v>0.4038572441374062</v>
      </c>
      <c r="AE28" s="67">
        <f>IFERROR(U28/X28-1,"n/a")</f>
        <v>0.84352396389526385</v>
      </c>
      <c r="AF28" s="67">
        <f>IFERROR(U28/Y28-1,"n/a")</f>
        <v>3.6340074318084312</v>
      </c>
      <c r="AG28" s="67">
        <f>IFERROR(U28/Z28-1,"n/a")</f>
        <v>394.68755045017076</v>
      </c>
      <c r="AH28" s="67">
        <f>IFERROR(U28/AA28-1,"n/a")</f>
        <v>3.9929781509391979</v>
      </c>
      <c r="AI28" s="63">
        <f>IFERROR(U28/AB28-1,"n/a")</f>
        <v>1.4689272015807213</v>
      </c>
      <c r="AJ28" s="75">
        <f>AJ14+AJ17+AJ20+AJ23+AJ26</f>
        <v>18061688</v>
      </c>
      <c r="AK28" s="75">
        <f t="shared" si="10"/>
        <v>16671008.4</v>
      </c>
      <c r="AL28" s="75">
        <f t="shared" si="10"/>
        <v>12658551</v>
      </c>
      <c r="AM28" s="75">
        <f t="shared" si="10"/>
        <v>7626669</v>
      </c>
      <c r="AN28" s="75">
        <f t="shared" si="10"/>
        <v>1552483</v>
      </c>
      <c r="AO28" s="75">
        <f t="shared" si="10"/>
        <v>1314158</v>
      </c>
      <c r="AP28" s="75">
        <f t="shared" si="10"/>
        <v>9152531</v>
      </c>
      <c r="AQ28" s="122"/>
      <c r="AR28" s="122"/>
    </row>
    <row r="29" spans="1:44" s="123" customFormat="1" ht="13.5" thickTop="1">
      <c r="A29" s="122"/>
      <c r="B29" s="127"/>
      <c r="C29" s="31" t="s">
        <v>162</v>
      </c>
      <c r="D29" s="26"/>
      <c r="E29" s="32"/>
      <c r="F29" s="72"/>
      <c r="G29" s="72"/>
      <c r="H29" s="72"/>
      <c r="I29" s="72"/>
      <c r="J29" s="72"/>
      <c r="K29" s="72"/>
      <c r="L29" s="72"/>
      <c r="M29" s="72"/>
      <c r="N29" s="64"/>
      <c r="O29" s="64"/>
      <c r="P29" s="64"/>
      <c r="Q29" s="64"/>
      <c r="R29" s="64"/>
      <c r="S29" s="64"/>
      <c r="T29" s="60"/>
      <c r="U29" s="87"/>
      <c r="V29" s="87"/>
      <c r="W29" s="87"/>
      <c r="X29" s="87"/>
      <c r="Y29" s="87"/>
      <c r="Z29" s="87"/>
      <c r="AA29" s="87"/>
      <c r="AB29" s="87"/>
      <c r="AC29" s="64"/>
      <c r="AD29" s="64"/>
      <c r="AE29" s="64"/>
      <c r="AF29" s="64"/>
      <c r="AG29" s="64"/>
      <c r="AH29" s="64"/>
      <c r="AI29" s="60"/>
      <c r="AJ29" s="43"/>
      <c r="AK29" s="43"/>
      <c r="AL29" s="43"/>
      <c r="AM29" s="43"/>
      <c r="AN29" s="43"/>
      <c r="AO29" s="43"/>
      <c r="AP29" s="135"/>
      <c r="AQ29" s="122"/>
      <c r="AR29" s="122"/>
    </row>
    <row r="30" spans="1:44" s="123" customFormat="1" ht="12.75">
      <c r="B30" s="127"/>
      <c r="C30" s="33"/>
      <c r="D30" s="26" t="s">
        <v>5</v>
      </c>
      <c r="E30" s="32"/>
      <c r="F30" s="71">
        <v>134</v>
      </c>
      <c r="G30" s="71">
        <v>0</v>
      </c>
      <c r="H30" s="71">
        <v>0</v>
      </c>
      <c r="I30" s="73">
        <v>0</v>
      </c>
      <c r="J30" s="73">
        <v>0</v>
      </c>
      <c r="K30" s="73">
        <v>0</v>
      </c>
      <c r="L30" s="73">
        <v>0</v>
      </c>
      <c r="M30" s="73">
        <v>0</v>
      </c>
      <c r="N30" s="64"/>
      <c r="O30" s="64"/>
      <c r="P30" s="64"/>
      <c r="Q30" s="64"/>
      <c r="R30" s="64"/>
      <c r="S30" s="64"/>
      <c r="T30" s="60"/>
      <c r="U30" s="68">
        <f>F30+'Mar-26'!U30</f>
        <v>377</v>
      </c>
      <c r="V30" s="68">
        <v>0</v>
      </c>
      <c r="W30" s="68">
        <v>0</v>
      </c>
      <c r="X30" s="68">
        <v>0</v>
      </c>
      <c r="Y30" s="68">
        <v>0</v>
      </c>
      <c r="Z30" s="68">
        <v>0</v>
      </c>
      <c r="AA30" s="68">
        <v>0</v>
      </c>
      <c r="AB30" s="68">
        <v>0</v>
      </c>
      <c r="AC30" s="64"/>
      <c r="AD30" s="64"/>
      <c r="AE30" s="64"/>
      <c r="AF30" s="64"/>
      <c r="AG30" s="64"/>
      <c r="AH30" s="64"/>
      <c r="AI30" s="60"/>
      <c r="AJ30" s="68">
        <v>725</v>
      </c>
      <c r="AK30" s="68"/>
      <c r="AL30" s="68"/>
      <c r="AM30" s="68"/>
      <c r="AN30" s="68"/>
      <c r="AO30" s="68"/>
      <c r="AP30" s="134"/>
      <c r="AQ30" s="122"/>
      <c r="AR30" s="122"/>
    </row>
    <row r="31" spans="1:44" s="123" customFormat="1" ht="12.75">
      <c r="A31" s="122"/>
      <c r="B31" s="127"/>
      <c r="C31" s="33"/>
      <c r="D31" s="26" t="s">
        <v>11</v>
      </c>
      <c r="E31" s="32"/>
      <c r="F31" s="71">
        <v>402006</v>
      </c>
      <c r="G31" s="71">
        <v>0</v>
      </c>
      <c r="H31" s="71">
        <v>0</v>
      </c>
      <c r="I31" s="73">
        <v>0</v>
      </c>
      <c r="J31" s="73">
        <v>0</v>
      </c>
      <c r="K31" s="73">
        <v>0</v>
      </c>
      <c r="L31" s="73">
        <v>0</v>
      </c>
      <c r="M31" s="73">
        <v>0</v>
      </c>
      <c r="N31" s="64"/>
      <c r="O31" s="64"/>
      <c r="P31" s="64"/>
      <c r="Q31" s="64"/>
      <c r="R31" s="64"/>
      <c r="S31" s="64"/>
      <c r="T31" s="60"/>
      <c r="U31" s="68">
        <f>F31+'Mar-26'!U31-7</f>
        <v>1353947</v>
      </c>
      <c r="V31" s="68">
        <v>0</v>
      </c>
      <c r="W31" s="68">
        <v>0</v>
      </c>
      <c r="X31" s="68">
        <v>0</v>
      </c>
      <c r="Y31" s="68">
        <v>0</v>
      </c>
      <c r="Z31" s="68">
        <v>0</v>
      </c>
      <c r="AA31" s="68">
        <v>0</v>
      </c>
      <c r="AB31" s="68">
        <v>0</v>
      </c>
      <c r="AC31" s="64"/>
      <c r="AD31" s="64"/>
      <c r="AE31" s="64"/>
      <c r="AF31" s="64"/>
      <c r="AG31" s="64"/>
      <c r="AH31" s="64"/>
      <c r="AI31" s="60"/>
      <c r="AJ31" s="68">
        <v>2827444</v>
      </c>
      <c r="AK31" s="68"/>
      <c r="AL31" s="68"/>
      <c r="AM31" s="68"/>
      <c r="AN31" s="68"/>
      <c r="AO31" s="68"/>
      <c r="AP31" s="136"/>
      <c r="AQ31" s="122"/>
      <c r="AR31" s="122"/>
    </row>
    <row r="32" spans="1:44" s="123" customFormat="1" ht="13.5" thickBot="1">
      <c r="A32" s="122"/>
      <c r="B32" s="127"/>
      <c r="C32" s="35" t="s">
        <v>160</v>
      </c>
      <c r="D32" s="36"/>
      <c r="E32" s="37"/>
      <c r="F32" s="75">
        <f>F27+F30</f>
        <v>702</v>
      </c>
      <c r="G32" s="75"/>
      <c r="H32" s="75"/>
      <c r="I32" s="75"/>
      <c r="J32" s="75"/>
      <c r="K32" s="75"/>
      <c r="L32" s="75"/>
      <c r="M32" s="75"/>
      <c r="N32" s="66"/>
      <c r="O32" s="66"/>
      <c r="P32" s="66"/>
      <c r="Q32" s="66"/>
      <c r="R32" s="66"/>
      <c r="S32" s="66"/>
      <c r="T32" s="62"/>
      <c r="U32" s="75">
        <f t="shared" ref="U32:U33" si="11">U27+U30</f>
        <v>2705</v>
      </c>
      <c r="V32" s="75"/>
      <c r="W32" s="75"/>
      <c r="X32" s="75"/>
      <c r="Y32" s="75"/>
      <c r="Z32" s="75"/>
      <c r="AA32" s="75"/>
      <c r="AB32" s="75"/>
      <c r="AC32" s="66"/>
      <c r="AD32" s="66"/>
      <c r="AE32" s="66"/>
      <c r="AF32" s="66"/>
      <c r="AG32" s="66"/>
      <c r="AH32" s="66"/>
      <c r="AI32" s="62"/>
      <c r="AJ32" s="75">
        <f t="shared" ref="AJ32:AJ33" si="12">AJ27+AJ30</f>
        <v>7326</v>
      </c>
      <c r="AK32" s="75"/>
      <c r="AL32" s="75"/>
      <c r="AM32" s="75"/>
      <c r="AN32" s="75"/>
      <c r="AO32" s="75"/>
      <c r="AP32" s="75"/>
      <c r="AQ32" s="122"/>
      <c r="AR32" s="122"/>
    </row>
    <row r="33" spans="1:44" s="123" customFormat="1" ht="14.25" thickTop="1" thickBot="1">
      <c r="A33" s="122"/>
      <c r="B33" s="127"/>
      <c r="C33" s="38" t="s">
        <v>161</v>
      </c>
      <c r="D33" s="39"/>
      <c r="E33" s="40"/>
      <c r="F33" s="76">
        <f>F28+F31</f>
        <v>1808620</v>
      </c>
      <c r="G33" s="76"/>
      <c r="H33" s="76"/>
      <c r="I33" s="76"/>
      <c r="J33" s="76"/>
      <c r="K33" s="76"/>
      <c r="L33" s="76"/>
      <c r="M33" s="76"/>
      <c r="N33" s="67"/>
      <c r="O33" s="67"/>
      <c r="P33" s="67"/>
      <c r="Q33" s="67"/>
      <c r="R33" s="67"/>
      <c r="S33" s="67"/>
      <c r="T33" s="63"/>
      <c r="U33" s="76">
        <f t="shared" si="11"/>
        <v>7726495</v>
      </c>
      <c r="V33" s="76"/>
      <c r="W33" s="76"/>
      <c r="X33" s="76"/>
      <c r="Y33" s="76"/>
      <c r="Z33" s="76"/>
      <c r="AA33" s="76"/>
      <c r="AB33" s="76"/>
      <c r="AC33" s="67"/>
      <c r="AD33" s="67"/>
      <c r="AE33" s="67"/>
      <c r="AF33" s="67"/>
      <c r="AG33" s="67"/>
      <c r="AH33" s="67"/>
      <c r="AI33" s="63"/>
      <c r="AJ33" s="76">
        <f t="shared" si="12"/>
        <v>20889132</v>
      </c>
      <c r="AK33" s="76"/>
      <c r="AL33" s="76"/>
      <c r="AM33" s="76"/>
      <c r="AN33" s="76"/>
      <c r="AO33" s="76"/>
      <c r="AP33" s="76"/>
      <c r="AQ33" s="122"/>
      <c r="AR33" s="122"/>
    </row>
    <row r="34" spans="1:44" s="123" customFormat="1" ht="12" thickTop="1">
      <c r="A34" s="122"/>
      <c r="B34" s="122"/>
      <c r="C34" s="122"/>
      <c r="D34" s="122"/>
      <c r="E34" s="122"/>
      <c r="F34" s="128"/>
      <c r="G34" s="128"/>
      <c r="H34" s="122"/>
      <c r="I34" s="128"/>
      <c r="J34" s="128"/>
      <c r="K34" s="128"/>
      <c r="L34" s="128"/>
      <c r="M34" s="128"/>
      <c r="N34" s="128"/>
      <c r="O34" s="128"/>
      <c r="P34" s="128"/>
      <c r="Q34" s="128"/>
      <c r="R34" s="128"/>
      <c r="S34" s="128"/>
      <c r="T34" s="122"/>
      <c r="U34" s="128">
        <f>'Mar-26'!U32+'Apr-26'!F32-'Apr-26'!U32+1</f>
        <v>0</v>
      </c>
      <c r="V34" s="128">
        <f>'Mar-26'!V27+'Apr-26'!G27-'Apr-26'!V27</f>
        <v>0</v>
      </c>
      <c r="W34" s="128">
        <f>'Mar-26'!W27+'Apr-26'!H27-'Apr-26'!W27</f>
        <v>0</v>
      </c>
      <c r="X34" s="128">
        <f>'Mar-26'!X27+'Apr-26'!I27-'Apr-26'!X27</f>
        <v>0</v>
      </c>
      <c r="Y34" s="128">
        <f>'Mar-26'!Y27+'Apr-26'!J27-'Apr-26'!Y27</f>
        <v>0</v>
      </c>
      <c r="Z34" s="128">
        <f>'Mar-26'!Z27+'Apr-26'!K27-'Apr-26'!Z27</f>
        <v>0</v>
      </c>
      <c r="AA34" s="128">
        <f>'Mar-26'!AA27+'Apr-26'!L27-'Apr-26'!AA27</f>
        <v>0</v>
      </c>
      <c r="AB34" s="128">
        <f>'Mar-26'!AB27+'Apr-26'!M27-'Apr-26'!AB27</f>
        <v>0</v>
      </c>
      <c r="AC34" s="128"/>
      <c r="AD34" s="122"/>
      <c r="AE34" s="122"/>
      <c r="AF34" s="122"/>
      <c r="AG34" s="122"/>
      <c r="AH34" s="122"/>
      <c r="AI34" s="122"/>
      <c r="AJ34" s="122"/>
      <c r="AK34" s="122"/>
      <c r="AL34" s="122"/>
      <c r="AM34" s="122"/>
      <c r="AN34" s="122"/>
      <c r="AO34" s="122"/>
      <c r="AP34" s="122"/>
      <c r="AQ34" s="122"/>
      <c r="AR34" s="122"/>
    </row>
    <row r="35" spans="1:44" s="123" customFormat="1" ht="11.25">
      <c r="A35" s="122"/>
      <c r="B35" s="122"/>
      <c r="C35" s="122"/>
      <c r="D35" s="122"/>
      <c r="E35" s="122"/>
      <c r="F35" s="122"/>
      <c r="G35" s="122"/>
      <c r="H35" s="122"/>
      <c r="I35" s="128"/>
      <c r="J35" s="128"/>
      <c r="K35" s="128"/>
      <c r="L35" s="128"/>
      <c r="M35" s="128"/>
      <c r="N35" s="128"/>
      <c r="O35" s="128"/>
      <c r="P35" s="128"/>
      <c r="Q35" s="128"/>
      <c r="R35" s="128"/>
      <c r="S35" s="128"/>
      <c r="T35" s="122"/>
      <c r="U35" s="128">
        <f>'Mar-26'!U28+'Apr-26'!F28-'Apr-26'!U28+2646</f>
        <v>0</v>
      </c>
      <c r="V35" s="128">
        <f>'Mar-26'!V28+'Apr-26'!G28-'Apr-26'!V28</f>
        <v>0</v>
      </c>
      <c r="W35" s="128">
        <f>'Mar-26'!W28+'Apr-26'!H28-'Apr-26'!W28</f>
        <v>0</v>
      </c>
      <c r="X35" s="128">
        <f>'Mar-26'!X28+'Apr-26'!I28-'Apr-26'!X28</f>
        <v>0</v>
      </c>
      <c r="Y35" s="128">
        <f>'Mar-26'!Y28+'Apr-26'!J28-'Apr-26'!Y28</f>
        <v>0</v>
      </c>
      <c r="Z35" s="128">
        <f>'Mar-26'!Z28+'Apr-26'!K28-'Apr-26'!Z28</f>
        <v>0</v>
      </c>
      <c r="AA35" s="128">
        <f>'Mar-26'!AA28+'Apr-26'!L28-'Apr-26'!AA28</f>
        <v>0</v>
      </c>
      <c r="AB35" s="128">
        <f>'Mar-26'!AB28+'Apr-26'!M28-'Apr-26'!AB28</f>
        <v>0</v>
      </c>
      <c r="AC35" s="128"/>
      <c r="AD35" s="128"/>
      <c r="AE35" s="122"/>
      <c r="AF35" s="122"/>
      <c r="AG35" s="122"/>
      <c r="AH35" s="122"/>
      <c r="AI35" s="122"/>
      <c r="AJ35" s="122"/>
      <c r="AK35" s="122"/>
      <c r="AL35" s="122"/>
      <c r="AM35" s="122"/>
      <c r="AN35" s="122"/>
      <c r="AO35" s="122"/>
      <c r="AP35" s="122"/>
      <c r="AQ35" s="122"/>
      <c r="AR35" s="122"/>
    </row>
    <row r="36" spans="1:44" s="123" customFormat="1" ht="12.75">
      <c r="A36" s="122"/>
      <c r="B36" s="129"/>
      <c r="C36" s="130" t="s">
        <v>63</v>
      </c>
      <c r="D36" s="24"/>
      <c r="E36" s="24"/>
      <c r="F36" s="24"/>
      <c r="G36" s="24"/>
      <c r="H36" s="24"/>
      <c r="I36" s="24"/>
      <c r="J36" s="24"/>
      <c r="K36" s="24"/>
      <c r="L36" s="24"/>
      <c r="M36" s="95"/>
      <c r="N36" s="95"/>
      <c r="O36" s="95"/>
      <c r="P36" s="95"/>
      <c r="Q36" s="95"/>
      <c r="R36" s="95"/>
      <c r="S36" s="95"/>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122"/>
    </row>
    <row r="37" spans="1:44" s="123" customFormat="1" ht="12.75">
      <c r="A37" s="122"/>
      <c r="B37" s="129"/>
      <c r="C37" s="24"/>
      <c r="D37" s="24"/>
      <c r="E37" s="24"/>
      <c r="F37" s="24"/>
      <c r="G37" s="24"/>
      <c r="H37" s="24"/>
      <c r="I37" s="24"/>
      <c r="J37" s="24"/>
      <c r="K37" s="24"/>
      <c r="L37" s="24"/>
      <c r="M37" s="95"/>
      <c r="N37" s="95"/>
      <c r="O37" s="95"/>
      <c r="P37" s="95"/>
      <c r="Q37" s="95"/>
      <c r="R37" s="95"/>
      <c r="S37" s="95"/>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122"/>
    </row>
    <row r="38" spans="1:44" s="123" customFormat="1" ht="15" customHeight="1">
      <c r="A38" s="122"/>
      <c r="B38" s="122"/>
      <c r="C38" s="27" t="s">
        <v>7</v>
      </c>
      <c r="D38" s="28"/>
      <c r="E38" s="28"/>
      <c r="F38" s="170" t="str">
        <f>F9</f>
        <v>April</v>
      </c>
      <c r="G38" s="170"/>
      <c r="H38" s="170"/>
      <c r="I38" s="170"/>
      <c r="J38" s="170"/>
      <c r="K38" s="170"/>
      <c r="L38" s="170"/>
      <c r="M38" s="170"/>
      <c r="N38" s="170"/>
      <c r="O38" s="170"/>
      <c r="P38" s="170"/>
      <c r="Q38" s="170"/>
      <c r="R38" s="170"/>
      <c r="S38" s="170"/>
      <c r="T38" s="171"/>
      <c r="U38" s="176" t="str">
        <f>"April to "&amp;D4&amp;" (YTD)"</f>
        <v>April to April (YTD)</v>
      </c>
      <c r="V38" s="177"/>
      <c r="W38" s="177"/>
      <c r="X38" s="177"/>
      <c r="Y38" s="177"/>
      <c r="Z38" s="177"/>
      <c r="AA38" s="177"/>
      <c r="AB38" s="177"/>
      <c r="AC38" s="177"/>
      <c r="AD38" s="177"/>
      <c r="AE38" s="177"/>
      <c r="AF38" s="177"/>
      <c r="AG38" s="177"/>
      <c r="AH38" s="177"/>
      <c r="AI38" s="178"/>
      <c r="AJ38" s="176" t="s">
        <v>58</v>
      </c>
      <c r="AK38" s="177"/>
      <c r="AL38" s="177"/>
      <c r="AM38" s="177"/>
      <c r="AN38" s="177"/>
      <c r="AO38" s="177"/>
      <c r="AP38" s="179"/>
    </row>
    <row r="39" spans="1:44" s="123" customFormat="1" ht="11.25">
      <c r="A39" s="122"/>
      <c r="B39" s="122"/>
      <c r="C39" s="29"/>
      <c r="D39" s="30"/>
      <c r="E39" s="30"/>
      <c r="F39" s="142"/>
      <c r="G39" s="143"/>
      <c r="H39" s="143"/>
      <c r="I39" s="143"/>
      <c r="J39" s="143"/>
      <c r="K39" s="143"/>
      <c r="L39" s="143"/>
      <c r="M39" s="143"/>
      <c r="N39" s="143"/>
      <c r="O39" s="143"/>
      <c r="P39" s="143"/>
      <c r="Q39" s="143"/>
      <c r="R39" s="143"/>
      <c r="S39" s="143"/>
      <c r="T39" s="144"/>
      <c r="U39" s="143"/>
      <c r="V39" s="143"/>
      <c r="W39" s="143"/>
      <c r="X39" s="143"/>
      <c r="Y39" s="143"/>
      <c r="Z39" s="143"/>
      <c r="AA39" s="143"/>
      <c r="AB39" s="143"/>
      <c r="AC39" s="143"/>
      <c r="AD39" s="143"/>
      <c r="AE39" s="143"/>
      <c r="AF39" s="143"/>
      <c r="AG39" s="143"/>
      <c r="AH39" s="143"/>
      <c r="AI39" s="144"/>
      <c r="AJ39" s="164"/>
      <c r="AK39" s="165"/>
      <c r="AL39" s="165"/>
      <c r="AM39" s="165"/>
      <c r="AN39" s="165"/>
      <c r="AO39" s="165"/>
      <c r="AP39" s="166"/>
    </row>
    <row r="40" spans="1:44" s="123" customFormat="1" ht="22.5">
      <c r="A40" s="122"/>
      <c r="B40" s="122"/>
      <c r="C40" s="59" t="s">
        <v>29</v>
      </c>
      <c r="D40" s="50"/>
      <c r="E40" s="51"/>
      <c r="F40" s="55">
        <v>2026</v>
      </c>
      <c r="G40" s="52">
        <v>2025</v>
      </c>
      <c r="H40" s="52">
        <v>2024</v>
      </c>
      <c r="I40" s="52">
        <v>2023</v>
      </c>
      <c r="J40" s="52">
        <v>2022</v>
      </c>
      <c r="K40" s="52">
        <v>2021</v>
      </c>
      <c r="L40" s="52">
        <v>2020</v>
      </c>
      <c r="M40" s="52">
        <v>2019</v>
      </c>
      <c r="N40" s="53" t="s">
        <v>146</v>
      </c>
      <c r="O40" s="53" t="s">
        <v>147</v>
      </c>
      <c r="P40" s="53" t="s">
        <v>148</v>
      </c>
      <c r="Q40" s="53" t="s">
        <v>149</v>
      </c>
      <c r="R40" s="53" t="s">
        <v>150</v>
      </c>
      <c r="S40" s="53" t="s">
        <v>151</v>
      </c>
      <c r="T40" s="57" t="s">
        <v>157</v>
      </c>
      <c r="U40" s="53" t="s">
        <v>166</v>
      </c>
      <c r="V40" s="53" t="s">
        <v>145</v>
      </c>
      <c r="W40" s="53" t="s">
        <v>128</v>
      </c>
      <c r="X40" s="53" t="s">
        <v>114</v>
      </c>
      <c r="Y40" s="53" t="s">
        <v>53</v>
      </c>
      <c r="Z40" s="52" t="s">
        <v>54</v>
      </c>
      <c r="AA40" s="52" t="s">
        <v>59</v>
      </c>
      <c r="AB40" s="52" t="s">
        <v>64</v>
      </c>
      <c r="AC40" s="53" t="s">
        <v>173</v>
      </c>
      <c r="AD40" s="53" t="s">
        <v>167</v>
      </c>
      <c r="AE40" s="53" t="s">
        <v>168</v>
      </c>
      <c r="AF40" s="53" t="s">
        <v>169</v>
      </c>
      <c r="AG40" s="53" t="s">
        <v>170</v>
      </c>
      <c r="AH40" s="53" t="s">
        <v>171</v>
      </c>
      <c r="AI40" s="57" t="s">
        <v>172</v>
      </c>
      <c r="AJ40" s="53" t="s">
        <v>145</v>
      </c>
      <c r="AK40" s="53" t="s">
        <v>128</v>
      </c>
      <c r="AL40" s="53" t="s">
        <v>114</v>
      </c>
      <c r="AM40" s="53" t="s">
        <v>53</v>
      </c>
      <c r="AN40" s="53" t="s">
        <v>54</v>
      </c>
      <c r="AO40" s="53" t="s">
        <v>65</v>
      </c>
      <c r="AP40" s="57" t="s">
        <v>73</v>
      </c>
      <c r="AR40" s="122"/>
    </row>
    <row r="41" spans="1:44" s="123" customFormat="1" ht="11.25">
      <c r="A41" s="122"/>
      <c r="B41" s="122"/>
      <c r="C41" s="31" t="s">
        <v>107</v>
      </c>
      <c r="D41" s="26"/>
      <c r="E41" s="32"/>
      <c r="F41" s="26"/>
      <c r="G41" s="26"/>
      <c r="H41" s="26"/>
      <c r="I41" s="26"/>
      <c r="J41" s="26"/>
      <c r="K41" s="26"/>
      <c r="L41" s="26"/>
      <c r="M41" s="26"/>
      <c r="N41" s="26"/>
      <c r="O41" s="26"/>
      <c r="P41" s="26"/>
      <c r="Q41" s="26"/>
      <c r="R41" s="26"/>
      <c r="S41" s="26"/>
      <c r="T41" s="32"/>
      <c r="U41" s="26"/>
      <c r="V41" s="26"/>
      <c r="W41" s="26"/>
      <c r="X41" s="26"/>
      <c r="Y41" s="26"/>
      <c r="Z41" s="26"/>
      <c r="AA41" s="26"/>
      <c r="AB41" s="122"/>
      <c r="AC41" s="122"/>
      <c r="AD41" s="122"/>
      <c r="AE41" s="26"/>
      <c r="AF41" s="26"/>
      <c r="AG41" s="122"/>
      <c r="AH41" s="26"/>
      <c r="AI41" s="32"/>
      <c r="AJ41" s="26"/>
      <c r="AK41" s="26"/>
      <c r="AL41" s="26"/>
      <c r="AM41" s="26"/>
      <c r="AN41" s="26"/>
      <c r="AO41" s="88"/>
      <c r="AP41" s="85"/>
      <c r="AR41" s="122"/>
    </row>
    <row r="42" spans="1:44" s="123" customFormat="1" ht="11.25">
      <c r="A42" s="122"/>
      <c r="B42" s="122"/>
      <c r="C42" s="33"/>
      <c r="D42" s="26" t="s">
        <v>5</v>
      </c>
      <c r="E42" s="32"/>
      <c r="F42" s="74">
        <f t="shared" ref="F42:M43" si="13">F13</f>
        <v>226</v>
      </c>
      <c r="G42" s="74">
        <f t="shared" si="13"/>
        <v>230</v>
      </c>
      <c r="H42" s="74">
        <f t="shared" si="13"/>
        <v>187</v>
      </c>
      <c r="I42" s="74">
        <f t="shared" si="13"/>
        <v>129</v>
      </c>
      <c r="J42" s="74">
        <f t="shared" si="13"/>
        <v>136</v>
      </c>
      <c r="K42" s="74">
        <f t="shared" si="13"/>
        <v>0</v>
      </c>
      <c r="L42" s="74">
        <f t="shared" si="13"/>
        <v>42</v>
      </c>
      <c r="M42" s="74">
        <f t="shared" si="13"/>
        <v>129</v>
      </c>
      <c r="N42" s="64">
        <f t="shared" ref="N42:N43" si="14">IFERROR(F42/G42-1,"n/a")</f>
        <v>-1.7391304347826098E-2</v>
      </c>
      <c r="O42" s="64">
        <f>IFERROR(F42/H42-1,"n/a")</f>
        <v>0.20855614973262027</v>
      </c>
      <c r="P42" s="64">
        <f>IFERROR(F42/I42-1,"n/a")</f>
        <v>0.75193798449612403</v>
      </c>
      <c r="Q42" s="64">
        <f>IFERROR(F42/J42-1,"n/a")</f>
        <v>0.66176470588235303</v>
      </c>
      <c r="R42" s="64" t="str">
        <f>IFERROR(F42/K42-1,"n/a")</f>
        <v>n/a</v>
      </c>
      <c r="S42" s="64">
        <f>IFERROR(F42/L42-1,"n/a")</f>
        <v>4.3809523809523814</v>
      </c>
      <c r="T42" s="60">
        <f>IFERROR(F42/M42-1,"n/a")</f>
        <v>0.75193798449612403</v>
      </c>
      <c r="U42" s="74">
        <f>F42</f>
        <v>226</v>
      </c>
      <c r="V42" s="74">
        <f t="shared" ref="V42:AB42" si="15">G42</f>
        <v>230</v>
      </c>
      <c r="W42" s="74">
        <f t="shared" si="15"/>
        <v>187</v>
      </c>
      <c r="X42" s="74">
        <f t="shared" si="15"/>
        <v>129</v>
      </c>
      <c r="Y42" s="74">
        <f t="shared" si="15"/>
        <v>136</v>
      </c>
      <c r="Z42" s="74">
        <f t="shared" si="15"/>
        <v>0</v>
      </c>
      <c r="AA42" s="74">
        <f t="shared" si="15"/>
        <v>42</v>
      </c>
      <c r="AB42" s="74">
        <f t="shared" si="15"/>
        <v>129</v>
      </c>
      <c r="AC42" s="147">
        <f>IFERROR(U42/V42-1,"n/a")</f>
        <v>-1.7391304347826098E-2</v>
      </c>
      <c r="AD42" s="147">
        <f>IFERROR(U42/W42-1,"n/a")</f>
        <v>0.20855614973262027</v>
      </c>
      <c r="AE42" s="147">
        <f>IFERROR(U42/X42-1,"n/a")</f>
        <v>0.75193798449612403</v>
      </c>
      <c r="AF42" s="147">
        <f>IFERROR(U42/Y42-1,"n/a")</f>
        <v>0.66176470588235303</v>
      </c>
      <c r="AG42" s="147" t="str">
        <f>IFERROR(U42/Z42-1,"n/a")</f>
        <v>n/a</v>
      </c>
      <c r="AH42" s="147">
        <f>IFERROR(U42/AA42-1,"n/a")</f>
        <v>4.3809523809523814</v>
      </c>
      <c r="AI42" s="158">
        <f>IFERROR(U42/AB42-1,"n/a")</f>
        <v>0.75193798449612403</v>
      </c>
      <c r="AJ42" s="154">
        <v>3083</v>
      </c>
      <c r="AK42" s="154">
        <v>2874</v>
      </c>
      <c r="AL42" s="89">
        <v>1802</v>
      </c>
      <c r="AM42" s="89">
        <v>1486</v>
      </c>
      <c r="AN42" s="89">
        <v>1052</v>
      </c>
      <c r="AO42" s="70">
        <v>551</v>
      </c>
      <c r="AP42" s="78">
        <v>1584</v>
      </c>
      <c r="AR42" s="122"/>
    </row>
    <row r="43" spans="1:44" s="123" customFormat="1" ht="11.25">
      <c r="A43" s="122"/>
      <c r="B43" s="122"/>
      <c r="C43" s="33"/>
      <c r="D43" s="26" t="s">
        <v>11</v>
      </c>
      <c r="E43" s="32"/>
      <c r="F43" s="74">
        <f t="shared" si="13"/>
        <v>790877</v>
      </c>
      <c r="G43" s="74">
        <f t="shared" si="13"/>
        <v>770590</v>
      </c>
      <c r="H43" s="74">
        <f t="shared" si="13"/>
        <v>659714</v>
      </c>
      <c r="I43" s="74">
        <f t="shared" si="13"/>
        <v>449751</v>
      </c>
      <c r="J43" s="74">
        <f t="shared" si="13"/>
        <v>297788</v>
      </c>
      <c r="K43" s="74">
        <f t="shared" si="13"/>
        <v>0</v>
      </c>
      <c r="L43" s="74">
        <f t="shared" si="13"/>
        <v>0</v>
      </c>
      <c r="M43" s="74">
        <f t="shared" si="13"/>
        <v>394045</v>
      </c>
      <c r="N43" s="64">
        <f t="shared" si="14"/>
        <v>2.6326580931494092E-2</v>
      </c>
      <c r="O43" s="64">
        <f>IFERROR(F43/H43-1,"n/a")</f>
        <v>0.19881797263662748</v>
      </c>
      <c r="P43" s="64">
        <f>IFERROR(F43/I43-1,"n/a")</f>
        <v>0.75847746864376075</v>
      </c>
      <c r="Q43" s="64">
        <f>IFERROR(F43/J43-1,"n/a")</f>
        <v>1.6558390532862304</v>
      </c>
      <c r="R43" s="64" t="str">
        <f>IFERROR(F43/K43-1,"n/a")</f>
        <v>n/a</v>
      </c>
      <c r="S43" s="64" t="str">
        <f>IFERROR(F43/L43-1,"n/a")</f>
        <v>n/a</v>
      </c>
      <c r="T43" s="60">
        <f>IFERROR(F43/M43-1,"n/a")</f>
        <v>1.007072796254235</v>
      </c>
      <c r="U43" s="74">
        <f>F43</f>
        <v>790877</v>
      </c>
      <c r="V43" s="74">
        <f t="shared" ref="V43" si="16">G43</f>
        <v>770590</v>
      </c>
      <c r="W43" s="74">
        <f t="shared" ref="W43" si="17">H43</f>
        <v>659714</v>
      </c>
      <c r="X43" s="74">
        <f t="shared" ref="X43" si="18">I43</f>
        <v>449751</v>
      </c>
      <c r="Y43" s="74">
        <f t="shared" ref="Y43" si="19">J43</f>
        <v>297788</v>
      </c>
      <c r="Z43" s="74">
        <f t="shared" ref="Z43" si="20">K43</f>
        <v>0</v>
      </c>
      <c r="AA43" s="74">
        <f t="shared" ref="AA43" si="21">L43</f>
        <v>0</v>
      </c>
      <c r="AB43" s="74">
        <f t="shared" ref="AB43" si="22">M43</f>
        <v>394045</v>
      </c>
      <c r="AC43" s="147">
        <f>IFERROR(U43/V43-1,"n/a")</f>
        <v>2.6326580931494092E-2</v>
      </c>
      <c r="AD43" s="147">
        <f>IFERROR(U43/W43-1,"n/a")</f>
        <v>0.19881797263662748</v>
      </c>
      <c r="AE43" s="147">
        <f>IFERROR(U43/X43-1,"n/a")</f>
        <v>0.75847746864376075</v>
      </c>
      <c r="AF43" s="147">
        <f>IFERROR(U43/Y43-1,"n/a")</f>
        <v>1.6558390532862304</v>
      </c>
      <c r="AG43" s="147" t="str">
        <f>IFERROR(U43/Z43-1,"n/a")</f>
        <v>n/a</v>
      </c>
      <c r="AH43" s="147" t="str">
        <f>IFERROR(U43/AA43-1,"n/a")</f>
        <v>n/a</v>
      </c>
      <c r="AI43" s="158">
        <f>IFERROR(U43/AB43-1,"n/a")</f>
        <v>1.007072796254235</v>
      </c>
      <c r="AJ43" s="154">
        <v>9888015</v>
      </c>
      <c r="AK43" s="154">
        <v>8791246</v>
      </c>
      <c r="AL43" s="89">
        <v>5848177</v>
      </c>
      <c r="AM43" s="89">
        <v>4370939</v>
      </c>
      <c r="AN43" s="89">
        <v>1527970</v>
      </c>
      <c r="AO43" s="84">
        <v>1092884</v>
      </c>
      <c r="AP43" s="78">
        <v>4234259</v>
      </c>
      <c r="AR43" s="122"/>
    </row>
    <row r="44" spans="1:44" s="123" customFormat="1" ht="11.25">
      <c r="A44" s="122"/>
      <c r="B44" s="122"/>
      <c r="C44" s="31" t="s">
        <v>163</v>
      </c>
      <c r="D44" s="26"/>
      <c r="E44" s="32"/>
      <c r="F44" s="26"/>
      <c r="G44" s="26"/>
      <c r="H44" s="26"/>
      <c r="I44" s="26"/>
      <c r="J44" s="26"/>
      <c r="K44" s="26"/>
      <c r="L44" s="26"/>
      <c r="M44" s="26"/>
      <c r="N44" s="64"/>
      <c r="O44" s="64"/>
      <c r="P44" s="64"/>
      <c r="Q44" s="64"/>
      <c r="R44" s="64"/>
      <c r="S44" s="64"/>
      <c r="T44" s="61"/>
      <c r="U44" s="26"/>
      <c r="V44" s="26"/>
      <c r="W44" s="26"/>
      <c r="X44" s="26"/>
      <c r="Y44" s="26"/>
      <c r="Z44" s="26"/>
      <c r="AA44" s="26"/>
      <c r="AB44" s="26"/>
      <c r="AC44" s="146"/>
      <c r="AD44" s="146"/>
      <c r="AE44" s="148"/>
      <c r="AF44" s="148"/>
      <c r="AG44" s="148"/>
      <c r="AH44" s="148"/>
      <c r="AI44" s="159"/>
      <c r="AJ44" s="44"/>
      <c r="AK44" s="44"/>
      <c r="AL44" s="90"/>
      <c r="AM44" s="90"/>
      <c r="AN44" s="90"/>
      <c r="AO44" s="44"/>
      <c r="AP44" s="79"/>
      <c r="AR44" s="122"/>
    </row>
    <row r="45" spans="1:44" s="123" customFormat="1" ht="11.25">
      <c r="A45" s="122"/>
      <c r="B45" s="122"/>
      <c r="C45" s="33"/>
      <c r="D45" s="26" t="s">
        <v>5</v>
      </c>
      <c r="E45" s="32"/>
      <c r="F45" s="74">
        <f t="shared" ref="F45:M46" si="23">F16</f>
        <v>86</v>
      </c>
      <c r="G45" s="74">
        <f t="shared" si="23"/>
        <v>62</v>
      </c>
      <c r="H45" s="74">
        <f t="shared" si="23"/>
        <v>55</v>
      </c>
      <c r="I45" s="74">
        <f t="shared" si="23"/>
        <v>46</v>
      </c>
      <c r="J45" s="74">
        <f t="shared" si="23"/>
        <v>56</v>
      </c>
      <c r="K45" s="74">
        <f t="shared" si="23"/>
        <v>5</v>
      </c>
      <c r="L45" s="74">
        <f t="shared" si="23"/>
        <v>0</v>
      </c>
      <c r="M45" s="74">
        <f t="shared" si="23"/>
        <v>51</v>
      </c>
      <c r="N45" s="64">
        <f t="shared" ref="N45:N46" si="24">IFERROR(F45/G45-1,"n/a")</f>
        <v>0.38709677419354849</v>
      </c>
      <c r="O45" s="64">
        <f>IFERROR(F45/H45-1,"n/a")</f>
        <v>0.56363636363636371</v>
      </c>
      <c r="P45" s="64">
        <f>IFERROR(F45/I45-1,"n/a")</f>
        <v>0.86956521739130443</v>
      </c>
      <c r="Q45" s="64">
        <f>IFERROR(F45/J45-1,"n/a")</f>
        <v>0.53571428571428581</v>
      </c>
      <c r="R45" s="64">
        <f>IFERROR(F45/K45-1,"n/a")</f>
        <v>16.2</v>
      </c>
      <c r="S45" s="64" t="str">
        <f>IFERROR(F45/L45-1,"n/a")</f>
        <v>n/a</v>
      </c>
      <c r="T45" s="60">
        <f>IFERROR(F45/M45-1,"n/a")</f>
        <v>0.68627450980392157</v>
      </c>
      <c r="U45" s="74">
        <f t="shared" ref="U45:U46" si="25">F45</f>
        <v>86</v>
      </c>
      <c r="V45" s="74">
        <f t="shared" ref="V45:V46" si="26">G45</f>
        <v>62</v>
      </c>
      <c r="W45" s="74">
        <f t="shared" ref="W45:W46" si="27">H45</f>
        <v>55</v>
      </c>
      <c r="X45" s="74">
        <f t="shared" ref="X45:X46" si="28">I45</f>
        <v>46</v>
      </c>
      <c r="Y45" s="74">
        <f t="shared" ref="Y45:Y46" si="29">J45</f>
        <v>56</v>
      </c>
      <c r="Z45" s="74">
        <f t="shared" ref="Z45:Z46" si="30">K45</f>
        <v>5</v>
      </c>
      <c r="AA45" s="74">
        <f t="shared" ref="AA45:AA46" si="31">L45</f>
        <v>0</v>
      </c>
      <c r="AB45" s="74">
        <f t="shared" ref="AB45:AB46" si="32">M45</f>
        <v>51</v>
      </c>
      <c r="AC45" s="147">
        <f t="shared" ref="AC45:AC46" si="33">IFERROR(U45/V45-1,"n/a")</f>
        <v>0.38709677419354849</v>
      </c>
      <c r="AD45" s="147">
        <f>IFERROR(U45/W45-1,"n/a")</f>
        <v>0.56363636363636371</v>
      </c>
      <c r="AE45" s="147">
        <f>IFERROR(U45/X45-1,"n/a")</f>
        <v>0.86956521739130443</v>
      </c>
      <c r="AF45" s="147">
        <f>IFERROR(U45/Y45-1,"n/a")</f>
        <v>0.53571428571428581</v>
      </c>
      <c r="AG45" s="147">
        <f>IFERROR(U45/Z45-1,"n/a")</f>
        <v>16.2</v>
      </c>
      <c r="AH45" s="147" t="str">
        <f>IFERROR(U45/AA45-1,"n/a")</f>
        <v>n/a</v>
      </c>
      <c r="AI45" s="158">
        <f>IFERROR(U45/AB45-1,"n/a")</f>
        <v>0.68627450980392157</v>
      </c>
      <c r="AJ45" s="154">
        <v>1038</v>
      </c>
      <c r="AK45" s="154">
        <v>817</v>
      </c>
      <c r="AL45" s="89">
        <v>583</v>
      </c>
      <c r="AM45" s="89">
        <v>563</v>
      </c>
      <c r="AN45" s="89">
        <v>226</v>
      </c>
      <c r="AO45" s="70">
        <v>66</v>
      </c>
      <c r="AP45" s="78">
        <v>573</v>
      </c>
      <c r="AR45" s="122"/>
    </row>
    <row r="46" spans="1:44" s="123" customFormat="1" ht="11.25">
      <c r="A46" s="122"/>
      <c r="B46" s="122"/>
      <c r="C46" s="33"/>
      <c r="D46" s="26" t="s">
        <v>11</v>
      </c>
      <c r="E46" s="32"/>
      <c r="F46" s="74">
        <f t="shared" si="23"/>
        <v>178388</v>
      </c>
      <c r="G46" s="74">
        <f t="shared" si="23"/>
        <v>142373</v>
      </c>
      <c r="H46" s="74">
        <f t="shared" si="23"/>
        <v>129597</v>
      </c>
      <c r="I46" s="74">
        <f t="shared" si="23"/>
        <v>107348</v>
      </c>
      <c r="J46" s="74">
        <f t="shared" si="23"/>
        <v>60367</v>
      </c>
      <c r="K46" s="74">
        <f t="shared" si="23"/>
        <v>6002</v>
      </c>
      <c r="L46" s="74">
        <f t="shared" si="23"/>
        <v>0</v>
      </c>
      <c r="M46" s="74">
        <f t="shared" si="23"/>
        <v>147331</v>
      </c>
      <c r="N46" s="64">
        <f t="shared" si="24"/>
        <v>0.25296228919809227</v>
      </c>
      <c r="O46" s="64">
        <f>IFERROR(F46/H46-1,"n/a")</f>
        <v>0.37648248030432807</v>
      </c>
      <c r="P46" s="64">
        <f>IFERROR(F46/I46-1,"n/a")</f>
        <v>0.66177292543875987</v>
      </c>
      <c r="Q46" s="64">
        <f>IFERROR(F46/J46-1,"n/a")</f>
        <v>1.9550582271771</v>
      </c>
      <c r="R46" s="64">
        <f>IFERROR(F46/K46-1,"n/a")</f>
        <v>28.721426191269575</v>
      </c>
      <c r="S46" s="64" t="str">
        <f>IFERROR(F46/L46-1,"n/a")</f>
        <v>n/a</v>
      </c>
      <c r="T46" s="60">
        <f>IFERROR(F46/M46-1,"n/a")</f>
        <v>0.2107974560683088</v>
      </c>
      <c r="U46" s="74">
        <f t="shared" si="25"/>
        <v>178388</v>
      </c>
      <c r="V46" s="74">
        <f t="shared" si="26"/>
        <v>142373</v>
      </c>
      <c r="W46" s="74">
        <f t="shared" si="27"/>
        <v>129597</v>
      </c>
      <c r="X46" s="74">
        <f t="shared" si="28"/>
        <v>107348</v>
      </c>
      <c r="Y46" s="74">
        <f t="shared" si="29"/>
        <v>60367</v>
      </c>
      <c r="Z46" s="74">
        <f t="shared" si="30"/>
        <v>6002</v>
      </c>
      <c r="AA46" s="74">
        <f t="shared" si="31"/>
        <v>0</v>
      </c>
      <c r="AB46" s="74">
        <f t="shared" si="32"/>
        <v>147331</v>
      </c>
      <c r="AC46" s="147">
        <f t="shared" si="33"/>
        <v>0.25296228919809227</v>
      </c>
      <c r="AD46" s="147">
        <f>IFERROR(U46/W46-1,"n/a")</f>
        <v>0.37648248030432807</v>
      </c>
      <c r="AE46" s="147">
        <f>IFERROR(U46/X46-1,"n/a")</f>
        <v>0.66177292543875987</v>
      </c>
      <c r="AF46" s="147">
        <f>IFERROR(U46/Y46-1,"n/a")</f>
        <v>1.9550582271771</v>
      </c>
      <c r="AG46" s="147">
        <f>IFERROR(U46/Z46-1,"n/a")</f>
        <v>28.721426191269575</v>
      </c>
      <c r="AH46" s="147" t="str">
        <f>IFERROR(U46/AA46-1,"n/a")</f>
        <v>n/a</v>
      </c>
      <c r="AI46" s="158">
        <f>IFERROR(U46/AB46-1,"n/a")</f>
        <v>0.2107974560683088</v>
      </c>
      <c r="AJ46" s="154">
        <f>2445354-5</f>
        <v>2445349</v>
      </c>
      <c r="AK46" s="154">
        <v>2079983</v>
      </c>
      <c r="AL46" s="89">
        <v>1708204</v>
      </c>
      <c r="AM46" s="89">
        <v>1012510</v>
      </c>
      <c r="AN46" s="89">
        <v>327926</v>
      </c>
      <c r="AO46" s="84">
        <v>80778</v>
      </c>
      <c r="AP46" s="78">
        <v>1361671</v>
      </c>
      <c r="AR46" s="122"/>
    </row>
    <row r="47" spans="1:44" s="123" customFormat="1" ht="11.25">
      <c r="A47" s="122"/>
      <c r="B47" s="122"/>
      <c r="C47" s="31" t="s">
        <v>164</v>
      </c>
      <c r="D47" s="26"/>
      <c r="E47" s="32"/>
      <c r="F47" s="87"/>
      <c r="G47" s="87"/>
      <c r="H47" s="87"/>
      <c r="I47" s="87"/>
      <c r="J47" s="87"/>
      <c r="K47" s="87"/>
      <c r="L47" s="87"/>
      <c r="M47" s="72"/>
      <c r="N47" s="64"/>
      <c r="O47" s="64"/>
      <c r="P47" s="64"/>
      <c r="Q47" s="64"/>
      <c r="R47" s="64"/>
      <c r="S47" s="64"/>
      <c r="T47" s="60"/>
      <c r="U47" s="87"/>
      <c r="V47" s="87"/>
      <c r="W47" s="87"/>
      <c r="X47" s="87"/>
      <c r="Y47" s="87"/>
      <c r="Z47" s="87"/>
      <c r="AA47" s="87"/>
      <c r="AB47" s="87"/>
      <c r="AC47" s="110"/>
      <c r="AD47" s="110"/>
      <c r="AE47" s="147"/>
      <c r="AF47" s="147"/>
      <c r="AG47" s="147"/>
      <c r="AH47" s="147"/>
      <c r="AI47" s="158"/>
      <c r="AJ47" s="155"/>
      <c r="AK47" s="155"/>
      <c r="AL47" s="90"/>
      <c r="AM47" s="90"/>
      <c r="AN47" s="90"/>
      <c r="AO47" s="44"/>
      <c r="AP47" s="79"/>
      <c r="AR47" s="122"/>
    </row>
    <row r="48" spans="1:44" s="123" customFormat="1" ht="11.25">
      <c r="A48" s="122"/>
      <c r="B48" s="122"/>
      <c r="C48" s="33"/>
      <c r="D48" s="26" t="s">
        <v>5</v>
      </c>
      <c r="E48" s="32"/>
      <c r="F48" s="74">
        <f t="shared" ref="F48:M49" si="34">F19</f>
        <v>47</v>
      </c>
      <c r="G48" s="74">
        <f t="shared" si="34"/>
        <v>61</v>
      </c>
      <c r="H48" s="74">
        <f t="shared" si="34"/>
        <v>52</v>
      </c>
      <c r="I48" s="74">
        <f t="shared" si="34"/>
        <v>47</v>
      </c>
      <c r="J48" s="74">
        <f t="shared" si="34"/>
        <v>35</v>
      </c>
      <c r="K48" s="74">
        <f t="shared" si="34"/>
        <v>2</v>
      </c>
      <c r="L48" s="74">
        <f t="shared" si="34"/>
        <v>0</v>
      </c>
      <c r="M48" s="74">
        <f t="shared" si="34"/>
        <v>21</v>
      </c>
      <c r="N48" s="64">
        <f t="shared" ref="N48:N49" si="35">IFERROR(F48/G48-1,"n/a")</f>
        <v>-0.22950819672131151</v>
      </c>
      <c r="O48" s="64">
        <f>IFERROR(F48/H48-1,"n/a")</f>
        <v>-9.6153846153846145E-2</v>
      </c>
      <c r="P48" s="64">
        <f>IFERROR(F48/I48-1,"n/a")</f>
        <v>0</v>
      </c>
      <c r="Q48" s="64">
        <f>IFERROR(F48/J48-1,"n/a")</f>
        <v>0.34285714285714275</v>
      </c>
      <c r="R48" s="64">
        <f>IFERROR(F48/K48-1,"n/a")</f>
        <v>22.5</v>
      </c>
      <c r="S48" s="64" t="str">
        <f>IFERROR(F48/L48-1,"n/a")</f>
        <v>n/a</v>
      </c>
      <c r="T48" s="60">
        <f>IFERROR(F48/M48-1,"n/a")</f>
        <v>1.2380952380952381</v>
      </c>
      <c r="U48" s="74">
        <f t="shared" ref="U48:U49" si="36">F48</f>
        <v>47</v>
      </c>
      <c r="V48" s="74">
        <f t="shared" ref="V48:V49" si="37">G48</f>
        <v>61</v>
      </c>
      <c r="W48" s="74">
        <f t="shared" ref="W48:W49" si="38">H48</f>
        <v>52</v>
      </c>
      <c r="X48" s="74">
        <f t="shared" ref="X48:X49" si="39">I48</f>
        <v>47</v>
      </c>
      <c r="Y48" s="74">
        <f t="shared" ref="Y48:Y49" si="40">J48</f>
        <v>35</v>
      </c>
      <c r="Z48" s="74">
        <f t="shared" ref="Z48:Z49" si="41">K48</f>
        <v>2</v>
      </c>
      <c r="AA48" s="74">
        <f t="shared" ref="AA48:AA49" si="42">L48</f>
        <v>0</v>
      </c>
      <c r="AB48" s="74">
        <f t="shared" ref="AB48:AB49" si="43">M48</f>
        <v>21</v>
      </c>
      <c r="AC48" s="147">
        <f t="shared" ref="AC48:AC49" si="44">IFERROR(U48/V48-1,"n/a")</f>
        <v>-0.22950819672131151</v>
      </c>
      <c r="AD48" s="147">
        <f>IFERROR(U48/W48-1,"n/a")</f>
        <v>-9.6153846153846145E-2</v>
      </c>
      <c r="AE48" s="147">
        <f>IFERROR(U48/X48-1,"n/a")</f>
        <v>0</v>
      </c>
      <c r="AF48" s="147">
        <f>IFERROR(U48/Y48-1,"n/a")</f>
        <v>0.34285714285714275</v>
      </c>
      <c r="AG48" s="147">
        <f>IFERROR(U48/Z48-1,"n/a")</f>
        <v>22.5</v>
      </c>
      <c r="AH48" s="147" t="str">
        <f>IFERROR(U48/AA48-1,"n/a")</f>
        <v>n/a</v>
      </c>
      <c r="AI48" s="158">
        <f>IFERROR(U48/AB48-1,"n/a")</f>
        <v>1.2380952380952381</v>
      </c>
      <c r="AJ48" s="154">
        <v>860</v>
      </c>
      <c r="AK48" s="154">
        <v>728</v>
      </c>
      <c r="AL48" s="89">
        <v>712</v>
      </c>
      <c r="AM48" s="89">
        <v>669</v>
      </c>
      <c r="AN48" s="89">
        <v>59</v>
      </c>
      <c r="AO48" s="70">
        <v>9</v>
      </c>
      <c r="AP48" s="78">
        <v>287</v>
      </c>
      <c r="AR48" s="122"/>
    </row>
    <row r="49" spans="1:44" s="123" customFormat="1" ht="11.25">
      <c r="A49" s="122"/>
      <c r="B49" s="122"/>
      <c r="C49" s="33"/>
      <c r="D49" s="26" t="s">
        <v>11</v>
      </c>
      <c r="E49" s="32"/>
      <c r="F49" s="74">
        <f t="shared" si="34"/>
        <v>57569</v>
      </c>
      <c r="G49" s="74">
        <f t="shared" si="34"/>
        <v>80791</v>
      </c>
      <c r="H49" s="74">
        <f t="shared" si="34"/>
        <v>75571.399999999994</v>
      </c>
      <c r="I49" s="74">
        <f t="shared" si="34"/>
        <v>66302</v>
      </c>
      <c r="J49" s="74">
        <f t="shared" si="34"/>
        <v>32576</v>
      </c>
      <c r="K49" s="74">
        <f t="shared" si="34"/>
        <v>0</v>
      </c>
      <c r="L49" s="74">
        <f t="shared" si="34"/>
        <v>0</v>
      </c>
      <c r="M49" s="74">
        <f t="shared" si="34"/>
        <v>36063</v>
      </c>
      <c r="N49" s="64">
        <f t="shared" si="35"/>
        <v>-0.28743300615167533</v>
      </c>
      <c r="O49" s="64">
        <f>IFERROR(F49/H49-1,"n/a")</f>
        <v>-0.23821710329569112</v>
      </c>
      <c r="P49" s="64">
        <f>IFERROR(F49/I49-1,"n/a")</f>
        <v>-0.13171548369581609</v>
      </c>
      <c r="Q49" s="64">
        <f>IFERROR(F49/J49-1,"n/a")</f>
        <v>0.76722126719056982</v>
      </c>
      <c r="R49" s="64" t="str">
        <f>IFERROR(F49/K49-1,"n/a")</f>
        <v>n/a</v>
      </c>
      <c r="S49" s="64" t="str">
        <f>IFERROR(F49/L49-1,"n/a")</f>
        <v>n/a</v>
      </c>
      <c r="T49" s="60">
        <f>IFERROR(F49/M49-1,"n/a")</f>
        <v>0.59634528464076753</v>
      </c>
      <c r="U49" s="74">
        <f t="shared" si="36"/>
        <v>57569</v>
      </c>
      <c r="V49" s="74">
        <f t="shared" si="37"/>
        <v>80791</v>
      </c>
      <c r="W49" s="74">
        <f t="shared" si="38"/>
        <v>75571.399999999994</v>
      </c>
      <c r="X49" s="74">
        <f t="shared" si="39"/>
        <v>66302</v>
      </c>
      <c r="Y49" s="74">
        <f t="shared" si="40"/>
        <v>32576</v>
      </c>
      <c r="Z49" s="74">
        <f t="shared" si="41"/>
        <v>0</v>
      </c>
      <c r="AA49" s="74">
        <f t="shared" si="42"/>
        <v>0</v>
      </c>
      <c r="AB49" s="74">
        <f t="shared" si="43"/>
        <v>36063</v>
      </c>
      <c r="AC49" s="147">
        <f t="shared" si="44"/>
        <v>-0.28743300615167533</v>
      </c>
      <c r="AD49" s="147">
        <f>IFERROR(U49/W49-1,"n/a")</f>
        <v>-0.23821710329569112</v>
      </c>
      <c r="AE49" s="147">
        <f>IFERROR(U49/X49-1,"n/a")</f>
        <v>-0.13171548369581609</v>
      </c>
      <c r="AF49" s="147">
        <f>IFERROR(U49/Y49-1,"n/a")</f>
        <v>0.76722126719056982</v>
      </c>
      <c r="AG49" s="147" t="str">
        <f>IFERROR(U49/Z49-1,"n/a")</f>
        <v>n/a</v>
      </c>
      <c r="AH49" s="147" t="str">
        <f>IFERROR(U49/AA49-1,"n/a")</f>
        <v>n/a</v>
      </c>
      <c r="AI49" s="158">
        <f>IFERROR(U49/AB49-1,"n/a")</f>
        <v>0.59634528464076753</v>
      </c>
      <c r="AJ49" s="154">
        <v>1735859</v>
      </c>
      <c r="AK49" s="154">
        <v>1484512.4</v>
      </c>
      <c r="AL49" s="82">
        <v>1296421</v>
      </c>
      <c r="AM49" s="82">
        <v>905256</v>
      </c>
      <c r="AN49" s="82">
        <v>20626</v>
      </c>
      <c r="AO49" s="84">
        <v>10047</v>
      </c>
      <c r="AP49" s="78">
        <v>581199</v>
      </c>
      <c r="AR49" s="122"/>
    </row>
    <row r="50" spans="1:44" s="123" customFormat="1" ht="11.25">
      <c r="A50" s="122"/>
      <c r="B50" s="122"/>
      <c r="C50" s="31" t="s">
        <v>110</v>
      </c>
      <c r="D50" s="26"/>
      <c r="E50" s="34"/>
      <c r="F50" s="72"/>
      <c r="G50" s="72"/>
      <c r="H50" s="72"/>
      <c r="I50" s="72"/>
      <c r="J50" s="72"/>
      <c r="K50" s="72"/>
      <c r="L50" s="72"/>
      <c r="M50" s="72"/>
      <c r="N50" s="64"/>
      <c r="O50" s="64"/>
      <c r="P50" s="64"/>
      <c r="Q50" s="64"/>
      <c r="R50" s="64"/>
      <c r="S50" s="64"/>
      <c r="T50" s="60"/>
      <c r="U50" s="72"/>
      <c r="V50" s="72"/>
      <c r="W50" s="72"/>
      <c r="X50" s="72"/>
      <c r="Y50" s="72"/>
      <c r="Z50" s="72"/>
      <c r="AA50" s="72"/>
      <c r="AB50" s="72"/>
      <c r="AC50" s="160"/>
      <c r="AD50" s="160"/>
      <c r="AE50" s="147"/>
      <c r="AF50" s="147"/>
      <c r="AG50" s="147"/>
      <c r="AH50" s="147"/>
      <c r="AI50" s="158"/>
      <c r="AJ50" s="155"/>
      <c r="AK50" s="155"/>
      <c r="AL50" s="90"/>
      <c r="AM50" s="90"/>
      <c r="AN50" s="90"/>
      <c r="AO50" s="44"/>
      <c r="AP50" s="79"/>
      <c r="AR50" s="122"/>
    </row>
    <row r="51" spans="1:44" s="123" customFormat="1" ht="11.25">
      <c r="A51" s="122"/>
      <c r="B51" s="122"/>
      <c r="C51" s="33"/>
      <c r="D51" s="26" t="s">
        <v>5</v>
      </c>
      <c r="E51" s="34"/>
      <c r="F51" s="74">
        <f t="shared" ref="F51:M52" si="45">F22</f>
        <v>205</v>
      </c>
      <c r="G51" s="74">
        <f t="shared" si="45"/>
        <v>212</v>
      </c>
      <c r="H51" s="74">
        <f t="shared" si="45"/>
        <v>194</v>
      </c>
      <c r="I51" s="74">
        <f t="shared" si="45"/>
        <v>162</v>
      </c>
      <c r="J51" s="74">
        <f t="shared" si="45"/>
        <v>100</v>
      </c>
      <c r="K51" s="74">
        <f t="shared" si="45"/>
        <v>0</v>
      </c>
      <c r="L51" s="74">
        <f t="shared" si="45"/>
        <v>0</v>
      </c>
      <c r="M51" s="74">
        <f t="shared" si="45"/>
        <v>90</v>
      </c>
      <c r="N51" s="64">
        <f t="shared" ref="N51:N52" si="46">IFERROR(F51/G51-1,"n/a")</f>
        <v>-3.301886792452835E-2</v>
      </c>
      <c r="O51" s="64">
        <f>IFERROR(F51/H51-1,"n/a")</f>
        <v>5.6701030927835072E-2</v>
      </c>
      <c r="P51" s="64">
        <f>IFERROR(F51/I51-1,"n/a")</f>
        <v>0.26543209876543217</v>
      </c>
      <c r="Q51" s="64">
        <f>IFERROR(F51/J51-1,"n/a")</f>
        <v>1.0499999999999998</v>
      </c>
      <c r="R51" s="64" t="str">
        <f>IFERROR(F51/K51-1,"n/a")</f>
        <v>n/a</v>
      </c>
      <c r="S51" s="64" t="str">
        <f>IFERROR(F51/L51-1,"n/a")</f>
        <v>n/a</v>
      </c>
      <c r="T51" s="60">
        <f>IFERROR(F51/M51-1,"n/a")</f>
        <v>1.2777777777777777</v>
      </c>
      <c r="U51" s="74">
        <f t="shared" ref="U51:U52" si="47">F51</f>
        <v>205</v>
      </c>
      <c r="V51" s="74">
        <f t="shared" ref="V51:V52" si="48">G51</f>
        <v>212</v>
      </c>
      <c r="W51" s="74">
        <f t="shared" ref="W51:W52" si="49">H51</f>
        <v>194</v>
      </c>
      <c r="X51" s="74">
        <f t="shared" ref="X51:X52" si="50">I51</f>
        <v>162</v>
      </c>
      <c r="Y51" s="74">
        <f t="shared" ref="Y51:Y52" si="51">J51</f>
        <v>100</v>
      </c>
      <c r="Z51" s="74">
        <f t="shared" ref="Z51:Z52" si="52">K51</f>
        <v>0</v>
      </c>
      <c r="AA51" s="74">
        <f t="shared" ref="AA51:AA52" si="53">L51</f>
        <v>0</v>
      </c>
      <c r="AB51" s="74">
        <f t="shared" ref="AB51:AB52" si="54">M51</f>
        <v>90</v>
      </c>
      <c r="AC51" s="147">
        <f t="shared" ref="AC51:AC52" si="55">IFERROR(U51/V51-1,"n/a")</f>
        <v>-3.301886792452835E-2</v>
      </c>
      <c r="AD51" s="147">
        <f>IFERROR(U51/W51-1,"n/a")</f>
        <v>5.6701030927835072E-2</v>
      </c>
      <c r="AE51" s="147">
        <f>IFERROR(U51/X51-1,"n/a")</f>
        <v>0.26543209876543217</v>
      </c>
      <c r="AF51" s="147">
        <f>IFERROR(U51/Y51-1,"n/a")</f>
        <v>1.0499999999999998</v>
      </c>
      <c r="AG51" s="147" t="str">
        <f>IFERROR(U51/Z51-1,"n/a")</f>
        <v>n/a</v>
      </c>
      <c r="AH51" s="147" t="str">
        <f>IFERROR(U51/AA51-1,"n/a")</f>
        <v>n/a</v>
      </c>
      <c r="AI51" s="158">
        <f>IFERROR(U51/AB51-1,"n/a")</f>
        <v>1.2777777777777777</v>
      </c>
      <c r="AJ51" s="154">
        <v>1791</v>
      </c>
      <c r="AK51" s="154">
        <v>1788</v>
      </c>
      <c r="AL51" s="89">
        <v>1471</v>
      </c>
      <c r="AM51" s="89">
        <v>1129</v>
      </c>
      <c r="AN51" s="89">
        <v>336</v>
      </c>
      <c r="AO51" s="84">
        <v>43</v>
      </c>
      <c r="AP51" s="78">
        <v>781</v>
      </c>
      <c r="AR51" s="122"/>
    </row>
    <row r="52" spans="1:44" s="123" customFormat="1" ht="11.25">
      <c r="A52" s="122"/>
      <c r="B52" s="122"/>
      <c r="C52" s="33"/>
      <c r="D52" s="26" t="s">
        <v>11</v>
      </c>
      <c r="E52" s="32"/>
      <c r="F52" s="74">
        <f t="shared" si="45"/>
        <v>368088</v>
      </c>
      <c r="G52" s="74">
        <f t="shared" si="45"/>
        <v>482739</v>
      </c>
      <c r="H52" s="74">
        <f t="shared" si="45"/>
        <v>433106</v>
      </c>
      <c r="I52" s="74">
        <f t="shared" si="45"/>
        <v>352703</v>
      </c>
      <c r="J52" s="74">
        <f t="shared" si="45"/>
        <v>115809</v>
      </c>
      <c r="K52" s="74">
        <f t="shared" si="45"/>
        <v>0</v>
      </c>
      <c r="L52" s="74">
        <f t="shared" si="45"/>
        <v>0</v>
      </c>
      <c r="M52" s="74">
        <f t="shared" si="45"/>
        <v>212740</v>
      </c>
      <c r="N52" s="64">
        <f t="shared" si="46"/>
        <v>-0.23750100986247225</v>
      </c>
      <c r="O52" s="64">
        <f>IFERROR(F52/H52-1,"n/a")</f>
        <v>-0.15012029387724946</v>
      </c>
      <c r="P52" s="64">
        <f>IFERROR(F52/I52-1,"n/a")</f>
        <v>4.362026974536648E-2</v>
      </c>
      <c r="Q52" s="64">
        <f>IFERROR(F52/J52-1,"n/a")</f>
        <v>2.1784058233816026</v>
      </c>
      <c r="R52" s="64" t="str">
        <f>IFERROR(F52/K52-1,"n/a")</f>
        <v>n/a</v>
      </c>
      <c r="S52" s="64" t="str">
        <f>IFERROR(F52/L52-1,"n/a")</f>
        <v>n/a</v>
      </c>
      <c r="T52" s="60">
        <f>IFERROR(F52/M52-1,"n/a")</f>
        <v>0.7302246874118643</v>
      </c>
      <c r="U52" s="74">
        <f t="shared" si="47"/>
        <v>368088</v>
      </c>
      <c r="V52" s="74">
        <f t="shared" si="48"/>
        <v>482739</v>
      </c>
      <c r="W52" s="74">
        <f t="shared" si="49"/>
        <v>433106</v>
      </c>
      <c r="X52" s="74">
        <f t="shared" si="50"/>
        <v>352703</v>
      </c>
      <c r="Y52" s="74">
        <f t="shared" si="51"/>
        <v>115809</v>
      </c>
      <c r="Z52" s="74">
        <f t="shared" si="52"/>
        <v>0</v>
      </c>
      <c r="AA52" s="74">
        <f t="shared" si="53"/>
        <v>0</v>
      </c>
      <c r="AB52" s="74">
        <f t="shared" si="54"/>
        <v>212740</v>
      </c>
      <c r="AC52" s="147">
        <f t="shared" si="55"/>
        <v>-0.23750100986247225</v>
      </c>
      <c r="AD52" s="147">
        <f>IFERROR(U52/W52-1,"n/a")</f>
        <v>-0.15012029387724946</v>
      </c>
      <c r="AE52" s="147">
        <f>IFERROR(U52/X52-1,"n/a")</f>
        <v>4.362026974536648E-2</v>
      </c>
      <c r="AF52" s="147">
        <f>IFERROR(U52/Y52-1,"n/a")</f>
        <v>2.1784058233816026</v>
      </c>
      <c r="AG52" s="147" t="str">
        <f>IFERROR(U52/Z52-1,"n/a")</f>
        <v>n/a</v>
      </c>
      <c r="AH52" s="147" t="str">
        <f>IFERROR(U52/AA52-1,"n/a")</f>
        <v>n/a</v>
      </c>
      <c r="AI52" s="158">
        <f>IFERROR(U52/AB52-1,"n/a")</f>
        <v>0.7302246874118643</v>
      </c>
      <c r="AJ52" s="154">
        <f>4670803+2651</f>
        <v>4673454</v>
      </c>
      <c r="AK52" s="154">
        <v>5247410</v>
      </c>
      <c r="AL52" s="82">
        <v>4517247</v>
      </c>
      <c r="AM52" s="82">
        <v>2932981</v>
      </c>
      <c r="AN52" s="82">
        <v>533563</v>
      </c>
      <c r="AO52" s="84">
        <v>140552</v>
      </c>
      <c r="AP52" s="78">
        <v>2441594</v>
      </c>
      <c r="AR52" s="122"/>
    </row>
    <row r="53" spans="1:44" s="123" customFormat="1" ht="11.25">
      <c r="C53" s="31" t="s">
        <v>111</v>
      </c>
      <c r="D53" s="26"/>
      <c r="E53" s="32"/>
      <c r="F53" s="72"/>
      <c r="G53" s="72"/>
      <c r="H53" s="72"/>
      <c r="I53" s="72"/>
      <c r="J53" s="72"/>
      <c r="K53" s="72"/>
      <c r="L53" s="72"/>
      <c r="M53" s="72"/>
      <c r="N53" s="64"/>
      <c r="O53" s="64"/>
      <c r="P53" s="64"/>
      <c r="Q53" s="64"/>
      <c r="R53" s="64"/>
      <c r="S53" s="64"/>
      <c r="T53" s="60"/>
      <c r="U53" s="72"/>
      <c r="V53" s="72"/>
      <c r="W53" s="72"/>
      <c r="X53" s="72"/>
      <c r="Y53" s="72"/>
      <c r="Z53" s="72"/>
      <c r="AA53" s="72"/>
      <c r="AB53" s="72"/>
      <c r="AC53" s="160"/>
      <c r="AD53" s="160"/>
      <c r="AE53" s="147"/>
      <c r="AF53" s="147"/>
      <c r="AG53" s="147"/>
      <c r="AH53" s="147"/>
      <c r="AI53" s="158"/>
      <c r="AJ53" s="155"/>
      <c r="AK53" s="155"/>
      <c r="AL53" s="90"/>
      <c r="AM53" s="90"/>
      <c r="AN53" s="90"/>
      <c r="AO53" s="44"/>
      <c r="AP53" s="79"/>
      <c r="AR53" s="122"/>
    </row>
    <row r="54" spans="1:44" s="123" customFormat="1" ht="11.25">
      <c r="C54" s="33"/>
      <c r="D54" s="26" t="s">
        <v>5</v>
      </c>
      <c r="E54" s="32"/>
      <c r="F54" s="74">
        <f t="shared" ref="F54:M55" si="56">F25</f>
        <v>4</v>
      </c>
      <c r="G54" s="74">
        <f t="shared" si="56"/>
        <v>1</v>
      </c>
      <c r="H54" s="74">
        <f t="shared" si="56"/>
        <v>1</v>
      </c>
      <c r="I54" s="74">
        <f t="shared" si="56"/>
        <v>1</v>
      </c>
      <c r="J54" s="74">
        <f t="shared" si="56"/>
        <v>1</v>
      </c>
      <c r="K54" s="74">
        <f t="shared" si="56"/>
        <v>0</v>
      </c>
      <c r="L54" s="74">
        <f t="shared" si="56"/>
        <v>0</v>
      </c>
      <c r="M54" s="74">
        <f t="shared" si="56"/>
        <v>1</v>
      </c>
      <c r="N54" s="64">
        <f t="shared" ref="N54:N57" si="57">IFERROR(F54/G54-1,"n/a")</f>
        <v>3</v>
      </c>
      <c r="O54" s="64">
        <f>IFERROR(F54/H54-1,"n/a")</f>
        <v>3</v>
      </c>
      <c r="P54" s="64">
        <f>IFERROR(F54/I54-1,"n/a")</f>
        <v>3</v>
      </c>
      <c r="Q54" s="64">
        <f>IFERROR(F54/J54-1,"n/a")</f>
        <v>3</v>
      </c>
      <c r="R54" s="64" t="str">
        <f>IFERROR(F54/K54-1,"n/a")</f>
        <v>n/a</v>
      </c>
      <c r="S54" s="64" t="str">
        <f>IFERROR(F54/L54-1,"n/a")</f>
        <v>n/a</v>
      </c>
      <c r="T54" s="60">
        <f>IFERROR(F54/M54-1,"n/a")</f>
        <v>3</v>
      </c>
      <c r="U54" s="74">
        <f t="shared" ref="U54:U55" si="58">F54</f>
        <v>4</v>
      </c>
      <c r="V54" s="74">
        <f t="shared" ref="V54:V55" si="59">G54</f>
        <v>1</v>
      </c>
      <c r="W54" s="74">
        <f t="shared" ref="W54:W55" si="60">H54</f>
        <v>1</v>
      </c>
      <c r="X54" s="74">
        <f t="shared" ref="X54:X55" si="61">I54</f>
        <v>1</v>
      </c>
      <c r="Y54" s="74">
        <f t="shared" ref="Y54:Y55" si="62">J54</f>
        <v>1</v>
      </c>
      <c r="Z54" s="74">
        <f t="shared" ref="Z54:Z55" si="63">K54</f>
        <v>0</v>
      </c>
      <c r="AA54" s="74">
        <f t="shared" ref="AA54:AA55" si="64">L54</f>
        <v>0</v>
      </c>
      <c r="AB54" s="74">
        <f t="shared" ref="AB54:AB55" si="65">M54</f>
        <v>1</v>
      </c>
      <c r="AC54" s="147">
        <f t="shared" ref="AC54:AD57" si="66">IFERROR(U54/V54-1,"n/a")</f>
        <v>3</v>
      </c>
      <c r="AD54" s="147">
        <f>IFERROR(U54/W54-1,"n/a")</f>
        <v>3</v>
      </c>
      <c r="AE54" s="147">
        <f>IFERROR(U54/X54-1,"n/a")</f>
        <v>3</v>
      </c>
      <c r="AF54" s="147">
        <f>IFERROR(U54/Y54-1,"n/a")</f>
        <v>3</v>
      </c>
      <c r="AG54" s="147" t="str">
        <f>IFERROR(U54/Z54-1,"n/a")</f>
        <v>n/a</v>
      </c>
      <c r="AH54" s="147" t="str">
        <f>IFERROR(U54/AA54-1,"n/a")</f>
        <v>n/a</v>
      </c>
      <c r="AI54" s="158">
        <f>IFERROR(U54/AB54-1,"n/a")</f>
        <v>3</v>
      </c>
      <c r="AJ54" s="154">
        <v>24</v>
      </c>
      <c r="AK54" s="154">
        <v>14</v>
      </c>
      <c r="AL54" s="89">
        <v>21</v>
      </c>
      <c r="AM54" s="89">
        <v>9</v>
      </c>
      <c r="AN54" s="68">
        <v>0</v>
      </c>
      <c r="AO54" s="68">
        <v>0</v>
      </c>
      <c r="AP54" s="78">
        <v>16</v>
      </c>
      <c r="AR54" s="122"/>
    </row>
    <row r="55" spans="1:44" s="123" customFormat="1" ht="11.25">
      <c r="C55" s="33"/>
      <c r="D55" s="26" t="s">
        <v>11</v>
      </c>
      <c r="E55" s="32"/>
      <c r="F55" s="74">
        <f t="shared" si="56"/>
        <v>11692</v>
      </c>
      <c r="G55" s="74">
        <f t="shared" si="56"/>
        <v>4387</v>
      </c>
      <c r="H55" s="74">
        <f t="shared" si="56"/>
        <v>4131</v>
      </c>
      <c r="I55" s="74">
        <f t="shared" si="56"/>
        <v>2258</v>
      </c>
      <c r="J55" s="74">
        <f t="shared" si="56"/>
        <v>925</v>
      </c>
      <c r="K55" s="74">
        <f t="shared" si="56"/>
        <v>0</v>
      </c>
      <c r="L55" s="74">
        <f t="shared" si="56"/>
        <v>0</v>
      </c>
      <c r="M55" s="74">
        <f t="shared" si="56"/>
        <v>1059</v>
      </c>
      <c r="N55" s="64">
        <f t="shared" si="57"/>
        <v>1.6651470253020286</v>
      </c>
      <c r="O55" s="64">
        <f>IFERROR(F55/H55-1,"n/a")</f>
        <v>1.8303074316146213</v>
      </c>
      <c r="P55" s="64">
        <f>IFERROR(F55/I55-1,"n/a")</f>
        <v>4.1780336581045177</v>
      </c>
      <c r="Q55" s="64">
        <f>IFERROR(F55/J55-1,"n/a")</f>
        <v>11.64</v>
      </c>
      <c r="R55" s="64" t="str">
        <f>IFERROR(F55/K55-1,"n/a")</f>
        <v>n/a</v>
      </c>
      <c r="S55" s="64" t="str">
        <f>IFERROR(F55/L55-1,"n/a")</f>
        <v>n/a</v>
      </c>
      <c r="T55" s="60">
        <f>IFERROR(F55/M55-1,"n/a")</f>
        <v>10.04060434372049</v>
      </c>
      <c r="U55" s="74">
        <f t="shared" si="58"/>
        <v>11692</v>
      </c>
      <c r="V55" s="74">
        <f t="shared" si="59"/>
        <v>4387</v>
      </c>
      <c r="W55" s="74">
        <f t="shared" si="60"/>
        <v>4131</v>
      </c>
      <c r="X55" s="74">
        <f t="shared" si="61"/>
        <v>2258</v>
      </c>
      <c r="Y55" s="74">
        <f t="shared" si="62"/>
        <v>925</v>
      </c>
      <c r="Z55" s="74">
        <f t="shared" si="63"/>
        <v>0</v>
      </c>
      <c r="AA55" s="74">
        <f t="shared" si="64"/>
        <v>0</v>
      </c>
      <c r="AB55" s="74">
        <f t="shared" si="65"/>
        <v>1059</v>
      </c>
      <c r="AC55" s="147">
        <f t="shared" si="66"/>
        <v>1.6651470253020286</v>
      </c>
      <c r="AD55" s="147">
        <f>IFERROR(U55/W55-1,"n/a")</f>
        <v>1.8303074316146213</v>
      </c>
      <c r="AE55" s="147">
        <f>IFERROR(U55/X55-1,"n/a")</f>
        <v>4.1780336581045177</v>
      </c>
      <c r="AF55" s="147">
        <f>IFERROR(U55/Y55-1,"n/a")</f>
        <v>11.64</v>
      </c>
      <c r="AG55" s="147" t="str">
        <f>IFERROR(U55/Z55-1,"n/a")</f>
        <v>n/a</v>
      </c>
      <c r="AH55" s="147" t="str">
        <f>IFERROR(U55/AA55-1,"n/a")</f>
        <v>n/a</v>
      </c>
      <c r="AI55" s="158">
        <f>IFERROR(U55/AB55-1,"n/a")</f>
        <v>10.04060434372049</v>
      </c>
      <c r="AJ55" s="154">
        <v>77245</v>
      </c>
      <c r="AK55" s="154">
        <v>47798</v>
      </c>
      <c r="AL55" s="82">
        <v>38626</v>
      </c>
      <c r="AM55" s="82">
        <v>15637</v>
      </c>
      <c r="AN55" s="68">
        <v>0</v>
      </c>
      <c r="AO55" s="68">
        <v>0</v>
      </c>
      <c r="AP55" s="78">
        <v>20248</v>
      </c>
      <c r="AR55" s="122"/>
    </row>
    <row r="56" spans="1:44" s="123" customFormat="1" ht="12" thickBot="1">
      <c r="C56" s="35" t="s">
        <v>158</v>
      </c>
      <c r="D56" s="36"/>
      <c r="E56" s="37"/>
      <c r="F56" s="75">
        <f t="shared" ref="F56:M57" si="67">F42+F45+F48+F51+F54</f>
        <v>568</v>
      </c>
      <c r="G56" s="75">
        <f t="shared" si="67"/>
        <v>566</v>
      </c>
      <c r="H56" s="75">
        <f t="shared" si="67"/>
        <v>489</v>
      </c>
      <c r="I56" s="75">
        <f t="shared" si="67"/>
        <v>385</v>
      </c>
      <c r="J56" s="75">
        <f t="shared" si="67"/>
        <v>328</v>
      </c>
      <c r="K56" s="75">
        <f t="shared" si="67"/>
        <v>7</v>
      </c>
      <c r="L56" s="75">
        <f t="shared" si="67"/>
        <v>42</v>
      </c>
      <c r="M56" s="75">
        <f t="shared" si="67"/>
        <v>292</v>
      </c>
      <c r="N56" s="66">
        <f t="shared" si="57"/>
        <v>3.5335689045936647E-3</v>
      </c>
      <c r="O56" s="66">
        <f>IFERROR(F56/H56-1,"n/a")</f>
        <v>0.16155419222903888</v>
      </c>
      <c r="P56" s="66">
        <f>IFERROR(F56/I56-1,"n/a")</f>
        <v>0.47532467532467537</v>
      </c>
      <c r="Q56" s="66">
        <f>IFERROR(F56/J56-1,"n/a")</f>
        <v>0.73170731707317072</v>
      </c>
      <c r="R56" s="66">
        <f>IFERROR(F56/K56-1,"n/a")</f>
        <v>80.142857142857139</v>
      </c>
      <c r="S56" s="66">
        <f>IFERROR(F56/L56-1,"n/a")</f>
        <v>12.523809523809524</v>
      </c>
      <c r="T56" s="66">
        <f>IFERROR(F56/M56-1,"n/a")</f>
        <v>0.9452054794520548</v>
      </c>
      <c r="U56" s="75">
        <f>U42+U45+U48+U51+U54</f>
        <v>568</v>
      </c>
      <c r="V56" s="75">
        <f>V42+V45+V48+V51+V54</f>
        <v>566</v>
      </c>
      <c r="W56" s="75">
        <f>W42+W45+W48+W51+W54</f>
        <v>489</v>
      </c>
      <c r="X56" s="75">
        <f>X42+X45+X48+X51+X54</f>
        <v>385</v>
      </c>
      <c r="Y56" s="75">
        <f t="shared" ref="X56:AB57" si="68">Y42+Y45+Y48+Y51+Y54</f>
        <v>328</v>
      </c>
      <c r="Z56" s="75">
        <f t="shared" si="68"/>
        <v>7</v>
      </c>
      <c r="AA56" s="75">
        <f t="shared" si="68"/>
        <v>42</v>
      </c>
      <c r="AB56" s="75">
        <f t="shared" si="68"/>
        <v>292</v>
      </c>
      <c r="AC56" s="66">
        <f t="shared" si="66"/>
        <v>3.5335689045936647E-3</v>
      </c>
      <c r="AD56" s="66">
        <f t="shared" si="66"/>
        <v>0.15746421267893651</v>
      </c>
      <c r="AE56" s="66">
        <f>IFERROR(V56/X56-1,"n/a")</f>
        <v>0.47012987012987018</v>
      </c>
      <c r="AF56" s="66">
        <f t="shared" ref="AF56:AF57" si="69">IFERROR(V56/Y56-1,"n/a")</f>
        <v>0.72560975609756095</v>
      </c>
      <c r="AG56" s="66">
        <f t="shared" ref="AG56:AG57" si="70">IFERROR(V56/Z56-1,"n/a")</f>
        <v>79.857142857142861</v>
      </c>
      <c r="AH56" s="66">
        <f t="shared" ref="AH56:AH57" si="71">IFERROR(V56/AA56-1,"n/a")</f>
        <v>12.476190476190476</v>
      </c>
      <c r="AI56" s="66">
        <f t="shared" ref="AI56:AI57" si="72">IFERROR(V56/AB56-1,"n/a")</f>
        <v>0.93835616438356162</v>
      </c>
      <c r="AJ56" s="46">
        <f t="shared" ref="AJ56" si="73">AJ42+AJ45+AJ48+AJ51+AJ54</f>
        <v>6796</v>
      </c>
      <c r="AK56" s="46">
        <f t="shared" ref="AK56:AO57" si="74">AK42+AK45+AK48+AK51+AK54</f>
        <v>6221</v>
      </c>
      <c r="AL56" s="46">
        <f t="shared" si="74"/>
        <v>4589</v>
      </c>
      <c r="AM56" s="46">
        <f t="shared" si="74"/>
        <v>3856</v>
      </c>
      <c r="AN56" s="46">
        <f t="shared" si="74"/>
        <v>1673</v>
      </c>
      <c r="AO56" s="46">
        <f t="shared" si="74"/>
        <v>669</v>
      </c>
      <c r="AP56" s="80">
        <f>AP42+AP45+AP48+AP51+AP54</f>
        <v>3241</v>
      </c>
      <c r="AR56" s="122"/>
    </row>
    <row r="57" spans="1:44" s="123" customFormat="1" ht="12.75" thickTop="1" thickBot="1">
      <c r="C57" s="38" t="s">
        <v>159</v>
      </c>
      <c r="D57" s="39"/>
      <c r="E57" s="40"/>
      <c r="F57" s="76">
        <f t="shared" si="67"/>
        <v>1406614</v>
      </c>
      <c r="G57" s="76">
        <f t="shared" si="67"/>
        <v>1480880</v>
      </c>
      <c r="H57" s="76">
        <f t="shared" si="67"/>
        <v>1302119.3999999999</v>
      </c>
      <c r="I57" s="76">
        <f t="shared" si="67"/>
        <v>978362</v>
      </c>
      <c r="J57" s="76">
        <f t="shared" si="67"/>
        <v>507465</v>
      </c>
      <c r="K57" s="76">
        <f t="shared" si="67"/>
        <v>6002</v>
      </c>
      <c r="L57" s="76">
        <f t="shared" si="67"/>
        <v>0</v>
      </c>
      <c r="M57" s="76">
        <f t="shared" si="67"/>
        <v>791238</v>
      </c>
      <c r="N57" s="67">
        <f t="shared" si="57"/>
        <v>-5.0149910863810709E-2</v>
      </c>
      <c r="O57" s="67">
        <f>IFERROR(F57/H57-1,"n/a")</f>
        <v>8.0249629949450174E-2</v>
      </c>
      <c r="P57" s="67">
        <f>IFERROR(F57/I57-1,"n/a")</f>
        <v>0.43772346023251107</v>
      </c>
      <c r="Q57" s="67">
        <f>IFERROR(F57/J57-1,"n/a")</f>
        <v>1.7718443636506951</v>
      </c>
      <c r="R57" s="67">
        <f>IFERROR(F57/K57-1,"n/a")</f>
        <v>233.35754748417193</v>
      </c>
      <c r="S57" s="67" t="str">
        <f>IFERROR(F57/L57-1,"n/a")</f>
        <v>n/a</v>
      </c>
      <c r="T57" s="67">
        <f>IFERROR(F57/M57-1,"n/a")</f>
        <v>0.77773817738784023</v>
      </c>
      <c r="U57" s="76">
        <f t="shared" ref="U57:W57" si="75">U43+U46+U49+U52+U55</f>
        <v>1406614</v>
      </c>
      <c r="V57" s="76">
        <f t="shared" si="75"/>
        <v>1480880</v>
      </c>
      <c r="W57" s="76">
        <f t="shared" si="75"/>
        <v>1302119.3999999999</v>
      </c>
      <c r="X57" s="76">
        <f t="shared" si="68"/>
        <v>978362</v>
      </c>
      <c r="Y57" s="76">
        <f t="shared" si="68"/>
        <v>507465</v>
      </c>
      <c r="Z57" s="76">
        <f t="shared" si="68"/>
        <v>6002</v>
      </c>
      <c r="AA57" s="76">
        <f t="shared" si="68"/>
        <v>0</v>
      </c>
      <c r="AB57" s="76">
        <f t="shared" si="68"/>
        <v>791238</v>
      </c>
      <c r="AC57" s="67">
        <f t="shared" si="66"/>
        <v>-5.0149910863810709E-2</v>
      </c>
      <c r="AD57" s="67">
        <f t="shared" si="66"/>
        <v>0.13728433813366125</v>
      </c>
      <c r="AE57" s="67">
        <f>IFERROR(V57/X57-1,"n/a")</f>
        <v>0.5136319685351638</v>
      </c>
      <c r="AF57" s="67">
        <f t="shared" si="69"/>
        <v>1.9181914023627247</v>
      </c>
      <c r="AG57" s="67">
        <f t="shared" si="70"/>
        <v>245.73108963678774</v>
      </c>
      <c r="AH57" s="67" t="str">
        <f t="shared" si="71"/>
        <v>n/a</v>
      </c>
      <c r="AI57" s="67">
        <f t="shared" si="72"/>
        <v>0.87159868459300482</v>
      </c>
      <c r="AJ57" s="47">
        <f t="shared" ref="AJ57" si="76">AJ43+AJ46+AJ49+AJ52+AJ55</f>
        <v>18819922</v>
      </c>
      <c r="AK57" s="47">
        <f t="shared" si="74"/>
        <v>17650949.399999999</v>
      </c>
      <c r="AL57" s="47">
        <f t="shared" si="74"/>
        <v>13408675</v>
      </c>
      <c r="AM57" s="47">
        <f t="shared" si="74"/>
        <v>9237323</v>
      </c>
      <c r="AN57" s="47">
        <f t="shared" si="74"/>
        <v>2410085</v>
      </c>
      <c r="AO57" s="47">
        <f t="shared" si="74"/>
        <v>1324261</v>
      </c>
      <c r="AP57" s="81">
        <f>AP43+AP46+AP49+AP52+AP55</f>
        <v>8638971</v>
      </c>
      <c r="AR57" s="122"/>
    </row>
    <row r="58" spans="1:44" s="123" customFormat="1" ht="12" thickTop="1">
      <c r="C58" s="31" t="s">
        <v>162</v>
      </c>
      <c r="D58" s="26"/>
      <c r="E58" s="32"/>
      <c r="F58" s="72"/>
      <c r="G58" s="72"/>
      <c r="H58" s="72"/>
      <c r="I58" s="72"/>
      <c r="J58" s="72"/>
      <c r="K58" s="72"/>
      <c r="L58" s="72"/>
      <c r="M58" s="72"/>
      <c r="N58" s="64"/>
      <c r="O58" s="64"/>
      <c r="P58" s="64"/>
      <c r="Q58" s="64"/>
      <c r="R58" s="64"/>
      <c r="S58" s="64"/>
      <c r="T58" s="60"/>
      <c r="V58" s="128"/>
      <c r="W58" s="128"/>
      <c r="X58" s="128"/>
      <c r="Y58" s="128"/>
      <c r="Z58" s="128"/>
      <c r="AA58" s="128"/>
      <c r="AB58" s="128"/>
      <c r="AC58" s="128"/>
      <c r="AR58" s="122"/>
    </row>
    <row r="59" spans="1:44" s="123" customFormat="1" ht="11.25">
      <c r="C59" s="33"/>
      <c r="D59" s="26" t="s">
        <v>5</v>
      </c>
      <c r="E59" s="32"/>
      <c r="F59" s="74">
        <f t="shared" ref="F59:M60" si="77">F30</f>
        <v>134</v>
      </c>
      <c r="G59" s="74">
        <f t="shared" si="77"/>
        <v>0</v>
      </c>
      <c r="H59" s="74">
        <f t="shared" si="77"/>
        <v>0</v>
      </c>
      <c r="I59" s="74">
        <f t="shared" si="77"/>
        <v>0</v>
      </c>
      <c r="J59" s="74">
        <f t="shared" si="77"/>
        <v>0</v>
      </c>
      <c r="K59" s="74">
        <f t="shared" si="77"/>
        <v>0</v>
      </c>
      <c r="L59" s="74">
        <f t="shared" si="77"/>
        <v>0</v>
      </c>
      <c r="M59" s="74">
        <f t="shared" si="77"/>
        <v>0</v>
      </c>
      <c r="N59" s="64"/>
      <c r="O59" s="64"/>
      <c r="P59" s="64"/>
      <c r="Q59" s="64"/>
      <c r="R59" s="64"/>
      <c r="S59" s="64"/>
      <c r="T59" s="60"/>
      <c r="U59" s="74">
        <f>F59</f>
        <v>134</v>
      </c>
      <c r="V59" s="74">
        <f t="shared" ref="V59:AB60" si="78">G59</f>
        <v>0</v>
      </c>
      <c r="W59" s="74">
        <f t="shared" si="78"/>
        <v>0</v>
      </c>
      <c r="X59" s="74">
        <f t="shared" si="78"/>
        <v>0</v>
      </c>
      <c r="Y59" s="74">
        <f t="shared" si="78"/>
        <v>0</v>
      </c>
      <c r="Z59" s="74">
        <f t="shared" si="78"/>
        <v>0</v>
      </c>
      <c r="AA59" s="74">
        <f t="shared" si="78"/>
        <v>0</v>
      </c>
      <c r="AB59" s="74">
        <f t="shared" si="78"/>
        <v>0</v>
      </c>
      <c r="AC59" s="128"/>
      <c r="AD59" s="131"/>
      <c r="AJ59" s="131"/>
      <c r="AR59" s="122"/>
    </row>
    <row r="60" spans="1:44" ht="15.75" thickBot="1">
      <c r="C60" s="33"/>
      <c r="D60" s="26" t="s">
        <v>11</v>
      </c>
      <c r="E60" s="32"/>
      <c r="F60" s="74">
        <f t="shared" si="77"/>
        <v>402006</v>
      </c>
      <c r="G60" s="74">
        <f t="shared" si="77"/>
        <v>0</v>
      </c>
      <c r="H60" s="74">
        <f t="shared" si="77"/>
        <v>0</v>
      </c>
      <c r="I60" s="74">
        <f t="shared" si="77"/>
        <v>0</v>
      </c>
      <c r="J60" s="74">
        <f t="shared" si="77"/>
        <v>0</v>
      </c>
      <c r="K60" s="74">
        <f t="shared" si="77"/>
        <v>0</v>
      </c>
      <c r="L60" s="74">
        <f t="shared" si="77"/>
        <v>0</v>
      </c>
      <c r="M60" s="74">
        <f t="shared" si="77"/>
        <v>0</v>
      </c>
      <c r="N60" s="64"/>
      <c r="O60" s="64"/>
      <c r="P60" s="64"/>
      <c r="Q60" s="64"/>
      <c r="R60" s="64"/>
      <c r="S60" s="64"/>
      <c r="T60" s="60"/>
      <c r="U60" s="74">
        <f>F60</f>
        <v>402006</v>
      </c>
      <c r="V60" s="74">
        <f t="shared" si="78"/>
        <v>0</v>
      </c>
      <c r="W60" s="74">
        <f t="shared" si="78"/>
        <v>0</v>
      </c>
      <c r="X60" s="74">
        <f t="shared" si="78"/>
        <v>0</v>
      </c>
      <c r="Y60" s="74">
        <f t="shared" si="78"/>
        <v>0</v>
      </c>
      <c r="Z60" s="74">
        <f t="shared" si="78"/>
        <v>0</v>
      </c>
      <c r="AA60" s="74">
        <f t="shared" si="78"/>
        <v>0</v>
      </c>
      <c r="AB60" s="74">
        <f t="shared" si="78"/>
        <v>0</v>
      </c>
      <c r="AC60" s="111"/>
      <c r="AD60" s="111"/>
      <c r="AR60" s="9"/>
    </row>
    <row r="61" spans="1:44" ht="16.5" thickTop="1" thickBot="1">
      <c r="C61" s="35" t="s">
        <v>160</v>
      </c>
      <c r="D61" s="36"/>
      <c r="E61" s="37"/>
      <c r="F61" s="75">
        <f>F56+F59</f>
        <v>702</v>
      </c>
      <c r="G61" s="75"/>
      <c r="H61" s="75"/>
      <c r="I61" s="75"/>
      <c r="J61" s="75"/>
      <c r="K61" s="75"/>
      <c r="L61" s="75"/>
      <c r="M61" s="75"/>
      <c r="N61" s="67"/>
      <c r="O61" s="67"/>
      <c r="P61" s="67"/>
      <c r="Q61" s="67"/>
      <c r="R61" s="67"/>
      <c r="S61" s="67"/>
      <c r="T61" s="67"/>
      <c r="U61" s="75">
        <f>U56+U59</f>
        <v>702</v>
      </c>
      <c r="V61" s="75"/>
      <c r="W61" s="75"/>
      <c r="X61" s="75"/>
      <c r="Y61" s="75"/>
      <c r="Z61" s="75"/>
      <c r="AA61" s="75"/>
      <c r="AB61" s="75"/>
      <c r="AC61" s="153"/>
      <c r="AD61" s="111"/>
      <c r="AR61" s="9"/>
    </row>
    <row r="62" spans="1:44" ht="16.5" thickTop="1" thickBot="1">
      <c r="C62" s="38" t="s">
        <v>161</v>
      </c>
      <c r="D62" s="39"/>
      <c r="E62" s="40"/>
      <c r="F62" s="75">
        <f>F57+F60</f>
        <v>1808620</v>
      </c>
      <c r="G62" s="75"/>
      <c r="H62" s="75"/>
      <c r="I62" s="75"/>
      <c r="J62" s="75"/>
      <c r="K62" s="75"/>
      <c r="L62" s="75"/>
      <c r="M62" s="75"/>
      <c r="N62" s="67"/>
      <c r="O62" s="67"/>
      <c r="P62" s="67"/>
      <c r="Q62" s="67"/>
      <c r="R62" s="67"/>
      <c r="S62" s="67"/>
      <c r="T62" s="67"/>
      <c r="U62" s="75">
        <f>U57+U60</f>
        <v>1808620</v>
      </c>
      <c r="V62" s="75"/>
      <c r="W62" s="75"/>
      <c r="X62" s="75"/>
      <c r="Y62" s="75"/>
      <c r="Z62" s="75"/>
      <c r="AA62" s="75"/>
      <c r="AB62" s="75"/>
      <c r="AC62" s="153"/>
      <c r="AD62" s="111"/>
      <c r="AR62" s="9"/>
    </row>
    <row r="63" spans="1:44" ht="15.75" thickTop="1">
      <c r="W63" s="153"/>
      <c r="X63" s="150"/>
      <c r="Y63" s="150"/>
      <c r="Z63" s="150"/>
      <c r="AA63" s="150"/>
      <c r="AB63" s="150"/>
      <c r="AC63" s="150"/>
      <c r="AR63" s="9"/>
    </row>
    <row r="64" spans="1:44" ht="15">
      <c r="W64" s="153"/>
      <c r="X64" s="150"/>
      <c r="Y64" s="150"/>
      <c r="Z64" s="150"/>
      <c r="AA64" s="150"/>
      <c r="AB64" s="150"/>
      <c r="AC64" s="150"/>
      <c r="AR64" s="9"/>
    </row>
    <row r="65" spans="44:44" ht="15">
      <c r="AR65" s="9"/>
    </row>
    <row r="66" spans="44:44" ht="15" customHeight="1"/>
    <row r="67" spans="44:44" ht="15" customHeight="1"/>
    <row r="68" spans="44:44" ht="15" customHeight="1"/>
    <row r="69" spans="44:44" ht="15" customHeight="1"/>
    <row r="70" spans="44:44" ht="15" customHeight="1"/>
    <row r="71" spans="44:44" ht="15" customHeight="1"/>
  </sheetData>
  <mergeCells count="9">
    <mergeCell ref="AJ39:AP39"/>
    <mergeCell ref="F9:T9"/>
    <mergeCell ref="U9:AI9"/>
    <mergeCell ref="AJ9:AP9"/>
    <mergeCell ref="G10:T10"/>
    <mergeCell ref="U10:AI10"/>
    <mergeCell ref="F38:T38"/>
    <mergeCell ref="U38:AI38"/>
    <mergeCell ref="AJ38:AP38"/>
  </mergeCells>
  <pageMargins left="0.7" right="0.7" top="0.75" bottom="0.75" header="0.3" footer="0.3"/>
  <pageSetup paperSize="9" orientation="portrait" horizontalDpi="0" verticalDpi="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pageSetUpPr fitToPage="1"/>
  </sheetPr>
  <dimension ref="A1:AG48"/>
  <sheetViews>
    <sheetView showGridLines="0" topLeftCell="A17" zoomScaleNormal="100" workbookViewId="0"/>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140625" bestFit="1" customWidth="1"/>
    <col min="12" max="12" width="12.140625" bestFit="1" customWidth="1"/>
    <col min="13" max="13" width="12.5703125" bestFit="1" customWidth="1"/>
    <col min="14" max="15" width="9.140625" customWidth="1"/>
    <col min="16" max="16" width="11.85546875" bestFit="1" customWidth="1"/>
    <col min="17" max="17" width="12.42578125" customWidth="1"/>
    <col min="18" max="18" width="3.140625" style="9" customWidth="1"/>
    <col min="19" max="33" width="0" style="9" hidden="1" customWidth="1"/>
    <col min="34" max="16384" width="9.140625" hidden="1"/>
  </cols>
  <sheetData>
    <row r="1" spans="1:33">
      <c r="A1" s="9"/>
      <c r="B1" s="9"/>
      <c r="C1" s="9"/>
      <c r="D1" s="9"/>
      <c r="E1" s="9"/>
      <c r="F1" s="9"/>
      <c r="G1" s="9"/>
      <c r="H1" s="9"/>
      <c r="I1" s="9"/>
      <c r="J1" s="9"/>
      <c r="K1" s="9"/>
      <c r="L1" s="9"/>
      <c r="M1" s="9"/>
      <c r="N1" s="9"/>
      <c r="O1" s="9"/>
      <c r="P1" s="9"/>
      <c r="Q1" s="9"/>
    </row>
    <row r="2" spans="1:33" ht="19.5" thickBot="1">
      <c r="A2" s="9"/>
      <c r="B2" s="8" t="s">
        <v>6</v>
      </c>
      <c r="C2" s="23"/>
      <c r="D2" s="23"/>
      <c r="E2" s="23"/>
      <c r="F2" s="23"/>
      <c r="G2" s="23"/>
      <c r="H2" s="23"/>
      <c r="I2" s="23"/>
      <c r="J2" s="23"/>
      <c r="K2" s="23"/>
      <c r="L2" s="23"/>
      <c r="M2" s="23"/>
      <c r="N2" s="23"/>
      <c r="O2" s="23"/>
      <c r="P2" s="23"/>
      <c r="Q2" s="23"/>
    </row>
    <row r="3" spans="1:33">
      <c r="A3" s="9"/>
      <c r="B3" s="10"/>
      <c r="C3" s="24"/>
      <c r="D3" s="24"/>
      <c r="E3" s="24"/>
      <c r="F3" s="24"/>
      <c r="G3" s="24"/>
      <c r="H3" s="24"/>
      <c r="I3" s="24"/>
      <c r="J3" s="24"/>
      <c r="K3" s="24"/>
      <c r="L3" s="24"/>
      <c r="M3" s="24"/>
      <c r="N3" s="24"/>
      <c r="O3" s="24"/>
      <c r="P3" s="24"/>
      <c r="Q3" s="25"/>
    </row>
    <row r="4" spans="1:33" ht="15.75">
      <c r="A4" s="9"/>
      <c r="B4" s="11" t="s">
        <v>7</v>
      </c>
      <c r="C4" s="26"/>
      <c r="D4" s="24"/>
      <c r="E4" s="58" t="s">
        <v>26</v>
      </c>
      <c r="F4" s="24"/>
      <c r="G4" s="24"/>
      <c r="H4" s="24"/>
      <c r="I4" s="24"/>
      <c r="J4" s="24"/>
      <c r="K4" s="24"/>
      <c r="L4" s="24"/>
      <c r="M4" s="24"/>
      <c r="N4" s="24"/>
      <c r="O4" s="24"/>
      <c r="P4" s="24"/>
      <c r="Q4" s="24"/>
    </row>
    <row r="5" spans="1:33">
      <c r="A5" s="9"/>
      <c r="B5" s="10"/>
      <c r="C5" s="24"/>
      <c r="D5" s="24"/>
      <c r="E5" s="24"/>
      <c r="F5" s="24"/>
      <c r="G5" s="24"/>
      <c r="H5" s="24"/>
      <c r="I5" s="24"/>
      <c r="J5" s="24"/>
      <c r="K5" s="24"/>
      <c r="L5" s="24"/>
      <c r="M5" s="24"/>
      <c r="N5" s="24"/>
      <c r="O5" s="24"/>
      <c r="P5" s="24"/>
      <c r="Q5" s="24"/>
    </row>
    <row r="6" spans="1:33" s="20" customFormat="1">
      <c r="A6" s="9"/>
      <c r="B6"/>
      <c r="C6" s="27" t="s">
        <v>7</v>
      </c>
      <c r="D6" s="28"/>
      <c r="E6" s="28"/>
      <c r="F6" s="169" t="s">
        <v>27</v>
      </c>
      <c r="G6" s="181"/>
      <c r="H6" s="181"/>
      <c r="I6" s="182"/>
      <c r="J6" s="183"/>
      <c r="K6" s="169" t="s">
        <v>28</v>
      </c>
      <c r="L6" s="181"/>
      <c r="M6" s="181"/>
      <c r="N6" s="182"/>
      <c r="O6" s="183"/>
      <c r="P6" s="170" t="s">
        <v>9</v>
      </c>
      <c r="Q6" s="181"/>
      <c r="R6" s="9"/>
      <c r="S6" s="19"/>
      <c r="T6" s="19"/>
      <c r="U6" s="19"/>
      <c r="V6" s="19"/>
      <c r="W6" s="19"/>
      <c r="X6" s="19"/>
      <c r="Y6" s="19"/>
      <c r="Z6" s="19"/>
      <c r="AA6" s="19"/>
      <c r="AB6" s="19"/>
      <c r="AC6" s="19"/>
      <c r="AD6" s="19"/>
      <c r="AE6" s="19"/>
      <c r="AF6" s="19"/>
      <c r="AG6" s="19"/>
    </row>
    <row r="7" spans="1:33" ht="15.75">
      <c r="A7" s="9"/>
      <c r="B7" s="18"/>
      <c r="C7" s="29"/>
      <c r="D7" s="30"/>
      <c r="E7" s="30"/>
      <c r="F7" s="29"/>
      <c r="G7" s="30"/>
      <c r="H7" s="30"/>
      <c r="I7" s="30"/>
      <c r="J7" s="56"/>
      <c r="K7" s="29"/>
      <c r="L7" s="30"/>
      <c r="M7" s="30"/>
      <c r="N7" s="30"/>
      <c r="O7" s="56"/>
      <c r="P7" s="30"/>
      <c r="Q7" s="30"/>
    </row>
    <row r="8" spans="1:33" s="54" customFormat="1" ht="22.5">
      <c r="A8" s="48"/>
      <c r="B8" s="49"/>
      <c r="C8" s="59" t="s">
        <v>29</v>
      </c>
      <c r="D8" s="50"/>
      <c r="E8" s="51"/>
      <c r="F8" s="55">
        <v>2021</v>
      </c>
      <c r="G8" s="52">
        <v>2020</v>
      </c>
      <c r="H8" s="52">
        <v>2019</v>
      </c>
      <c r="I8" s="53" t="s">
        <v>19</v>
      </c>
      <c r="J8" s="57" t="s">
        <v>18</v>
      </c>
      <c r="K8" s="55">
        <v>2021</v>
      </c>
      <c r="L8" s="52">
        <v>2020</v>
      </c>
      <c r="M8" s="52">
        <v>2019</v>
      </c>
      <c r="N8" s="53" t="s">
        <v>19</v>
      </c>
      <c r="O8" s="57" t="s">
        <v>18</v>
      </c>
      <c r="P8" s="52">
        <v>2020</v>
      </c>
      <c r="Q8" s="52">
        <v>2019</v>
      </c>
      <c r="R8" s="48"/>
      <c r="S8" s="48"/>
      <c r="T8" s="48"/>
      <c r="U8" s="48"/>
      <c r="V8" s="48"/>
      <c r="W8" s="48"/>
      <c r="X8" s="48"/>
      <c r="Y8" s="48"/>
      <c r="Z8" s="48"/>
      <c r="AA8" s="48"/>
      <c r="AB8" s="48"/>
      <c r="AC8" s="48"/>
      <c r="AD8" s="48"/>
      <c r="AE8" s="48"/>
      <c r="AF8" s="48"/>
      <c r="AG8" s="48"/>
    </row>
    <row r="9" spans="1:33">
      <c r="A9" s="9"/>
      <c r="B9" s="12"/>
      <c r="C9" s="31" t="s">
        <v>14</v>
      </c>
      <c r="D9" s="26"/>
      <c r="E9" s="32"/>
      <c r="F9" s="26"/>
      <c r="G9" s="26"/>
      <c r="H9" s="26"/>
      <c r="I9" s="26"/>
      <c r="J9" s="32"/>
      <c r="K9" s="26"/>
      <c r="L9" s="26"/>
      <c r="M9" s="26"/>
      <c r="N9" s="26"/>
      <c r="O9" s="32"/>
      <c r="P9" s="26"/>
      <c r="Q9" s="26"/>
    </row>
    <row r="10" spans="1:33">
      <c r="A10" s="9"/>
      <c r="B10" s="12"/>
      <c r="C10" s="33"/>
      <c r="D10" s="26" t="s">
        <v>5</v>
      </c>
      <c r="E10" s="32"/>
      <c r="F10" s="68">
        <v>21</v>
      </c>
      <c r="G10" s="68">
        <v>0</v>
      </c>
      <c r="H10" s="69">
        <v>51</v>
      </c>
      <c r="I10" s="64" t="str">
        <f>IFERROR(F10/G10-1,"n/a")</f>
        <v>n/a</v>
      </c>
      <c r="J10" s="60">
        <f>F10/H10-1</f>
        <v>-0.58823529411764708</v>
      </c>
      <c r="K10" s="68">
        <v>41</v>
      </c>
      <c r="L10" s="68">
        <v>145</v>
      </c>
      <c r="M10" s="68">
        <v>317</v>
      </c>
      <c r="N10" s="64">
        <f>K10/L10-1</f>
        <v>-0.71724137931034482</v>
      </c>
      <c r="O10" s="60">
        <f>K10/M10-1</f>
        <v>-0.87066246056782337</v>
      </c>
      <c r="P10" s="70">
        <v>145</v>
      </c>
      <c r="Q10" s="70">
        <v>386</v>
      </c>
    </row>
    <row r="11" spans="1:33">
      <c r="A11" s="9"/>
      <c r="B11" s="12"/>
      <c r="C11" s="33"/>
      <c r="D11" s="26" t="s">
        <v>11</v>
      </c>
      <c r="E11" s="32"/>
      <c r="F11" s="68">
        <v>23175</v>
      </c>
      <c r="G11" s="68">
        <v>0</v>
      </c>
      <c r="H11" s="68">
        <v>89764</v>
      </c>
      <c r="I11" s="64" t="str">
        <f t="shared" ref="I11:I26" si="0">IFERROR(F11/G11-1,"n/a")</f>
        <v>n/a</v>
      </c>
      <c r="J11" s="60">
        <f>F11/H11-1</f>
        <v>-0.74182300253999378</v>
      </c>
      <c r="K11" s="68">
        <v>28096</v>
      </c>
      <c r="L11" s="68">
        <v>258885</v>
      </c>
      <c r="M11" s="68">
        <v>613093</v>
      </c>
      <c r="N11" s="64">
        <f>K11/L11-1</f>
        <v>-0.89147304787840165</v>
      </c>
      <c r="O11" s="60">
        <f>K11/M11-1</f>
        <v>-0.95417334727357839</v>
      </c>
      <c r="P11" s="70">
        <v>258885</v>
      </c>
      <c r="Q11" s="70">
        <v>733296</v>
      </c>
    </row>
    <row r="12" spans="1:33">
      <c r="A12" s="9"/>
      <c r="B12" s="12"/>
      <c r="C12" s="31" t="s">
        <v>74</v>
      </c>
      <c r="D12" s="26"/>
      <c r="E12" s="32"/>
      <c r="F12" s="45"/>
      <c r="G12" s="45"/>
      <c r="H12" s="45"/>
      <c r="I12" s="64"/>
      <c r="J12" s="61"/>
      <c r="K12" s="43"/>
      <c r="L12" s="43"/>
      <c r="M12" s="43"/>
      <c r="N12" s="65"/>
      <c r="O12" s="61"/>
      <c r="P12" s="44"/>
      <c r="Q12" s="44"/>
    </row>
    <row r="13" spans="1:33">
      <c r="A13" s="9"/>
      <c r="B13" s="12"/>
      <c r="C13" s="33"/>
      <c r="D13" s="26" t="s">
        <v>5</v>
      </c>
      <c r="E13" s="32"/>
      <c r="F13" s="68">
        <v>67</v>
      </c>
      <c r="G13" s="68">
        <v>0</v>
      </c>
      <c r="H13" s="68">
        <v>95</v>
      </c>
      <c r="I13" s="64" t="str">
        <f t="shared" si="0"/>
        <v>n/a</v>
      </c>
      <c r="J13" s="60">
        <f>F13/H13-1</f>
        <v>-0.29473684210526319</v>
      </c>
      <c r="K13" s="68">
        <v>258</v>
      </c>
      <c r="L13" s="68">
        <v>43</v>
      </c>
      <c r="M13" s="68">
        <v>807</v>
      </c>
      <c r="N13" s="64">
        <f>K13/L13-1</f>
        <v>5</v>
      </c>
      <c r="O13" s="60">
        <f>K13/M13-1</f>
        <v>-0.68029739776951681</v>
      </c>
      <c r="P13" s="70">
        <v>43</v>
      </c>
      <c r="Q13" s="70">
        <v>827</v>
      </c>
    </row>
    <row r="14" spans="1:33">
      <c r="A14" s="9"/>
      <c r="B14" s="12"/>
      <c r="C14" s="33"/>
      <c r="D14" s="26" t="s">
        <v>11</v>
      </c>
      <c r="E14" s="32"/>
      <c r="F14" s="68">
        <v>83507</v>
      </c>
      <c r="G14" s="68">
        <v>0</v>
      </c>
      <c r="H14" s="68">
        <v>263747</v>
      </c>
      <c r="I14" s="64" t="str">
        <f t="shared" si="0"/>
        <v>n/a</v>
      </c>
      <c r="J14" s="60">
        <f>F14/H14-1</f>
        <v>-0.68338218065039602</v>
      </c>
      <c r="K14" s="68">
        <v>425895</v>
      </c>
      <c r="L14" s="68">
        <v>140552</v>
      </c>
      <c r="M14" s="68">
        <v>2493999</v>
      </c>
      <c r="N14" s="64">
        <f>K14/L14-1</f>
        <v>2.0301596562126472</v>
      </c>
      <c r="O14" s="60">
        <f>K14/M14-1</f>
        <v>-0.82923208870572918</v>
      </c>
      <c r="P14" s="70">
        <v>140552</v>
      </c>
      <c r="Q14" s="70">
        <v>2552942</v>
      </c>
    </row>
    <row r="15" spans="1:33">
      <c r="A15" s="9"/>
      <c r="B15" s="12"/>
      <c r="C15" s="31" t="s">
        <v>15</v>
      </c>
      <c r="D15" s="26"/>
      <c r="E15" s="32"/>
      <c r="F15" s="43"/>
      <c r="G15" s="43"/>
      <c r="H15" s="43"/>
      <c r="I15" s="64"/>
      <c r="J15" s="60"/>
      <c r="K15" s="43"/>
      <c r="L15" s="43"/>
      <c r="M15" s="43"/>
      <c r="N15" s="64"/>
      <c r="O15" s="60"/>
      <c r="P15" s="44"/>
      <c r="Q15" s="44"/>
    </row>
    <row r="16" spans="1:33">
      <c r="A16" s="9"/>
      <c r="B16" s="12"/>
      <c r="C16" s="33"/>
      <c r="D16" s="26" t="s">
        <v>5</v>
      </c>
      <c r="E16" s="32"/>
      <c r="F16" s="68">
        <v>9</v>
      </c>
      <c r="G16" s="68">
        <v>0</v>
      </c>
      <c r="H16" s="68">
        <v>10</v>
      </c>
      <c r="I16" s="64" t="str">
        <f t="shared" si="0"/>
        <v>n/a</v>
      </c>
      <c r="J16" s="60">
        <f>F16/H16-1</f>
        <v>-9.9999999999999978E-2</v>
      </c>
      <c r="K16" s="68">
        <v>20</v>
      </c>
      <c r="L16" s="68">
        <v>4</v>
      </c>
      <c r="M16" s="68">
        <v>182</v>
      </c>
      <c r="N16" s="64">
        <f>K16/L16-1</f>
        <v>4</v>
      </c>
      <c r="O16" s="60">
        <f>K16/M16-1</f>
        <v>-0.89010989010989006</v>
      </c>
      <c r="P16" s="70">
        <v>4</v>
      </c>
      <c r="Q16" s="70">
        <v>191</v>
      </c>
    </row>
    <row r="17" spans="1:33">
      <c r="A17" s="9"/>
      <c r="B17" s="12"/>
      <c r="C17" s="33"/>
      <c r="D17" s="26" t="s">
        <v>11</v>
      </c>
      <c r="E17" s="32"/>
      <c r="F17" s="68">
        <v>4212</v>
      </c>
      <c r="G17" s="68">
        <v>0</v>
      </c>
      <c r="H17" s="68">
        <v>13055</v>
      </c>
      <c r="I17" s="64" t="str">
        <f t="shared" si="0"/>
        <v>n/a</v>
      </c>
      <c r="J17" s="60">
        <f>F17/H17-1</f>
        <v>-0.67736499425507468</v>
      </c>
      <c r="K17" s="68">
        <v>7747</v>
      </c>
      <c r="L17" s="68">
        <v>1753</v>
      </c>
      <c r="M17" s="68">
        <v>244608</v>
      </c>
      <c r="N17" s="64">
        <f>K17/L17-1</f>
        <v>3.4192812321734172</v>
      </c>
      <c r="O17" s="60">
        <f>K17/M17-1</f>
        <v>-0.96832891810570376</v>
      </c>
      <c r="P17" s="70">
        <v>1753</v>
      </c>
      <c r="Q17" s="70">
        <v>254421</v>
      </c>
    </row>
    <row r="18" spans="1:33">
      <c r="A18" s="9"/>
      <c r="B18" s="12"/>
      <c r="C18" s="31" t="s">
        <v>10</v>
      </c>
      <c r="D18" s="26"/>
      <c r="E18" s="34"/>
      <c r="F18" s="43"/>
      <c r="G18" s="43"/>
      <c r="H18" s="43"/>
      <c r="I18" s="64"/>
      <c r="J18" s="60"/>
      <c r="K18" s="43"/>
      <c r="L18" s="43"/>
      <c r="M18" s="43"/>
      <c r="N18" s="64"/>
      <c r="O18" s="60"/>
      <c r="P18" s="44"/>
      <c r="Q18" s="44"/>
    </row>
    <row r="19" spans="1:33">
      <c r="A19" s="9"/>
      <c r="B19" s="12"/>
      <c r="C19" s="33"/>
      <c r="D19" s="26" t="s">
        <v>5</v>
      </c>
      <c r="E19" s="34"/>
      <c r="F19" s="68">
        <v>94</v>
      </c>
      <c r="G19" s="68">
        <v>0</v>
      </c>
      <c r="H19" s="68">
        <v>121</v>
      </c>
      <c r="I19" s="64" t="str">
        <f t="shared" si="0"/>
        <v>n/a</v>
      </c>
      <c r="J19" s="60">
        <f>F19/H19-1</f>
        <v>-0.22314049586776863</v>
      </c>
      <c r="K19" s="68">
        <v>309</v>
      </c>
      <c r="L19" s="68">
        <v>406</v>
      </c>
      <c r="M19" s="68">
        <v>1074</v>
      </c>
      <c r="N19" s="64">
        <f>K19/L19-1</f>
        <v>-0.23891625615763545</v>
      </c>
      <c r="O19" s="60">
        <f>K19/M19-1</f>
        <v>-0.71229050279329609</v>
      </c>
      <c r="P19" s="70">
        <v>406</v>
      </c>
      <c r="Q19" s="70">
        <v>1205</v>
      </c>
    </row>
    <row r="20" spans="1:33">
      <c r="A20" s="9"/>
      <c r="B20" s="12"/>
      <c r="C20" s="33"/>
      <c r="D20" s="26" t="s">
        <v>11</v>
      </c>
      <c r="E20" s="32"/>
      <c r="F20" s="68">
        <v>162789</v>
      </c>
      <c r="G20" s="68">
        <v>0</v>
      </c>
      <c r="H20" s="68">
        <v>331420</v>
      </c>
      <c r="I20" s="64" t="str">
        <f t="shared" si="0"/>
        <v>n/a</v>
      </c>
      <c r="J20" s="60">
        <f>F20/H20-1</f>
        <v>-0.50881359000663817</v>
      </c>
      <c r="K20" s="68">
        <v>486999</v>
      </c>
      <c r="L20" s="68">
        <v>833999</v>
      </c>
      <c r="M20" s="68">
        <v>3472775</v>
      </c>
      <c r="N20" s="64">
        <f>K20/L20-1</f>
        <v>-0.41606764516504213</v>
      </c>
      <c r="O20" s="60">
        <f>K20/M20-1</f>
        <v>-0.85976661315518565</v>
      </c>
      <c r="P20" s="70">
        <v>833999</v>
      </c>
      <c r="Q20" s="70">
        <v>3859183</v>
      </c>
    </row>
    <row r="21" spans="1:33">
      <c r="A21" s="9"/>
      <c r="B21" s="12"/>
      <c r="C21" s="31" t="s">
        <v>16</v>
      </c>
      <c r="D21" s="26"/>
      <c r="E21" s="32"/>
      <c r="F21" s="43"/>
      <c r="G21" s="43"/>
      <c r="H21" s="43"/>
      <c r="I21" s="64"/>
      <c r="J21" s="60"/>
      <c r="K21" s="43"/>
      <c r="L21" s="43"/>
      <c r="M21" s="43"/>
      <c r="N21" s="64"/>
      <c r="O21" s="60"/>
      <c r="P21" s="44"/>
      <c r="Q21" s="44"/>
    </row>
    <row r="22" spans="1:33">
      <c r="A22" s="9"/>
      <c r="B22" s="12"/>
      <c r="C22" s="33"/>
      <c r="D22" s="26" t="s">
        <v>5</v>
      </c>
      <c r="E22" s="32"/>
      <c r="F22" s="68">
        <v>13</v>
      </c>
      <c r="G22" s="68">
        <v>5</v>
      </c>
      <c r="H22" s="68">
        <v>20</v>
      </c>
      <c r="I22" s="64">
        <f t="shared" si="0"/>
        <v>1.6</v>
      </c>
      <c r="J22" s="60">
        <f>F22/H22-1</f>
        <v>-0.35</v>
      </c>
      <c r="K22" s="68">
        <v>100</v>
      </c>
      <c r="L22" s="68">
        <v>29</v>
      </c>
      <c r="M22" s="68">
        <v>328</v>
      </c>
      <c r="N22" s="64">
        <f>K22/L22-1</f>
        <v>2.4482758620689653</v>
      </c>
      <c r="O22" s="60">
        <f>K22/M22-1</f>
        <v>-0.69512195121951215</v>
      </c>
      <c r="P22" s="70">
        <v>32</v>
      </c>
      <c r="Q22" s="70">
        <v>372</v>
      </c>
    </row>
    <row r="23" spans="1:33">
      <c r="A23" s="9"/>
      <c r="B23" s="12"/>
      <c r="C23" s="33"/>
      <c r="D23" s="26" t="s">
        <v>11</v>
      </c>
      <c r="E23" s="32"/>
      <c r="F23" s="68">
        <v>16166</v>
      </c>
      <c r="G23" s="68">
        <v>2473</v>
      </c>
      <c r="H23" s="68">
        <v>30720</v>
      </c>
      <c r="I23" s="64">
        <f t="shared" si="0"/>
        <v>5.5369995956328344</v>
      </c>
      <c r="J23" s="60">
        <f>F23/H23-1</f>
        <v>-0.47376302083333333</v>
      </c>
      <c r="K23" s="68">
        <v>133384</v>
      </c>
      <c r="L23" s="68">
        <v>58135</v>
      </c>
      <c r="M23" s="68">
        <v>849404</v>
      </c>
      <c r="N23" s="64">
        <f>K23/L23-1</f>
        <v>1.2943837619334309</v>
      </c>
      <c r="O23" s="60">
        <f>K23/M23-1</f>
        <v>-0.84296753959246717</v>
      </c>
      <c r="P23" s="70">
        <v>59180</v>
      </c>
      <c r="Q23" s="70">
        <v>902015</v>
      </c>
    </row>
    <row r="24" spans="1:33">
      <c r="A24" s="9"/>
      <c r="B24" s="12"/>
      <c r="C24" s="31" t="s">
        <v>17</v>
      </c>
      <c r="D24" s="26"/>
      <c r="E24" s="32"/>
      <c r="F24" s="43"/>
      <c r="G24" s="43"/>
      <c r="H24" s="43"/>
      <c r="I24" s="64"/>
      <c r="J24" s="60"/>
      <c r="K24" s="43"/>
      <c r="L24" s="43"/>
      <c r="M24" s="43"/>
      <c r="N24" s="64"/>
      <c r="O24" s="60"/>
      <c r="P24" s="44"/>
      <c r="Q24" s="44"/>
    </row>
    <row r="25" spans="1:33">
      <c r="B25" s="12"/>
      <c r="C25" s="33"/>
      <c r="D25" s="26" t="s">
        <v>5</v>
      </c>
      <c r="E25" s="32"/>
      <c r="F25" s="68">
        <v>20</v>
      </c>
      <c r="G25" s="68">
        <v>8</v>
      </c>
      <c r="H25" s="68">
        <v>17</v>
      </c>
      <c r="I25" s="64">
        <f t="shared" si="0"/>
        <v>1.5</v>
      </c>
      <c r="J25" s="60">
        <f>F25/H25-1</f>
        <v>0.17647058823529416</v>
      </c>
      <c r="K25" s="68">
        <v>127</v>
      </c>
      <c r="L25" s="68">
        <v>32</v>
      </c>
      <c r="M25" s="68">
        <v>343</v>
      </c>
      <c r="N25" s="64">
        <f>K25/L25-1</f>
        <v>2.96875</v>
      </c>
      <c r="O25" s="60">
        <f>K25/M25-1</f>
        <v>-0.629737609329446</v>
      </c>
      <c r="P25" s="70">
        <v>37</v>
      </c>
      <c r="Q25" s="70">
        <v>363</v>
      </c>
    </row>
    <row r="26" spans="1:33">
      <c r="A26" s="9"/>
      <c r="B26" s="12"/>
      <c r="C26" s="33"/>
      <c r="D26" s="26" t="s">
        <v>11</v>
      </c>
      <c r="E26" s="32"/>
      <c r="F26" s="68">
        <v>14810</v>
      </c>
      <c r="G26" s="68">
        <v>2381</v>
      </c>
      <c r="H26" s="68">
        <v>16811</v>
      </c>
      <c r="I26" s="64">
        <f t="shared" si="0"/>
        <v>5.2200755984880303</v>
      </c>
      <c r="J26" s="60">
        <f>F26/H26-1</f>
        <v>-0.11902920706680153</v>
      </c>
      <c r="K26" s="68">
        <v>165083</v>
      </c>
      <c r="L26" s="68">
        <v>27999</v>
      </c>
      <c r="M26" s="68">
        <v>842817</v>
      </c>
      <c r="N26" s="64">
        <f>K26/L26-1</f>
        <v>4.8960320011428982</v>
      </c>
      <c r="O26" s="60">
        <f>K26/M26-1</f>
        <v>-0.80412948481105628</v>
      </c>
      <c r="P26" s="70">
        <v>29062</v>
      </c>
      <c r="Q26" s="70">
        <v>867164</v>
      </c>
    </row>
    <row r="27" spans="1:33" ht="15.75" thickBot="1">
      <c r="A27" s="9"/>
      <c r="B27" s="12"/>
      <c r="C27" s="35" t="s">
        <v>12</v>
      </c>
      <c r="D27" s="36"/>
      <c r="E27" s="37"/>
      <c r="F27" s="46">
        <f t="shared" ref="F27:H28" si="1">F10+F13+F16+F19+F22+F25</f>
        <v>224</v>
      </c>
      <c r="G27" s="46">
        <f t="shared" si="1"/>
        <v>13</v>
      </c>
      <c r="H27" s="46">
        <f t="shared" si="1"/>
        <v>314</v>
      </c>
      <c r="I27" s="66">
        <f>F27/G27-1</f>
        <v>16.23076923076923</v>
      </c>
      <c r="J27" s="62">
        <f>F27/H27-1</f>
        <v>-0.2866242038216561</v>
      </c>
      <c r="K27" s="46">
        <f t="shared" ref="K27:M28" si="2">K10+K13+K16+K19+K22+K25</f>
        <v>855</v>
      </c>
      <c r="L27" s="46">
        <f t="shared" si="2"/>
        <v>659</v>
      </c>
      <c r="M27" s="46">
        <f t="shared" si="2"/>
        <v>3051</v>
      </c>
      <c r="N27" s="66">
        <f>K27/L27-1</f>
        <v>0.29742033383915012</v>
      </c>
      <c r="O27" s="62">
        <f>K27/M27-1</f>
        <v>-0.71976401179940996</v>
      </c>
      <c r="P27" s="46">
        <f>P10+P13+P16+P19+P22+P25</f>
        <v>667</v>
      </c>
      <c r="Q27" s="46">
        <f>Q10+Q13+Q16+Q19+Q22+Q25</f>
        <v>3344</v>
      </c>
    </row>
    <row r="28" spans="1:33" s="22" customFormat="1" ht="16.5" thickTop="1" thickBot="1">
      <c r="A28" s="9"/>
      <c r="B28" s="12"/>
      <c r="C28" s="38" t="s">
        <v>13</v>
      </c>
      <c r="D28" s="39"/>
      <c r="E28" s="40"/>
      <c r="F28" s="47">
        <f t="shared" si="1"/>
        <v>304659</v>
      </c>
      <c r="G28" s="47">
        <f t="shared" si="1"/>
        <v>4854</v>
      </c>
      <c r="H28" s="47">
        <f t="shared" si="1"/>
        <v>745517</v>
      </c>
      <c r="I28" s="67">
        <f>F28/G28-1</f>
        <v>61.764524103831889</v>
      </c>
      <c r="J28" s="63">
        <f>F28/H28-1</f>
        <v>-0.59134533484816576</v>
      </c>
      <c r="K28" s="47">
        <f t="shared" si="2"/>
        <v>1247204</v>
      </c>
      <c r="L28" s="47">
        <f t="shared" si="2"/>
        <v>1321323</v>
      </c>
      <c r="M28" s="47">
        <f t="shared" si="2"/>
        <v>8516696</v>
      </c>
      <c r="N28" s="67">
        <f>K28/L28-1</f>
        <v>-5.6094535552624114E-2</v>
      </c>
      <c r="O28" s="63">
        <f>K28/M28-1</f>
        <v>-0.85355776465427435</v>
      </c>
      <c r="P28" s="47">
        <f>P11+P14+P17+P20+P23+P26</f>
        <v>1323431</v>
      </c>
      <c r="Q28" s="47">
        <f>Q11+Q14+Q17+Q20+Q23+Q26</f>
        <v>9169021</v>
      </c>
      <c r="R28" s="9"/>
      <c r="S28" s="21"/>
      <c r="T28" s="21"/>
      <c r="U28" s="21"/>
      <c r="V28" s="21"/>
      <c r="W28" s="21"/>
      <c r="X28" s="21"/>
      <c r="Y28" s="21"/>
      <c r="Z28" s="21"/>
      <c r="AA28" s="21"/>
      <c r="AB28" s="21"/>
      <c r="AC28" s="21"/>
      <c r="AD28" s="21"/>
      <c r="AE28" s="21"/>
      <c r="AF28" s="21"/>
      <c r="AG28" s="21"/>
    </row>
    <row r="29" spans="1:33" ht="15.75" thickTop="1">
      <c r="A29" s="9"/>
      <c r="B29" s="9"/>
      <c r="C29" s="9"/>
      <c r="D29" s="9"/>
      <c r="E29" s="9"/>
      <c r="F29" s="41"/>
      <c r="G29" s="41"/>
      <c r="H29" s="41"/>
      <c r="I29" s="9"/>
      <c r="J29" s="9"/>
      <c r="K29" s="9"/>
      <c r="L29" s="9"/>
      <c r="M29" s="9"/>
      <c r="N29" s="9"/>
      <c r="O29" s="9"/>
      <c r="P29" s="9"/>
      <c r="Q29" s="9"/>
    </row>
    <row r="30" spans="1:33" hidden="1">
      <c r="A30" s="9"/>
      <c r="B30" s="9"/>
      <c r="C30" s="9"/>
      <c r="D30" s="9"/>
      <c r="E30" s="9"/>
      <c r="F30" s="41"/>
      <c r="G30" s="41"/>
      <c r="H30" s="41"/>
      <c r="I30" s="9"/>
      <c r="J30" s="9"/>
      <c r="K30" s="9"/>
      <c r="L30" s="9"/>
      <c r="M30" s="9"/>
      <c r="N30" s="9"/>
      <c r="O30" s="9"/>
      <c r="P30" s="9"/>
      <c r="Q30" s="9"/>
    </row>
    <row r="31" spans="1:33" hidden="1">
      <c r="A31" s="9"/>
      <c r="B31" s="9"/>
      <c r="C31" s="9"/>
      <c r="D31" s="9"/>
      <c r="E31" s="9"/>
      <c r="F31" s="41"/>
      <c r="G31" s="41"/>
      <c r="H31" s="41"/>
      <c r="I31" s="9"/>
      <c r="J31" s="9"/>
      <c r="K31" s="9"/>
      <c r="L31" s="9"/>
      <c r="M31" s="9"/>
      <c r="N31" s="9"/>
      <c r="O31" s="9"/>
      <c r="P31" s="9"/>
      <c r="Q31" s="9"/>
    </row>
    <row r="32" spans="1:33" hidden="1">
      <c r="A32" s="9"/>
      <c r="B32" s="9"/>
      <c r="C32" s="9"/>
      <c r="D32" s="9"/>
      <c r="E32" s="9"/>
      <c r="F32" s="41"/>
      <c r="G32" s="41"/>
      <c r="H32" s="41"/>
      <c r="I32" s="9"/>
      <c r="J32" s="9"/>
      <c r="K32" s="9"/>
      <c r="L32" s="9"/>
      <c r="M32" s="9"/>
      <c r="N32" s="9"/>
      <c r="O32" s="9"/>
      <c r="P32" s="9"/>
      <c r="Q32" s="9"/>
    </row>
    <row r="33" spans="1:17" hidden="1">
      <c r="A33" s="9"/>
      <c r="B33" s="9"/>
      <c r="C33" s="9"/>
      <c r="D33" s="9"/>
      <c r="E33" s="9"/>
      <c r="F33" s="41"/>
      <c r="G33" s="41"/>
      <c r="H33" s="41"/>
      <c r="I33" s="9"/>
      <c r="J33" s="9"/>
      <c r="K33" s="9"/>
      <c r="L33" s="9"/>
      <c r="M33" s="9"/>
      <c r="N33" s="9"/>
      <c r="O33" s="9"/>
      <c r="P33" s="9"/>
      <c r="Q33" s="9"/>
    </row>
    <row r="34" spans="1:17" hidden="1">
      <c r="A34" s="9"/>
      <c r="B34" s="9"/>
      <c r="C34" s="9"/>
      <c r="D34" s="9"/>
      <c r="E34" s="9"/>
      <c r="F34" s="41"/>
      <c r="G34" s="41"/>
      <c r="H34" s="41"/>
      <c r="I34" s="9"/>
      <c r="J34" s="9"/>
      <c r="K34" s="9"/>
      <c r="L34" s="9"/>
      <c r="M34" s="9"/>
      <c r="N34" s="9"/>
      <c r="O34" s="9"/>
      <c r="P34" s="9"/>
      <c r="Q34" s="9"/>
    </row>
    <row r="35" spans="1:17" hidden="1">
      <c r="A35" s="9"/>
      <c r="B35" s="9"/>
      <c r="C35" s="9"/>
      <c r="D35" s="9"/>
      <c r="E35" s="9"/>
      <c r="F35" s="41"/>
      <c r="G35" s="41"/>
      <c r="H35" s="41"/>
      <c r="I35" s="9"/>
      <c r="J35" s="9"/>
      <c r="K35" s="9"/>
      <c r="L35" s="9"/>
      <c r="M35" s="9"/>
      <c r="N35" s="9"/>
      <c r="O35" s="9"/>
      <c r="P35" s="9"/>
      <c r="Q35" s="9"/>
    </row>
    <row r="36" spans="1:17" hidden="1">
      <c r="A36" s="9"/>
      <c r="B36" s="9"/>
      <c r="C36" s="9"/>
      <c r="D36" s="9"/>
      <c r="E36" s="9"/>
      <c r="F36" s="41"/>
      <c r="G36" s="41"/>
      <c r="H36" s="41"/>
      <c r="I36" s="9"/>
      <c r="J36" s="9"/>
      <c r="K36" s="9"/>
      <c r="L36" s="9"/>
      <c r="M36" s="9"/>
      <c r="N36" s="9"/>
      <c r="O36" s="9"/>
      <c r="P36" s="9"/>
      <c r="Q36" s="9"/>
    </row>
    <row r="37" spans="1:17" hidden="1">
      <c r="A37" s="9"/>
      <c r="B37" s="9"/>
      <c r="C37" s="9"/>
      <c r="D37" s="9"/>
      <c r="E37" s="9"/>
      <c r="F37" s="41"/>
      <c r="G37" s="41"/>
      <c r="H37" s="41"/>
      <c r="I37" s="9"/>
      <c r="J37" s="9"/>
      <c r="K37" s="9"/>
      <c r="L37" s="9"/>
      <c r="M37" s="9"/>
      <c r="N37" s="9"/>
      <c r="O37" s="9"/>
      <c r="P37" s="9"/>
      <c r="Q37" s="9"/>
    </row>
    <row r="38" spans="1:17" hidden="1">
      <c r="A38" s="9"/>
      <c r="B38" s="9"/>
      <c r="C38" s="9"/>
      <c r="D38" s="9"/>
      <c r="E38" s="9"/>
      <c r="F38" s="41"/>
      <c r="G38" s="41"/>
      <c r="H38" s="41"/>
      <c r="I38" s="9"/>
      <c r="J38" s="9"/>
      <c r="K38" s="9"/>
      <c r="L38" s="9"/>
      <c r="M38" s="9"/>
      <c r="N38" s="9"/>
      <c r="O38" s="9"/>
      <c r="P38" s="9"/>
      <c r="Q38" s="9"/>
    </row>
    <row r="39" spans="1:17" hidden="1">
      <c r="A39" s="9"/>
      <c r="B39" s="9"/>
      <c r="C39" s="9"/>
      <c r="D39" s="9"/>
      <c r="E39" s="9"/>
      <c r="F39" s="41"/>
      <c r="G39" s="41"/>
      <c r="H39" s="41"/>
      <c r="I39" s="9"/>
      <c r="J39" s="9"/>
      <c r="K39" s="9"/>
      <c r="L39" s="9"/>
      <c r="M39" s="9"/>
      <c r="N39" s="9"/>
      <c r="O39" s="9"/>
      <c r="P39" s="9"/>
      <c r="Q39" s="9"/>
    </row>
    <row r="40" spans="1:17" hidden="1">
      <c r="A40" s="9"/>
      <c r="B40" s="9"/>
      <c r="C40" s="9"/>
      <c r="D40" s="9"/>
      <c r="E40" s="9"/>
      <c r="F40" s="41"/>
      <c r="G40" s="41"/>
      <c r="H40" s="41"/>
      <c r="I40" s="9"/>
      <c r="J40" s="9"/>
      <c r="K40" s="9"/>
      <c r="L40" s="9"/>
      <c r="M40" s="9"/>
      <c r="N40" s="9"/>
      <c r="O40" s="9"/>
      <c r="P40" s="9"/>
      <c r="Q40" s="9"/>
    </row>
    <row r="41" spans="1:17" hidden="1">
      <c r="A41" s="9"/>
      <c r="B41" s="9"/>
      <c r="C41" s="9"/>
      <c r="D41" s="9"/>
      <c r="E41" s="9"/>
      <c r="F41" s="41"/>
      <c r="G41" s="41"/>
      <c r="H41" s="41"/>
      <c r="I41" s="9"/>
      <c r="J41" s="9"/>
      <c r="K41" s="9"/>
      <c r="L41" s="9"/>
      <c r="M41" s="9"/>
      <c r="N41" s="9"/>
      <c r="O41" s="9"/>
      <c r="P41" s="9"/>
      <c r="Q41" s="9"/>
    </row>
    <row r="42" spans="1:17" hidden="1">
      <c r="A42" s="9"/>
      <c r="B42" s="9"/>
      <c r="C42" s="9"/>
      <c r="D42" s="9"/>
      <c r="E42" s="9"/>
      <c r="F42" s="41"/>
      <c r="G42" s="41"/>
      <c r="H42" s="41"/>
      <c r="I42" s="9"/>
      <c r="J42" s="9"/>
      <c r="K42" s="9"/>
      <c r="L42" s="9"/>
      <c r="M42" s="9"/>
      <c r="N42" s="9"/>
      <c r="O42" s="9"/>
      <c r="P42" s="9"/>
      <c r="Q42" s="9"/>
    </row>
    <row r="43" spans="1:17" hidden="1">
      <c r="A43" s="9"/>
      <c r="B43" s="9"/>
      <c r="C43" s="9"/>
      <c r="D43" s="9"/>
      <c r="E43" s="9"/>
      <c r="F43" s="41"/>
      <c r="G43" s="41"/>
      <c r="H43" s="41"/>
      <c r="I43" s="9"/>
      <c r="J43" s="9"/>
      <c r="K43" s="9"/>
      <c r="L43" s="9"/>
      <c r="M43" s="9"/>
      <c r="N43" s="9"/>
      <c r="O43" s="9"/>
      <c r="P43" s="9"/>
      <c r="Q43" s="9"/>
    </row>
    <row r="44" spans="1:17" hidden="1">
      <c r="A44" s="9"/>
      <c r="B44" s="9"/>
      <c r="C44" s="9"/>
      <c r="D44" s="9"/>
      <c r="E44" s="9"/>
      <c r="F44" s="41"/>
      <c r="G44" s="41"/>
      <c r="H44" s="41"/>
      <c r="I44" s="9"/>
      <c r="J44" s="9"/>
      <c r="K44" s="9"/>
      <c r="L44" s="9"/>
      <c r="M44" s="9"/>
      <c r="N44" s="9"/>
      <c r="O44" s="9"/>
      <c r="P44" s="9"/>
      <c r="Q44" s="9"/>
    </row>
    <row r="45" spans="1:17" hidden="1">
      <c r="A45" s="9"/>
      <c r="B45" s="9"/>
      <c r="C45" s="9"/>
      <c r="D45" s="9"/>
      <c r="E45" s="9"/>
      <c r="F45" s="41"/>
      <c r="G45" s="41"/>
      <c r="H45" s="41"/>
      <c r="I45" s="9"/>
      <c r="J45" s="9"/>
      <c r="K45" s="9"/>
      <c r="L45" s="9"/>
      <c r="M45" s="9"/>
      <c r="N45" s="9"/>
      <c r="O45" s="9"/>
      <c r="P45" s="9"/>
      <c r="Q45" s="9"/>
    </row>
    <row r="46" spans="1:17" hidden="1">
      <c r="A46" s="9"/>
      <c r="B46" s="9"/>
      <c r="C46" s="9"/>
      <c r="D46" s="9"/>
      <c r="E46" s="9"/>
      <c r="F46" s="41"/>
      <c r="G46" s="41"/>
      <c r="H46" s="41"/>
      <c r="I46" s="9"/>
      <c r="J46" s="9"/>
      <c r="K46" s="9"/>
      <c r="L46" s="9"/>
      <c r="M46" s="9"/>
      <c r="N46" s="9"/>
      <c r="O46" s="9"/>
      <c r="P46" s="9"/>
      <c r="Q46" s="9"/>
    </row>
    <row r="47" spans="1:17" hidden="1">
      <c r="A47" s="9"/>
      <c r="B47" s="9"/>
      <c r="C47" s="9"/>
      <c r="D47" s="9"/>
      <c r="E47" s="9"/>
      <c r="F47" s="41"/>
      <c r="G47" s="41"/>
      <c r="H47" s="41"/>
      <c r="I47" s="9"/>
      <c r="J47" s="9"/>
      <c r="K47" s="9"/>
      <c r="L47" s="9"/>
      <c r="M47" s="9"/>
      <c r="N47" s="9"/>
      <c r="O47" s="9"/>
      <c r="P47" s="9"/>
      <c r="Q47" s="9"/>
    </row>
    <row r="48" spans="1:17" hidden="1">
      <c r="A48" s="9"/>
      <c r="B48" s="9"/>
      <c r="C48" s="9"/>
      <c r="D48" s="9"/>
      <c r="E48" s="9"/>
      <c r="F48" s="9"/>
      <c r="G48" s="9"/>
      <c r="H48" s="9"/>
      <c r="I48" s="9"/>
      <c r="J48" s="9"/>
      <c r="K48" s="9"/>
      <c r="L48" s="9"/>
      <c r="M48" s="9"/>
      <c r="N48" s="9"/>
      <c r="O48" s="9"/>
      <c r="P48" s="9"/>
      <c r="Q48" s="9"/>
    </row>
  </sheetData>
  <customSheetViews>
    <customSheetView guid="{5F6D01E3-9E6F-4D7F-980F-63899AF95899}" scale="79" showGridLines="0" fitToPage="1" hiddenRows="1" hiddenColumns="1">
      <selection activeCell="P28" sqref="P28"/>
      <pageMargins left="0.7" right="0.7" top="0.75" bottom="0.75" header="0.3" footer="0.3"/>
      <pageSetup paperSize="9" scale="85" orientation="landscape" horizontalDpi="4294967293" verticalDpi="4294967293" r:id="rId1"/>
    </customSheetView>
  </customSheetViews>
  <mergeCells count="3">
    <mergeCell ref="F6:J6"/>
    <mergeCell ref="K6:O6"/>
    <mergeCell ref="P6:Q6"/>
  </mergeCells>
  <pageMargins left="0.7" right="0.7" top="0.75" bottom="0.75" header="0.3" footer="0.3"/>
  <pageSetup paperSize="9" scale="85" orientation="landscape" horizontalDpi="4294967293" verticalDpi="4294967293" r:id="rId2"/>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fitToPage="1"/>
  </sheetPr>
  <dimension ref="A1:AG48"/>
  <sheetViews>
    <sheetView showGridLines="0" zoomScaleNormal="100" workbookViewId="0"/>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140625" style="9" customWidth="1"/>
    <col min="19" max="33" width="0" style="9" hidden="1" customWidth="1"/>
    <col min="34" max="16384" width="9.140625" hidden="1"/>
  </cols>
  <sheetData>
    <row r="1" spans="1:33">
      <c r="A1" s="9"/>
      <c r="B1" s="9"/>
      <c r="C1" s="9"/>
      <c r="D1" s="9"/>
      <c r="E1" s="9"/>
      <c r="F1" s="9"/>
      <c r="G1" s="9"/>
      <c r="H1" s="9"/>
      <c r="I1" s="9"/>
      <c r="J1" s="9"/>
      <c r="K1" s="9"/>
      <c r="L1" s="9"/>
      <c r="M1" s="9"/>
      <c r="N1" s="9"/>
      <c r="O1" s="9"/>
      <c r="P1" s="9"/>
      <c r="Q1" s="9"/>
    </row>
    <row r="2" spans="1:33" ht="19.5" thickBot="1">
      <c r="A2" s="9"/>
      <c r="B2" s="8" t="s">
        <v>6</v>
      </c>
      <c r="C2" s="23"/>
      <c r="D2" s="23"/>
      <c r="E2" s="23"/>
      <c r="F2" s="23"/>
      <c r="G2" s="23"/>
      <c r="H2" s="23"/>
      <c r="I2" s="23"/>
      <c r="J2" s="23"/>
      <c r="K2" s="23"/>
      <c r="L2" s="23"/>
      <c r="M2" s="23"/>
      <c r="N2" s="23"/>
      <c r="O2" s="23"/>
      <c r="P2" s="23"/>
      <c r="Q2" s="23"/>
    </row>
    <row r="3" spans="1:33">
      <c r="A3" s="9"/>
      <c r="B3" s="10"/>
      <c r="C3" s="24"/>
      <c r="D3" s="24"/>
      <c r="E3" s="24"/>
      <c r="F3" s="24"/>
      <c r="G3" s="24"/>
      <c r="H3" s="24"/>
      <c r="I3" s="24"/>
      <c r="J3" s="24"/>
      <c r="K3" s="24"/>
      <c r="L3" s="24"/>
      <c r="M3" s="24"/>
      <c r="N3" s="24"/>
      <c r="O3" s="24"/>
      <c r="P3" s="24"/>
      <c r="Q3" s="25"/>
    </row>
    <row r="4" spans="1:33" ht="15.75">
      <c r="A4" s="9"/>
      <c r="B4" s="11" t="s">
        <v>7</v>
      </c>
      <c r="C4" s="26"/>
      <c r="D4" s="24"/>
      <c r="E4" s="58" t="s">
        <v>25</v>
      </c>
      <c r="F4" s="24"/>
      <c r="G4" s="24"/>
      <c r="H4" s="24"/>
      <c r="I4" s="24"/>
      <c r="J4" s="24"/>
      <c r="K4" s="24"/>
      <c r="L4" s="24"/>
      <c r="M4" s="24"/>
      <c r="N4" s="24"/>
      <c r="O4" s="24"/>
      <c r="P4" s="24"/>
      <c r="Q4" s="24"/>
    </row>
    <row r="5" spans="1:33">
      <c r="A5" s="9"/>
      <c r="B5" s="10"/>
      <c r="C5" s="24"/>
      <c r="D5" s="24"/>
      <c r="E5" s="24"/>
      <c r="F5" s="24"/>
      <c r="G5" s="24"/>
      <c r="H5" s="24"/>
      <c r="I5" s="24"/>
      <c r="J5" s="24"/>
      <c r="K5" s="24"/>
      <c r="L5" s="24"/>
      <c r="M5" s="24"/>
      <c r="N5" s="24"/>
      <c r="O5" s="24"/>
      <c r="P5" s="24"/>
      <c r="Q5" s="24"/>
    </row>
    <row r="6" spans="1:33" s="20" customFormat="1">
      <c r="A6" s="9"/>
      <c r="B6"/>
      <c r="C6" s="27" t="s">
        <v>7</v>
      </c>
      <c r="D6" s="28"/>
      <c r="E6" s="28"/>
      <c r="F6" s="169" t="s">
        <v>24</v>
      </c>
      <c r="G6" s="181"/>
      <c r="H6" s="181"/>
      <c r="I6" s="182"/>
      <c r="J6" s="183"/>
      <c r="K6" s="169" t="s">
        <v>8</v>
      </c>
      <c r="L6" s="181"/>
      <c r="M6" s="181"/>
      <c r="N6" s="182"/>
      <c r="O6" s="183"/>
      <c r="P6" s="170" t="s">
        <v>9</v>
      </c>
      <c r="Q6" s="181"/>
      <c r="R6" s="9"/>
      <c r="S6" s="19"/>
      <c r="T6" s="19"/>
      <c r="U6" s="19"/>
      <c r="V6" s="19"/>
      <c r="W6" s="19"/>
      <c r="X6" s="19"/>
      <c r="Y6" s="19"/>
      <c r="Z6" s="19"/>
      <c r="AA6" s="19"/>
      <c r="AB6" s="19"/>
      <c r="AC6" s="19"/>
      <c r="AD6" s="19"/>
      <c r="AE6" s="19"/>
      <c r="AF6" s="19"/>
      <c r="AG6" s="19"/>
    </row>
    <row r="7" spans="1:33" ht="15.75">
      <c r="A7" s="9"/>
      <c r="B7" s="18"/>
      <c r="C7" s="29"/>
      <c r="D7" s="30"/>
      <c r="E7" s="30"/>
      <c r="F7" s="29"/>
      <c r="G7" s="30"/>
      <c r="H7" s="30"/>
      <c r="I7" s="30"/>
      <c r="J7" s="56"/>
      <c r="K7" s="29"/>
      <c r="L7" s="30"/>
      <c r="M7" s="30"/>
      <c r="N7" s="30"/>
      <c r="O7" s="56"/>
      <c r="P7" s="30"/>
      <c r="Q7" s="30"/>
    </row>
    <row r="8" spans="1:33" s="54" customFormat="1" ht="22.5">
      <c r="A8" s="48"/>
      <c r="B8" s="49"/>
      <c r="C8" s="59" t="s">
        <v>29</v>
      </c>
      <c r="D8" s="50"/>
      <c r="E8" s="51"/>
      <c r="F8" s="55">
        <v>2021</v>
      </c>
      <c r="G8" s="52">
        <v>2020</v>
      </c>
      <c r="H8" s="52">
        <v>2019</v>
      </c>
      <c r="I8" s="53" t="s">
        <v>19</v>
      </c>
      <c r="J8" s="57" t="s">
        <v>18</v>
      </c>
      <c r="K8" s="55">
        <v>2021</v>
      </c>
      <c r="L8" s="52">
        <v>2020</v>
      </c>
      <c r="M8" s="52">
        <v>2019</v>
      </c>
      <c r="N8" s="53" t="s">
        <v>19</v>
      </c>
      <c r="O8" s="57" t="s">
        <v>18</v>
      </c>
      <c r="P8" s="52">
        <v>2020</v>
      </c>
      <c r="Q8" s="52">
        <v>2019</v>
      </c>
      <c r="R8" s="48"/>
      <c r="S8" s="48"/>
      <c r="T8" s="48"/>
      <c r="U8" s="48"/>
      <c r="V8" s="48"/>
      <c r="W8" s="48"/>
      <c r="X8" s="48"/>
      <c r="Y8" s="48"/>
      <c r="Z8" s="48"/>
      <c r="AA8" s="48"/>
      <c r="AB8" s="48"/>
      <c r="AC8" s="48"/>
      <c r="AD8" s="48"/>
      <c r="AE8" s="48"/>
      <c r="AF8" s="48"/>
      <c r="AG8" s="48"/>
    </row>
    <row r="9" spans="1:33">
      <c r="A9" s="9"/>
      <c r="B9" s="12"/>
      <c r="C9" s="31" t="s">
        <v>14</v>
      </c>
      <c r="D9" s="26"/>
      <c r="E9" s="32"/>
      <c r="F9" s="26"/>
      <c r="G9" s="26"/>
      <c r="H9" s="26"/>
      <c r="I9" s="26"/>
      <c r="J9" s="32"/>
      <c r="K9" s="26"/>
      <c r="L9" s="26"/>
      <c r="M9" s="26"/>
      <c r="N9" s="26"/>
      <c r="O9" s="32"/>
      <c r="P9" s="26"/>
      <c r="Q9" s="26"/>
    </row>
    <row r="10" spans="1:33">
      <c r="A10" s="9"/>
      <c r="B10" s="12"/>
      <c r="C10" s="33"/>
      <c r="D10" s="26" t="s">
        <v>5</v>
      </c>
      <c r="E10" s="32"/>
      <c r="F10" s="68">
        <v>4</v>
      </c>
      <c r="G10" s="68">
        <v>0</v>
      </c>
      <c r="H10" s="68">
        <v>13</v>
      </c>
      <c r="I10" s="64" t="str">
        <f>IFERROR(F10/G10-1,"n/a")</f>
        <v>n/a</v>
      </c>
      <c r="J10" s="60">
        <f>F10/H10-1</f>
        <v>-0.69230769230769229</v>
      </c>
      <c r="K10" s="68">
        <v>20</v>
      </c>
      <c r="L10" s="68">
        <v>145</v>
      </c>
      <c r="M10" s="68">
        <v>266</v>
      </c>
      <c r="N10" s="64">
        <f>K10/L10-1</f>
        <v>-0.86206896551724133</v>
      </c>
      <c r="O10" s="60">
        <f>K10/M10-1</f>
        <v>-0.92481203007518797</v>
      </c>
      <c r="P10" s="70">
        <v>145</v>
      </c>
      <c r="Q10" s="70">
        <v>386</v>
      </c>
    </row>
    <row r="11" spans="1:33">
      <c r="A11" s="9"/>
      <c r="B11" s="12"/>
      <c r="C11" s="33"/>
      <c r="D11" s="26" t="s">
        <v>11</v>
      </c>
      <c r="E11" s="32"/>
      <c r="F11" s="68">
        <v>720</v>
      </c>
      <c r="G11" s="68">
        <v>0</v>
      </c>
      <c r="H11" s="68">
        <v>31050</v>
      </c>
      <c r="I11" s="64" t="str">
        <f t="shared" ref="I11:I26" si="0">IFERROR(F11/G11-1,"n/a")</f>
        <v>n/a</v>
      </c>
      <c r="J11" s="60">
        <f>F11/H11-1</f>
        <v>-0.97681159420289854</v>
      </c>
      <c r="K11" s="68">
        <v>4921</v>
      </c>
      <c r="L11" s="68">
        <v>258885</v>
      </c>
      <c r="M11" s="68">
        <v>523329</v>
      </c>
      <c r="N11" s="64">
        <f>K11/L11-1</f>
        <v>-0.98099155995905518</v>
      </c>
      <c r="O11" s="60">
        <f>K11/M11-1</f>
        <v>-0.99059673742521437</v>
      </c>
      <c r="P11" s="70">
        <v>258885</v>
      </c>
      <c r="Q11" s="70">
        <v>733296</v>
      </c>
    </row>
    <row r="12" spans="1:33">
      <c r="A12" s="9"/>
      <c r="B12" s="12"/>
      <c r="C12" s="31" t="s">
        <v>20</v>
      </c>
      <c r="D12" s="26"/>
      <c r="E12" s="32"/>
      <c r="F12" s="45"/>
      <c r="G12" s="45"/>
      <c r="H12" s="45"/>
      <c r="I12" s="64"/>
      <c r="J12" s="61"/>
      <c r="K12" s="43"/>
      <c r="L12" s="43"/>
      <c r="M12" s="43"/>
      <c r="N12" s="65"/>
      <c r="O12" s="61"/>
      <c r="P12" s="44"/>
      <c r="Q12" s="44"/>
    </row>
    <row r="13" spans="1:33">
      <c r="A13" s="9"/>
      <c r="B13" s="12"/>
      <c r="C13" s="33"/>
      <c r="D13" s="26" t="s">
        <v>5</v>
      </c>
      <c r="E13" s="32"/>
      <c r="F13" s="68">
        <v>107</v>
      </c>
      <c r="G13" s="68">
        <v>0</v>
      </c>
      <c r="H13" s="68">
        <v>127</v>
      </c>
      <c r="I13" s="64" t="str">
        <f t="shared" si="0"/>
        <v>n/a</v>
      </c>
      <c r="J13" s="60">
        <f>F13/H13-1</f>
        <v>-0.15748031496062997</v>
      </c>
      <c r="K13" s="68">
        <v>191</v>
      </c>
      <c r="L13" s="68">
        <v>43</v>
      </c>
      <c r="M13" s="68">
        <v>712</v>
      </c>
      <c r="N13" s="64">
        <f>K13/L13-1</f>
        <v>3.441860465116279</v>
      </c>
      <c r="O13" s="60">
        <f>K13/M13-1</f>
        <v>-0.73174157303370779</v>
      </c>
      <c r="P13" s="70">
        <v>43</v>
      </c>
      <c r="Q13" s="70">
        <v>827</v>
      </c>
    </row>
    <row r="14" spans="1:33">
      <c r="A14" s="9"/>
      <c r="B14" s="12"/>
      <c r="C14" s="33"/>
      <c r="D14" s="26" t="s">
        <v>11</v>
      </c>
      <c r="E14" s="32"/>
      <c r="F14" s="68">
        <v>174505</v>
      </c>
      <c r="G14" s="68">
        <v>0</v>
      </c>
      <c r="H14" s="68">
        <v>332808</v>
      </c>
      <c r="I14" s="64" t="str">
        <f t="shared" si="0"/>
        <v>n/a</v>
      </c>
      <c r="J14" s="60">
        <f>F14/H14-1</f>
        <v>-0.47565863801350927</v>
      </c>
      <c r="K14" s="68">
        <v>342388</v>
      </c>
      <c r="L14" s="68">
        <v>140552</v>
      </c>
      <c r="M14" s="68">
        <v>2230252</v>
      </c>
      <c r="N14" s="64">
        <f>K14/L14-1</f>
        <v>1.4360236780693265</v>
      </c>
      <c r="O14" s="60">
        <f>K14/M14-1</f>
        <v>-0.84648012870294476</v>
      </c>
      <c r="P14" s="70">
        <v>140552</v>
      </c>
      <c r="Q14" s="70">
        <v>2552942</v>
      </c>
    </row>
    <row r="15" spans="1:33">
      <c r="A15" s="9"/>
      <c r="B15" s="12"/>
      <c r="C15" s="31" t="s">
        <v>15</v>
      </c>
      <c r="D15" s="26"/>
      <c r="E15" s="32"/>
      <c r="F15" s="43"/>
      <c r="G15" s="43"/>
      <c r="H15" s="43"/>
      <c r="I15" s="64"/>
      <c r="J15" s="60"/>
      <c r="K15" s="43"/>
      <c r="L15" s="43"/>
      <c r="M15" s="43"/>
      <c r="N15" s="64"/>
      <c r="O15" s="60"/>
      <c r="P15" s="44"/>
      <c r="Q15" s="44"/>
    </row>
    <row r="16" spans="1:33">
      <c r="A16" s="9"/>
      <c r="B16" s="12"/>
      <c r="C16" s="33"/>
      <c r="D16" s="26" t="s">
        <v>5</v>
      </c>
      <c r="E16" s="32"/>
      <c r="F16" s="68">
        <v>9</v>
      </c>
      <c r="G16" s="68">
        <v>0</v>
      </c>
      <c r="H16" s="68">
        <v>21</v>
      </c>
      <c r="I16" s="64" t="str">
        <f t="shared" si="0"/>
        <v>n/a</v>
      </c>
      <c r="J16" s="60">
        <f>F16/H16-1</f>
        <v>-0.5714285714285714</v>
      </c>
      <c r="K16" s="68">
        <v>11</v>
      </c>
      <c r="L16" s="68">
        <v>4</v>
      </c>
      <c r="M16" s="68">
        <v>172</v>
      </c>
      <c r="N16" s="64">
        <f>K16/L16-1</f>
        <v>1.75</v>
      </c>
      <c r="O16" s="60">
        <f>K16/M16-1</f>
        <v>-0.93604651162790697</v>
      </c>
      <c r="P16" s="70">
        <v>4</v>
      </c>
      <c r="Q16" s="70">
        <v>191</v>
      </c>
    </row>
    <row r="17" spans="1:33">
      <c r="A17" s="9"/>
      <c r="B17" s="12"/>
      <c r="C17" s="33"/>
      <c r="D17" s="26" t="s">
        <v>11</v>
      </c>
      <c r="E17" s="32"/>
      <c r="F17" s="68">
        <v>3111</v>
      </c>
      <c r="G17" s="68">
        <v>0</v>
      </c>
      <c r="H17" s="68">
        <v>28163</v>
      </c>
      <c r="I17" s="64" t="str">
        <f t="shared" si="0"/>
        <v>n/a</v>
      </c>
      <c r="J17" s="60">
        <f>F17/H17-1</f>
        <v>-0.88953591591804848</v>
      </c>
      <c r="K17" s="68">
        <v>3535</v>
      </c>
      <c r="L17" s="68">
        <v>1753</v>
      </c>
      <c r="M17" s="68">
        <v>231553</v>
      </c>
      <c r="N17" s="64">
        <f>K17/L17-1</f>
        <v>1.0165430690245292</v>
      </c>
      <c r="O17" s="60">
        <f>K17/M17-1</f>
        <v>-0.98473351673267029</v>
      </c>
      <c r="P17" s="70">
        <v>1753</v>
      </c>
      <c r="Q17" s="70">
        <v>254421</v>
      </c>
    </row>
    <row r="18" spans="1:33">
      <c r="A18" s="9"/>
      <c r="B18" s="12"/>
      <c r="C18" s="31" t="s">
        <v>10</v>
      </c>
      <c r="D18" s="26"/>
      <c r="E18" s="34"/>
      <c r="F18" s="43"/>
      <c r="G18" s="43"/>
      <c r="H18" s="43"/>
      <c r="I18" s="64"/>
      <c r="J18" s="60"/>
      <c r="K18" s="43"/>
      <c r="L18" s="43"/>
      <c r="M18" s="43"/>
      <c r="N18" s="64"/>
      <c r="O18" s="60"/>
      <c r="P18" s="44"/>
      <c r="Q18" s="44"/>
    </row>
    <row r="19" spans="1:33">
      <c r="A19" s="9"/>
      <c r="B19" s="12"/>
      <c r="C19" s="33"/>
      <c r="D19" s="26" t="s">
        <v>5</v>
      </c>
      <c r="E19" s="34"/>
      <c r="F19" s="68">
        <v>85</v>
      </c>
      <c r="G19" s="68">
        <v>0</v>
      </c>
      <c r="H19" s="68">
        <v>97</v>
      </c>
      <c r="I19" s="64" t="str">
        <f t="shared" si="0"/>
        <v>n/a</v>
      </c>
      <c r="J19" s="60">
        <f>F19/H19-1</f>
        <v>-0.12371134020618557</v>
      </c>
      <c r="K19" s="68">
        <v>215</v>
      </c>
      <c r="L19" s="68">
        <v>406</v>
      </c>
      <c r="M19" s="68">
        <v>953</v>
      </c>
      <c r="N19" s="64">
        <f>K19/L19-1</f>
        <v>-0.47044334975369462</v>
      </c>
      <c r="O19" s="60">
        <f>K19/M19-1</f>
        <v>-0.77439664218258131</v>
      </c>
      <c r="P19" s="70">
        <v>406</v>
      </c>
      <c r="Q19" s="70">
        <v>1205</v>
      </c>
    </row>
    <row r="20" spans="1:33">
      <c r="A20" s="9"/>
      <c r="B20" s="12"/>
      <c r="C20" s="33"/>
      <c r="D20" s="26" t="s">
        <v>11</v>
      </c>
      <c r="E20" s="32"/>
      <c r="F20" s="68">
        <v>142400</v>
      </c>
      <c r="G20" s="68">
        <v>0</v>
      </c>
      <c r="H20" s="68">
        <v>268813</v>
      </c>
      <c r="I20" s="64" t="str">
        <f t="shared" si="0"/>
        <v>n/a</v>
      </c>
      <c r="J20" s="60">
        <f>F20/H20-1</f>
        <v>-0.47026371492450147</v>
      </c>
      <c r="K20" s="68">
        <v>324210</v>
      </c>
      <c r="L20" s="68">
        <v>833999</v>
      </c>
      <c r="M20" s="68">
        <v>3141355</v>
      </c>
      <c r="N20" s="64">
        <f>K20/L20-1</f>
        <v>-0.61125852668888092</v>
      </c>
      <c r="O20" s="60">
        <f>K20/M20-1</f>
        <v>-0.8967929444459477</v>
      </c>
      <c r="P20" s="70">
        <v>833999</v>
      </c>
      <c r="Q20" s="70">
        <v>3859183</v>
      </c>
    </row>
    <row r="21" spans="1:33">
      <c r="A21" s="9"/>
      <c r="B21" s="12"/>
      <c r="C21" s="31" t="s">
        <v>16</v>
      </c>
      <c r="D21" s="26"/>
      <c r="E21" s="32"/>
      <c r="F21" s="43"/>
      <c r="G21" s="43"/>
      <c r="H21" s="43"/>
      <c r="I21" s="64"/>
      <c r="J21" s="60"/>
      <c r="K21" s="43"/>
      <c r="L21" s="43"/>
      <c r="M21" s="43"/>
      <c r="N21" s="64"/>
      <c r="O21" s="60"/>
      <c r="P21" s="44"/>
      <c r="Q21" s="44"/>
    </row>
    <row r="22" spans="1:33">
      <c r="A22" s="9"/>
      <c r="B22" s="12"/>
      <c r="C22" s="33"/>
      <c r="D22" s="26" t="s">
        <v>5</v>
      </c>
      <c r="E22" s="32"/>
      <c r="F22" s="68">
        <v>16</v>
      </c>
      <c r="G22" s="68">
        <v>8</v>
      </c>
      <c r="H22" s="68">
        <v>64</v>
      </c>
      <c r="I22" s="64">
        <f t="shared" si="0"/>
        <v>1</v>
      </c>
      <c r="J22" s="60">
        <f>F22/H22-1</f>
        <v>-0.75</v>
      </c>
      <c r="K22" s="68">
        <v>87</v>
      </c>
      <c r="L22" s="68">
        <v>24</v>
      </c>
      <c r="M22" s="68">
        <v>308</v>
      </c>
      <c r="N22" s="64">
        <f>K22/L22-1</f>
        <v>2.625</v>
      </c>
      <c r="O22" s="60">
        <f>K22/M22-1</f>
        <v>-0.71753246753246747</v>
      </c>
      <c r="P22" s="70">
        <v>32</v>
      </c>
      <c r="Q22" s="70">
        <v>372</v>
      </c>
    </row>
    <row r="23" spans="1:33">
      <c r="A23" s="9"/>
      <c r="B23" s="12"/>
      <c r="C23" s="33"/>
      <c r="D23" s="26" t="s">
        <v>11</v>
      </c>
      <c r="E23" s="32"/>
      <c r="F23" s="68">
        <v>16203</v>
      </c>
      <c r="G23" s="68">
        <v>8362</v>
      </c>
      <c r="H23" s="68">
        <v>130501</v>
      </c>
      <c r="I23" s="64">
        <f t="shared" si="0"/>
        <v>0.93769433149964132</v>
      </c>
      <c r="J23" s="60">
        <f>F23/H23-1</f>
        <v>-0.87584003187715043</v>
      </c>
      <c r="K23" s="68">
        <v>117218</v>
      </c>
      <c r="L23" s="68">
        <v>55662</v>
      </c>
      <c r="M23" s="68">
        <v>818684</v>
      </c>
      <c r="N23" s="64">
        <f>K23/L23-1</f>
        <v>1.1058891164528761</v>
      </c>
      <c r="O23" s="60">
        <f>K23/M23-1</f>
        <v>-0.85682143537677535</v>
      </c>
      <c r="P23" s="70">
        <v>59180</v>
      </c>
      <c r="Q23" s="70">
        <v>902015</v>
      </c>
    </row>
    <row r="24" spans="1:33">
      <c r="A24" s="9"/>
      <c r="B24" s="12"/>
      <c r="C24" s="31" t="s">
        <v>17</v>
      </c>
      <c r="D24" s="26"/>
      <c r="E24" s="32"/>
      <c r="F24" s="43"/>
      <c r="G24" s="43"/>
      <c r="H24" s="43"/>
      <c r="I24" s="64"/>
      <c r="J24" s="60"/>
      <c r="K24" s="43"/>
      <c r="L24" s="43"/>
      <c r="M24" s="43"/>
      <c r="N24" s="64"/>
      <c r="O24" s="60"/>
      <c r="P24" s="44"/>
      <c r="Q24" s="44"/>
    </row>
    <row r="25" spans="1:33">
      <c r="B25" s="12"/>
      <c r="C25" s="33"/>
      <c r="D25" s="26" t="s">
        <v>5</v>
      </c>
      <c r="E25" s="32"/>
      <c r="F25" s="68">
        <v>28</v>
      </c>
      <c r="G25" s="68">
        <v>12</v>
      </c>
      <c r="H25" s="68">
        <v>71</v>
      </c>
      <c r="I25" s="64">
        <f t="shared" si="0"/>
        <v>1.3333333333333335</v>
      </c>
      <c r="J25" s="60">
        <f>F25/H25-1</f>
        <v>-0.60563380281690149</v>
      </c>
      <c r="K25" s="68">
        <v>107</v>
      </c>
      <c r="L25" s="68">
        <v>24</v>
      </c>
      <c r="M25" s="68">
        <v>326</v>
      </c>
      <c r="N25" s="64">
        <f>K25/L25-1</f>
        <v>3.458333333333333</v>
      </c>
      <c r="O25" s="60">
        <f>K25/M25-1</f>
        <v>-0.67177914110429449</v>
      </c>
      <c r="P25" s="70">
        <v>37</v>
      </c>
      <c r="Q25" s="70">
        <v>363</v>
      </c>
    </row>
    <row r="26" spans="1:33">
      <c r="A26" s="9"/>
      <c r="B26" s="12"/>
      <c r="C26" s="33"/>
      <c r="D26" s="26" t="s">
        <v>11</v>
      </c>
      <c r="E26" s="32"/>
      <c r="F26" s="68">
        <v>32614</v>
      </c>
      <c r="G26" s="68">
        <v>5592</v>
      </c>
      <c r="H26" s="68">
        <v>138907</v>
      </c>
      <c r="I26" s="64">
        <f t="shared" si="0"/>
        <v>4.8322603719599426</v>
      </c>
      <c r="J26" s="60">
        <f>F26/H26-1</f>
        <v>-0.76520981663991017</v>
      </c>
      <c r="K26" s="68">
        <v>150273</v>
      </c>
      <c r="L26" s="68">
        <v>25618</v>
      </c>
      <c r="M26" s="68">
        <v>826006</v>
      </c>
      <c r="N26" s="64">
        <f>K26/L26-1</f>
        <v>4.8659145913029898</v>
      </c>
      <c r="O26" s="60">
        <f>K26/M26-1</f>
        <v>-0.81807275007687597</v>
      </c>
      <c r="P26" s="70">
        <v>29062</v>
      </c>
      <c r="Q26" s="70">
        <v>867164</v>
      </c>
    </row>
    <row r="27" spans="1:33" ht="15.75" thickBot="1">
      <c r="A27" s="9"/>
      <c r="B27" s="12"/>
      <c r="C27" s="35" t="s">
        <v>12</v>
      </c>
      <c r="D27" s="36"/>
      <c r="E27" s="37"/>
      <c r="F27" s="46">
        <f t="shared" ref="F27:H28" si="1">F10+F13+F16+F19+F22+F25</f>
        <v>249</v>
      </c>
      <c r="G27" s="46">
        <f t="shared" si="1"/>
        <v>20</v>
      </c>
      <c r="H27" s="46">
        <f t="shared" si="1"/>
        <v>393</v>
      </c>
      <c r="I27" s="66">
        <f>F27/G27-1</f>
        <v>11.45</v>
      </c>
      <c r="J27" s="62">
        <f>F27/H27-1</f>
        <v>-0.36641221374045807</v>
      </c>
      <c r="K27" s="46">
        <f t="shared" ref="K27:M28" si="2">K10+K13+K16+K19+K22+K25</f>
        <v>631</v>
      </c>
      <c r="L27" s="46">
        <f t="shared" si="2"/>
        <v>646</v>
      </c>
      <c r="M27" s="46">
        <f t="shared" si="2"/>
        <v>2737</v>
      </c>
      <c r="N27" s="66">
        <f>K27/L27-1</f>
        <v>-2.3219814241486114E-2</v>
      </c>
      <c r="O27" s="62">
        <f>K27/M27-1</f>
        <v>-0.76945560833028859</v>
      </c>
      <c r="P27" s="46">
        <f>P10+P13+P16+P19+P22+P25</f>
        <v>667</v>
      </c>
      <c r="Q27" s="46">
        <f>Q10+Q13+Q16+Q19+Q22+Q25</f>
        <v>3344</v>
      </c>
    </row>
    <row r="28" spans="1:33" s="22" customFormat="1" ht="16.5" thickTop="1" thickBot="1">
      <c r="A28" s="9"/>
      <c r="B28" s="12"/>
      <c r="C28" s="38" t="s">
        <v>13</v>
      </c>
      <c r="D28" s="39"/>
      <c r="E28" s="40"/>
      <c r="F28" s="47">
        <f t="shared" si="1"/>
        <v>369553</v>
      </c>
      <c r="G28" s="47">
        <f t="shared" si="1"/>
        <v>13954</v>
      </c>
      <c r="H28" s="47">
        <f t="shared" si="1"/>
        <v>930242</v>
      </c>
      <c r="I28" s="67">
        <f>F28/G28-1</f>
        <v>25.483660599111367</v>
      </c>
      <c r="J28" s="63">
        <f>F28/H28-1</f>
        <v>-0.60273455724424396</v>
      </c>
      <c r="K28" s="47">
        <f t="shared" si="2"/>
        <v>942545</v>
      </c>
      <c r="L28" s="47">
        <f t="shared" si="2"/>
        <v>1316469</v>
      </c>
      <c r="M28" s="47">
        <f t="shared" si="2"/>
        <v>7771179</v>
      </c>
      <c r="N28" s="67">
        <f>K28/L28-1</f>
        <v>-0.28403555267917435</v>
      </c>
      <c r="O28" s="63">
        <f>K28/M28-1</f>
        <v>-0.87871274101394392</v>
      </c>
      <c r="P28" s="47">
        <f>P11+P14+P17+P20+P23+P26</f>
        <v>1323431</v>
      </c>
      <c r="Q28" s="47">
        <f>Q11+Q14+Q17+Q20+Q23+Q26</f>
        <v>9169021</v>
      </c>
      <c r="R28" s="9"/>
      <c r="S28" s="21"/>
      <c r="T28" s="21"/>
      <c r="U28" s="21"/>
      <c r="V28" s="21"/>
      <c r="W28" s="21"/>
      <c r="X28" s="21"/>
      <c r="Y28" s="21"/>
      <c r="Z28" s="21"/>
      <c r="AA28" s="21"/>
      <c r="AB28" s="21"/>
      <c r="AC28" s="21"/>
      <c r="AD28" s="21"/>
      <c r="AE28" s="21"/>
      <c r="AF28" s="21"/>
      <c r="AG28" s="21"/>
    </row>
    <row r="29" spans="1:33" ht="15.75" thickTop="1">
      <c r="A29" s="9"/>
      <c r="B29" s="9"/>
      <c r="C29" s="9"/>
      <c r="D29" s="9"/>
      <c r="E29" s="9"/>
      <c r="F29" s="41"/>
      <c r="G29" s="41"/>
      <c r="H29" s="41"/>
      <c r="I29" s="9"/>
      <c r="J29" s="9"/>
      <c r="K29" s="9"/>
      <c r="L29" s="9"/>
      <c r="M29" s="9"/>
      <c r="N29" s="9"/>
      <c r="O29" s="9"/>
      <c r="P29" s="9"/>
      <c r="Q29" s="9"/>
    </row>
    <row r="30" spans="1:33" hidden="1">
      <c r="A30" s="9"/>
      <c r="B30" s="9"/>
      <c r="C30" s="9"/>
      <c r="D30" s="9"/>
      <c r="E30" s="9"/>
      <c r="F30" s="41"/>
      <c r="G30" s="41"/>
      <c r="H30" s="41"/>
      <c r="I30" s="9"/>
      <c r="J30" s="9"/>
      <c r="K30" s="9"/>
      <c r="L30" s="9"/>
      <c r="M30" s="9"/>
      <c r="N30" s="9"/>
      <c r="O30" s="9"/>
      <c r="P30" s="9"/>
      <c r="Q30" s="9"/>
    </row>
    <row r="31" spans="1:33" hidden="1">
      <c r="A31" s="9"/>
      <c r="B31" s="9"/>
      <c r="C31" s="9"/>
      <c r="D31" s="9"/>
      <c r="E31" s="9"/>
      <c r="F31" s="41"/>
      <c r="G31" s="41"/>
      <c r="H31" s="41"/>
      <c r="I31" s="9"/>
      <c r="J31" s="9"/>
      <c r="K31" s="9"/>
      <c r="L31" s="9"/>
      <c r="M31" s="9"/>
      <c r="N31" s="9"/>
      <c r="O31" s="9"/>
      <c r="P31" s="9"/>
      <c r="Q31" s="9"/>
    </row>
    <row r="32" spans="1:33" hidden="1">
      <c r="A32" s="9"/>
      <c r="B32" s="9"/>
      <c r="C32" s="9"/>
      <c r="D32" s="9"/>
      <c r="E32" s="9"/>
      <c r="F32" s="41"/>
      <c r="G32" s="41"/>
      <c r="H32" s="41"/>
      <c r="I32" s="9"/>
      <c r="J32" s="9"/>
      <c r="K32" s="9"/>
      <c r="L32" s="9"/>
      <c r="M32" s="9"/>
      <c r="N32" s="9"/>
      <c r="O32" s="9"/>
      <c r="P32" s="9"/>
      <c r="Q32" s="9"/>
    </row>
    <row r="33" spans="1:17" hidden="1">
      <c r="A33" s="9"/>
      <c r="B33" s="9"/>
      <c r="C33" s="9"/>
      <c r="D33" s="9"/>
      <c r="E33" s="9"/>
      <c r="F33" s="41"/>
      <c r="G33" s="41"/>
      <c r="H33" s="41"/>
      <c r="I33" s="9"/>
      <c r="J33" s="9"/>
      <c r="K33" s="9"/>
      <c r="L33" s="9"/>
      <c r="M33" s="9"/>
      <c r="N33" s="9"/>
      <c r="O33" s="9"/>
      <c r="P33" s="9"/>
      <c r="Q33" s="9"/>
    </row>
    <row r="34" spans="1:17" hidden="1">
      <c r="A34" s="9"/>
      <c r="B34" s="9"/>
      <c r="C34" s="9"/>
      <c r="D34" s="9"/>
      <c r="E34" s="9"/>
      <c r="F34" s="41"/>
      <c r="G34" s="41"/>
      <c r="H34" s="41"/>
      <c r="I34" s="9"/>
      <c r="J34" s="9"/>
      <c r="K34" s="9"/>
      <c r="L34" s="9"/>
      <c r="M34" s="9"/>
      <c r="N34" s="9"/>
      <c r="O34" s="9"/>
      <c r="P34" s="9"/>
      <c r="Q34" s="9"/>
    </row>
    <row r="35" spans="1:17" hidden="1">
      <c r="A35" s="9"/>
      <c r="B35" s="9"/>
      <c r="C35" s="9"/>
      <c r="D35" s="9"/>
      <c r="E35" s="9"/>
      <c r="F35" s="41"/>
      <c r="G35" s="41"/>
      <c r="H35" s="41"/>
      <c r="I35" s="9"/>
      <c r="J35" s="9"/>
      <c r="K35" s="9"/>
      <c r="L35" s="9"/>
      <c r="M35" s="9"/>
      <c r="N35" s="9"/>
      <c r="O35" s="9"/>
      <c r="P35" s="9"/>
      <c r="Q35" s="9"/>
    </row>
    <row r="36" spans="1:17" hidden="1">
      <c r="A36" s="9"/>
      <c r="B36" s="9"/>
      <c r="C36" s="9"/>
      <c r="D36" s="9"/>
      <c r="E36" s="9"/>
      <c r="F36" s="41"/>
      <c r="G36" s="41"/>
      <c r="H36" s="41"/>
      <c r="I36" s="9"/>
      <c r="J36" s="9"/>
      <c r="K36" s="9"/>
      <c r="L36" s="9"/>
      <c r="M36" s="9"/>
      <c r="N36" s="9"/>
      <c r="O36" s="9"/>
      <c r="P36" s="9"/>
      <c r="Q36" s="9"/>
    </row>
    <row r="37" spans="1:17" hidden="1">
      <c r="A37" s="9"/>
      <c r="B37" s="9"/>
      <c r="C37" s="9"/>
      <c r="D37" s="9"/>
      <c r="E37" s="9"/>
      <c r="F37" s="41"/>
      <c r="G37" s="41"/>
      <c r="H37" s="41"/>
      <c r="I37" s="9"/>
      <c r="J37" s="9"/>
      <c r="K37" s="9"/>
      <c r="L37" s="9"/>
      <c r="M37" s="9"/>
      <c r="N37" s="9"/>
      <c r="O37" s="9"/>
      <c r="P37" s="9"/>
      <c r="Q37" s="9"/>
    </row>
    <row r="38" spans="1:17" hidden="1">
      <c r="A38" s="9"/>
      <c r="B38" s="9"/>
      <c r="C38" s="9"/>
      <c r="D38" s="9"/>
      <c r="E38" s="9"/>
      <c r="F38" s="41"/>
      <c r="G38" s="41"/>
      <c r="H38" s="41"/>
      <c r="I38" s="9"/>
      <c r="J38" s="9"/>
      <c r="K38" s="9"/>
      <c r="L38" s="9"/>
      <c r="M38" s="9"/>
      <c r="N38" s="9"/>
      <c r="O38" s="9"/>
      <c r="P38" s="9"/>
      <c r="Q38" s="9"/>
    </row>
    <row r="39" spans="1:17" hidden="1">
      <c r="A39" s="9"/>
      <c r="B39" s="9"/>
      <c r="C39" s="9"/>
      <c r="D39" s="9"/>
      <c r="E39" s="9"/>
      <c r="F39" s="41"/>
      <c r="G39" s="41"/>
      <c r="H39" s="41"/>
      <c r="I39" s="9"/>
      <c r="J39" s="9"/>
      <c r="K39" s="9"/>
      <c r="L39" s="9"/>
      <c r="M39" s="9"/>
      <c r="N39" s="9"/>
      <c r="O39" s="9"/>
      <c r="P39" s="9"/>
      <c r="Q39" s="9"/>
    </row>
    <row r="40" spans="1:17" hidden="1">
      <c r="A40" s="9"/>
      <c r="B40" s="9"/>
      <c r="C40" s="9"/>
      <c r="D40" s="9"/>
      <c r="E40" s="9"/>
      <c r="F40" s="41"/>
      <c r="G40" s="41"/>
      <c r="H40" s="41"/>
      <c r="I40" s="9"/>
      <c r="J40" s="9"/>
      <c r="K40" s="9"/>
      <c r="L40" s="9"/>
      <c r="M40" s="9"/>
      <c r="N40" s="9"/>
      <c r="O40" s="9"/>
      <c r="P40" s="9"/>
      <c r="Q40" s="9"/>
    </row>
    <row r="41" spans="1:17" hidden="1">
      <c r="A41" s="9"/>
      <c r="B41" s="9"/>
      <c r="C41" s="9"/>
      <c r="D41" s="9"/>
      <c r="E41" s="9"/>
      <c r="F41" s="41"/>
      <c r="G41" s="41"/>
      <c r="H41" s="41"/>
      <c r="I41" s="9"/>
      <c r="J41" s="9"/>
      <c r="K41" s="9"/>
      <c r="L41" s="9"/>
      <c r="M41" s="9"/>
      <c r="N41" s="9"/>
      <c r="O41" s="9"/>
      <c r="P41" s="9"/>
      <c r="Q41" s="9"/>
    </row>
    <row r="42" spans="1:17" hidden="1">
      <c r="A42" s="9"/>
      <c r="B42" s="9"/>
      <c r="C42" s="9"/>
      <c r="D42" s="9"/>
      <c r="E42" s="9"/>
      <c r="F42" s="41"/>
      <c r="G42" s="41"/>
      <c r="H42" s="41"/>
      <c r="I42" s="9"/>
      <c r="J42" s="9"/>
      <c r="K42" s="9"/>
      <c r="L42" s="9"/>
      <c r="M42" s="9"/>
      <c r="N42" s="9"/>
      <c r="O42" s="9"/>
      <c r="P42" s="9"/>
      <c r="Q42" s="9"/>
    </row>
    <row r="43" spans="1:17" hidden="1">
      <c r="A43" s="9"/>
      <c r="B43" s="9"/>
      <c r="C43" s="9"/>
      <c r="D43" s="9"/>
      <c r="E43" s="9"/>
      <c r="F43" s="41"/>
      <c r="G43" s="41"/>
      <c r="H43" s="41"/>
      <c r="I43" s="9"/>
      <c r="J43" s="9"/>
      <c r="K43" s="9"/>
      <c r="L43" s="9"/>
      <c r="M43" s="9"/>
      <c r="N43" s="9"/>
      <c r="O43" s="9"/>
      <c r="P43" s="9"/>
      <c r="Q43" s="9"/>
    </row>
    <row r="44" spans="1:17" hidden="1">
      <c r="A44" s="9"/>
      <c r="B44" s="9"/>
      <c r="C44" s="9"/>
      <c r="D44" s="9"/>
      <c r="E44" s="9"/>
      <c r="F44" s="41"/>
      <c r="G44" s="41"/>
      <c r="H44" s="41"/>
      <c r="I44" s="9"/>
      <c r="J44" s="9"/>
      <c r="K44" s="9"/>
      <c r="L44" s="9"/>
      <c r="M44" s="9"/>
      <c r="N44" s="9"/>
      <c r="O44" s="9"/>
      <c r="P44" s="9"/>
      <c r="Q44" s="9"/>
    </row>
    <row r="45" spans="1:17" hidden="1">
      <c r="A45" s="9"/>
      <c r="B45" s="9"/>
      <c r="C45" s="9"/>
      <c r="D45" s="9"/>
      <c r="E45" s="9"/>
      <c r="F45" s="41"/>
      <c r="G45" s="41"/>
      <c r="H45" s="41"/>
      <c r="I45" s="9"/>
      <c r="J45" s="9"/>
      <c r="K45" s="9"/>
      <c r="L45" s="9"/>
      <c r="M45" s="9"/>
      <c r="N45" s="9"/>
      <c r="O45" s="9"/>
      <c r="P45" s="9"/>
      <c r="Q45" s="9"/>
    </row>
    <row r="46" spans="1:17" hidden="1">
      <c r="A46" s="9"/>
      <c r="B46" s="9"/>
      <c r="C46" s="9"/>
      <c r="D46" s="9"/>
      <c r="E46" s="9"/>
      <c r="F46" s="41"/>
      <c r="G46" s="41"/>
      <c r="H46" s="41"/>
      <c r="I46" s="9"/>
      <c r="J46" s="9"/>
      <c r="K46" s="9"/>
      <c r="L46" s="9"/>
      <c r="M46" s="9"/>
      <c r="N46" s="9"/>
      <c r="O46" s="9"/>
      <c r="P46" s="9"/>
      <c r="Q46" s="9"/>
    </row>
    <row r="47" spans="1:17" hidden="1">
      <c r="A47" s="9"/>
      <c r="B47" s="9"/>
      <c r="C47" s="9"/>
      <c r="D47" s="9"/>
      <c r="E47" s="9"/>
      <c r="F47" s="41"/>
      <c r="G47" s="41"/>
      <c r="H47" s="41"/>
      <c r="I47" s="9"/>
      <c r="J47" s="9"/>
      <c r="K47" s="9"/>
      <c r="L47" s="9"/>
      <c r="M47" s="9"/>
      <c r="N47" s="9"/>
      <c r="O47" s="9"/>
      <c r="P47" s="9"/>
      <c r="Q47" s="9"/>
    </row>
    <row r="48" spans="1:17" hidden="1">
      <c r="A48" s="9"/>
      <c r="B48" s="9"/>
      <c r="C48" s="9"/>
      <c r="D48" s="9"/>
      <c r="E48" s="9"/>
      <c r="F48" s="9"/>
      <c r="G48" s="9"/>
      <c r="H48" s="9"/>
      <c r="I48" s="9"/>
      <c r="J48" s="9"/>
      <c r="K48" s="9"/>
      <c r="L48" s="9"/>
      <c r="M48" s="9"/>
      <c r="N48" s="9"/>
      <c r="O48" s="9"/>
      <c r="P48" s="9"/>
      <c r="Q48" s="9"/>
    </row>
  </sheetData>
  <customSheetViews>
    <customSheetView guid="{5F6D01E3-9E6F-4D7F-980F-63899AF95899}" scale="79" showGridLines="0" fitToPage="1" hiddenRows="1" hiddenColumns="1">
      <pageMargins left="0.7" right="0.7" top="0.75" bottom="0.75" header="0.3" footer="0.3"/>
      <pageSetup paperSize="9" scale="85" orientation="landscape" horizontalDpi="4294967293" verticalDpi="4294967293" r:id="rId1"/>
    </customSheetView>
  </customSheetViews>
  <mergeCells count="3">
    <mergeCell ref="F6:J6"/>
    <mergeCell ref="K6:O6"/>
    <mergeCell ref="P6:Q6"/>
  </mergeCells>
  <pageMargins left="0.7" right="0.7" top="0.75" bottom="0.75" header="0.3" footer="0.3"/>
  <pageSetup paperSize="9" scale="85" orientation="landscape" horizontalDpi="4294967293" verticalDpi="4294967293" r:id="rId2"/>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pageSetUpPr fitToPage="1"/>
  </sheetPr>
  <dimension ref="A1:AG48"/>
  <sheetViews>
    <sheetView zoomScaleNormal="100" workbookViewId="0"/>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1.140625" bestFit="1" customWidth="1"/>
    <col min="9" max="10" width="9.140625" customWidth="1"/>
    <col min="11" max="11" width="11" bestFit="1" customWidth="1"/>
    <col min="12" max="13" width="12.140625" bestFit="1" customWidth="1"/>
    <col min="14" max="15" width="9.140625" customWidth="1"/>
    <col min="16" max="16" width="13" bestFit="1" customWidth="1"/>
    <col min="17" max="17" width="12.42578125" customWidth="1"/>
    <col min="18" max="18" width="3.140625" style="9" customWidth="1"/>
    <col min="19" max="33" width="0" style="9" hidden="1" customWidth="1"/>
    <col min="34" max="16384" width="9.140625" hidden="1"/>
  </cols>
  <sheetData>
    <row r="1" spans="1:33">
      <c r="A1" s="9"/>
      <c r="B1" s="9"/>
      <c r="C1" s="9"/>
      <c r="D1" s="9"/>
      <c r="E1" s="9"/>
      <c r="F1" s="9"/>
      <c r="G1" s="9"/>
      <c r="H1" s="9"/>
      <c r="I1" s="9"/>
      <c r="J1" s="9"/>
      <c r="K1" s="9"/>
      <c r="L1" s="9"/>
      <c r="M1" s="9"/>
      <c r="N1" s="9"/>
      <c r="O1" s="9"/>
      <c r="P1" s="9"/>
      <c r="Q1" s="9"/>
    </row>
    <row r="2" spans="1:33" ht="19.5" thickBot="1">
      <c r="A2" s="9"/>
      <c r="B2" s="8" t="s">
        <v>6</v>
      </c>
      <c r="C2" s="23"/>
      <c r="D2" s="23"/>
      <c r="E2" s="23"/>
      <c r="F2" s="23"/>
      <c r="G2" s="23"/>
      <c r="H2" s="23"/>
      <c r="I2" s="23"/>
      <c r="J2" s="23"/>
      <c r="K2" s="23"/>
      <c r="L2" s="23"/>
      <c r="M2" s="23"/>
      <c r="N2" s="23"/>
      <c r="O2" s="23"/>
      <c r="P2" s="23"/>
      <c r="Q2" s="23"/>
    </row>
    <row r="3" spans="1:33">
      <c r="A3" s="9"/>
      <c r="B3" s="10"/>
      <c r="C3" s="24"/>
      <c r="D3" s="24"/>
      <c r="E3" s="24"/>
      <c r="F3" s="24"/>
      <c r="G3" s="24"/>
      <c r="H3" s="24"/>
      <c r="I3" s="24"/>
      <c r="J3" s="24"/>
      <c r="K3" s="24"/>
      <c r="L3" s="24"/>
      <c r="M3" s="24"/>
      <c r="N3" s="24"/>
      <c r="O3" s="24"/>
      <c r="P3" s="24"/>
      <c r="Q3" s="25"/>
    </row>
    <row r="4" spans="1:33" ht="15.75">
      <c r="A4" s="9"/>
      <c r="B4" s="11" t="s">
        <v>7</v>
      </c>
      <c r="C4" s="26"/>
      <c r="D4" s="24"/>
      <c r="E4" s="58" t="s">
        <v>21</v>
      </c>
      <c r="F4" s="24"/>
      <c r="G4" s="24"/>
      <c r="H4" s="24"/>
      <c r="I4" s="24"/>
      <c r="J4" s="24"/>
      <c r="K4" s="24"/>
      <c r="L4" s="24"/>
      <c r="M4" s="24"/>
      <c r="N4" s="24"/>
      <c r="O4" s="24"/>
      <c r="P4" s="24"/>
      <c r="Q4" s="24"/>
    </row>
    <row r="5" spans="1:33">
      <c r="A5" s="9"/>
      <c r="B5" s="10"/>
      <c r="C5" s="24"/>
      <c r="D5" s="24"/>
      <c r="E5" s="24"/>
      <c r="F5" s="24"/>
      <c r="G5" s="24"/>
      <c r="H5" s="24"/>
      <c r="I5" s="24"/>
      <c r="J5" s="24"/>
      <c r="K5" s="24"/>
      <c r="L5" s="24"/>
      <c r="M5" s="24"/>
      <c r="N5" s="24"/>
      <c r="O5" s="24"/>
      <c r="P5" s="24"/>
      <c r="Q5" s="24"/>
    </row>
    <row r="6" spans="1:33" s="20" customFormat="1">
      <c r="A6" s="9"/>
      <c r="B6"/>
      <c r="C6" s="27" t="s">
        <v>7</v>
      </c>
      <c r="D6" s="28"/>
      <c r="E6" s="28"/>
      <c r="F6" s="169" t="s">
        <v>22</v>
      </c>
      <c r="G6" s="181"/>
      <c r="H6" s="181"/>
      <c r="I6" s="182"/>
      <c r="J6" s="183"/>
      <c r="K6" s="169" t="s">
        <v>23</v>
      </c>
      <c r="L6" s="181"/>
      <c r="M6" s="181"/>
      <c r="N6" s="182"/>
      <c r="O6" s="183"/>
      <c r="P6" s="170" t="s">
        <v>9</v>
      </c>
      <c r="Q6" s="181"/>
      <c r="R6" s="9"/>
      <c r="S6" s="19"/>
      <c r="T6" s="19"/>
      <c r="U6" s="19"/>
      <c r="V6" s="19"/>
      <c r="W6" s="19"/>
      <c r="X6" s="19"/>
      <c r="Y6" s="19"/>
      <c r="Z6" s="19"/>
      <c r="AA6" s="19"/>
      <c r="AB6" s="19"/>
      <c r="AC6" s="19"/>
      <c r="AD6" s="19"/>
      <c r="AE6" s="19"/>
      <c r="AF6" s="19"/>
      <c r="AG6" s="19"/>
    </row>
    <row r="7" spans="1:33" ht="15.75">
      <c r="A7" s="9"/>
      <c r="B7" s="18"/>
      <c r="C7" s="29"/>
      <c r="D7" s="30"/>
      <c r="E7" s="30"/>
      <c r="F7" s="29"/>
      <c r="G7" s="30"/>
      <c r="H7" s="30"/>
      <c r="I7" s="30"/>
      <c r="J7" s="56"/>
      <c r="K7" s="29"/>
      <c r="L7" s="30"/>
      <c r="M7" s="30"/>
      <c r="N7" s="30"/>
      <c r="O7" s="56"/>
      <c r="P7" s="30"/>
      <c r="Q7" s="30"/>
    </row>
    <row r="8" spans="1:33" s="54" customFormat="1" ht="22.5">
      <c r="A8" s="48"/>
      <c r="B8" s="49"/>
      <c r="C8" s="59" t="s">
        <v>29</v>
      </c>
      <c r="D8" s="50"/>
      <c r="E8" s="51"/>
      <c r="F8" s="55">
        <v>2021</v>
      </c>
      <c r="G8" s="52">
        <v>2020</v>
      </c>
      <c r="H8" s="52">
        <v>2019</v>
      </c>
      <c r="I8" s="53" t="s">
        <v>19</v>
      </c>
      <c r="J8" s="57" t="s">
        <v>18</v>
      </c>
      <c r="K8" s="55">
        <v>2021</v>
      </c>
      <c r="L8" s="52">
        <v>2020</v>
      </c>
      <c r="M8" s="52">
        <v>2019</v>
      </c>
      <c r="N8" s="53" t="s">
        <v>19</v>
      </c>
      <c r="O8" s="57" t="s">
        <v>18</v>
      </c>
      <c r="P8" s="52">
        <v>2020</v>
      </c>
      <c r="Q8" s="52">
        <v>2019</v>
      </c>
      <c r="R8" s="48"/>
      <c r="S8" s="48"/>
      <c r="T8" s="48"/>
      <c r="U8" s="48"/>
      <c r="V8" s="48"/>
      <c r="W8" s="48"/>
      <c r="X8" s="48"/>
      <c r="Y8" s="48"/>
      <c r="Z8" s="48"/>
      <c r="AA8" s="48"/>
      <c r="AB8" s="48"/>
      <c r="AC8" s="48"/>
      <c r="AD8" s="48"/>
      <c r="AE8" s="48"/>
      <c r="AF8" s="48"/>
      <c r="AG8" s="48"/>
    </row>
    <row r="9" spans="1:33">
      <c r="A9" s="9"/>
      <c r="B9" s="12"/>
      <c r="C9" s="31" t="s">
        <v>14</v>
      </c>
      <c r="D9" s="26"/>
      <c r="E9" s="32"/>
      <c r="F9" s="26"/>
      <c r="G9" s="26"/>
      <c r="H9" s="26"/>
      <c r="I9" s="26"/>
      <c r="J9" s="32"/>
      <c r="K9" s="26"/>
      <c r="L9" s="26"/>
      <c r="M9" s="26"/>
      <c r="N9" s="26"/>
      <c r="O9" s="32"/>
      <c r="P9" s="26"/>
      <c r="Q9" s="26"/>
    </row>
    <row r="10" spans="1:33">
      <c r="A10" s="9"/>
      <c r="B10" s="12"/>
      <c r="C10" s="33"/>
      <c r="D10" s="26" t="s">
        <v>5</v>
      </c>
      <c r="E10" s="32"/>
      <c r="F10" s="68">
        <v>3</v>
      </c>
      <c r="G10" s="68">
        <v>0</v>
      </c>
      <c r="H10" s="68">
        <v>3</v>
      </c>
      <c r="I10" s="64" t="str">
        <f>IFERROR(F10/G10-1,"n/a")</f>
        <v>n/a</v>
      </c>
      <c r="J10" s="60">
        <f>F10/H10-1</f>
        <v>0</v>
      </c>
      <c r="K10" s="68">
        <v>16</v>
      </c>
      <c r="L10" s="68">
        <v>145</v>
      </c>
      <c r="M10" s="68">
        <v>253</v>
      </c>
      <c r="N10" s="64">
        <f>K10/L10-1</f>
        <v>-0.8896551724137931</v>
      </c>
      <c r="O10" s="60">
        <f>K10/M10-1</f>
        <v>-0.93675889328063244</v>
      </c>
      <c r="P10" s="70">
        <v>145</v>
      </c>
      <c r="Q10" s="70">
        <v>386</v>
      </c>
    </row>
    <row r="11" spans="1:33">
      <c r="A11" s="9"/>
      <c r="B11" s="12"/>
      <c r="C11" s="33"/>
      <c r="D11" s="26" t="s">
        <v>11</v>
      </c>
      <c r="E11" s="32"/>
      <c r="F11" s="68">
        <v>1618</v>
      </c>
      <c r="G11" s="68">
        <v>0</v>
      </c>
      <c r="H11" s="68">
        <v>11148</v>
      </c>
      <c r="I11" s="64" t="str">
        <f t="shared" ref="I11:I26" si="0">IFERROR(F11/G11-1,"n/a")</f>
        <v>n/a</v>
      </c>
      <c r="J11" s="60">
        <f>F11/H11-1</f>
        <v>-0.8548618586293506</v>
      </c>
      <c r="K11" s="68">
        <v>4201</v>
      </c>
      <c r="L11" s="68">
        <v>258885</v>
      </c>
      <c r="M11" s="68">
        <v>492279</v>
      </c>
      <c r="N11" s="64">
        <f>K11/L11-1</f>
        <v>-0.98377271761592988</v>
      </c>
      <c r="O11" s="60">
        <f>K11/M11-1</f>
        <v>-0.99146622139071539</v>
      </c>
      <c r="P11" s="70">
        <v>258885</v>
      </c>
      <c r="Q11" s="70">
        <v>733296</v>
      </c>
    </row>
    <row r="12" spans="1:33">
      <c r="A12" s="9"/>
      <c r="B12" s="12"/>
      <c r="C12" s="31" t="s">
        <v>20</v>
      </c>
      <c r="D12" s="26"/>
      <c r="E12" s="32"/>
      <c r="F12" s="45"/>
      <c r="G12" s="45"/>
      <c r="H12" s="45"/>
      <c r="I12" s="64"/>
      <c r="J12" s="61"/>
      <c r="K12" s="43"/>
      <c r="L12" s="43"/>
      <c r="M12" s="43"/>
      <c r="N12" s="65"/>
      <c r="O12" s="61"/>
      <c r="P12" s="44"/>
      <c r="Q12" s="44"/>
    </row>
    <row r="13" spans="1:33">
      <c r="A13" s="9"/>
      <c r="B13" s="12"/>
      <c r="C13" s="33"/>
      <c r="D13" s="26" t="s">
        <v>5</v>
      </c>
      <c r="E13" s="32"/>
      <c r="F13" s="68">
        <v>46</v>
      </c>
      <c r="G13" s="68">
        <v>0</v>
      </c>
      <c r="H13" s="68">
        <v>86</v>
      </c>
      <c r="I13" s="64" t="str">
        <f t="shared" si="0"/>
        <v>n/a</v>
      </c>
      <c r="J13" s="60">
        <f>F13/H13-1</f>
        <v>-0.46511627906976749</v>
      </c>
      <c r="K13" s="68">
        <v>84</v>
      </c>
      <c r="L13" s="68">
        <v>43</v>
      </c>
      <c r="M13" s="68">
        <v>585</v>
      </c>
      <c r="N13" s="64">
        <f>K13/L13-1</f>
        <v>0.95348837209302317</v>
      </c>
      <c r="O13" s="60">
        <f>K13/M13-1</f>
        <v>-0.85641025641025648</v>
      </c>
      <c r="P13" s="70">
        <v>43</v>
      </c>
      <c r="Q13" s="70">
        <v>827</v>
      </c>
    </row>
    <row r="14" spans="1:33">
      <c r="A14" s="9"/>
      <c r="B14" s="12"/>
      <c r="C14" s="33"/>
      <c r="D14" s="26" t="s">
        <v>11</v>
      </c>
      <c r="E14" s="32"/>
      <c r="F14" s="68">
        <v>89719</v>
      </c>
      <c r="G14" s="68">
        <v>0</v>
      </c>
      <c r="H14" s="68">
        <v>304036</v>
      </c>
      <c r="I14" s="64" t="str">
        <f t="shared" si="0"/>
        <v>n/a</v>
      </c>
      <c r="J14" s="60">
        <f>F14/H14-1</f>
        <v>-0.70490665579076162</v>
      </c>
      <c r="K14" s="68">
        <v>167883</v>
      </c>
      <c r="L14" s="68">
        <v>140552</v>
      </c>
      <c r="M14" s="68">
        <v>1897444</v>
      </c>
      <c r="N14" s="64">
        <f>K14/L14-1</f>
        <v>0.19445472138425646</v>
      </c>
      <c r="O14" s="60">
        <f>K14/M14-1</f>
        <v>-0.91152149944873206</v>
      </c>
      <c r="P14" s="70">
        <v>140552</v>
      </c>
      <c r="Q14" s="70">
        <v>2552942</v>
      </c>
    </row>
    <row r="15" spans="1:33">
      <c r="A15" s="9"/>
      <c r="B15" s="12"/>
      <c r="C15" s="31" t="s">
        <v>15</v>
      </c>
      <c r="D15" s="26"/>
      <c r="E15" s="32"/>
      <c r="F15" s="43"/>
      <c r="G15" s="43"/>
      <c r="H15" s="43"/>
      <c r="I15" s="64"/>
      <c r="J15" s="60"/>
      <c r="K15" s="43"/>
      <c r="L15" s="43"/>
      <c r="M15" s="43"/>
      <c r="N15" s="64"/>
      <c r="O15" s="60"/>
      <c r="P15" s="44"/>
      <c r="Q15" s="44"/>
    </row>
    <row r="16" spans="1:33">
      <c r="A16" s="9"/>
      <c r="B16" s="12"/>
      <c r="C16" s="33"/>
      <c r="D16" s="26" t="s">
        <v>5</v>
      </c>
      <c r="E16" s="32"/>
      <c r="F16" s="68">
        <v>2</v>
      </c>
      <c r="G16" s="68">
        <v>0</v>
      </c>
      <c r="H16" s="68">
        <v>23</v>
      </c>
      <c r="I16" s="64" t="str">
        <f t="shared" si="0"/>
        <v>n/a</v>
      </c>
      <c r="J16" s="60">
        <f>F16/H16-1</f>
        <v>-0.91304347826086962</v>
      </c>
      <c r="K16" s="68">
        <v>2</v>
      </c>
      <c r="L16" s="68">
        <v>4</v>
      </c>
      <c r="M16" s="68">
        <v>151</v>
      </c>
      <c r="N16" s="64">
        <f>K16/L16-1</f>
        <v>-0.5</v>
      </c>
      <c r="O16" s="60">
        <f>K16/M16-1</f>
        <v>-0.98675496688741726</v>
      </c>
      <c r="P16" s="70">
        <v>4</v>
      </c>
      <c r="Q16" s="70">
        <v>191</v>
      </c>
    </row>
    <row r="17" spans="1:33">
      <c r="A17" s="9"/>
      <c r="B17" s="12"/>
      <c r="C17" s="33"/>
      <c r="D17" s="26" t="s">
        <v>11</v>
      </c>
      <c r="E17" s="32"/>
      <c r="F17" s="68">
        <f>424</f>
        <v>424</v>
      </c>
      <c r="G17" s="68">
        <v>0</v>
      </c>
      <c r="H17" s="68">
        <v>35836</v>
      </c>
      <c r="I17" s="64" t="str">
        <f t="shared" si="0"/>
        <v>n/a</v>
      </c>
      <c r="J17" s="60">
        <f>F17/H17-1</f>
        <v>-0.98816832235740593</v>
      </c>
      <c r="K17" s="68">
        <v>424</v>
      </c>
      <c r="L17" s="68">
        <v>1753</v>
      </c>
      <c r="M17" s="68">
        <v>203390</v>
      </c>
      <c r="N17" s="64">
        <f>K17/L17-1</f>
        <v>-0.75812892184826008</v>
      </c>
      <c r="O17" s="60">
        <f>K17/M17-1</f>
        <v>-0.99791533507055408</v>
      </c>
      <c r="P17" s="70">
        <v>1753</v>
      </c>
      <c r="Q17" s="70">
        <v>254421</v>
      </c>
    </row>
    <row r="18" spans="1:33">
      <c r="A18" s="9"/>
      <c r="B18" s="12"/>
      <c r="C18" s="31" t="s">
        <v>10</v>
      </c>
      <c r="D18" s="26"/>
      <c r="E18" s="34"/>
      <c r="F18" s="43"/>
      <c r="G18" s="43"/>
      <c r="H18" s="43"/>
      <c r="I18" s="64"/>
      <c r="J18" s="60"/>
      <c r="K18" s="43"/>
      <c r="L18" s="43"/>
      <c r="M18" s="43"/>
      <c r="N18" s="64"/>
      <c r="O18" s="60"/>
      <c r="P18" s="44"/>
      <c r="Q18" s="44"/>
    </row>
    <row r="19" spans="1:33">
      <c r="A19" s="9"/>
      <c r="B19" s="12"/>
      <c r="C19" s="33"/>
      <c r="D19" s="26" t="s">
        <v>5</v>
      </c>
      <c r="E19" s="34"/>
      <c r="F19" s="68">
        <v>57</v>
      </c>
      <c r="G19" s="68">
        <v>0</v>
      </c>
      <c r="H19" s="68">
        <v>76</v>
      </c>
      <c r="I19" s="64" t="str">
        <f t="shared" si="0"/>
        <v>n/a</v>
      </c>
      <c r="J19" s="60">
        <f>F19/H19-1</f>
        <v>-0.25</v>
      </c>
      <c r="K19" s="68">
        <v>130</v>
      </c>
      <c r="L19" s="68">
        <v>406</v>
      </c>
      <c r="M19" s="68">
        <v>856</v>
      </c>
      <c r="N19" s="64">
        <f>K19/L19-1</f>
        <v>-0.67980295566502469</v>
      </c>
      <c r="O19" s="60">
        <f>K19/M19-1</f>
        <v>-0.84813084112149539</v>
      </c>
      <c r="P19" s="70">
        <v>406</v>
      </c>
      <c r="Q19" s="70">
        <v>1205</v>
      </c>
    </row>
    <row r="20" spans="1:33">
      <c r="A20" s="9"/>
      <c r="B20" s="12"/>
      <c r="C20" s="33"/>
      <c r="D20" s="26" t="s">
        <v>11</v>
      </c>
      <c r="E20" s="32"/>
      <c r="F20" s="68">
        <v>81777</v>
      </c>
      <c r="G20" s="68">
        <v>0</v>
      </c>
      <c r="H20" s="68">
        <v>223305</v>
      </c>
      <c r="I20" s="64" t="str">
        <f t="shared" si="0"/>
        <v>n/a</v>
      </c>
      <c r="J20" s="60">
        <f>F20/H20-1</f>
        <v>-0.63378786861019676</v>
      </c>
      <c r="K20" s="68">
        <v>181810</v>
      </c>
      <c r="L20" s="68">
        <v>833999</v>
      </c>
      <c r="M20" s="68">
        <v>2872542</v>
      </c>
      <c r="N20" s="64">
        <f>K20/L20-1</f>
        <v>-0.7820021366932095</v>
      </c>
      <c r="O20" s="60">
        <f>K20/M20-1</f>
        <v>-0.93670762690327936</v>
      </c>
      <c r="P20" s="70">
        <v>833999</v>
      </c>
      <c r="Q20" s="70">
        <v>3859183</v>
      </c>
    </row>
    <row r="21" spans="1:33">
      <c r="A21" s="9"/>
      <c r="B21" s="12"/>
      <c r="C21" s="31" t="s">
        <v>16</v>
      </c>
      <c r="D21" s="26"/>
      <c r="E21" s="32"/>
      <c r="F21" s="43"/>
      <c r="G21" s="43"/>
      <c r="H21" s="43"/>
      <c r="I21" s="64"/>
      <c r="J21" s="60"/>
      <c r="K21" s="43"/>
      <c r="L21" s="43"/>
      <c r="M21" s="43"/>
      <c r="N21" s="64"/>
      <c r="O21" s="60"/>
      <c r="P21" s="44"/>
      <c r="Q21" s="44"/>
    </row>
    <row r="22" spans="1:33">
      <c r="A22" s="9"/>
      <c r="B22" s="12"/>
      <c r="C22" s="33"/>
      <c r="D22" s="26" t="s">
        <v>5</v>
      </c>
      <c r="E22" s="32"/>
      <c r="F22" s="68">
        <v>17</v>
      </c>
      <c r="G22" s="68">
        <v>5</v>
      </c>
      <c r="H22" s="68">
        <v>40</v>
      </c>
      <c r="I22" s="64">
        <f t="shared" si="0"/>
        <v>2.4</v>
      </c>
      <c r="J22" s="60">
        <f>F22/H22-1</f>
        <v>-0.57499999999999996</v>
      </c>
      <c r="K22" s="68">
        <v>71</v>
      </c>
      <c r="L22" s="68">
        <v>16</v>
      </c>
      <c r="M22" s="68">
        <v>244</v>
      </c>
      <c r="N22" s="64">
        <f>K22/L22-1</f>
        <v>3.4375</v>
      </c>
      <c r="O22" s="60">
        <f>K22/M22-1</f>
        <v>-0.70901639344262302</v>
      </c>
      <c r="P22" s="70">
        <v>32</v>
      </c>
      <c r="Q22" s="70">
        <v>372</v>
      </c>
    </row>
    <row r="23" spans="1:33">
      <c r="A23" s="9"/>
      <c r="B23" s="12"/>
      <c r="C23" s="33"/>
      <c r="D23" s="26" t="s">
        <v>11</v>
      </c>
      <c r="E23" s="32"/>
      <c r="F23" s="68">
        <v>31465</v>
      </c>
      <c r="G23" s="68">
        <v>4538</v>
      </c>
      <c r="H23" s="68">
        <v>102143</v>
      </c>
      <c r="I23" s="64">
        <f t="shared" si="0"/>
        <v>5.9336712208021156</v>
      </c>
      <c r="J23" s="60">
        <f>F23/H23-1</f>
        <v>-0.69195147978814009</v>
      </c>
      <c r="K23" s="68">
        <v>101015</v>
      </c>
      <c r="L23" s="68">
        <v>47300</v>
      </c>
      <c r="M23" s="68">
        <v>688183</v>
      </c>
      <c r="N23" s="64">
        <f>K23/L23-1</f>
        <v>1.1356236786469345</v>
      </c>
      <c r="O23" s="60">
        <f>K23/M23-1</f>
        <v>-0.8532149152187718</v>
      </c>
      <c r="P23" s="70">
        <v>59180</v>
      </c>
      <c r="Q23" s="70">
        <v>902015</v>
      </c>
    </row>
    <row r="24" spans="1:33">
      <c r="A24" s="9"/>
      <c r="B24" s="12"/>
      <c r="C24" s="31" t="s">
        <v>17</v>
      </c>
      <c r="D24" s="26"/>
      <c r="E24" s="32"/>
      <c r="F24" s="43"/>
      <c r="G24" s="43"/>
      <c r="H24" s="43"/>
      <c r="I24" s="64"/>
      <c r="J24" s="60"/>
      <c r="K24" s="43"/>
      <c r="L24" s="43"/>
      <c r="M24" s="43"/>
      <c r="N24" s="64"/>
      <c r="O24" s="60"/>
      <c r="P24" s="44"/>
      <c r="Q24" s="44"/>
    </row>
    <row r="25" spans="1:33">
      <c r="B25" s="12"/>
      <c r="C25" s="33"/>
      <c r="D25" s="26" t="s">
        <v>5</v>
      </c>
      <c r="E25" s="32"/>
      <c r="F25" s="68">
        <v>23</v>
      </c>
      <c r="G25" s="68">
        <v>7</v>
      </c>
      <c r="H25" s="68">
        <v>41</v>
      </c>
      <c r="I25" s="64">
        <f t="shared" si="0"/>
        <v>2.2857142857142856</v>
      </c>
      <c r="J25" s="60">
        <f>F25/H25-1</f>
        <v>-0.43902439024390238</v>
      </c>
      <c r="K25" s="68">
        <v>79</v>
      </c>
      <c r="L25" s="68">
        <v>12</v>
      </c>
      <c r="M25" s="68">
        <v>255</v>
      </c>
      <c r="N25" s="64">
        <f>K25/L25-1</f>
        <v>5.583333333333333</v>
      </c>
      <c r="O25" s="60">
        <f>K25/M25-1</f>
        <v>-0.69019607843137254</v>
      </c>
      <c r="P25" s="70">
        <v>37</v>
      </c>
      <c r="Q25" s="70">
        <v>363</v>
      </c>
    </row>
    <row r="26" spans="1:33">
      <c r="A26" s="9"/>
      <c r="B26" s="12"/>
      <c r="C26" s="33"/>
      <c r="D26" s="26" t="s">
        <v>11</v>
      </c>
      <c r="E26" s="32"/>
      <c r="F26" s="68">
        <v>35845</v>
      </c>
      <c r="G26" s="68">
        <v>1534</v>
      </c>
      <c r="H26" s="68">
        <v>107800</v>
      </c>
      <c r="I26" s="64">
        <f t="shared" si="0"/>
        <v>22.367014341590611</v>
      </c>
      <c r="J26" s="60">
        <f>F26/H26-1</f>
        <v>-0.66748608534322817</v>
      </c>
      <c r="K26" s="68">
        <v>117659</v>
      </c>
      <c r="L26" s="68">
        <v>20026</v>
      </c>
      <c r="M26" s="68">
        <v>690353</v>
      </c>
      <c r="N26" s="64">
        <f>K26/L26-1</f>
        <v>4.8753120942774393</v>
      </c>
      <c r="O26" s="60">
        <f>K26/M26-1</f>
        <v>-0.8295669027294732</v>
      </c>
      <c r="P26" s="70">
        <v>29062</v>
      </c>
      <c r="Q26" s="70">
        <v>867164</v>
      </c>
    </row>
    <row r="27" spans="1:33" ht="15.75" thickBot="1">
      <c r="A27" s="9"/>
      <c r="B27" s="12"/>
      <c r="C27" s="35" t="s">
        <v>12</v>
      </c>
      <c r="D27" s="36"/>
      <c r="E27" s="37"/>
      <c r="F27" s="46">
        <f t="shared" ref="F27:H28" si="1">F10+F13+F16+F19+F22+F25</f>
        <v>148</v>
      </c>
      <c r="G27" s="46">
        <f t="shared" si="1"/>
        <v>12</v>
      </c>
      <c r="H27" s="46">
        <f t="shared" si="1"/>
        <v>269</v>
      </c>
      <c r="I27" s="66">
        <f>F27/G27-1</f>
        <v>11.333333333333334</v>
      </c>
      <c r="J27" s="62">
        <f>F27/H27-1</f>
        <v>-0.44981412639405205</v>
      </c>
      <c r="K27" s="46">
        <f t="shared" ref="K27:M28" si="2">K10+K13+K16+K19+K22+K25</f>
        <v>382</v>
      </c>
      <c r="L27" s="46">
        <f t="shared" si="2"/>
        <v>626</v>
      </c>
      <c r="M27" s="46">
        <f t="shared" si="2"/>
        <v>2344</v>
      </c>
      <c r="N27" s="66">
        <f>K27/L27-1</f>
        <v>-0.38977635782747599</v>
      </c>
      <c r="O27" s="62">
        <f>K27/M27-1</f>
        <v>-0.83703071672354945</v>
      </c>
      <c r="P27" s="46">
        <f>P10+P13+P16+P19+P22+P25</f>
        <v>667</v>
      </c>
      <c r="Q27" s="46">
        <f>Q10+Q13+Q16+Q19+Q22+Q25</f>
        <v>3344</v>
      </c>
    </row>
    <row r="28" spans="1:33" s="22" customFormat="1" ht="16.5" thickTop="1" thickBot="1">
      <c r="A28" s="9"/>
      <c r="B28" s="12"/>
      <c r="C28" s="38" t="s">
        <v>13</v>
      </c>
      <c r="D28" s="39"/>
      <c r="E28" s="40"/>
      <c r="F28" s="47">
        <f t="shared" si="1"/>
        <v>240848</v>
      </c>
      <c r="G28" s="47">
        <f t="shared" si="1"/>
        <v>6072</v>
      </c>
      <c r="H28" s="47">
        <f t="shared" si="1"/>
        <v>784268</v>
      </c>
      <c r="I28" s="67">
        <f>F28/G28-1</f>
        <v>38.665349143610015</v>
      </c>
      <c r="J28" s="63">
        <f>F28/H28-1</f>
        <v>-0.69290089612224393</v>
      </c>
      <c r="K28" s="47">
        <f t="shared" si="2"/>
        <v>572992</v>
      </c>
      <c r="L28" s="47">
        <f t="shared" si="2"/>
        <v>1302515</v>
      </c>
      <c r="M28" s="47">
        <f t="shared" si="2"/>
        <v>6844191</v>
      </c>
      <c r="N28" s="67">
        <f>K28/L28-1</f>
        <v>-0.56008798363166645</v>
      </c>
      <c r="O28" s="63">
        <f>K28/M28-1</f>
        <v>-0.91628053629713135</v>
      </c>
      <c r="P28" s="47">
        <f>P11+P14+P17+P20+P23+P26</f>
        <v>1323431</v>
      </c>
      <c r="Q28" s="47">
        <f>Q11+Q14+Q17+Q20+Q23+Q26</f>
        <v>9169021</v>
      </c>
      <c r="R28" s="9"/>
      <c r="S28" s="21"/>
      <c r="T28" s="21"/>
      <c r="U28" s="21"/>
      <c r="V28" s="21"/>
      <c r="W28" s="21"/>
      <c r="X28" s="21"/>
      <c r="Y28" s="21"/>
      <c r="Z28" s="21"/>
      <c r="AA28" s="21"/>
      <c r="AB28" s="21"/>
      <c r="AC28" s="21"/>
      <c r="AD28" s="21"/>
      <c r="AE28" s="21"/>
      <c r="AF28" s="21"/>
      <c r="AG28" s="21"/>
    </row>
    <row r="29" spans="1:33" ht="15.75" thickTop="1">
      <c r="A29" s="9"/>
      <c r="B29" s="9"/>
      <c r="C29" s="9"/>
      <c r="D29" s="9"/>
      <c r="E29" s="9"/>
      <c r="F29" s="41"/>
      <c r="G29" s="41"/>
      <c r="H29" s="41"/>
      <c r="I29" s="9"/>
      <c r="J29" s="9"/>
      <c r="K29" s="9"/>
      <c r="L29" s="9"/>
      <c r="M29" s="9"/>
      <c r="N29" s="9"/>
      <c r="O29" s="9"/>
      <c r="P29" s="9"/>
      <c r="Q29" s="9"/>
    </row>
    <row r="30" spans="1:33" hidden="1">
      <c r="A30" s="9"/>
      <c r="B30" s="9"/>
      <c r="C30" s="9"/>
      <c r="D30" s="9"/>
      <c r="E30" s="9"/>
      <c r="F30" s="41"/>
      <c r="G30" s="41"/>
      <c r="H30" s="41"/>
      <c r="I30" s="9"/>
      <c r="J30" s="9"/>
      <c r="K30" s="9"/>
      <c r="L30" s="9"/>
      <c r="M30" s="9"/>
      <c r="N30" s="9"/>
      <c r="O30" s="9"/>
      <c r="P30" s="9"/>
      <c r="Q30" s="9"/>
    </row>
    <row r="31" spans="1:33" hidden="1">
      <c r="A31" s="9"/>
      <c r="B31" s="9"/>
      <c r="C31" s="9"/>
      <c r="D31" s="9"/>
      <c r="E31" s="9"/>
      <c r="F31" s="41"/>
      <c r="G31" s="41"/>
      <c r="H31" s="41"/>
      <c r="I31" s="9"/>
      <c r="J31" s="9"/>
      <c r="K31" s="9"/>
      <c r="L31" s="9"/>
      <c r="M31" s="9"/>
      <c r="N31" s="9"/>
      <c r="O31" s="9"/>
      <c r="P31" s="9"/>
      <c r="Q31" s="9"/>
    </row>
    <row r="32" spans="1:33" hidden="1">
      <c r="A32" s="9"/>
      <c r="B32" s="9"/>
      <c r="C32" s="9"/>
      <c r="D32" s="9"/>
      <c r="E32" s="9"/>
      <c r="F32" s="41"/>
      <c r="G32" s="41"/>
      <c r="H32" s="41"/>
      <c r="I32" s="9"/>
      <c r="J32" s="9"/>
      <c r="K32" s="9"/>
      <c r="L32" s="9"/>
      <c r="M32" s="9"/>
      <c r="N32" s="9"/>
      <c r="O32" s="9"/>
      <c r="P32" s="9"/>
      <c r="Q32" s="9"/>
    </row>
    <row r="33" spans="1:17" hidden="1">
      <c r="A33" s="9"/>
      <c r="B33" s="9"/>
      <c r="C33" s="9"/>
      <c r="D33" s="9"/>
      <c r="E33" s="9"/>
      <c r="F33" s="41"/>
      <c r="G33" s="41"/>
      <c r="H33" s="41"/>
      <c r="I33" s="9"/>
      <c r="J33" s="9"/>
      <c r="K33" s="9"/>
      <c r="L33" s="9"/>
      <c r="M33" s="9"/>
      <c r="N33" s="9"/>
      <c r="O33" s="9"/>
      <c r="P33" s="9"/>
      <c r="Q33" s="9"/>
    </row>
    <row r="34" spans="1:17" hidden="1">
      <c r="A34" s="9"/>
      <c r="B34" s="9"/>
      <c r="C34" s="9"/>
      <c r="D34" s="9"/>
      <c r="E34" s="9"/>
      <c r="F34" s="41"/>
      <c r="G34" s="41"/>
      <c r="H34" s="41"/>
      <c r="I34" s="9"/>
      <c r="J34" s="9"/>
      <c r="K34" s="9"/>
      <c r="L34" s="9"/>
      <c r="M34" s="9"/>
      <c r="N34" s="9"/>
      <c r="O34" s="9"/>
      <c r="P34" s="9"/>
      <c r="Q34" s="9"/>
    </row>
    <row r="35" spans="1:17" hidden="1">
      <c r="A35" s="9"/>
      <c r="B35" s="9"/>
      <c r="C35" s="9"/>
      <c r="D35" s="9"/>
      <c r="E35" s="9"/>
      <c r="F35" s="41"/>
      <c r="G35" s="41"/>
      <c r="H35" s="41"/>
      <c r="I35" s="9"/>
      <c r="J35" s="9"/>
      <c r="K35" s="9"/>
      <c r="L35" s="9"/>
      <c r="M35" s="9"/>
      <c r="N35" s="9"/>
      <c r="O35" s="9"/>
      <c r="P35" s="9"/>
      <c r="Q35" s="9"/>
    </row>
    <row r="36" spans="1:17" hidden="1">
      <c r="A36" s="9"/>
      <c r="B36" s="9"/>
      <c r="C36" s="9"/>
      <c r="D36" s="9"/>
      <c r="E36" s="9"/>
      <c r="F36" s="41"/>
      <c r="G36" s="41"/>
      <c r="H36" s="41"/>
      <c r="I36" s="9"/>
      <c r="J36" s="9"/>
      <c r="K36" s="9"/>
      <c r="L36" s="9"/>
      <c r="M36" s="9"/>
      <c r="N36" s="9"/>
      <c r="O36" s="9"/>
      <c r="P36" s="9"/>
      <c r="Q36" s="9"/>
    </row>
    <row r="37" spans="1:17" hidden="1">
      <c r="A37" s="9"/>
      <c r="B37" s="9"/>
      <c r="C37" s="9"/>
      <c r="D37" s="9"/>
      <c r="E37" s="9"/>
      <c r="F37" s="41"/>
      <c r="G37" s="41"/>
      <c r="H37" s="41"/>
      <c r="I37" s="9"/>
      <c r="J37" s="9"/>
      <c r="K37" s="9"/>
      <c r="L37" s="9"/>
      <c r="M37" s="9"/>
      <c r="N37" s="9"/>
      <c r="O37" s="9"/>
      <c r="P37" s="9"/>
      <c r="Q37" s="9"/>
    </row>
    <row r="38" spans="1:17" hidden="1">
      <c r="A38" s="9"/>
      <c r="B38" s="9"/>
      <c r="C38" s="9"/>
      <c r="D38" s="9"/>
      <c r="E38" s="9"/>
      <c r="F38" s="41"/>
      <c r="G38" s="41"/>
      <c r="H38" s="41"/>
      <c r="I38" s="9"/>
      <c r="J38" s="9"/>
      <c r="K38" s="9"/>
      <c r="L38" s="9"/>
      <c r="M38" s="9"/>
      <c r="N38" s="9"/>
      <c r="O38" s="9"/>
      <c r="P38" s="9"/>
      <c r="Q38" s="9"/>
    </row>
    <row r="39" spans="1:17" hidden="1">
      <c r="A39" s="9"/>
      <c r="B39" s="9"/>
      <c r="C39" s="9"/>
      <c r="D39" s="9"/>
      <c r="E39" s="9"/>
      <c r="F39" s="41"/>
      <c r="G39" s="41"/>
      <c r="H39" s="41"/>
      <c r="I39" s="9"/>
      <c r="J39" s="9"/>
      <c r="K39" s="9"/>
      <c r="L39" s="9"/>
      <c r="M39" s="9"/>
      <c r="N39" s="9"/>
      <c r="O39" s="9"/>
      <c r="P39" s="9"/>
      <c r="Q39" s="9"/>
    </row>
    <row r="40" spans="1:17" hidden="1">
      <c r="A40" s="9"/>
      <c r="B40" s="9"/>
      <c r="C40" s="9"/>
      <c r="D40" s="9"/>
      <c r="E40" s="9"/>
      <c r="F40" s="41"/>
      <c r="G40" s="41"/>
      <c r="H40" s="41"/>
      <c r="I40" s="9"/>
      <c r="J40" s="9"/>
      <c r="K40" s="9"/>
      <c r="L40" s="9"/>
      <c r="M40" s="9"/>
      <c r="N40" s="9"/>
      <c r="O40" s="9"/>
      <c r="P40" s="9"/>
      <c r="Q40" s="9"/>
    </row>
    <row r="41" spans="1:17" hidden="1">
      <c r="A41" s="9"/>
      <c r="B41" s="9"/>
      <c r="C41" s="9"/>
      <c r="D41" s="9"/>
      <c r="E41" s="9"/>
      <c r="F41" s="41"/>
      <c r="G41" s="41"/>
      <c r="H41" s="41"/>
      <c r="I41" s="9"/>
      <c r="J41" s="9"/>
      <c r="K41" s="9"/>
      <c r="L41" s="9"/>
      <c r="M41" s="9"/>
      <c r="N41" s="9"/>
      <c r="O41" s="9"/>
      <c r="P41" s="9"/>
      <c r="Q41" s="9"/>
    </row>
    <row r="42" spans="1:17" hidden="1">
      <c r="A42" s="9"/>
      <c r="B42" s="9"/>
      <c r="C42" s="9"/>
      <c r="D42" s="9"/>
      <c r="E42" s="9"/>
      <c r="F42" s="41"/>
      <c r="G42" s="41"/>
      <c r="H42" s="41"/>
      <c r="I42" s="9"/>
      <c r="J42" s="9"/>
      <c r="K42" s="9"/>
      <c r="L42" s="9"/>
      <c r="M42" s="9"/>
      <c r="N42" s="9"/>
      <c r="O42" s="9"/>
      <c r="P42" s="9"/>
      <c r="Q42" s="9"/>
    </row>
    <row r="43" spans="1:17" hidden="1">
      <c r="A43" s="9"/>
      <c r="B43" s="9"/>
      <c r="C43" s="9"/>
      <c r="D43" s="9"/>
      <c r="E43" s="9"/>
      <c r="F43" s="41"/>
      <c r="G43" s="41"/>
      <c r="H43" s="41"/>
      <c r="I43" s="9"/>
      <c r="J43" s="9"/>
      <c r="K43" s="9"/>
      <c r="L43" s="9"/>
      <c r="M43" s="9"/>
      <c r="N43" s="9"/>
      <c r="O43" s="9"/>
      <c r="P43" s="9"/>
      <c r="Q43" s="9"/>
    </row>
    <row r="44" spans="1:17" hidden="1">
      <c r="A44" s="9"/>
      <c r="B44" s="9"/>
      <c r="C44" s="9"/>
      <c r="D44" s="9"/>
      <c r="E44" s="9"/>
      <c r="F44" s="41"/>
      <c r="G44" s="41"/>
      <c r="H44" s="41"/>
      <c r="I44" s="9"/>
      <c r="J44" s="9"/>
      <c r="K44" s="9"/>
      <c r="L44" s="9"/>
      <c r="M44" s="9"/>
      <c r="N44" s="9"/>
      <c r="O44" s="9"/>
      <c r="P44" s="9"/>
      <c r="Q44" s="9"/>
    </row>
    <row r="45" spans="1:17" hidden="1">
      <c r="A45" s="9"/>
      <c r="B45" s="9"/>
      <c r="C45" s="9"/>
      <c r="D45" s="9"/>
      <c r="E45" s="9"/>
      <c r="F45" s="41"/>
      <c r="G45" s="41"/>
      <c r="H45" s="41"/>
      <c r="I45" s="9"/>
      <c r="J45" s="9"/>
      <c r="K45" s="9"/>
      <c r="L45" s="9"/>
      <c r="M45" s="9"/>
      <c r="N45" s="9"/>
      <c r="O45" s="9"/>
      <c r="P45" s="9"/>
      <c r="Q45" s="9"/>
    </row>
    <row r="46" spans="1:17" hidden="1">
      <c r="A46" s="9"/>
      <c r="B46" s="9"/>
      <c r="C46" s="9"/>
      <c r="D46" s="9"/>
      <c r="E46" s="9"/>
      <c r="F46" s="41"/>
      <c r="G46" s="41"/>
      <c r="H46" s="41"/>
      <c r="I46" s="9"/>
      <c r="J46" s="9"/>
      <c r="K46" s="9"/>
      <c r="L46" s="9"/>
      <c r="M46" s="9"/>
      <c r="N46" s="9"/>
      <c r="O46" s="9"/>
      <c r="P46" s="9"/>
      <c r="Q46" s="9"/>
    </row>
    <row r="47" spans="1:17" hidden="1">
      <c r="A47" s="9"/>
      <c r="B47" s="9"/>
      <c r="C47" s="9"/>
      <c r="D47" s="9"/>
      <c r="E47" s="9"/>
      <c r="F47" s="41"/>
      <c r="G47" s="41"/>
      <c r="H47" s="41"/>
      <c r="I47" s="9"/>
      <c r="J47" s="9"/>
      <c r="K47" s="9"/>
      <c r="L47" s="9"/>
      <c r="M47" s="9"/>
      <c r="N47" s="9"/>
      <c r="O47" s="9"/>
      <c r="P47" s="9"/>
      <c r="Q47" s="9"/>
    </row>
    <row r="48" spans="1:17" hidden="1">
      <c r="A48" s="9"/>
      <c r="B48" s="9"/>
      <c r="C48" s="9"/>
      <c r="D48" s="9"/>
      <c r="E48" s="9"/>
      <c r="F48" s="9"/>
      <c r="G48" s="9"/>
      <c r="H48" s="9"/>
      <c r="I48" s="9"/>
      <c r="J48" s="9"/>
      <c r="K48" s="9"/>
      <c r="L48" s="9"/>
      <c r="M48" s="9"/>
      <c r="N48" s="9"/>
      <c r="O48" s="9"/>
      <c r="P48" s="9"/>
      <c r="Q48" s="9"/>
    </row>
  </sheetData>
  <customSheetViews>
    <customSheetView guid="{5F6D01E3-9E6F-4D7F-980F-63899AF95899}" scale="79" fitToPage="1" hiddenRows="1" hiddenColumns="1">
      <pageMargins left="0.7" right="0.7" top="0.75" bottom="0.75" header="0.3" footer="0.3"/>
      <pageSetup paperSize="9" scale="85" orientation="landscape" horizontalDpi="4294967293" verticalDpi="4294967293" r:id="rId1"/>
    </customSheetView>
  </customSheetViews>
  <mergeCells count="3">
    <mergeCell ref="P6:Q6"/>
    <mergeCell ref="K6:O6"/>
    <mergeCell ref="F6:J6"/>
  </mergeCells>
  <pageMargins left="0.7" right="0.7" top="0.75" bottom="0.75" header="0.3" footer="0.3"/>
  <pageSetup paperSize="9" scale="85" orientation="landscape" horizontalDpi="4294967293" verticalDpi="4294967293"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DE9F-5A60-41D7-B530-009DDFFF847E}">
  <dimension ref="A1:AS71"/>
  <sheetViews>
    <sheetView showGridLines="0" topLeftCell="O34" zoomScale="85" zoomScaleNormal="85" workbookViewId="0">
      <selection activeCell="V42" sqref="V42:V55"/>
    </sheetView>
  </sheetViews>
  <sheetFormatPr defaultColWidth="0" defaultRowHeight="0" customHeight="1" zeroHeight="1"/>
  <cols>
    <col min="1" max="2" width="4.140625" customWidth="1"/>
    <col min="3" max="3" width="6.28515625" customWidth="1"/>
    <col min="4" max="4" width="10" customWidth="1"/>
    <col min="5" max="5" width="20.42578125" customWidth="1"/>
    <col min="6" max="8" width="13" customWidth="1"/>
    <col min="9" max="9" width="11.140625" bestFit="1" customWidth="1"/>
    <col min="10" max="10" width="10.140625" bestFit="1" customWidth="1"/>
    <col min="11" max="12" width="8.85546875" customWidth="1"/>
    <col min="13" max="13" width="10.140625" bestFit="1" customWidth="1"/>
    <col min="14" max="15" width="10.140625" customWidth="1"/>
    <col min="16" max="16" width="8" customWidth="1"/>
    <col min="17" max="17" width="8.85546875" bestFit="1" customWidth="1"/>
    <col min="18" max="18" width="8.5703125" bestFit="1" customWidth="1"/>
    <col min="19" max="20" width="8" customWidth="1"/>
    <col min="21" max="21" width="10" bestFit="1" customWidth="1"/>
    <col min="22" max="22" width="11.85546875" bestFit="1" customWidth="1"/>
    <col min="23" max="24" width="12.5703125" bestFit="1" customWidth="1"/>
    <col min="25" max="27" width="11.5703125" bestFit="1" customWidth="1"/>
    <col min="28" max="28" width="11.85546875" bestFit="1" customWidth="1"/>
    <col min="29" max="29" width="8.42578125" customWidth="1"/>
    <col min="30" max="30" width="9.140625" customWidth="1"/>
    <col min="31" max="31" width="8.85546875" customWidth="1"/>
    <col min="32" max="32" width="8.85546875" bestFit="1" customWidth="1"/>
    <col min="33" max="33" width="8.85546875" customWidth="1"/>
    <col min="34" max="34" width="9" bestFit="1" customWidth="1"/>
    <col min="35" max="35" width="7.85546875" customWidth="1"/>
    <col min="36" max="36" width="10" bestFit="1" customWidth="1"/>
    <col min="37" max="37" width="12.85546875" bestFit="1" customWidth="1"/>
    <col min="38" max="38" width="10.85546875" bestFit="1" customWidth="1"/>
    <col min="39" max="39" width="13.42578125" bestFit="1" customWidth="1"/>
    <col min="40" max="40" width="13.140625" bestFit="1" customWidth="1"/>
    <col min="41" max="41" width="12.85546875" bestFit="1" customWidth="1"/>
    <col min="42" max="42" width="15.42578125" bestFit="1" customWidth="1"/>
    <col min="43" max="43" width="11.140625" customWidth="1"/>
    <col min="44" max="44" width="3.42578125" customWidth="1"/>
    <col min="45" max="45" width="0" hidden="1" customWidth="1"/>
    <col min="46" max="16384" width="8.85546875" hidden="1"/>
  </cols>
  <sheetData>
    <row r="1" spans="1:4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row>
    <row r="2" spans="1:4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4"/>
      <c r="AR2" s="9"/>
    </row>
    <row r="3" spans="1:4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f>Occupancy_2026!AY3</f>
        <v>46154</v>
      </c>
      <c r="AQ3" s="25"/>
      <c r="AR3" s="9"/>
    </row>
    <row r="4" spans="1:44" ht="15.75">
      <c r="A4" s="9"/>
      <c r="B4" s="11" t="s">
        <v>7</v>
      </c>
      <c r="C4" s="26"/>
      <c r="D4" s="151" t="s">
        <v>41</v>
      </c>
      <c r="E4" s="133" t="s">
        <v>156</v>
      </c>
      <c r="F4" s="133"/>
      <c r="G4" s="133"/>
      <c r="H4" s="133"/>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9"/>
    </row>
    <row r="5" spans="1:4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9"/>
    </row>
    <row r="6" spans="1:4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9"/>
    </row>
    <row r="7" spans="1:4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9"/>
    </row>
    <row r="8" spans="1:4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9"/>
    </row>
    <row r="9" spans="1:44" s="123" customFormat="1" ht="15" customHeight="1">
      <c r="A9" s="122"/>
      <c r="C9" s="27" t="s">
        <v>7</v>
      </c>
      <c r="D9" s="28"/>
      <c r="E9" s="28"/>
      <c r="F9" s="167" t="str">
        <f>D4</f>
        <v>March</v>
      </c>
      <c r="G9" s="167"/>
      <c r="H9" s="167"/>
      <c r="I9" s="167"/>
      <c r="J9" s="167"/>
      <c r="K9" s="167"/>
      <c r="L9" s="167"/>
      <c r="M9" s="167"/>
      <c r="N9" s="167"/>
      <c r="O9" s="167"/>
      <c r="P9" s="167"/>
      <c r="Q9" s="167"/>
      <c r="R9" s="167"/>
      <c r="S9" s="167"/>
      <c r="T9" s="168"/>
      <c r="U9" s="169" t="str">
        <f xml:space="preserve"> "January to "&amp; F9</f>
        <v>January to March</v>
      </c>
      <c r="V9" s="170"/>
      <c r="W9" s="170"/>
      <c r="X9" s="170"/>
      <c r="Y9" s="170"/>
      <c r="Z9" s="170"/>
      <c r="AA9" s="170"/>
      <c r="AB9" s="170"/>
      <c r="AC9" s="170"/>
      <c r="AD9" s="170"/>
      <c r="AE9" s="170"/>
      <c r="AF9" s="170"/>
      <c r="AG9" s="170"/>
      <c r="AH9" s="170"/>
      <c r="AI9" s="171"/>
      <c r="AJ9" s="169" t="s">
        <v>57</v>
      </c>
      <c r="AK9" s="170"/>
      <c r="AL9" s="170"/>
      <c r="AM9" s="170"/>
      <c r="AN9" s="170"/>
      <c r="AO9" s="170"/>
      <c r="AP9" s="172"/>
      <c r="AQ9" s="122"/>
      <c r="AR9" s="122"/>
    </row>
    <row r="10" spans="1:44" s="123" customFormat="1" ht="13.5">
      <c r="A10" s="122"/>
      <c r="B10" s="124"/>
      <c r="C10" s="29"/>
      <c r="D10" s="30"/>
      <c r="E10" s="30"/>
      <c r="F10" s="30"/>
      <c r="G10" s="173"/>
      <c r="H10" s="173"/>
      <c r="I10" s="173"/>
      <c r="J10" s="173"/>
      <c r="K10" s="173"/>
      <c r="L10" s="173"/>
      <c r="M10" s="173"/>
      <c r="N10" s="173"/>
      <c r="O10" s="173"/>
      <c r="P10" s="173"/>
      <c r="Q10" s="173"/>
      <c r="R10" s="173"/>
      <c r="S10" s="173"/>
      <c r="T10" s="174"/>
      <c r="U10" s="175"/>
      <c r="V10" s="173"/>
      <c r="W10" s="173"/>
      <c r="X10" s="173"/>
      <c r="Y10" s="173"/>
      <c r="Z10" s="173"/>
      <c r="AA10" s="173"/>
      <c r="AB10" s="173"/>
      <c r="AC10" s="173"/>
      <c r="AD10" s="173"/>
      <c r="AE10" s="173"/>
      <c r="AF10" s="173"/>
      <c r="AG10" s="173"/>
      <c r="AH10" s="173"/>
      <c r="AI10" s="174"/>
      <c r="AJ10" s="152"/>
      <c r="AK10" s="152"/>
      <c r="AL10" s="30"/>
      <c r="AM10" s="30"/>
      <c r="AN10" s="30"/>
      <c r="AO10" s="30"/>
      <c r="AP10" s="56"/>
      <c r="AQ10" s="122"/>
      <c r="AR10" s="122"/>
    </row>
    <row r="11" spans="1:44" s="123" customFormat="1" ht="26.25" customHeight="1">
      <c r="A11" s="125"/>
      <c r="B11" s="126"/>
      <c r="C11" s="59" t="s">
        <v>29</v>
      </c>
      <c r="D11" s="50"/>
      <c r="E11" s="51"/>
      <c r="F11" s="55">
        <v>2026</v>
      </c>
      <c r="G11" s="52">
        <v>2025</v>
      </c>
      <c r="H11" s="52">
        <v>2024</v>
      </c>
      <c r="I11" s="52">
        <v>2023</v>
      </c>
      <c r="J11" s="52">
        <v>2022</v>
      </c>
      <c r="K11" s="52">
        <v>2021</v>
      </c>
      <c r="L11" s="52">
        <v>2020</v>
      </c>
      <c r="M11" s="52">
        <v>2019</v>
      </c>
      <c r="N11" s="53" t="s">
        <v>146</v>
      </c>
      <c r="O11" s="53" t="s">
        <v>147</v>
      </c>
      <c r="P11" s="53" t="s">
        <v>148</v>
      </c>
      <c r="Q11" s="53" t="s">
        <v>149</v>
      </c>
      <c r="R11" s="53" t="s">
        <v>150</v>
      </c>
      <c r="S11" s="53" t="s">
        <v>151</v>
      </c>
      <c r="T11" s="57" t="s">
        <v>157</v>
      </c>
      <c r="U11" s="53">
        <v>2026</v>
      </c>
      <c r="V11" s="53">
        <v>2025</v>
      </c>
      <c r="W11" s="53">
        <v>2024</v>
      </c>
      <c r="X11" s="53">
        <v>2023</v>
      </c>
      <c r="Y11" s="53">
        <v>2022</v>
      </c>
      <c r="Z11" s="52">
        <v>2021</v>
      </c>
      <c r="AA11" s="52">
        <v>2020</v>
      </c>
      <c r="AB11" s="52">
        <v>2019</v>
      </c>
      <c r="AC11" s="53" t="s">
        <v>146</v>
      </c>
      <c r="AD11" s="53" t="s">
        <v>147</v>
      </c>
      <c r="AE11" s="53" t="s">
        <v>148</v>
      </c>
      <c r="AF11" s="53" t="s">
        <v>149</v>
      </c>
      <c r="AG11" s="53" t="s">
        <v>150</v>
      </c>
      <c r="AH11" s="53" t="s">
        <v>151</v>
      </c>
      <c r="AI11" s="57" t="s">
        <v>157</v>
      </c>
      <c r="AJ11" s="53">
        <v>2025</v>
      </c>
      <c r="AK11" s="53">
        <v>2024</v>
      </c>
      <c r="AL11" s="53">
        <v>2023</v>
      </c>
      <c r="AM11" s="53">
        <v>2022</v>
      </c>
      <c r="AN11" s="53">
        <v>2021</v>
      </c>
      <c r="AO11" s="52">
        <v>2020</v>
      </c>
      <c r="AP11" s="77">
        <v>2019</v>
      </c>
      <c r="AQ11" s="125"/>
      <c r="AR11" s="125"/>
    </row>
    <row r="12" spans="1:44" s="123" customFormat="1" ht="12.75">
      <c r="A12" s="122"/>
      <c r="B12" s="127"/>
      <c r="C12" s="31" t="s">
        <v>107</v>
      </c>
      <c r="D12" s="26"/>
      <c r="E12" s="32"/>
      <c r="F12" s="26"/>
      <c r="G12" s="26"/>
      <c r="H12" s="26"/>
      <c r="I12" s="26"/>
      <c r="J12" s="26"/>
      <c r="K12" s="26"/>
      <c r="L12" s="26"/>
      <c r="M12" s="26"/>
      <c r="N12" s="146"/>
      <c r="O12" s="26"/>
      <c r="P12" s="26"/>
      <c r="Q12" s="26"/>
      <c r="R12" s="26"/>
      <c r="S12" s="26"/>
      <c r="T12" s="32"/>
      <c r="U12" s="26"/>
      <c r="V12" s="26"/>
      <c r="W12" s="26"/>
      <c r="X12" s="26"/>
      <c r="Y12" s="26"/>
      <c r="Z12" s="26"/>
      <c r="AA12" s="26"/>
      <c r="AB12" s="26"/>
      <c r="AC12" s="26"/>
      <c r="AD12" s="26"/>
      <c r="AE12" s="26"/>
      <c r="AF12" s="26"/>
      <c r="AG12" s="26"/>
      <c r="AH12" s="26"/>
      <c r="AI12" s="32"/>
      <c r="AJ12" s="26"/>
      <c r="AK12" s="26"/>
      <c r="AL12" s="26"/>
      <c r="AM12" s="26"/>
      <c r="AN12" s="26"/>
      <c r="AO12" s="26"/>
      <c r="AP12" s="32"/>
      <c r="AQ12" s="122"/>
      <c r="AR12" s="122"/>
    </row>
    <row r="13" spans="1:44" s="123" customFormat="1" ht="12.75">
      <c r="A13" s="122"/>
      <c r="B13" s="127"/>
      <c r="C13" s="33"/>
      <c r="D13" s="26" t="s">
        <v>5</v>
      </c>
      <c r="E13" s="32"/>
      <c r="F13" s="71">
        <v>384</v>
      </c>
      <c r="G13" s="71">
        <v>349</v>
      </c>
      <c r="H13" s="71">
        <v>281</v>
      </c>
      <c r="I13" s="73">
        <v>181</v>
      </c>
      <c r="J13" s="73">
        <v>204</v>
      </c>
      <c r="K13" s="73">
        <v>0</v>
      </c>
      <c r="L13" s="73">
        <v>147</v>
      </c>
      <c r="M13" s="73">
        <v>170</v>
      </c>
      <c r="N13" s="64">
        <f>IFERROR(F13/G13-1,"n/a")</f>
        <v>0.10028653295128942</v>
      </c>
      <c r="O13" s="64">
        <f>IFERROR(F13/H13-1,"n/a")</f>
        <v>0.36654804270462638</v>
      </c>
      <c r="P13" s="64">
        <f>IFERROR(F13/I13-1,"n/a")</f>
        <v>1.1215469613259668</v>
      </c>
      <c r="Q13" s="64">
        <f>IFERROR(F13/J13-1,"n/a")</f>
        <v>0.88235294117647056</v>
      </c>
      <c r="R13" s="64" t="str">
        <f>IFERROR(F13/K13-1,"n/a")</f>
        <v>n/a</v>
      </c>
      <c r="S13" s="64">
        <f>IFERROR(F13/L13-1,"n/a")</f>
        <v>1.6122448979591835</v>
      </c>
      <c r="T13" s="60">
        <f>IFERROR(F13/M13-1,"n/a")</f>
        <v>1.2588235294117647</v>
      </c>
      <c r="U13" s="68">
        <f>F13+'Feb-26'!U13</f>
        <v>1195</v>
      </c>
      <c r="V13" s="68">
        <f>G13+'Feb-26'!V13</f>
        <v>1093</v>
      </c>
      <c r="W13" s="68">
        <f>H13+'Feb-26'!W13</f>
        <v>702</v>
      </c>
      <c r="X13" s="68">
        <f>I13+'Feb-26'!X13</f>
        <v>530</v>
      </c>
      <c r="Y13" s="68">
        <f>J13+'Feb-26'!Y13</f>
        <v>530</v>
      </c>
      <c r="Z13" s="68">
        <f>K13+'Feb-26'!Z13</f>
        <v>0</v>
      </c>
      <c r="AA13" s="68">
        <f>L13+'Feb-26'!AA13</f>
        <v>509</v>
      </c>
      <c r="AB13" s="68">
        <f>M13+'Feb-26'!AB13</f>
        <v>516</v>
      </c>
      <c r="AC13" s="64">
        <f>IFERROR(U13/V13-1,"n/a")</f>
        <v>9.3321134492223345E-2</v>
      </c>
      <c r="AD13" s="64">
        <f>IFERROR(U13/W13-1,"n/a")</f>
        <v>0.70227920227920237</v>
      </c>
      <c r="AE13" s="64">
        <f>IFERROR(U13/X13-1,"n/a")</f>
        <v>1.2547169811320753</v>
      </c>
      <c r="AF13" s="64">
        <f>IFERROR(U13/Y13-1,"n/a")</f>
        <v>1.2547169811320753</v>
      </c>
      <c r="AG13" s="64" t="str">
        <f>IFERROR(U13/Z13-1,"n/a")</f>
        <v>n/a</v>
      </c>
      <c r="AH13" s="64">
        <f>IFERROR(U13/AA13-1,"n/a")</f>
        <v>1.3477406679764243</v>
      </c>
      <c r="AI13" s="60">
        <f>IFERROR(U13/AB13-1,"n/a")</f>
        <v>1.3158914728682172</v>
      </c>
      <c r="AJ13" s="68">
        <v>2979</v>
      </c>
      <c r="AK13" s="68">
        <v>2483</v>
      </c>
      <c r="AL13" s="68">
        <v>1630</v>
      </c>
      <c r="AM13" s="68">
        <v>1486</v>
      </c>
      <c r="AN13" s="68">
        <v>522</v>
      </c>
      <c r="AO13" s="68">
        <v>551</v>
      </c>
      <c r="AP13" s="134">
        <v>1591</v>
      </c>
      <c r="AQ13" s="122"/>
      <c r="AR13" s="122"/>
    </row>
    <row r="14" spans="1:44" s="123" customFormat="1" ht="12.75">
      <c r="A14" s="122"/>
      <c r="B14" s="127"/>
      <c r="C14" s="33"/>
      <c r="D14" s="26" t="s">
        <v>11</v>
      </c>
      <c r="E14" s="32"/>
      <c r="F14" s="71">
        <v>1161194</v>
      </c>
      <c r="G14" s="71">
        <v>996380</v>
      </c>
      <c r="H14" s="71">
        <v>857821</v>
      </c>
      <c r="I14" s="73">
        <v>565574</v>
      </c>
      <c r="J14" s="73">
        <v>344501</v>
      </c>
      <c r="K14" s="73">
        <v>0</v>
      </c>
      <c r="L14" s="73">
        <v>196286</v>
      </c>
      <c r="M14" s="73">
        <v>500596</v>
      </c>
      <c r="N14" s="64">
        <f>IFERROR(F14/G14-1,"n/a")</f>
        <v>0.16541279431542177</v>
      </c>
      <c r="O14" s="64">
        <f>IFERROR(F14/H14-1,"n/a")</f>
        <v>0.35365536632933914</v>
      </c>
      <c r="P14" s="64">
        <f>IFERROR(F14/I14-1,"n/a")</f>
        <v>1.0531247900363172</v>
      </c>
      <c r="Q14" s="64">
        <f>IFERROR(F14/J14-1,"n/a")</f>
        <v>2.3706549473005882</v>
      </c>
      <c r="R14" s="64" t="str">
        <f>IFERROR(F14/K14-1,"n/a")</f>
        <v>n/a</v>
      </c>
      <c r="S14" s="64">
        <f>IFERROR(F14/L14-1,"n/a")</f>
        <v>4.915826905637692</v>
      </c>
      <c r="T14" s="60">
        <f>IFERROR(F14/M14-1,"n/a")</f>
        <v>1.3196230093728274</v>
      </c>
      <c r="U14" s="68">
        <f>F14+'Feb-26'!U14-24</f>
        <v>3503264</v>
      </c>
      <c r="V14" s="68">
        <f>G14+'Feb-26'!V14</f>
        <v>2925581</v>
      </c>
      <c r="W14" s="68">
        <f>H14+'Feb-26'!W14</f>
        <v>2153824</v>
      </c>
      <c r="X14" s="68">
        <f>I14+'Feb-26'!X14</f>
        <v>1538184</v>
      </c>
      <c r="Y14" s="68">
        <f>J14+'Feb-26'!Y14</f>
        <v>759658</v>
      </c>
      <c r="Z14" s="68">
        <f>K14+'Feb-26'!Z14</f>
        <v>0</v>
      </c>
      <c r="AA14" s="68">
        <f>L14+'Feb-26'!AA14</f>
        <v>1092884</v>
      </c>
      <c r="AB14" s="68">
        <f>M14+'Feb-26'!AB14</f>
        <v>1451104</v>
      </c>
      <c r="AC14" s="64">
        <f>IFERROR(U14/V14-1,"n/a")</f>
        <v>0.19745923972024704</v>
      </c>
      <c r="AD14" s="64">
        <f>IFERROR(U14/W14-1,"n/a")</f>
        <v>0.6265321586164887</v>
      </c>
      <c r="AE14" s="64">
        <f>IFERROR(U14/X14-1,"n/a")</f>
        <v>1.2775324668570209</v>
      </c>
      <c r="AF14" s="64">
        <f>IFERROR(U14/Y14-1,"n/a")</f>
        <v>3.611633129645182</v>
      </c>
      <c r="AG14" s="64" t="str">
        <f>IFERROR(U14/Z14-1,"n/a")</f>
        <v>n/a</v>
      </c>
      <c r="AH14" s="64">
        <f>IFERROR(U14/AA14-1,"n/a")</f>
        <v>2.2055222695180823</v>
      </c>
      <c r="AI14" s="60">
        <f>IFERROR(U14/AB14-1,"n/a")</f>
        <v>1.414206011423027</v>
      </c>
      <c r="AJ14" s="68">
        <v>9306898</v>
      </c>
      <c r="AK14" s="68">
        <v>8019489</v>
      </c>
      <c r="AL14" s="68">
        <v>5232537</v>
      </c>
      <c r="AM14" s="68">
        <v>3592413</v>
      </c>
      <c r="AN14" s="68">
        <v>768312</v>
      </c>
      <c r="AO14" s="68">
        <v>1092884</v>
      </c>
      <c r="AP14" s="134">
        <v>4592479</v>
      </c>
      <c r="AQ14" s="122"/>
      <c r="AR14" s="122"/>
    </row>
    <row r="15" spans="1:44" s="123" customFormat="1" ht="12.75">
      <c r="A15" s="122"/>
      <c r="B15" s="127"/>
      <c r="C15" s="31" t="s">
        <v>163</v>
      </c>
      <c r="D15" s="26"/>
      <c r="E15" s="32"/>
      <c r="F15" s="97"/>
      <c r="G15" s="97"/>
      <c r="H15" s="97"/>
      <c r="I15" s="97"/>
      <c r="J15" s="26"/>
      <c r="K15" s="26"/>
      <c r="L15" s="26"/>
      <c r="M15" s="26"/>
      <c r="N15" s="64"/>
      <c r="O15" s="64"/>
      <c r="P15" s="64"/>
      <c r="Q15" s="64"/>
      <c r="R15" s="64"/>
      <c r="S15" s="64"/>
      <c r="T15" s="61"/>
      <c r="U15" s="87"/>
      <c r="V15" s="87"/>
      <c r="W15" s="87"/>
      <c r="X15" s="87"/>
      <c r="Y15" s="87"/>
      <c r="Z15" s="87"/>
      <c r="AA15" s="87"/>
      <c r="AB15" s="87"/>
      <c r="AC15" s="64"/>
      <c r="AD15" s="64"/>
      <c r="AE15" s="64"/>
      <c r="AF15" s="64"/>
      <c r="AG15" s="64"/>
      <c r="AH15" s="64"/>
      <c r="AI15" s="61"/>
      <c r="AJ15" s="43"/>
      <c r="AK15" s="43"/>
      <c r="AL15" s="43"/>
      <c r="AM15" s="43"/>
      <c r="AN15" s="43"/>
      <c r="AO15" s="43"/>
      <c r="AP15" s="135"/>
      <c r="AQ15" s="122"/>
      <c r="AR15" s="122"/>
    </row>
    <row r="16" spans="1:44" s="123" customFormat="1" ht="12.75">
      <c r="A16" s="122"/>
      <c r="B16" s="127"/>
      <c r="C16" s="33"/>
      <c r="D16" s="26" t="s">
        <v>5</v>
      </c>
      <c r="E16" s="32"/>
      <c r="F16" s="71">
        <v>58</v>
      </c>
      <c r="G16" s="71">
        <v>30</v>
      </c>
      <c r="H16" s="71">
        <v>17</v>
      </c>
      <c r="I16" s="73">
        <v>16</v>
      </c>
      <c r="J16" s="73">
        <v>26</v>
      </c>
      <c r="K16" s="73">
        <v>5</v>
      </c>
      <c r="L16" s="73">
        <v>1</v>
      </c>
      <c r="M16" s="73">
        <v>10</v>
      </c>
      <c r="N16" s="64">
        <f t="shared" ref="N16:N17" si="0">IFERROR(F16/G16-1,"n/a")</f>
        <v>0.93333333333333335</v>
      </c>
      <c r="O16" s="64">
        <f>IFERROR(F16/H16-1,"n/a")</f>
        <v>2.4117647058823528</v>
      </c>
      <c r="P16" s="64">
        <f>IFERROR(F16/I16-1,"n/a")</f>
        <v>2.625</v>
      </c>
      <c r="Q16" s="64">
        <f>IFERROR(F16/J16-1,"n/a")</f>
        <v>1.2307692307692308</v>
      </c>
      <c r="R16" s="64">
        <f>IFERROR(F16/K16-1,"n/a")</f>
        <v>10.6</v>
      </c>
      <c r="S16" s="64">
        <f>IFERROR(F16/L16-1,"n/a")</f>
        <v>57</v>
      </c>
      <c r="T16" s="60">
        <f>IFERROR(F16/M16-1,"n/a")</f>
        <v>4.8</v>
      </c>
      <c r="U16" s="68">
        <f>F16+'Feb-26'!U16</f>
        <v>91</v>
      </c>
      <c r="V16" s="68">
        <f>G16+'Feb-26'!V16</f>
        <v>57</v>
      </c>
      <c r="W16" s="68">
        <f>H16+'Feb-26'!W16</f>
        <v>37</v>
      </c>
      <c r="X16" s="68">
        <f>I16+'Feb-26'!X16</f>
        <v>27</v>
      </c>
      <c r="Y16" s="68">
        <f>J16+'Feb-26'!Y16</f>
        <v>36</v>
      </c>
      <c r="Z16" s="68">
        <f>K16+'Feb-26'!Z16</f>
        <v>12</v>
      </c>
      <c r="AA16" s="68">
        <f>L16+'Feb-26'!AA16</f>
        <v>10</v>
      </c>
      <c r="AB16" s="68">
        <f>M16+'Feb-26'!AB16</f>
        <v>23</v>
      </c>
      <c r="AC16" s="64">
        <f t="shared" ref="AC16:AC17" si="1">IFERROR(U16/V16-1,"n/a")</f>
        <v>0.59649122807017552</v>
      </c>
      <c r="AD16" s="64">
        <f>IFERROR(U16/W16-1,"n/a")</f>
        <v>1.4594594594594597</v>
      </c>
      <c r="AE16" s="64">
        <f>IFERROR(U16/X16-1,"n/a")</f>
        <v>2.3703703703703702</v>
      </c>
      <c r="AF16" s="64">
        <f>IFERROR(U16/Y16-1,"n/a")</f>
        <v>1.5277777777777777</v>
      </c>
      <c r="AG16" s="64">
        <f>IFERROR(U16/Z16-1,"n/a")</f>
        <v>6.583333333333333</v>
      </c>
      <c r="AH16" s="64">
        <f>IFERROR(U16/AA16-1,"n/a")</f>
        <v>8.1</v>
      </c>
      <c r="AI16" s="60">
        <f>IFERROR(U16/AB16-1,"n/a")</f>
        <v>2.9565217391304346</v>
      </c>
      <c r="AJ16" s="68">
        <v>1003</v>
      </c>
      <c r="AK16" s="68">
        <v>797</v>
      </c>
      <c r="AL16" s="68">
        <v>575</v>
      </c>
      <c r="AM16" s="68">
        <v>572</v>
      </c>
      <c r="AN16" s="68">
        <v>202</v>
      </c>
      <c r="AO16" s="68">
        <v>54</v>
      </c>
      <c r="AP16" s="134">
        <v>586</v>
      </c>
      <c r="AQ16" s="122"/>
      <c r="AR16" s="122"/>
    </row>
    <row r="17" spans="1:44" s="123" customFormat="1" ht="12.75">
      <c r="A17" s="122"/>
      <c r="B17" s="127"/>
      <c r="C17" s="33"/>
      <c r="D17" s="26" t="s">
        <v>11</v>
      </c>
      <c r="E17" s="32"/>
      <c r="F17" s="71">
        <v>93477</v>
      </c>
      <c r="G17" s="71">
        <v>61961</v>
      </c>
      <c r="H17" s="71">
        <v>54338</v>
      </c>
      <c r="I17" s="73">
        <v>43135</v>
      </c>
      <c r="J17" s="73">
        <v>28377</v>
      </c>
      <c r="K17" s="73">
        <v>4146</v>
      </c>
      <c r="L17" s="73">
        <v>565</v>
      </c>
      <c r="M17" s="73">
        <v>32801</v>
      </c>
      <c r="N17" s="64">
        <f t="shared" si="0"/>
        <v>0.50864253320637176</v>
      </c>
      <c r="O17" s="64">
        <f>IFERROR(F17/H17-1,"n/a")</f>
        <v>0.72028782803930946</v>
      </c>
      <c r="P17" s="64">
        <f>IFERROR(F17/I17-1,"n/a")</f>
        <v>1.1670800973687263</v>
      </c>
      <c r="Q17" s="64">
        <f>IFERROR(F17/J17-1,"n/a")</f>
        <v>2.2941114282693729</v>
      </c>
      <c r="R17" s="64">
        <f>IFERROR(F17/K17-1,"n/a")</f>
        <v>21.546309696092621</v>
      </c>
      <c r="S17" s="64">
        <f>IFERROR(F17/L17-1,"n/a")</f>
        <v>164.44601769911503</v>
      </c>
      <c r="T17" s="60">
        <f>IFERROR(F17/M17-1,"n/a")</f>
        <v>1.849821651778909</v>
      </c>
      <c r="U17" s="68">
        <f>F17+'Feb-26'!U17</f>
        <v>162446</v>
      </c>
      <c r="V17" s="68">
        <f>G17+'Feb-26'!V17</f>
        <v>149581</v>
      </c>
      <c r="W17" s="68">
        <f>H17+'Feb-26'!W17</f>
        <v>130574</v>
      </c>
      <c r="X17" s="68">
        <f>I17+'Feb-26'!X17</f>
        <v>83055</v>
      </c>
      <c r="Y17" s="68">
        <f>J17+'Feb-26'!Y17</f>
        <v>36508</v>
      </c>
      <c r="Z17" s="68">
        <f>K17+'Feb-26'!Z17</f>
        <v>10103</v>
      </c>
      <c r="AA17" s="68">
        <f>L17+'Feb-26'!AA17</f>
        <v>41113</v>
      </c>
      <c r="AB17" s="68">
        <f>M17+'Feb-26'!AB17</f>
        <v>80374</v>
      </c>
      <c r="AC17" s="64">
        <f t="shared" si="1"/>
        <v>8.600691264264837E-2</v>
      </c>
      <c r="AD17" s="64">
        <f>IFERROR(U17/W17-1,"n/a")</f>
        <v>0.24409147303444789</v>
      </c>
      <c r="AE17" s="64">
        <f>IFERROR(U17/X17-1,"n/a")</f>
        <v>0.95588465474685447</v>
      </c>
      <c r="AF17" s="64">
        <f>IFERROR(U17/Y17-1,"n/a")</f>
        <v>3.4496000876520219</v>
      </c>
      <c r="AG17" s="64">
        <f>IFERROR(U17/Z17-1,"n/a")</f>
        <v>15.078986439671386</v>
      </c>
      <c r="AH17" s="64">
        <f>IFERROR(U17/AA17-1,"n/a")</f>
        <v>2.9512076472162092</v>
      </c>
      <c r="AI17" s="60">
        <f>IFERROR(U17/AB17-1,"n/a")</f>
        <v>1.0211262348520664</v>
      </c>
      <c r="AJ17" s="68">
        <v>2427137</v>
      </c>
      <c r="AK17" s="68">
        <v>2060976</v>
      </c>
      <c r="AL17" s="68">
        <v>1660685</v>
      </c>
      <c r="AM17" s="68">
        <v>965963</v>
      </c>
      <c r="AN17" s="68">
        <v>301521</v>
      </c>
      <c r="AO17" s="68">
        <v>70675</v>
      </c>
      <c r="AP17" s="134">
        <v>1400932</v>
      </c>
      <c r="AQ17" s="122"/>
      <c r="AR17" s="122"/>
    </row>
    <row r="18" spans="1:44" s="123" customFormat="1" ht="12.75">
      <c r="A18" s="122"/>
      <c r="B18" s="127"/>
      <c r="C18" s="31" t="s">
        <v>164</v>
      </c>
      <c r="D18" s="26"/>
      <c r="E18" s="32"/>
      <c r="F18" s="72"/>
      <c r="G18" s="72"/>
      <c r="H18" s="72"/>
      <c r="I18" s="72"/>
      <c r="J18" s="72"/>
      <c r="K18" s="72"/>
      <c r="L18" s="72"/>
      <c r="M18" s="72"/>
      <c r="N18" s="64"/>
      <c r="O18" s="64"/>
      <c r="P18" s="64"/>
      <c r="Q18" s="64"/>
      <c r="R18" s="64"/>
      <c r="S18" s="64"/>
      <c r="T18" s="60"/>
      <c r="U18" s="87"/>
      <c r="V18" s="87"/>
      <c r="W18" s="87"/>
      <c r="X18" s="87"/>
      <c r="Y18" s="87"/>
      <c r="Z18" s="87"/>
      <c r="AA18" s="87"/>
      <c r="AB18" s="87"/>
      <c r="AC18" s="64"/>
      <c r="AD18" s="64"/>
      <c r="AE18" s="64"/>
      <c r="AF18" s="64"/>
      <c r="AG18" s="64"/>
      <c r="AH18" s="64"/>
      <c r="AI18" s="60"/>
      <c r="AJ18" s="43"/>
      <c r="AK18" s="43"/>
      <c r="AL18" s="43"/>
      <c r="AM18" s="43"/>
      <c r="AN18" s="43"/>
      <c r="AO18" s="43"/>
      <c r="AP18" s="135"/>
      <c r="AQ18" s="122"/>
      <c r="AR18" s="122"/>
    </row>
    <row r="19" spans="1:44" s="123" customFormat="1" ht="12.75">
      <c r="A19" s="122"/>
      <c r="B19" s="127"/>
      <c r="C19" s="33"/>
      <c r="D19" s="26" t="s">
        <v>5</v>
      </c>
      <c r="E19" s="32"/>
      <c r="F19" s="71">
        <v>9</v>
      </c>
      <c r="G19" s="71">
        <v>14</v>
      </c>
      <c r="H19" s="71">
        <v>21</v>
      </c>
      <c r="I19" s="73">
        <v>17</v>
      </c>
      <c r="J19" s="73">
        <v>6</v>
      </c>
      <c r="K19" s="73">
        <v>0</v>
      </c>
      <c r="L19" s="73">
        <v>2</v>
      </c>
      <c r="M19" s="73">
        <v>5</v>
      </c>
      <c r="N19" s="64">
        <f t="shared" ref="N19:N20" si="2">IFERROR(F19/G19-1,"n/a")</f>
        <v>-0.3571428571428571</v>
      </c>
      <c r="O19" s="64">
        <f>IFERROR(F19/H19-1,"n/a")</f>
        <v>-0.5714285714285714</v>
      </c>
      <c r="P19" s="64">
        <f>IFERROR(F19/I19-1,"n/a")</f>
        <v>-0.47058823529411764</v>
      </c>
      <c r="Q19" s="64">
        <f>IFERROR(F19/J19-1,"n/a")</f>
        <v>0.5</v>
      </c>
      <c r="R19" s="64" t="str">
        <f>IFERROR(F19/K19-1,"n/a")</f>
        <v>n/a</v>
      </c>
      <c r="S19" s="64">
        <f>IFERROR(F19/L19-1,"n/a")</f>
        <v>3.5</v>
      </c>
      <c r="T19" s="60">
        <f>IFERROR(F19/M19-1,"n/a")</f>
        <v>0.8</v>
      </c>
      <c r="U19" s="68">
        <f>F19+'Feb-26'!U19</f>
        <v>22</v>
      </c>
      <c r="V19" s="68">
        <f>G19+'Feb-26'!V19</f>
        <v>22</v>
      </c>
      <c r="W19" s="68">
        <f>H19+'Feb-26'!W19</f>
        <v>27</v>
      </c>
      <c r="X19" s="68">
        <f>I19+'Feb-26'!X19</f>
        <v>23</v>
      </c>
      <c r="Y19" s="68">
        <f>J19+'Feb-26'!Y19</f>
        <v>12</v>
      </c>
      <c r="Z19" s="68">
        <f>K19+'Feb-26'!Z19</f>
        <v>0</v>
      </c>
      <c r="AA19" s="68">
        <f>L19+'Feb-26'!AA19</f>
        <v>3</v>
      </c>
      <c r="AB19" s="68">
        <f>M19+'Feb-26'!AB19</f>
        <v>6</v>
      </c>
      <c r="AC19" s="64">
        <f t="shared" ref="AC19:AC20" si="3">IFERROR(U19/V19-1,"n/a")</f>
        <v>0</v>
      </c>
      <c r="AD19" s="64">
        <f>IFERROR(U19/W19-1,"n/a")</f>
        <v>-0.18518518518518523</v>
      </c>
      <c r="AE19" s="64">
        <f>IFERROR(U19/X19-1,"n/a")</f>
        <v>-4.3478260869565188E-2</v>
      </c>
      <c r="AF19" s="64">
        <f>IFERROR(U19/Y19-1,"n/a")</f>
        <v>0.83333333333333326</v>
      </c>
      <c r="AG19" s="64" t="str">
        <f>IFERROR(U19/Z19-1,"n/a")</f>
        <v>n/a</v>
      </c>
      <c r="AH19" s="64">
        <f>IFERROR(U19/AA19-1,"n/a")</f>
        <v>6.333333333333333</v>
      </c>
      <c r="AI19" s="60">
        <f>IFERROR(U19/AB19-1,"n/a")</f>
        <v>2.6666666666666665</v>
      </c>
      <c r="AJ19" s="68">
        <v>860</v>
      </c>
      <c r="AK19" s="68">
        <v>733</v>
      </c>
      <c r="AL19" s="68">
        <v>708</v>
      </c>
      <c r="AM19" s="68">
        <v>658</v>
      </c>
      <c r="AN19" s="68">
        <v>47</v>
      </c>
      <c r="AO19" s="68">
        <v>9</v>
      </c>
      <c r="AP19" s="134">
        <v>290</v>
      </c>
      <c r="AQ19" s="122"/>
      <c r="AR19" s="122"/>
    </row>
    <row r="20" spans="1:44" s="123" customFormat="1" ht="12.75">
      <c r="A20" s="122"/>
      <c r="B20" s="127"/>
      <c r="C20" s="33"/>
      <c r="D20" s="26" t="s">
        <v>11</v>
      </c>
      <c r="E20" s="32"/>
      <c r="F20" s="71">
        <v>19426</v>
      </c>
      <c r="G20" s="71">
        <v>15053</v>
      </c>
      <c r="H20" s="71">
        <v>31321</v>
      </c>
      <c r="I20" s="73">
        <v>14734</v>
      </c>
      <c r="J20" s="73">
        <v>1346</v>
      </c>
      <c r="K20" s="73">
        <v>0</v>
      </c>
      <c r="L20" s="73">
        <v>887</v>
      </c>
      <c r="M20" s="73">
        <v>4876</v>
      </c>
      <c r="N20" s="64">
        <f t="shared" si="2"/>
        <v>0.29050687570583933</v>
      </c>
      <c r="O20" s="64">
        <f>IFERROR(F20/H20-1,"n/a")</f>
        <v>-0.37977714632355286</v>
      </c>
      <c r="P20" s="64">
        <f>IFERROR(F20/I20-1,"n/a")</f>
        <v>0.31844712908918149</v>
      </c>
      <c r="Q20" s="64">
        <f>IFERROR(F20/J20-1,"n/a")</f>
        <v>13.432392273402675</v>
      </c>
      <c r="R20" s="64" t="str">
        <f>IFERROR(F20/K20-1,"n/a")</f>
        <v>n/a</v>
      </c>
      <c r="S20" s="64">
        <f>IFERROR(F20/L20-1,"n/a")</f>
        <v>20.900789177001126</v>
      </c>
      <c r="T20" s="60">
        <f>IFERROR(F20/M20-1,"n/a")</f>
        <v>2.9840032813781789</v>
      </c>
      <c r="U20" s="68">
        <f>F20+'Feb-26'!U20</f>
        <v>35513</v>
      </c>
      <c r="V20" s="68">
        <f>G20+'Feb-26'!V20</f>
        <v>27982</v>
      </c>
      <c r="W20" s="68">
        <f>H20+'Feb-26'!W20</f>
        <v>39741</v>
      </c>
      <c r="X20" s="68">
        <f>I20+'Feb-26'!X20</f>
        <v>20846</v>
      </c>
      <c r="Y20" s="68">
        <f>J20+'Feb-26'!Y20</f>
        <v>3085</v>
      </c>
      <c r="Z20" s="68">
        <f>K20+'Feb-26'!Z20</f>
        <v>0</v>
      </c>
      <c r="AA20" s="68">
        <f>L20+'Feb-26'!AA20</f>
        <v>1753</v>
      </c>
      <c r="AB20" s="68">
        <f>M20+'Feb-26'!AB20</f>
        <v>6484</v>
      </c>
      <c r="AC20" s="64">
        <f t="shared" si="3"/>
        <v>0.26913730255164037</v>
      </c>
      <c r="AD20" s="64">
        <f>IFERROR(U20/W20-1,"n/a")</f>
        <v>-0.10638886791978053</v>
      </c>
      <c r="AE20" s="64">
        <f>IFERROR(U20/X20-1,"n/a")</f>
        <v>0.70358821836323515</v>
      </c>
      <c r="AF20" s="64">
        <f>IFERROR(U20/Y20-1,"n/a")</f>
        <v>10.511507293354944</v>
      </c>
      <c r="AG20" s="64" t="str">
        <f>IFERROR(U20/Z20-1,"n/a")</f>
        <v>n/a</v>
      </c>
      <c r="AH20" s="64">
        <f>IFERROR(U20/AA20-1,"n/a")</f>
        <v>19.258414147176268</v>
      </c>
      <c r="AI20" s="60">
        <f>IFERROR(U20/AB20-1,"n/a")</f>
        <v>4.4770203578038252</v>
      </c>
      <c r="AJ20" s="68">
        <v>1728606</v>
      </c>
      <c r="AK20" s="68">
        <v>1496271.4</v>
      </c>
      <c r="AL20" s="68">
        <v>1277526</v>
      </c>
      <c r="AM20" s="68">
        <v>887495</v>
      </c>
      <c r="AN20" s="68">
        <v>17541</v>
      </c>
      <c r="AO20" s="68">
        <v>10046.999999999998</v>
      </c>
      <c r="AP20" s="134">
        <v>585930</v>
      </c>
      <c r="AQ20" s="122"/>
      <c r="AR20" s="122"/>
    </row>
    <row r="21" spans="1:44" s="123" customFormat="1" ht="12.75">
      <c r="A21" s="122"/>
      <c r="B21" s="127"/>
      <c r="C21" s="31" t="s">
        <v>110</v>
      </c>
      <c r="D21" s="26"/>
      <c r="E21" s="34"/>
      <c r="F21" s="72"/>
      <c r="G21" s="72"/>
      <c r="H21" s="72"/>
      <c r="I21" s="72"/>
      <c r="J21" s="72"/>
      <c r="K21" s="72"/>
      <c r="L21" s="72"/>
      <c r="M21" s="72"/>
      <c r="N21" s="64"/>
      <c r="O21" s="64"/>
      <c r="P21" s="64"/>
      <c r="Q21" s="64"/>
      <c r="R21" s="64"/>
      <c r="S21" s="64"/>
      <c r="T21" s="60"/>
      <c r="U21" s="87"/>
      <c r="V21" s="87"/>
      <c r="W21" s="87"/>
      <c r="X21" s="87"/>
      <c r="Y21" s="87"/>
      <c r="Z21" s="87"/>
      <c r="AA21" s="87"/>
      <c r="AB21" s="87"/>
      <c r="AC21" s="64"/>
      <c r="AD21" s="64"/>
      <c r="AE21" s="64"/>
      <c r="AF21" s="64"/>
      <c r="AG21" s="64"/>
      <c r="AH21" s="64"/>
      <c r="AI21" s="60"/>
      <c r="AJ21" s="43"/>
      <c r="AK21" s="43"/>
      <c r="AL21" s="43"/>
      <c r="AM21" s="43"/>
      <c r="AN21" s="43"/>
      <c r="AO21" s="43"/>
      <c r="AP21" s="135"/>
      <c r="AQ21" s="122"/>
      <c r="AR21" s="122"/>
    </row>
    <row r="22" spans="1:44" s="123" customFormat="1" ht="12.75">
      <c r="A22" s="122"/>
      <c r="B22" s="127"/>
      <c r="C22" s="33"/>
      <c r="D22" s="26" t="s">
        <v>5</v>
      </c>
      <c r="E22" s="34"/>
      <c r="F22" s="71">
        <v>175</v>
      </c>
      <c r="G22" s="71">
        <v>149</v>
      </c>
      <c r="H22" s="71">
        <v>87</v>
      </c>
      <c r="I22" s="73">
        <v>108</v>
      </c>
      <c r="J22" s="73">
        <v>24</v>
      </c>
      <c r="K22" s="73">
        <v>0</v>
      </c>
      <c r="L22" s="73">
        <v>10</v>
      </c>
      <c r="M22" s="73">
        <v>44</v>
      </c>
      <c r="N22" s="64">
        <f t="shared" ref="N22:N23" si="4">IFERROR(F22/G22-1,"n/a")</f>
        <v>0.17449664429530198</v>
      </c>
      <c r="O22" s="64">
        <f>IFERROR(F22/H22-1,"n/a")</f>
        <v>1.0114942528735633</v>
      </c>
      <c r="P22" s="64">
        <f>IFERROR(F22/I22-1,"n/a")</f>
        <v>0.62037037037037046</v>
      </c>
      <c r="Q22" s="64">
        <f>IFERROR(F22/J22-1,"n/a")</f>
        <v>6.291666666666667</v>
      </c>
      <c r="R22" s="64" t="str">
        <f>IFERROR(F22/K22-1,"n/a")</f>
        <v>n/a</v>
      </c>
      <c r="S22" s="64">
        <f>IFERROR(F22/L22-1,"n/a")</f>
        <v>16.5</v>
      </c>
      <c r="T22" s="60">
        <f>IFERROR(F22/M22-1,"n/a")</f>
        <v>2.9772727272727271</v>
      </c>
      <c r="U22" s="68">
        <f>F22+'Feb-26'!U22</f>
        <v>450</v>
      </c>
      <c r="V22" s="68">
        <f>G22+'Feb-26'!V22</f>
        <v>396</v>
      </c>
      <c r="W22" s="68">
        <f>H22+'Feb-26'!W22</f>
        <v>259</v>
      </c>
      <c r="X22" s="68">
        <f>I22+'Feb-26'!X22</f>
        <v>287</v>
      </c>
      <c r="Y22" s="68">
        <f>J22+'Feb-26'!Y22</f>
        <v>53</v>
      </c>
      <c r="Z22" s="68">
        <f>K22+'Feb-26'!Z22</f>
        <v>0</v>
      </c>
      <c r="AA22" s="68">
        <f>L22+'Feb-26'!AA22</f>
        <v>43</v>
      </c>
      <c r="AB22" s="68">
        <f>M22+'Feb-26'!AB22</f>
        <v>89</v>
      </c>
      <c r="AC22" s="64">
        <f t="shared" ref="AC22:AC23" si="5">IFERROR(U22/V22-1,"n/a")</f>
        <v>0.13636363636363646</v>
      </c>
      <c r="AD22" s="64">
        <f>IFERROR(U22/W22-1,"n/a")</f>
        <v>0.73745173745173753</v>
      </c>
      <c r="AE22" s="64">
        <f>IFERROR(U22/X22-1,"n/a")</f>
        <v>0.56794425087108014</v>
      </c>
      <c r="AF22" s="64">
        <f>IFERROR(U22/Y22-1,"n/a")</f>
        <v>7.4905660377358494</v>
      </c>
      <c r="AG22" s="64" t="str">
        <f>IFERROR(U22/Z22-1,"n/a")</f>
        <v>n/a</v>
      </c>
      <c r="AH22" s="64">
        <f>IFERROR(U22/AA22-1,"n/a")</f>
        <v>9.4651162790697683</v>
      </c>
      <c r="AI22" s="60">
        <f>IFERROR(U22/AB22-1,"n/a")</f>
        <v>4.0561797752808992</v>
      </c>
      <c r="AJ22" s="68">
        <v>1736</v>
      </c>
      <c r="AK22" s="68">
        <v>1651</v>
      </c>
      <c r="AL22" s="68">
        <v>1500</v>
      </c>
      <c r="AM22" s="68">
        <v>895</v>
      </c>
      <c r="AN22" s="68">
        <v>283</v>
      </c>
      <c r="AO22" s="68">
        <v>43</v>
      </c>
      <c r="AP22" s="134">
        <v>827</v>
      </c>
      <c r="AQ22" s="122"/>
      <c r="AR22" s="122"/>
    </row>
    <row r="23" spans="1:44" s="123" customFormat="1" ht="12.75">
      <c r="A23" s="122"/>
      <c r="B23" s="127"/>
      <c r="C23" s="33"/>
      <c r="D23" s="26" t="s">
        <v>11</v>
      </c>
      <c r="E23" s="32"/>
      <c r="F23" s="71">
        <v>461241</v>
      </c>
      <c r="G23" s="71">
        <v>376742</v>
      </c>
      <c r="H23" s="71">
        <v>316617</v>
      </c>
      <c r="I23" s="73">
        <v>297870</v>
      </c>
      <c r="J23" s="73">
        <v>32594</v>
      </c>
      <c r="K23" s="73">
        <v>0</v>
      </c>
      <c r="L23" s="73">
        <v>28535</v>
      </c>
      <c r="M23" s="73">
        <v>117674</v>
      </c>
      <c r="N23" s="64">
        <f t="shared" si="4"/>
        <v>0.22428877056447116</v>
      </c>
      <c r="O23" s="64">
        <f>IFERROR(F23/H23-1,"n/a")</f>
        <v>0.45677901060271564</v>
      </c>
      <c r="P23" s="64">
        <f>IFERROR(F23/I23-1,"n/a")</f>
        <v>0.5484640950750328</v>
      </c>
      <c r="Q23" s="64">
        <f>IFERROR(F23/J23-1,"n/a")</f>
        <v>13.151101429710989</v>
      </c>
      <c r="R23" s="64" t="str">
        <f>IFERROR(F23/K23-1,"n/a")</f>
        <v>n/a</v>
      </c>
      <c r="S23" s="64">
        <f>IFERROR(F23/L23-1,"n/a")</f>
        <v>15.16404415629928</v>
      </c>
      <c r="T23" s="60">
        <f>IFERROR(F23/M23-1,"n/a")</f>
        <v>2.919650899943913</v>
      </c>
      <c r="U23" s="68">
        <f>F23+'Feb-26'!U23-663</f>
        <v>1257657</v>
      </c>
      <c r="V23" s="68">
        <f>G23+'Feb-26'!V23</f>
        <v>1113991</v>
      </c>
      <c r="W23" s="68">
        <f>H23+'Feb-26'!W23</f>
        <v>913055</v>
      </c>
      <c r="X23" s="68">
        <f>I23+'Feb-26'!X23</f>
        <v>836274</v>
      </c>
      <c r="Y23" s="68">
        <f>J23+'Feb-26'!Y23</f>
        <v>68454</v>
      </c>
      <c r="Z23" s="68">
        <f>K23+'Feb-26'!Z23</f>
        <v>0</v>
      </c>
      <c r="AA23" s="68">
        <f>L23+'Feb-26'!AA23</f>
        <v>140552</v>
      </c>
      <c r="AB23" s="68">
        <f>M23+'Feb-26'!AB23</f>
        <v>251900</v>
      </c>
      <c r="AC23" s="64">
        <f t="shared" si="5"/>
        <v>0.12896513526590425</v>
      </c>
      <c r="AD23" s="64">
        <f>IFERROR(U23/W23-1,"n/a")</f>
        <v>0.37741647545876211</v>
      </c>
      <c r="AE23" s="64">
        <f>IFERROR(U23/X23-1,"n/a")</f>
        <v>0.50388150295238154</v>
      </c>
      <c r="AF23" s="64">
        <f>IFERROR(U23/Y23-1,"n/a")</f>
        <v>17.372293803137875</v>
      </c>
      <c r="AG23" s="64" t="str">
        <f>IFERROR(U23/Z23-1,"n/a")</f>
        <v>n/a</v>
      </c>
      <c r="AH23" s="64">
        <f>IFERROR(U23/AA23-1,"n/a")</f>
        <v>7.9479836644089019</v>
      </c>
      <c r="AI23" s="60">
        <f>IFERROR(U23/AB23-1,"n/a")</f>
        <v>3.992683604605002</v>
      </c>
      <c r="AJ23" s="68">
        <v>4526210</v>
      </c>
      <c r="AK23" s="68">
        <v>5046474</v>
      </c>
      <c r="AL23" s="68">
        <v>4449177</v>
      </c>
      <c r="AM23" s="68">
        <v>2165161</v>
      </c>
      <c r="AN23" s="68">
        <v>465109</v>
      </c>
      <c r="AO23" s="68">
        <v>140552</v>
      </c>
      <c r="AP23" s="134">
        <v>2552942</v>
      </c>
      <c r="AQ23" s="122"/>
      <c r="AR23" s="122"/>
    </row>
    <row r="24" spans="1:44" s="123" customFormat="1" ht="12.75">
      <c r="A24" s="122"/>
      <c r="B24" s="127"/>
      <c r="C24" s="31" t="s">
        <v>111</v>
      </c>
      <c r="D24" s="26"/>
      <c r="E24" s="32"/>
      <c r="F24" s="72"/>
      <c r="G24" s="72"/>
      <c r="H24" s="72"/>
      <c r="I24" s="72"/>
      <c r="J24" s="72"/>
      <c r="K24" s="72"/>
      <c r="L24" s="72"/>
      <c r="M24" s="72"/>
      <c r="N24" s="64"/>
      <c r="O24" s="64"/>
      <c r="P24" s="64"/>
      <c r="Q24" s="64"/>
      <c r="R24" s="64"/>
      <c r="S24" s="64"/>
      <c r="T24" s="60"/>
      <c r="U24" s="87"/>
      <c r="V24" s="87"/>
      <c r="W24" s="87"/>
      <c r="X24" s="87"/>
      <c r="Y24" s="87"/>
      <c r="Z24" s="87"/>
      <c r="AA24" s="87"/>
      <c r="AB24" s="87"/>
      <c r="AC24" s="64"/>
      <c r="AD24" s="64"/>
      <c r="AE24" s="64"/>
      <c r="AF24" s="64"/>
      <c r="AG24" s="64"/>
      <c r="AH24" s="64"/>
      <c r="AI24" s="60"/>
      <c r="AJ24" s="43"/>
      <c r="AK24" s="43"/>
      <c r="AL24" s="43"/>
      <c r="AM24" s="43"/>
      <c r="AN24" s="43"/>
      <c r="AO24" s="43"/>
      <c r="AP24" s="135"/>
      <c r="AQ24" s="122"/>
      <c r="AR24" s="122"/>
    </row>
    <row r="25" spans="1:44" s="123" customFormat="1" ht="12.75">
      <c r="B25" s="127"/>
      <c r="C25" s="33"/>
      <c r="D25" s="26" t="s">
        <v>5</v>
      </c>
      <c r="E25" s="32"/>
      <c r="F25" s="71">
        <v>1</v>
      </c>
      <c r="G25" s="71"/>
      <c r="H25" s="71">
        <v>0</v>
      </c>
      <c r="I25" s="73">
        <v>0</v>
      </c>
      <c r="J25" s="73">
        <v>0</v>
      </c>
      <c r="K25" s="73">
        <v>0</v>
      </c>
      <c r="L25" s="73">
        <v>0</v>
      </c>
      <c r="M25" s="73">
        <v>0</v>
      </c>
      <c r="N25" s="64" t="str">
        <f t="shared" ref="N25:N28" si="6">IFERROR(F25/G25-1,"n/a")</f>
        <v>n/a</v>
      </c>
      <c r="O25" s="64" t="str">
        <f>IFERROR(F25/H25-1,"n/a")</f>
        <v>n/a</v>
      </c>
      <c r="P25" s="64" t="str">
        <f>IFERROR(F25/I25-1,"n/a")</f>
        <v>n/a</v>
      </c>
      <c r="Q25" s="64" t="str">
        <f>IFERROR(F25/J25-1,"n/a")</f>
        <v>n/a</v>
      </c>
      <c r="R25" s="64" t="str">
        <f>IFERROR(F25/K25-1,"n/a")</f>
        <v>n/a</v>
      </c>
      <c r="S25" s="64" t="str">
        <f>IFERROR(F25/L25-1,"n/a")</f>
        <v>n/a</v>
      </c>
      <c r="T25" s="60" t="str">
        <f>IFERROR(F25/M25-1,"n/a")</f>
        <v>n/a</v>
      </c>
      <c r="U25" s="68">
        <f>F25+'Feb-26'!U25</f>
        <v>1</v>
      </c>
      <c r="V25" s="68">
        <f>G25+'Feb-26'!V25</f>
        <v>0</v>
      </c>
      <c r="W25" s="68">
        <f>H25+'Feb-26'!W25</f>
        <v>0</v>
      </c>
      <c r="X25" s="68">
        <f>I25+'Feb-26'!X25</f>
        <v>0</v>
      </c>
      <c r="Y25" s="68">
        <f>J25+'Feb-26'!Y25</f>
        <v>0</v>
      </c>
      <c r="Z25" s="68">
        <f>K25+'Feb-26'!Z25</f>
        <v>0</v>
      </c>
      <c r="AA25" s="68">
        <f>L25+'Feb-26'!AA25</f>
        <v>0</v>
      </c>
      <c r="AB25" s="68">
        <f>M25+'Feb-26'!AB25</f>
        <v>0</v>
      </c>
      <c r="AC25" s="64" t="str">
        <f t="shared" ref="AC25:AC28" si="7">IFERROR(U25/V25-1,"n/a")</f>
        <v>n/a</v>
      </c>
      <c r="AD25" s="64" t="str">
        <f>IFERROR(U25/W25-1,"n/a")</f>
        <v>n/a</v>
      </c>
      <c r="AE25" s="64" t="str">
        <f>IFERROR(U25/X25-1,"n/a")</f>
        <v>n/a</v>
      </c>
      <c r="AF25" s="64" t="str">
        <f>IFERROR(U25/Y25-1,"n/a")</f>
        <v>n/a</v>
      </c>
      <c r="AG25" s="64" t="str">
        <f>IFERROR(U25/Z25-1,"n/a")</f>
        <v>n/a</v>
      </c>
      <c r="AH25" s="64" t="str">
        <f>IFERROR(U25/AA25-1,"n/a")</f>
        <v>n/a</v>
      </c>
      <c r="AI25" s="60" t="str">
        <f>IFERROR(U25/AB25-1,"n/a")</f>
        <v>n/a</v>
      </c>
      <c r="AJ25" s="68">
        <v>23</v>
      </c>
      <c r="AK25" s="68">
        <v>14</v>
      </c>
      <c r="AL25" s="68">
        <v>21</v>
      </c>
      <c r="AM25" s="68">
        <v>9</v>
      </c>
      <c r="AN25" s="68">
        <v>0</v>
      </c>
      <c r="AO25" s="68">
        <v>0</v>
      </c>
      <c r="AP25" s="134">
        <v>16</v>
      </c>
      <c r="AQ25" s="122"/>
      <c r="AR25" s="122"/>
    </row>
    <row r="26" spans="1:44" s="123" customFormat="1" ht="12.75">
      <c r="A26" s="122"/>
      <c r="B26" s="127"/>
      <c r="C26" s="33"/>
      <c r="D26" s="26" t="s">
        <v>11</v>
      </c>
      <c r="E26" s="32"/>
      <c r="F26" s="71">
        <v>4408</v>
      </c>
      <c r="G26" s="71"/>
      <c r="H26" s="71">
        <v>0</v>
      </c>
      <c r="I26" s="73">
        <v>0</v>
      </c>
      <c r="J26" s="73">
        <v>0</v>
      </c>
      <c r="K26" s="73">
        <v>0</v>
      </c>
      <c r="L26" s="73">
        <v>0</v>
      </c>
      <c r="M26" s="73">
        <v>0</v>
      </c>
      <c r="N26" s="64" t="str">
        <f t="shared" si="6"/>
        <v>n/a</v>
      </c>
      <c r="O26" s="64" t="str">
        <f>IFERROR(F26/H26-1,"n/a")</f>
        <v>n/a</v>
      </c>
      <c r="P26" s="64" t="str">
        <f>IFERROR(F26/I26-1,"n/a")</f>
        <v>n/a</v>
      </c>
      <c r="Q26" s="64" t="str">
        <f>IFERROR(F26/J26-1,"n/a")</f>
        <v>n/a</v>
      </c>
      <c r="R26" s="64" t="str">
        <f>IFERROR(F26/K26-1,"n/a")</f>
        <v>n/a</v>
      </c>
      <c r="S26" s="64" t="str">
        <f>IFERROR(F26/L26-1,"n/a")</f>
        <v>n/a</v>
      </c>
      <c r="T26" s="60" t="str">
        <f>IFERROR(F26/M26-1,"n/a")</f>
        <v>n/a</v>
      </c>
      <c r="U26" s="68">
        <f>F26+'Feb-26'!U26</f>
        <v>4408</v>
      </c>
      <c r="V26" s="68">
        <f>G26+'Feb-26'!V26</f>
        <v>0</v>
      </c>
      <c r="W26" s="68">
        <f>H26+'Feb-26'!W26</f>
        <v>0</v>
      </c>
      <c r="X26" s="68">
        <f>I26+'Feb-26'!X26</f>
        <v>0</v>
      </c>
      <c r="Y26" s="68">
        <f>J26+'Feb-26'!Y26</f>
        <v>0</v>
      </c>
      <c r="Z26" s="68">
        <f>K26+'Feb-26'!Z26</f>
        <v>0</v>
      </c>
      <c r="AA26" s="68">
        <f>L26+'Feb-26'!AA26</f>
        <v>0</v>
      </c>
      <c r="AB26" s="68">
        <f>M26+'Feb-26'!AB26</f>
        <v>0</v>
      </c>
      <c r="AC26" s="64" t="str">
        <f t="shared" si="7"/>
        <v>n/a</v>
      </c>
      <c r="AD26" s="64" t="str">
        <f>IFERROR(U26/W26-1,"n/a")</f>
        <v>n/a</v>
      </c>
      <c r="AE26" s="64" t="str">
        <f>IFERROR(U26/X26-1,"n/a")</f>
        <v>n/a</v>
      </c>
      <c r="AF26" s="64" t="str">
        <f>IFERROR(U26/Y26-1,"n/a")</f>
        <v>n/a</v>
      </c>
      <c r="AG26" s="64" t="str">
        <f>IFERROR(U26/Z26-1,"n/a")</f>
        <v>n/a</v>
      </c>
      <c r="AH26" s="64" t="str">
        <f>IFERROR(U26/AA26-1,"n/a")</f>
        <v>n/a</v>
      </c>
      <c r="AI26" s="60" t="str">
        <f>IFERROR(U26/AB26-1,"n/a")</f>
        <v>n/a</v>
      </c>
      <c r="AJ26" s="68">
        <v>72837</v>
      </c>
      <c r="AK26" s="68">
        <v>47798</v>
      </c>
      <c r="AL26" s="68">
        <v>38626</v>
      </c>
      <c r="AM26" s="68">
        <v>15637</v>
      </c>
      <c r="AN26" s="68">
        <v>0</v>
      </c>
      <c r="AO26" s="68">
        <v>0</v>
      </c>
      <c r="AP26" s="136">
        <v>20248</v>
      </c>
      <c r="AQ26" s="122"/>
      <c r="AR26" s="122"/>
    </row>
    <row r="27" spans="1:44" s="123" customFormat="1" ht="13.5" thickBot="1">
      <c r="A27" s="122"/>
      <c r="B27" s="127"/>
      <c r="C27" s="35" t="s">
        <v>158</v>
      </c>
      <c r="D27" s="36"/>
      <c r="E27" s="37"/>
      <c r="F27" s="75">
        <f>F13+F16+F19+F22+F25</f>
        <v>627</v>
      </c>
      <c r="G27" s="75">
        <f t="shared" ref="G27:M28" si="8">G13+G16+G19+G22+G25</f>
        <v>542</v>
      </c>
      <c r="H27" s="75">
        <f t="shared" si="8"/>
        <v>406</v>
      </c>
      <c r="I27" s="75">
        <f t="shared" si="8"/>
        <v>322</v>
      </c>
      <c r="J27" s="75">
        <f t="shared" si="8"/>
        <v>260</v>
      </c>
      <c r="K27" s="75">
        <f t="shared" si="8"/>
        <v>5</v>
      </c>
      <c r="L27" s="75">
        <f t="shared" si="8"/>
        <v>160</v>
      </c>
      <c r="M27" s="75">
        <f t="shared" si="8"/>
        <v>229</v>
      </c>
      <c r="N27" s="66">
        <f t="shared" si="6"/>
        <v>0.15682656826568264</v>
      </c>
      <c r="O27" s="66">
        <f>IFERROR(F27/H27-1,"n/a")</f>
        <v>0.54433497536945818</v>
      </c>
      <c r="P27" s="66">
        <f>IFERROR(F27/I27-1,"n/a")</f>
        <v>0.94720496894409933</v>
      </c>
      <c r="Q27" s="66">
        <f>IFERROR(F27/J27-1,"n/a")</f>
        <v>1.4115384615384614</v>
      </c>
      <c r="R27" s="66">
        <f>IFERROR(F27/K27-1,"n/a")</f>
        <v>124.4</v>
      </c>
      <c r="S27" s="66">
        <f>IFERROR(F27/L27-1,"n/a")</f>
        <v>2.9187500000000002</v>
      </c>
      <c r="T27" s="62">
        <f>IFERROR(F27/M27-1,"n/a")</f>
        <v>1.7379912663755457</v>
      </c>
      <c r="U27" s="75">
        <f>U13+U16+U19+U22+U25</f>
        <v>1759</v>
      </c>
      <c r="V27" s="75">
        <f t="shared" ref="V27:AB28" si="9">V13+V16+V19+V22+V25</f>
        <v>1568</v>
      </c>
      <c r="W27" s="75">
        <f t="shared" si="9"/>
        <v>1025</v>
      </c>
      <c r="X27" s="75">
        <f t="shared" si="9"/>
        <v>867</v>
      </c>
      <c r="Y27" s="75">
        <f t="shared" si="9"/>
        <v>631</v>
      </c>
      <c r="Z27" s="75">
        <f t="shared" si="9"/>
        <v>12</v>
      </c>
      <c r="AA27" s="75">
        <f t="shared" si="9"/>
        <v>565</v>
      </c>
      <c r="AB27" s="75">
        <f t="shared" si="9"/>
        <v>634</v>
      </c>
      <c r="AC27" s="66">
        <f t="shared" si="7"/>
        <v>0.12181122448979598</v>
      </c>
      <c r="AD27" s="66">
        <f>IFERROR(U27/W27-1,"n/a")</f>
        <v>0.71609756097560973</v>
      </c>
      <c r="AE27" s="66">
        <f>IFERROR(U27/X27-1,"n/a")</f>
        <v>1.0288350634371395</v>
      </c>
      <c r="AF27" s="66">
        <f>IFERROR(U27/Y27-1,"n/a")</f>
        <v>1.7876386687797146</v>
      </c>
      <c r="AG27" s="66">
        <f>IFERROR(U27/Z27-1,"n/a")</f>
        <v>145.58333333333334</v>
      </c>
      <c r="AH27" s="66">
        <f>IFERROR(U27/AA27-1,"n/a")</f>
        <v>2.1132743362831858</v>
      </c>
      <c r="AI27" s="62">
        <f>IFERROR(U27/AB27-1,"n/a")</f>
        <v>1.774447949526814</v>
      </c>
      <c r="AJ27" s="75">
        <f>AJ13+AJ16+AJ19+AJ22+AJ25</f>
        <v>6601</v>
      </c>
      <c r="AK27" s="75">
        <f t="shared" ref="AK27:AP28" si="10">AK13+AK16+AK19+AK22+AK25</f>
        <v>5678</v>
      </c>
      <c r="AL27" s="75">
        <f t="shared" si="10"/>
        <v>4434</v>
      </c>
      <c r="AM27" s="75">
        <f t="shared" si="10"/>
        <v>3620</v>
      </c>
      <c r="AN27" s="75">
        <f t="shared" si="10"/>
        <v>1054</v>
      </c>
      <c r="AO27" s="75">
        <f t="shared" si="10"/>
        <v>657</v>
      </c>
      <c r="AP27" s="75">
        <f t="shared" si="10"/>
        <v>3310</v>
      </c>
      <c r="AQ27" s="122"/>
      <c r="AR27" s="122"/>
    </row>
    <row r="28" spans="1:44" s="123" customFormat="1" ht="14.25" thickTop="1" thickBot="1">
      <c r="A28" s="122"/>
      <c r="B28" s="127"/>
      <c r="C28" s="38" t="s">
        <v>159</v>
      </c>
      <c r="D28" s="39"/>
      <c r="E28" s="40"/>
      <c r="F28" s="75">
        <f>F14+F17+F20+F23+F26</f>
        <v>1739746</v>
      </c>
      <c r="G28" s="75">
        <f t="shared" si="8"/>
        <v>1450136</v>
      </c>
      <c r="H28" s="75">
        <f t="shared" si="8"/>
        <v>1260097</v>
      </c>
      <c r="I28" s="75">
        <f t="shared" si="8"/>
        <v>921313</v>
      </c>
      <c r="J28" s="75">
        <f t="shared" si="8"/>
        <v>406818</v>
      </c>
      <c r="K28" s="75">
        <f t="shared" si="8"/>
        <v>4146</v>
      </c>
      <c r="L28" s="75">
        <f t="shared" si="8"/>
        <v>226273</v>
      </c>
      <c r="M28" s="75">
        <f t="shared" si="8"/>
        <v>655947</v>
      </c>
      <c r="N28" s="67">
        <f t="shared" si="6"/>
        <v>0.19971230284607788</v>
      </c>
      <c r="O28" s="67">
        <f>IFERROR(F28/H28-1,"n/a")</f>
        <v>0.38064450593882859</v>
      </c>
      <c r="P28" s="67">
        <f>IFERROR(F28/I28-1,"n/a")</f>
        <v>0.88833328087197283</v>
      </c>
      <c r="Q28" s="67">
        <f>IFERROR(F28/J28-1,"n/a")</f>
        <v>3.2764725257977769</v>
      </c>
      <c r="R28" s="67">
        <f>IFERROR(F28/K28-1,"n/a")</f>
        <v>418.62035697057405</v>
      </c>
      <c r="S28" s="67">
        <f>IFERROR(F28/L28-1,"n/a")</f>
        <v>6.6887034688186393</v>
      </c>
      <c r="T28" s="63">
        <f>IFERROR(F28/M28-1,"n/a")</f>
        <v>1.6522661129633951</v>
      </c>
      <c r="U28" s="75">
        <f>U14+U17+U20+U23+U26</f>
        <v>4963288</v>
      </c>
      <c r="V28" s="75">
        <f t="shared" si="9"/>
        <v>4217135</v>
      </c>
      <c r="W28" s="75">
        <f t="shared" si="9"/>
        <v>3237194</v>
      </c>
      <c r="X28" s="75">
        <f t="shared" si="9"/>
        <v>2478359</v>
      </c>
      <c r="Y28" s="75">
        <f t="shared" si="9"/>
        <v>867705</v>
      </c>
      <c r="Z28" s="75">
        <f t="shared" si="9"/>
        <v>10103</v>
      </c>
      <c r="AA28" s="75">
        <f t="shared" si="9"/>
        <v>1276302</v>
      </c>
      <c r="AB28" s="75">
        <f t="shared" si="9"/>
        <v>1789862</v>
      </c>
      <c r="AC28" s="67">
        <f t="shared" si="7"/>
        <v>0.17693362911075883</v>
      </c>
      <c r="AD28" s="67">
        <f>IFERROR(U28/W28-1,"n/a")</f>
        <v>0.53320684518752959</v>
      </c>
      <c r="AE28" s="67">
        <f>IFERROR(U28/X28-1,"n/a")</f>
        <v>1.0026509476633532</v>
      </c>
      <c r="AF28" s="67">
        <f>IFERROR(U28/Y28-1,"n/a")</f>
        <v>4.7200177479673391</v>
      </c>
      <c r="AG28" s="67">
        <f>IFERROR(U28/Z28-1,"n/a")</f>
        <v>490.26873205978421</v>
      </c>
      <c r="AH28" s="67">
        <f>IFERROR(U28/AA28-1,"n/a")</f>
        <v>2.8888037470755354</v>
      </c>
      <c r="AI28" s="63">
        <f>IFERROR(U28/AB28-1,"n/a")</f>
        <v>1.7730003765653439</v>
      </c>
      <c r="AJ28" s="75">
        <f>AJ14+AJ17+AJ20+AJ23+AJ26</f>
        <v>18061688</v>
      </c>
      <c r="AK28" s="75">
        <f t="shared" si="10"/>
        <v>16671008.4</v>
      </c>
      <c r="AL28" s="75">
        <f t="shared" si="10"/>
        <v>12658551</v>
      </c>
      <c r="AM28" s="75">
        <f t="shared" si="10"/>
        <v>7626669</v>
      </c>
      <c r="AN28" s="75">
        <f t="shared" si="10"/>
        <v>1552483</v>
      </c>
      <c r="AO28" s="75">
        <f t="shared" si="10"/>
        <v>1314158</v>
      </c>
      <c r="AP28" s="75">
        <f t="shared" si="10"/>
        <v>9152531</v>
      </c>
      <c r="AQ28" s="122"/>
      <c r="AR28" s="122"/>
    </row>
    <row r="29" spans="1:44" s="123" customFormat="1" ht="13.5" thickTop="1">
      <c r="A29" s="122"/>
      <c r="B29" s="127"/>
      <c r="C29" s="31" t="s">
        <v>162</v>
      </c>
      <c r="D29" s="26"/>
      <c r="E29" s="32"/>
      <c r="F29" s="72"/>
      <c r="G29" s="72"/>
      <c r="H29" s="72"/>
      <c r="I29" s="72"/>
      <c r="J29" s="72"/>
      <c r="K29" s="72"/>
      <c r="L29" s="72"/>
      <c r="M29" s="72"/>
      <c r="N29" s="64"/>
      <c r="O29" s="64"/>
      <c r="P29" s="64"/>
      <c r="Q29" s="64"/>
      <c r="R29" s="64"/>
      <c r="S29" s="64"/>
      <c r="T29" s="60"/>
      <c r="U29" s="87"/>
      <c r="V29" s="87"/>
      <c r="W29" s="87"/>
      <c r="X29" s="87"/>
      <c r="Y29" s="87"/>
      <c r="Z29" s="87"/>
      <c r="AA29" s="87"/>
      <c r="AB29" s="87"/>
      <c r="AC29" s="64"/>
      <c r="AD29" s="64"/>
      <c r="AE29" s="64"/>
      <c r="AF29" s="64"/>
      <c r="AG29" s="64"/>
      <c r="AH29" s="64"/>
      <c r="AI29" s="60"/>
      <c r="AJ29" s="43"/>
      <c r="AK29" s="43"/>
      <c r="AL29" s="43"/>
      <c r="AM29" s="43"/>
      <c r="AN29" s="43"/>
      <c r="AO29" s="43"/>
      <c r="AP29" s="135"/>
      <c r="AQ29" s="122"/>
      <c r="AR29" s="122"/>
    </row>
    <row r="30" spans="1:44" s="123" customFormat="1" ht="12.75">
      <c r="B30" s="127"/>
      <c r="C30" s="33"/>
      <c r="D30" s="26" t="s">
        <v>5</v>
      </c>
      <c r="E30" s="32"/>
      <c r="F30" s="71">
        <v>98</v>
      </c>
      <c r="G30" s="71">
        <v>0</v>
      </c>
      <c r="H30" s="71">
        <v>0</v>
      </c>
      <c r="I30" s="73">
        <v>0</v>
      </c>
      <c r="J30" s="73">
        <v>0</v>
      </c>
      <c r="K30" s="73">
        <v>0</v>
      </c>
      <c r="L30" s="73">
        <v>0</v>
      </c>
      <c r="M30" s="73">
        <v>0</v>
      </c>
      <c r="N30" s="64"/>
      <c r="O30" s="64"/>
      <c r="P30" s="64"/>
      <c r="Q30" s="64"/>
      <c r="R30" s="64"/>
      <c r="S30" s="64"/>
      <c r="T30" s="60"/>
      <c r="U30" s="68">
        <f>F30+'Feb-26'!U30+2</f>
        <v>243</v>
      </c>
      <c r="V30" s="68">
        <v>0</v>
      </c>
      <c r="W30" s="68">
        <v>0</v>
      </c>
      <c r="X30" s="68">
        <v>0</v>
      </c>
      <c r="Y30" s="68">
        <v>0</v>
      </c>
      <c r="Z30" s="68">
        <v>0</v>
      </c>
      <c r="AA30" s="68">
        <v>0</v>
      </c>
      <c r="AB30" s="68">
        <v>0</v>
      </c>
      <c r="AC30" s="64"/>
      <c r="AD30" s="64"/>
      <c r="AE30" s="64"/>
      <c r="AF30" s="64"/>
      <c r="AG30" s="64"/>
      <c r="AH30" s="64"/>
      <c r="AI30" s="60"/>
      <c r="AJ30" s="68">
        <v>725</v>
      </c>
      <c r="AK30" s="68"/>
      <c r="AL30" s="68"/>
      <c r="AM30" s="68"/>
      <c r="AN30" s="68"/>
      <c r="AO30" s="68"/>
      <c r="AP30" s="134"/>
      <c r="AQ30" s="122"/>
      <c r="AR30" s="122"/>
    </row>
    <row r="31" spans="1:44" s="123" customFormat="1" ht="12.75">
      <c r="A31" s="122"/>
      <c r="B31" s="127"/>
      <c r="C31" s="33"/>
      <c r="D31" s="26" t="s">
        <v>11</v>
      </c>
      <c r="E31" s="32"/>
      <c r="F31" s="71">
        <v>373673</v>
      </c>
      <c r="G31" s="71">
        <v>0</v>
      </c>
      <c r="H31" s="71">
        <v>0</v>
      </c>
      <c r="I31" s="73">
        <v>0</v>
      </c>
      <c r="J31" s="73">
        <v>0</v>
      </c>
      <c r="K31" s="73">
        <v>0</v>
      </c>
      <c r="L31" s="73">
        <v>0</v>
      </c>
      <c r="M31" s="73">
        <v>0</v>
      </c>
      <c r="N31" s="64"/>
      <c r="O31" s="64"/>
      <c r="P31" s="64"/>
      <c r="Q31" s="64"/>
      <c r="R31" s="64"/>
      <c r="S31" s="64"/>
      <c r="T31" s="60"/>
      <c r="U31" s="68">
        <f>F31+'Feb-26'!U31+5108-12</f>
        <v>951948</v>
      </c>
      <c r="V31" s="68">
        <v>0</v>
      </c>
      <c r="W31" s="68">
        <v>0</v>
      </c>
      <c r="X31" s="68">
        <v>0</v>
      </c>
      <c r="Y31" s="68">
        <v>0</v>
      </c>
      <c r="Z31" s="68">
        <v>0</v>
      </c>
      <c r="AA31" s="68">
        <v>0</v>
      </c>
      <c r="AB31" s="68">
        <v>0</v>
      </c>
      <c r="AC31" s="64"/>
      <c r="AD31" s="64"/>
      <c r="AE31" s="64"/>
      <c r="AF31" s="64"/>
      <c r="AG31" s="64"/>
      <c r="AH31" s="64"/>
      <c r="AI31" s="60"/>
      <c r="AJ31" s="68">
        <v>2827444</v>
      </c>
      <c r="AK31" s="68"/>
      <c r="AL31" s="68"/>
      <c r="AM31" s="68"/>
      <c r="AN31" s="68"/>
      <c r="AO31" s="68"/>
      <c r="AP31" s="136"/>
      <c r="AQ31" s="122"/>
      <c r="AR31" s="122"/>
    </row>
    <row r="32" spans="1:44" s="123" customFormat="1" ht="13.5" thickBot="1">
      <c r="A32" s="122"/>
      <c r="B32" s="127"/>
      <c r="C32" s="35" t="s">
        <v>160</v>
      </c>
      <c r="D32" s="36"/>
      <c r="E32" s="37"/>
      <c r="F32" s="75">
        <f>F27+F30</f>
        <v>725</v>
      </c>
      <c r="G32" s="75"/>
      <c r="H32" s="75"/>
      <c r="I32" s="75"/>
      <c r="J32" s="75"/>
      <c r="K32" s="75"/>
      <c r="L32" s="75"/>
      <c r="M32" s="75"/>
      <c r="N32" s="66"/>
      <c r="O32" s="66"/>
      <c r="P32" s="66"/>
      <c r="Q32" s="66"/>
      <c r="R32" s="66"/>
      <c r="S32" s="66"/>
      <c r="T32" s="62"/>
      <c r="U32" s="75">
        <f t="shared" ref="U32:U33" si="11">U27+U30</f>
        <v>2002</v>
      </c>
      <c r="V32" s="75"/>
      <c r="W32" s="75"/>
      <c r="X32" s="75"/>
      <c r="Y32" s="75"/>
      <c r="Z32" s="75"/>
      <c r="AA32" s="75"/>
      <c r="AB32" s="75"/>
      <c r="AC32" s="66"/>
      <c r="AD32" s="66"/>
      <c r="AE32" s="66"/>
      <c r="AF32" s="66"/>
      <c r="AG32" s="66"/>
      <c r="AH32" s="66"/>
      <c r="AI32" s="62"/>
      <c r="AJ32" s="75">
        <f t="shared" ref="AJ32:AJ33" si="12">AJ27+AJ30</f>
        <v>7326</v>
      </c>
      <c r="AK32" s="75"/>
      <c r="AL32" s="75"/>
      <c r="AM32" s="75"/>
      <c r="AN32" s="75"/>
      <c r="AO32" s="75"/>
      <c r="AP32" s="75"/>
      <c r="AQ32" s="122"/>
      <c r="AR32" s="122"/>
    </row>
    <row r="33" spans="1:44" s="123" customFormat="1" ht="14.25" thickTop="1" thickBot="1">
      <c r="A33" s="122"/>
      <c r="B33" s="127"/>
      <c r="C33" s="38" t="s">
        <v>161</v>
      </c>
      <c r="D33" s="39"/>
      <c r="E33" s="40"/>
      <c r="F33" s="76">
        <f>F28+F31</f>
        <v>2113419</v>
      </c>
      <c r="G33" s="76"/>
      <c r="H33" s="76"/>
      <c r="I33" s="76"/>
      <c r="J33" s="76"/>
      <c r="K33" s="76"/>
      <c r="L33" s="76"/>
      <c r="M33" s="76"/>
      <c r="N33" s="67"/>
      <c r="O33" s="67"/>
      <c r="P33" s="67"/>
      <c r="Q33" s="67"/>
      <c r="R33" s="67"/>
      <c r="S33" s="67"/>
      <c r="T33" s="63"/>
      <c r="U33" s="76">
        <f t="shared" si="11"/>
        <v>5915236</v>
      </c>
      <c r="V33" s="76"/>
      <c r="W33" s="76"/>
      <c r="X33" s="76"/>
      <c r="Y33" s="76"/>
      <c r="Z33" s="76"/>
      <c r="AA33" s="76"/>
      <c r="AB33" s="76"/>
      <c r="AC33" s="67"/>
      <c r="AD33" s="67"/>
      <c r="AE33" s="67"/>
      <c r="AF33" s="67"/>
      <c r="AG33" s="67"/>
      <c r="AH33" s="67"/>
      <c r="AI33" s="63"/>
      <c r="AJ33" s="76">
        <f t="shared" si="12"/>
        <v>20889132</v>
      </c>
      <c r="AK33" s="76"/>
      <c r="AL33" s="76"/>
      <c r="AM33" s="76"/>
      <c r="AN33" s="76"/>
      <c r="AO33" s="76"/>
      <c r="AP33" s="76"/>
      <c r="AQ33" s="122"/>
      <c r="AR33" s="122"/>
    </row>
    <row r="34" spans="1:44" s="123" customFormat="1" ht="12" thickTop="1">
      <c r="A34" s="122"/>
      <c r="B34" s="122"/>
      <c r="C34" s="122"/>
      <c r="D34" s="122"/>
      <c r="E34" s="122"/>
      <c r="F34" s="128"/>
      <c r="G34" s="128"/>
      <c r="H34" s="122"/>
      <c r="I34" s="128"/>
      <c r="J34" s="128"/>
      <c r="K34" s="128"/>
      <c r="L34" s="128"/>
      <c r="M34" s="128"/>
      <c r="N34" s="128"/>
      <c r="O34" s="128"/>
      <c r="P34" s="128"/>
      <c r="Q34" s="128"/>
      <c r="R34" s="128"/>
      <c r="S34" s="128"/>
      <c r="T34" s="122"/>
      <c r="U34" s="128">
        <f>'Feb-26'!U32+'Mar-26'!F32-'Mar-26'!U32+2</f>
        <v>0</v>
      </c>
      <c r="V34" s="128">
        <f>'Feb-26'!V27+'Mar-26'!G27-'Mar-26'!V27</f>
        <v>0</v>
      </c>
      <c r="W34" s="128">
        <f>'Feb-26'!W27+'Mar-26'!H27-'Mar-26'!W27</f>
        <v>0</v>
      </c>
      <c r="X34" s="128">
        <f>'Feb-26'!X27+'Mar-26'!I27-'Mar-26'!X27</f>
        <v>0</v>
      </c>
      <c r="Y34" s="128">
        <f>'Feb-26'!Y27+'Mar-26'!J27-'Mar-26'!Y27</f>
        <v>0</v>
      </c>
      <c r="Z34" s="128">
        <f>'Feb-26'!Z27+'Mar-26'!K27-'Mar-26'!Z27</f>
        <v>0</v>
      </c>
      <c r="AA34" s="128">
        <f>'Feb-26'!AA27+'Mar-26'!L27-'Mar-26'!AA27</f>
        <v>0</v>
      </c>
      <c r="AB34" s="128">
        <f>'Feb-26'!AB27+'Mar-26'!M27-'Mar-26'!AB27</f>
        <v>0</v>
      </c>
      <c r="AC34" s="128"/>
      <c r="AD34" s="122"/>
      <c r="AE34" s="122"/>
      <c r="AF34" s="122"/>
      <c r="AG34" s="122"/>
      <c r="AH34" s="122"/>
      <c r="AI34" s="122"/>
      <c r="AJ34" s="122"/>
      <c r="AK34" s="122"/>
      <c r="AL34" s="122"/>
      <c r="AM34" s="122"/>
      <c r="AN34" s="122"/>
      <c r="AO34" s="122"/>
      <c r="AP34" s="122"/>
      <c r="AQ34" s="122"/>
      <c r="AR34" s="122"/>
    </row>
    <row r="35" spans="1:44" s="123" customFormat="1" ht="11.25">
      <c r="A35" s="122"/>
      <c r="B35" s="122"/>
      <c r="C35" s="122"/>
      <c r="D35" s="122"/>
      <c r="E35" s="122"/>
      <c r="F35" s="122"/>
      <c r="G35" s="122"/>
      <c r="H35" s="122"/>
      <c r="I35" s="128"/>
      <c r="J35" s="128"/>
      <c r="K35" s="128"/>
      <c r="L35" s="128"/>
      <c r="M35" s="128"/>
      <c r="N35" s="128"/>
      <c r="O35" s="128"/>
      <c r="P35" s="128"/>
      <c r="Q35" s="128"/>
      <c r="R35" s="128"/>
      <c r="S35" s="128"/>
      <c r="T35" s="122"/>
      <c r="U35" s="128">
        <f>'Feb-26'!U33+'Mar-26'!F33-'Mar-26'!U33+4421-12</f>
        <v>0</v>
      </c>
      <c r="V35" s="128">
        <f>'Feb-26'!V28+'Mar-26'!G28-'Mar-26'!V28</f>
        <v>0</v>
      </c>
      <c r="W35" s="128">
        <f>'Feb-26'!W28+'Mar-26'!H28-'Mar-26'!W28</f>
        <v>0</v>
      </c>
      <c r="X35" s="128">
        <f>'Feb-26'!X28+'Mar-26'!I28-'Mar-26'!X28</f>
        <v>0</v>
      </c>
      <c r="Y35" s="128">
        <f>'Feb-26'!Y28+'Mar-26'!J28-'Mar-26'!Y28</f>
        <v>0</v>
      </c>
      <c r="Z35" s="128">
        <f>'Feb-26'!Z28+'Mar-26'!K28-'Mar-26'!Z28</f>
        <v>0</v>
      </c>
      <c r="AA35" s="128">
        <f>'Feb-26'!AA28+'Mar-26'!L28-'Mar-26'!AA28</f>
        <v>0</v>
      </c>
      <c r="AB35" s="128">
        <f>'Feb-26'!AB28+'Mar-26'!M28-'Mar-26'!AB28</f>
        <v>0</v>
      </c>
      <c r="AC35" s="128"/>
      <c r="AD35" s="128"/>
      <c r="AE35" s="122"/>
      <c r="AF35" s="122"/>
      <c r="AG35" s="122"/>
      <c r="AH35" s="122"/>
      <c r="AI35" s="122"/>
      <c r="AJ35" s="122"/>
      <c r="AK35" s="122"/>
      <c r="AL35" s="122"/>
      <c r="AM35" s="122"/>
      <c r="AN35" s="122"/>
      <c r="AO35" s="122"/>
      <c r="AP35" s="122"/>
      <c r="AQ35" s="122"/>
      <c r="AR35" s="122"/>
    </row>
    <row r="36" spans="1:44" s="123" customFormat="1" ht="12.75">
      <c r="A36" s="122"/>
      <c r="B36" s="129"/>
      <c r="C36" s="130" t="s">
        <v>63</v>
      </c>
      <c r="D36" s="24"/>
      <c r="E36" s="24"/>
      <c r="F36" s="24"/>
      <c r="G36" s="24"/>
      <c r="H36" s="24"/>
      <c r="I36" s="24"/>
      <c r="J36" s="24"/>
      <c r="K36" s="24"/>
      <c r="L36" s="24"/>
      <c r="M36" s="95"/>
      <c r="N36" s="95"/>
      <c r="O36" s="95"/>
      <c r="P36" s="95"/>
      <c r="Q36" s="95"/>
      <c r="R36" s="95"/>
      <c r="S36" s="95"/>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122"/>
    </row>
    <row r="37" spans="1:44" s="123" customFormat="1" ht="12.75">
      <c r="A37" s="122"/>
      <c r="B37" s="129"/>
      <c r="C37" s="24"/>
      <c r="D37" s="24"/>
      <c r="E37" s="24"/>
      <c r="F37" s="24"/>
      <c r="G37" s="24"/>
      <c r="H37" s="24"/>
      <c r="I37" s="24"/>
      <c r="J37" s="24"/>
      <c r="K37" s="24"/>
      <c r="L37" s="24"/>
      <c r="M37" s="95"/>
      <c r="N37" s="95"/>
      <c r="O37" s="95"/>
      <c r="P37" s="95"/>
      <c r="Q37" s="95"/>
      <c r="R37" s="95"/>
      <c r="S37" s="95"/>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122"/>
    </row>
    <row r="38" spans="1:44" s="123" customFormat="1" ht="15" customHeight="1">
      <c r="A38" s="122"/>
      <c r="B38" s="122"/>
      <c r="C38" s="27" t="s">
        <v>7</v>
      </c>
      <c r="D38" s="28"/>
      <c r="E38" s="28"/>
      <c r="F38" s="170" t="str">
        <f>F9</f>
        <v>March</v>
      </c>
      <c r="G38" s="170"/>
      <c r="H38" s="170"/>
      <c r="I38" s="170"/>
      <c r="J38" s="170"/>
      <c r="K38" s="170"/>
      <c r="L38" s="170"/>
      <c r="M38" s="170"/>
      <c r="N38" s="170"/>
      <c r="O38" s="170"/>
      <c r="P38" s="170"/>
      <c r="Q38" s="170"/>
      <c r="R38" s="170"/>
      <c r="S38" s="170"/>
      <c r="T38" s="171"/>
      <c r="U38" s="176" t="str">
        <f>"April to "&amp;D4&amp;" (YTD)"</f>
        <v>April to March (YTD)</v>
      </c>
      <c r="V38" s="177"/>
      <c r="W38" s="177"/>
      <c r="X38" s="177"/>
      <c r="Y38" s="177"/>
      <c r="Z38" s="177"/>
      <c r="AA38" s="177"/>
      <c r="AB38" s="177"/>
      <c r="AC38" s="177"/>
      <c r="AD38" s="177"/>
      <c r="AE38" s="177"/>
      <c r="AF38" s="177"/>
      <c r="AG38" s="177"/>
      <c r="AH38" s="177"/>
      <c r="AI38" s="178"/>
      <c r="AJ38" s="176" t="s">
        <v>58</v>
      </c>
      <c r="AK38" s="177"/>
      <c r="AL38" s="177"/>
      <c r="AM38" s="177"/>
      <c r="AN38" s="177"/>
      <c r="AO38" s="177"/>
      <c r="AP38" s="179"/>
    </row>
    <row r="39" spans="1:44" s="123" customFormat="1" ht="11.25">
      <c r="A39" s="122"/>
      <c r="B39" s="122"/>
      <c r="C39" s="29"/>
      <c r="D39" s="30"/>
      <c r="E39" s="30"/>
      <c r="F39" s="142"/>
      <c r="G39" s="143"/>
      <c r="H39" s="143"/>
      <c r="I39" s="143"/>
      <c r="J39" s="143"/>
      <c r="K39" s="143"/>
      <c r="L39" s="143"/>
      <c r="M39" s="143"/>
      <c r="N39" s="143"/>
      <c r="O39" s="143"/>
      <c r="P39" s="143"/>
      <c r="Q39" s="143"/>
      <c r="R39" s="143"/>
      <c r="S39" s="143"/>
      <c r="T39" s="144"/>
      <c r="U39" s="143"/>
      <c r="V39" s="143"/>
      <c r="W39" s="143"/>
      <c r="X39" s="143"/>
      <c r="Y39" s="143"/>
      <c r="Z39" s="143"/>
      <c r="AA39" s="143"/>
      <c r="AB39" s="143"/>
      <c r="AC39" s="143"/>
      <c r="AD39" s="143"/>
      <c r="AE39" s="143"/>
      <c r="AF39" s="143"/>
      <c r="AG39" s="143"/>
      <c r="AH39" s="143"/>
      <c r="AI39" s="144"/>
      <c r="AJ39" s="164"/>
      <c r="AK39" s="165"/>
      <c r="AL39" s="165"/>
      <c r="AM39" s="165"/>
      <c r="AN39" s="165"/>
      <c r="AO39" s="165"/>
      <c r="AP39" s="166"/>
    </row>
    <row r="40" spans="1:44" s="123" customFormat="1" ht="22.5">
      <c r="A40" s="122"/>
      <c r="B40" s="122"/>
      <c r="C40" s="59" t="s">
        <v>29</v>
      </c>
      <c r="D40" s="50"/>
      <c r="E40" s="51"/>
      <c r="F40" s="55">
        <v>2026</v>
      </c>
      <c r="G40" s="52">
        <v>2025</v>
      </c>
      <c r="H40" s="52">
        <v>2024</v>
      </c>
      <c r="I40" s="52">
        <v>2023</v>
      </c>
      <c r="J40" s="52">
        <v>2022</v>
      </c>
      <c r="K40" s="52">
        <v>2021</v>
      </c>
      <c r="L40" s="52">
        <v>2020</v>
      </c>
      <c r="M40" s="52">
        <v>2019</v>
      </c>
      <c r="N40" s="53" t="s">
        <v>147</v>
      </c>
      <c r="O40" s="53" t="s">
        <v>147</v>
      </c>
      <c r="P40" s="53" t="s">
        <v>148</v>
      </c>
      <c r="Q40" s="53" t="s">
        <v>149</v>
      </c>
      <c r="R40" s="53" t="s">
        <v>150</v>
      </c>
      <c r="S40" s="53" t="s">
        <v>151</v>
      </c>
      <c r="T40" s="57" t="s">
        <v>157</v>
      </c>
      <c r="U40" s="53"/>
      <c r="V40" s="53" t="s">
        <v>145</v>
      </c>
      <c r="W40" s="53" t="s">
        <v>128</v>
      </c>
      <c r="X40" s="53" t="s">
        <v>114</v>
      </c>
      <c r="Y40" s="53" t="s">
        <v>53</v>
      </c>
      <c r="Z40" s="52" t="s">
        <v>54</v>
      </c>
      <c r="AA40" s="52" t="s">
        <v>59</v>
      </c>
      <c r="AB40" s="52" t="s">
        <v>64</v>
      </c>
      <c r="AC40" s="52"/>
      <c r="AD40" s="53" t="s">
        <v>146</v>
      </c>
      <c r="AE40" s="53" t="s">
        <v>147</v>
      </c>
      <c r="AF40" s="53" t="s">
        <v>148</v>
      </c>
      <c r="AG40" s="53" t="s">
        <v>149</v>
      </c>
      <c r="AH40" s="53" t="s">
        <v>150</v>
      </c>
      <c r="AI40" s="57" t="s">
        <v>151</v>
      </c>
      <c r="AJ40" s="53"/>
      <c r="AK40" s="53" t="s">
        <v>128</v>
      </c>
      <c r="AL40" s="53" t="s">
        <v>114</v>
      </c>
      <c r="AM40" s="53" t="s">
        <v>53</v>
      </c>
      <c r="AN40" s="53" t="s">
        <v>54</v>
      </c>
      <c r="AO40" s="53" t="s">
        <v>65</v>
      </c>
      <c r="AP40" s="57" t="s">
        <v>73</v>
      </c>
      <c r="AR40" s="122"/>
    </row>
    <row r="41" spans="1:44" s="123" customFormat="1" ht="11.25">
      <c r="A41" s="122"/>
      <c r="B41" s="122"/>
      <c r="C41" s="31" t="s">
        <v>107</v>
      </c>
      <c r="D41" s="26"/>
      <c r="E41" s="32"/>
      <c r="F41" s="26"/>
      <c r="G41" s="26"/>
      <c r="H41" s="26"/>
      <c r="I41" s="26"/>
      <c r="J41" s="26"/>
      <c r="K41" s="26"/>
      <c r="L41" s="26"/>
      <c r="M41" s="26"/>
      <c r="N41" s="26"/>
      <c r="O41" s="26"/>
      <c r="P41" s="26"/>
      <c r="Q41" s="26"/>
      <c r="R41" s="26"/>
      <c r="S41" s="26"/>
      <c r="T41" s="32"/>
      <c r="U41" s="26"/>
      <c r="V41" s="26"/>
      <c r="W41" s="26"/>
      <c r="X41" s="26"/>
      <c r="Y41" s="26"/>
      <c r="Z41" s="26"/>
      <c r="AA41" s="26"/>
      <c r="AB41" s="122"/>
      <c r="AC41" s="122"/>
      <c r="AD41" s="122"/>
      <c r="AE41" s="26"/>
      <c r="AF41" s="26"/>
      <c r="AG41" s="122"/>
      <c r="AH41" s="26"/>
      <c r="AI41" s="32"/>
      <c r="AJ41" s="26"/>
      <c r="AK41" s="26"/>
      <c r="AL41" s="26"/>
      <c r="AM41" s="26"/>
      <c r="AN41" s="26"/>
      <c r="AO41" s="88"/>
      <c r="AP41" s="85"/>
      <c r="AR41" s="122"/>
    </row>
    <row r="42" spans="1:44" s="123" customFormat="1" ht="11.25">
      <c r="A42" s="122"/>
      <c r="B42" s="122"/>
      <c r="C42" s="33"/>
      <c r="D42" s="26" t="s">
        <v>5</v>
      </c>
      <c r="E42" s="32"/>
      <c r="F42" s="74">
        <f t="shared" ref="F42:M43" si="13">F13</f>
        <v>384</v>
      </c>
      <c r="G42" s="74">
        <f t="shared" si="13"/>
        <v>349</v>
      </c>
      <c r="H42" s="74">
        <f t="shared" si="13"/>
        <v>281</v>
      </c>
      <c r="I42" s="74">
        <f t="shared" si="13"/>
        <v>181</v>
      </c>
      <c r="J42" s="74">
        <f t="shared" si="13"/>
        <v>204</v>
      </c>
      <c r="K42" s="74">
        <f t="shared" si="13"/>
        <v>0</v>
      </c>
      <c r="L42" s="74">
        <f t="shared" si="13"/>
        <v>147</v>
      </c>
      <c r="M42" s="74">
        <f t="shared" si="13"/>
        <v>170</v>
      </c>
      <c r="N42" s="64">
        <f t="shared" ref="N42:N43" si="14">IFERROR(F42/G42-1,"n/a")</f>
        <v>0.10028653295128942</v>
      </c>
      <c r="O42" s="64">
        <f>IFERROR(F42/H42-1,"n/a")</f>
        <v>0.36654804270462638</v>
      </c>
      <c r="P42" s="64">
        <f>IFERROR(F42/I42-1,"n/a")</f>
        <v>1.1215469613259668</v>
      </c>
      <c r="Q42" s="64">
        <f>IFERROR(F42/J42-1,"n/a")</f>
        <v>0.88235294117647056</v>
      </c>
      <c r="R42" s="64" t="str">
        <f>IFERROR(F42/K42-1,"n/a")</f>
        <v>n/a</v>
      </c>
      <c r="S42" s="64">
        <f>IFERROR(F42/L42-1,"n/a")</f>
        <v>1.6122448979591835</v>
      </c>
      <c r="T42" s="60">
        <f>IFERROR(F42/M42-1,"n/a")</f>
        <v>1.2588235294117647</v>
      </c>
      <c r="U42" s="64"/>
      <c r="V42" s="74">
        <f>'Feb-26'!V42+'Mar-26'!F42</f>
        <v>3083</v>
      </c>
      <c r="W42" s="74">
        <f>'Feb-26'!W42+'Mar-26'!G42</f>
        <v>2874</v>
      </c>
      <c r="X42" s="74">
        <f>'Feb-26'!X42+'Mar-26'!H42</f>
        <v>1802</v>
      </c>
      <c r="Y42" s="74">
        <f>'Feb-26'!Y42+'Mar-26'!I42</f>
        <v>1486</v>
      </c>
      <c r="Z42" s="74">
        <f>'Feb-26'!Z42+'Mar-26'!J42</f>
        <v>1045</v>
      </c>
      <c r="AA42" s="74">
        <f>'Feb-26'!AA42+'Mar-26'!K42</f>
        <v>42</v>
      </c>
      <c r="AB42" s="74">
        <f>'Feb-26'!AB42+'Mar-26'!L42</f>
        <v>1577</v>
      </c>
      <c r="AC42" s="74"/>
      <c r="AD42" s="147">
        <f>IFERROR(V42/W42-1,"n/a")</f>
        <v>7.2720946416144683E-2</v>
      </c>
      <c r="AE42" s="147">
        <f>IFERROR(V42/X42-1,"n/a")</f>
        <v>0.71087680355160932</v>
      </c>
      <c r="AF42" s="147">
        <f>IFERROR(V42/Y42-1,"n/a")</f>
        <v>1.0746971736204576</v>
      </c>
      <c r="AG42" s="147">
        <f>IFERROR(V42/Z42-1,"n/a")</f>
        <v>1.9502392344497608</v>
      </c>
      <c r="AH42" s="147">
        <f>IFERROR(V42/AA42-1,"n/a")</f>
        <v>72.404761904761898</v>
      </c>
      <c r="AI42" s="158">
        <f>IFERROR(V42/AB42-1,"n/a")</f>
        <v>0.95497780596068482</v>
      </c>
      <c r="AJ42" s="163"/>
      <c r="AK42" s="154">
        <v>2874</v>
      </c>
      <c r="AL42" s="89">
        <v>1802</v>
      </c>
      <c r="AM42" s="89">
        <v>1486</v>
      </c>
      <c r="AN42" s="89">
        <v>1052</v>
      </c>
      <c r="AO42" s="70">
        <v>551</v>
      </c>
      <c r="AP42" s="78">
        <v>1584</v>
      </c>
      <c r="AR42" s="122"/>
    </row>
    <row r="43" spans="1:44" s="123" customFormat="1" ht="11.25">
      <c r="A43" s="122"/>
      <c r="B43" s="122"/>
      <c r="C43" s="33"/>
      <c r="D43" s="26" t="s">
        <v>11</v>
      </c>
      <c r="E43" s="32"/>
      <c r="F43" s="74">
        <f t="shared" si="13"/>
        <v>1161194</v>
      </c>
      <c r="G43" s="74">
        <f t="shared" si="13"/>
        <v>996380</v>
      </c>
      <c r="H43" s="74">
        <f t="shared" si="13"/>
        <v>857821</v>
      </c>
      <c r="I43" s="74">
        <f t="shared" si="13"/>
        <v>565574</v>
      </c>
      <c r="J43" s="74">
        <f t="shared" si="13"/>
        <v>344501</v>
      </c>
      <c r="K43" s="74">
        <f t="shared" si="13"/>
        <v>0</v>
      </c>
      <c r="L43" s="74">
        <f t="shared" si="13"/>
        <v>196286</v>
      </c>
      <c r="M43" s="74">
        <f t="shared" si="13"/>
        <v>500596</v>
      </c>
      <c r="N43" s="64">
        <f t="shared" si="14"/>
        <v>0.16541279431542177</v>
      </c>
      <c r="O43" s="64">
        <f>IFERROR(F43/H43-1,"n/a")</f>
        <v>0.35365536632933914</v>
      </c>
      <c r="P43" s="64">
        <f>IFERROR(F43/I43-1,"n/a")</f>
        <v>1.0531247900363172</v>
      </c>
      <c r="Q43" s="64">
        <f>IFERROR(F43/J43-1,"n/a")</f>
        <v>2.3706549473005882</v>
      </c>
      <c r="R43" s="64" t="str">
        <f>IFERROR(F43/K43-1,"n/a")</f>
        <v>n/a</v>
      </c>
      <c r="S43" s="64">
        <f>IFERROR(F43/L43-1,"n/a")</f>
        <v>4.915826905637692</v>
      </c>
      <c r="T43" s="60">
        <f>IFERROR(F43/M43-1,"n/a")</f>
        <v>1.3196230093728274</v>
      </c>
      <c r="U43" s="64"/>
      <c r="V43" s="74">
        <f>'Feb-26'!V43+'Mar-26'!F43-24</f>
        <v>9888015</v>
      </c>
      <c r="W43" s="74">
        <f>'Feb-26'!W43+'Mar-26'!G43</f>
        <v>8791246</v>
      </c>
      <c r="X43" s="74">
        <f>'Feb-26'!X43+'Mar-26'!H43</f>
        <v>5848177</v>
      </c>
      <c r="Y43" s="74">
        <f>'Feb-26'!Y43+'Mar-26'!I43</f>
        <v>4370939</v>
      </c>
      <c r="Z43" s="74">
        <f>'Feb-26'!Z43+'Mar-26'!J43</f>
        <v>1522859</v>
      </c>
      <c r="AA43" s="74">
        <f>'Feb-26'!AA43+'Mar-26'!K43</f>
        <v>0</v>
      </c>
      <c r="AB43" s="74">
        <f>'Feb-26'!AB43+'Mar-26'!L43</f>
        <v>4212856</v>
      </c>
      <c r="AC43" s="74"/>
      <c r="AD43" s="147">
        <f>IFERROR(V43/W43-1,"n/a")</f>
        <v>0.1247569457162272</v>
      </c>
      <c r="AE43" s="147">
        <f>IFERROR(V43/X43-1,"n/a")</f>
        <v>0.69078586369735384</v>
      </c>
      <c r="AF43" s="147">
        <f>IFERROR(V43/Y43-1,"n/a")</f>
        <v>1.2622175692682966</v>
      </c>
      <c r="AG43" s="147">
        <f>IFERROR(V43/Z43-1,"n/a")</f>
        <v>5.4930600928910689</v>
      </c>
      <c r="AH43" s="147" t="str">
        <f>IFERROR(V43/AA43-1,"n/a")</f>
        <v>n/a</v>
      </c>
      <c r="AI43" s="158">
        <f>IFERROR(V43/AB43-1,"n/a")</f>
        <v>1.3471049093536545</v>
      </c>
      <c r="AJ43" s="163"/>
      <c r="AK43" s="154">
        <v>8791246</v>
      </c>
      <c r="AL43" s="89">
        <v>5848177</v>
      </c>
      <c r="AM43" s="89">
        <v>4370939</v>
      </c>
      <c r="AN43" s="89">
        <v>1527970</v>
      </c>
      <c r="AO43" s="84">
        <v>1092884</v>
      </c>
      <c r="AP43" s="78">
        <v>4234259</v>
      </c>
      <c r="AR43" s="122"/>
    </row>
    <row r="44" spans="1:44" s="123" customFormat="1" ht="11.25">
      <c r="A44" s="122"/>
      <c r="B44" s="122"/>
      <c r="C44" s="31" t="s">
        <v>163</v>
      </c>
      <c r="D44" s="26"/>
      <c r="E44" s="32"/>
      <c r="F44" s="26"/>
      <c r="G44" s="26"/>
      <c r="H44" s="26"/>
      <c r="I44" s="26"/>
      <c r="J44" s="26"/>
      <c r="K44" s="26"/>
      <c r="L44" s="26"/>
      <c r="M44" s="26"/>
      <c r="N44" s="64"/>
      <c r="O44" s="64"/>
      <c r="P44" s="64"/>
      <c r="Q44" s="64"/>
      <c r="R44" s="64"/>
      <c r="S44" s="64"/>
      <c r="T44" s="61"/>
      <c r="U44" s="65"/>
      <c r="V44" s="26"/>
      <c r="W44" s="26"/>
      <c r="X44" s="26"/>
      <c r="Y44" s="26"/>
      <c r="Z44" s="26"/>
      <c r="AA44" s="26"/>
      <c r="AB44" s="26"/>
      <c r="AC44" s="26"/>
      <c r="AD44" s="146"/>
      <c r="AE44" s="148"/>
      <c r="AF44" s="148"/>
      <c r="AG44" s="148"/>
      <c r="AH44" s="148"/>
      <c r="AI44" s="159"/>
      <c r="AJ44" s="108"/>
      <c r="AK44" s="44"/>
      <c r="AL44" s="90"/>
      <c r="AM44" s="90"/>
      <c r="AN44" s="90"/>
      <c r="AO44" s="44"/>
      <c r="AP44" s="79"/>
      <c r="AR44" s="122"/>
    </row>
    <row r="45" spans="1:44" s="123" customFormat="1" ht="11.25">
      <c r="A45" s="122"/>
      <c r="B45" s="122"/>
      <c r="C45" s="33"/>
      <c r="D45" s="26" t="s">
        <v>5</v>
      </c>
      <c r="E45" s="32"/>
      <c r="F45" s="74">
        <f t="shared" ref="F45:M46" si="15">F16</f>
        <v>58</v>
      </c>
      <c r="G45" s="74">
        <f t="shared" si="15"/>
        <v>30</v>
      </c>
      <c r="H45" s="74">
        <f t="shared" si="15"/>
        <v>17</v>
      </c>
      <c r="I45" s="74">
        <f t="shared" si="15"/>
        <v>16</v>
      </c>
      <c r="J45" s="74">
        <f t="shared" si="15"/>
        <v>26</v>
      </c>
      <c r="K45" s="74">
        <f t="shared" si="15"/>
        <v>5</v>
      </c>
      <c r="L45" s="74">
        <f t="shared" si="15"/>
        <v>1</v>
      </c>
      <c r="M45" s="74">
        <f t="shared" si="15"/>
        <v>10</v>
      </c>
      <c r="N45" s="64">
        <f t="shared" ref="N45:N46" si="16">IFERROR(F45/G45-1,"n/a")</f>
        <v>0.93333333333333335</v>
      </c>
      <c r="O45" s="64">
        <f>IFERROR(F45/H45-1,"n/a")</f>
        <v>2.4117647058823528</v>
      </c>
      <c r="P45" s="64">
        <f>IFERROR(F45/I45-1,"n/a")</f>
        <v>2.625</v>
      </c>
      <c r="Q45" s="64">
        <f>IFERROR(F45/J45-1,"n/a")</f>
        <v>1.2307692307692308</v>
      </c>
      <c r="R45" s="64">
        <f>IFERROR(F45/K45-1,"n/a")</f>
        <v>10.6</v>
      </c>
      <c r="S45" s="64">
        <f>IFERROR(F45/L45-1,"n/a")</f>
        <v>57</v>
      </c>
      <c r="T45" s="60">
        <f>IFERROR(F45/M45-1,"n/a")</f>
        <v>4.8</v>
      </c>
      <c r="U45" s="64"/>
      <c r="V45" s="74">
        <f>'Feb-26'!V45+'Mar-26'!F45</f>
        <v>1038</v>
      </c>
      <c r="W45" s="74">
        <f>'Feb-26'!W45+'Mar-26'!G45</f>
        <v>817</v>
      </c>
      <c r="X45" s="74">
        <f>'Feb-26'!X45+'Mar-26'!H45</f>
        <v>584</v>
      </c>
      <c r="Y45" s="74">
        <f>'Feb-26'!Y45+'Mar-26'!I45</f>
        <v>564</v>
      </c>
      <c r="Z45" s="74">
        <f>'Feb-26'!Z45+'Mar-26'!J45</f>
        <v>228</v>
      </c>
      <c r="AA45" s="74">
        <f>'Feb-26'!AA45+'Mar-26'!K45</f>
        <v>56</v>
      </c>
      <c r="AB45" s="74">
        <f>'Feb-26'!AB45+'Mar-26'!L45</f>
        <v>580</v>
      </c>
      <c r="AC45" s="74"/>
      <c r="AD45" s="147">
        <f t="shared" ref="AD45:AD46" si="17">IFERROR(V45/W45-1,"n/a")</f>
        <v>0.27050183598531219</v>
      </c>
      <c r="AE45" s="147">
        <f t="shared" ref="AE45:AE46" si="18">IFERROR(V45/X45-1,"n/a")</f>
        <v>0.77739726027397271</v>
      </c>
      <c r="AF45" s="147">
        <f t="shared" ref="AF45:AF46" si="19">IFERROR(V45/Y45-1,"n/a")</f>
        <v>0.84042553191489366</v>
      </c>
      <c r="AG45" s="147">
        <f t="shared" ref="AG45:AG46" si="20">IFERROR(V45/Z45-1,"n/a")</f>
        <v>3.5526315789473681</v>
      </c>
      <c r="AH45" s="147">
        <f t="shared" ref="AH45:AH46" si="21">IFERROR(V45/AA45-1,"n/a")</f>
        <v>17.535714285714285</v>
      </c>
      <c r="AI45" s="158">
        <f t="shared" ref="AI45:AI46" si="22">IFERROR(V45/AB45-1,"n/a")</f>
        <v>0.78965517241379302</v>
      </c>
      <c r="AJ45" s="163"/>
      <c r="AK45" s="154">
        <v>817</v>
      </c>
      <c r="AL45" s="89">
        <v>583</v>
      </c>
      <c r="AM45" s="89">
        <v>563</v>
      </c>
      <c r="AN45" s="89">
        <v>226</v>
      </c>
      <c r="AO45" s="70">
        <v>66</v>
      </c>
      <c r="AP45" s="78">
        <v>573</v>
      </c>
      <c r="AR45" s="122"/>
    </row>
    <row r="46" spans="1:44" s="123" customFormat="1" ht="11.25">
      <c r="A46" s="122"/>
      <c r="B46" s="122"/>
      <c r="C46" s="33"/>
      <c r="D46" s="26" t="s">
        <v>11</v>
      </c>
      <c r="E46" s="32"/>
      <c r="F46" s="74">
        <f t="shared" si="15"/>
        <v>93477</v>
      </c>
      <c r="G46" s="74">
        <f t="shared" si="15"/>
        <v>61961</v>
      </c>
      <c r="H46" s="74">
        <f t="shared" si="15"/>
        <v>54338</v>
      </c>
      <c r="I46" s="74">
        <f t="shared" si="15"/>
        <v>43135</v>
      </c>
      <c r="J46" s="74">
        <f t="shared" si="15"/>
        <v>28377</v>
      </c>
      <c r="K46" s="74">
        <f t="shared" si="15"/>
        <v>4146</v>
      </c>
      <c r="L46" s="74">
        <f t="shared" si="15"/>
        <v>565</v>
      </c>
      <c r="M46" s="74">
        <f t="shared" si="15"/>
        <v>32801</v>
      </c>
      <c r="N46" s="64">
        <f t="shared" si="16"/>
        <v>0.50864253320637176</v>
      </c>
      <c r="O46" s="64">
        <f>IFERROR(F46/H46-1,"n/a")</f>
        <v>0.72028782803930946</v>
      </c>
      <c r="P46" s="64">
        <f>IFERROR(F46/I46-1,"n/a")</f>
        <v>1.1670800973687263</v>
      </c>
      <c r="Q46" s="64">
        <f>IFERROR(F46/J46-1,"n/a")</f>
        <v>2.2941114282693729</v>
      </c>
      <c r="R46" s="64">
        <f>IFERROR(F46/K46-1,"n/a")</f>
        <v>21.546309696092621</v>
      </c>
      <c r="S46" s="64">
        <f>IFERROR(F46/L46-1,"n/a")</f>
        <v>164.44601769911503</v>
      </c>
      <c r="T46" s="60">
        <f>IFERROR(F46/M46-1,"n/a")</f>
        <v>1.849821651778909</v>
      </c>
      <c r="U46" s="64"/>
      <c r="V46" s="74">
        <f>'Feb-26'!V46+'Mar-26'!F46</f>
        <v>2445354</v>
      </c>
      <c r="W46" s="74">
        <f>'Feb-26'!W46+'Mar-26'!G46</f>
        <v>2079983</v>
      </c>
      <c r="X46" s="74">
        <f>'Feb-26'!X46+'Mar-26'!H46</f>
        <v>1710332</v>
      </c>
      <c r="Y46" s="74">
        <f>'Feb-26'!Y46+'Mar-26'!I46</f>
        <v>1016447</v>
      </c>
      <c r="Z46" s="74">
        <f>'Feb-26'!Z46+'Mar-26'!J46</f>
        <v>328940</v>
      </c>
      <c r="AA46" s="74">
        <f>'Feb-26'!AA46+'Mar-26'!K46</f>
        <v>39665</v>
      </c>
      <c r="AB46" s="74">
        <f>'Feb-26'!AB46+'Mar-26'!L46</f>
        <v>1359272</v>
      </c>
      <c r="AC46" s="74"/>
      <c r="AD46" s="147">
        <f t="shared" si="17"/>
        <v>0.17566057030273807</v>
      </c>
      <c r="AE46" s="147">
        <f t="shared" si="18"/>
        <v>0.42975398928395192</v>
      </c>
      <c r="AF46" s="147">
        <f t="shared" si="19"/>
        <v>1.4057860370486606</v>
      </c>
      <c r="AG46" s="147">
        <f t="shared" si="20"/>
        <v>6.4340426825560897</v>
      </c>
      <c r="AH46" s="147">
        <f t="shared" si="21"/>
        <v>60.650170175217447</v>
      </c>
      <c r="AI46" s="158">
        <f t="shared" si="22"/>
        <v>0.79901741520460945</v>
      </c>
      <c r="AJ46" s="163"/>
      <c r="AK46" s="154">
        <v>2079983</v>
      </c>
      <c r="AL46" s="89">
        <v>1708204</v>
      </c>
      <c r="AM46" s="89">
        <v>1012510</v>
      </c>
      <c r="AN46" s="89">
        <v>327926</v>
      </c>
      <c r="AO46" s="84">
        <v>80778</v>
      </c>
      <c r="AP46" s="78">
        <v>1361671</v>
      </c>
      <c r="AR46" s="122"/>
    </row>
    <row r="47" spans="1:44" s="123" customFormat="1" ht="11.25">
      <c r="A47" s="122"/>
      <c r="B47" s="122"/>
      <c r="C47" s="31" t="s">
        <v>164</v>
      </c>
      <c r="D47" s="26"/>
      <c r="E47" s="32"/>
      <c r="F47" s="87"/>
      <c r="G47" s="87"/>
      <c r="H47" s="87"/>
      <c r="I47" s="87"/>
      <c r="J47" s="87"/>
      <c r="K47" s="87"/>
      <c r="L47" s="87"/>
      <c r="M47" s="72"/>
      <c r="N47" s="64"/>
      <c r="O47" s="64"/>
      <c r="P47" s="64"/>
      <c r="Q47" s="64"/>
      <c r="R47" s="64"/>
      <c r="S47" s="64"/>
      <c r="T47" s="60"/>
      <c r="U47" s="64"/>
      <c r="V47" s="87"/>
      <c r="W47" s="87"/>
      <c r="X47" s="87"/>
      <c r="Y47" s="87"/>
      <c r="Z47" s="87"/>
      <c r="AA47" s="87"/>
      <c r="AB47" s="87"/>
      <c r="AC47" s="87"/>
      <c r="AD47" s="110"/>
      <c r="AE47" s="147"/>
      <c r="AF47" s="147"/>
      <c r="AG47" s="147"/>
      <c r="AH47" s="147"/>
      <c r="AI47" s="158"/>
      <c r="AJ47" s="163"/>
      <c r="AK47" s="155"/>
      <c r="AL47" s="90"/>
      <c r="AM47" s="90"/>
      <c r="AN47" s="90"/>
      <c r="AO47" s="44"/>
      <c r="AP47" s="79"/>
      <c r="AR47" s="122"/>
    </row>
    <row r="48" spans="1:44" s="123" customFormat="1" ht="11.25">
      <c r="A48" s="122"/>
      <c r="B48" s="122"/>
      <c r="C48" s="33"/>
      <c r="D48" s="26" t="s">
        <v>5</v>
      </c>
      <c r="E48" s="32"/>
      <c r="F48" s="74">
        <f t="shared" ref="F48:M49" si="23">F19</f>
        <v>9</v>
      </c>
      <c r="G48" s="74">
        <f t="shared" si="23"/>
        <v>14</v>
      </c>
      <c r="H48" s="74">
        <f t="shared" si="23"/>
        <v>21</v>
      </c>
      <c r="I48" s="74">
        <f t="shared" si="23"/>
        <v>17</v>
      </c>
      <c r="J48" s="74">
        <f t="shared" si="23"/>
        <v>6</v>
      </c>
      <c r="K48" s="74">
        <f t="shared" si="23"/>
        <v>0</v>
      </c>
      <c r="L48" s="74">
        <f t="shared" si="23"/>
        <v>2</v>
      </c>
      <c r="M48" s="74">
        <f t="shared" si="23"/>
        <v>5</v>
      </c>
      <c r="N48" s="64">
        <f t="shared" ref="N48:N49" si="24">IFERROR(F48/G48-1,"n/a")</f>
        <v>-0.3571428571428571</v>
      </c>
      <c r="O48" s="64">
        <f>IFERROR(F48/H48-1,"n/a")</f>
        <v>-0.5714285714285714</v>
      </c>
      <c r="P48" s="64">
        <f>IFERROR(F48/I48-1,"n/a")</f>
        <v>-0.47058823529411764</v>
      </c>
      <c r="Q48" s="64">
        <f>IFERROR(F48/J48-1,"n/a")</f>
        <v>0.5</v>
      </c>
      <c r="R48" s="64" t="str">
        <f>IFERROR(F48/K48-1,"n/a")</f>
        <v>n/a</v>
      </c>
      <c r="S48" s="64">
        <f>IFERROR(F48/L48-1,"n/a")</f>
        <v>3.5</v>
      </c>
      <c r="T48" s="60">
        <f>IFERROR(F48/M48-1,"n/a")</f>
        <v>0.8</v>
      </c>
      <c r="U48" s="64"/>
      <c r="V48" s="74">
        <f>'Feb-26'!V48+'Mar-26'!F48</f>
        <v>860</v>
      </c>
      <c r="W48" s="74">
        <f>'Feb-26'!W48+'Mar-26'!G48</f>
        <v>728</v>
      </c>
      <c r="X48" s="74">
        <f>'Feb-26'!X48+'Mar-26'!H48</f>
        <v>712</v>
      </c>
      <c r="Y48" s="74">
        <f>'Feb-26'!Y48+'Mar-26'!I48</f>
        <v>669</v>
      </c>
      <c r="Z48" s="74">
        <f>'Feb-26'!Z48+'Mar-26'!J48</f>
        <v>59</v>
      </c>
      <c r="AA48" s="74">
        <f>'Feb-26'!AA48+'Mar-26'!K48</f>
        <v>7</v>
      </c>
      <c r="AB48" s="74">
        <f>'Feb-26'!AB48+'Mar-26'!L48</f>
        <v>287</v>
      </c>
      <c r="AC48" s="74"/>
      <c r="AD48" s="147">
        <f t="shared" ref="AD48:AD49" si="25">IFERROR(V48/W48-1,"n/a")</f>
        <v>0.18131868131868134</v>
      </c>
      <c r="AE48" s="147">
        <f t="shared" ref="AE48:AE49" si="26">IFERROR(V48/X48-1,"n/a")</f>
        <v>0.2078651685393258</v>
      </c>
      <c r="AF48" s="147">
        <f t="shared" ref="AF48:AF49" si="27">IFERROR(V48/Y48-1,"n/a")</f>
        <v>0.28550074738415554</v>
      </c>
      <c r="AG48" s="147">
        <f t="shared" ref="AG48:AG49" si="28">IFERROR(V48/Z48-1,"n/a")</f>
        <v>13.576271186440678</v>
      </c>
      <c r="AH48" s="147">
        <f t="shared" ref="AH48:AH49" si="29">IFERROR(V48/AA48-1,"n/a")</f>
        <v>121.85714285714286</v>
      </c>
      <c r="AI48" s="158">
        <f t="shared" ref="AI48:AI49" si="30">IFERROR(V48/AB48-1,"n/a")</f>
        <v>1.9965156794425085</v>
      </c>
      <c r="AJ48" s="163"/>
      <c r="AK48" s="154">
        <v>728</v>
      </c>
      <c r="AL48" s="89">
        <v>712</v>
      </c>
      <c r="AM48" s="89">
        <v>669</v>
      </c>
      <c r="AN48" s="89">
        <v>59</v>
      </c>
      <c r="AO48" s="70">
        <v>9</v>
      </c>
      <c r="AP48" s="78">
        <v>287</v>
      </c>
      <c r="AR48" s="122"/>
    </row>
    <row r="49" spans="1:44" s="123" customFormat="1" ht="11.25">
      <c r="A49" s="122"/>
      <c r="B49" s="122"/>
      <c r="C49" s="33"/>
      <c r="D49" s="26" t="s">
        <v>11</v>
      </c>
      <c r="E49" s="32"/>
      <c r="F49" s="74">
        <f t="shared" si="23"/>
        <v>19426</v>
      </c>
      <c r="G49" s="74">
        <f t="shared" si="23"/>
        <v>15053</v>
      </c>
      <c r="H49" s="74">
        <f t="shared" si="23"/>
        <v>31321</v>
      </c>
      <c r="I49" s="74">
        <f t="shared" si="23"/>
        <v>14734</v>
      </c>
      <c r="J49" s="74">
        <f t="shared" si="23"/>
        <v>1346</v>
      </c>
      <c r="K49" s="74">
        <f t="shared" si="23"/>
        <v>0</v>
      </c>
      <c r="L49" s="74">
        <f t="shared" si="23"/>
        <v>887</v>
      </c>
      <c r="M49" s="74">
        <f t="shared" si="23"/>
        <v>4876</v>
      </c>
      <c r="N49" s="64">
        <f t="shared" si="24"/>
        <v>0.29050687570583933</v>
      </c>
      <c r="O49" s="64">
        <f>IFERROR(F49/H49-1,"n/a")</f>
        <v>-0.37977714632355286</v>
      </c>
      <c r="P49" s="64">
        <f>IFERROR(F49/I49-1,"n/a")</f>
        <v>0.31844712908918149</v>
      </c>
      <c r="Q49" s="64">
        <f>IFERROR(F49/J49-1,"n/a")</f>
        <v>13.432392273402675</v>
      </c>
      <c r="R49" s="64" t="str">
        <f>IFERROR(F49/K49-1,"n/a")</f>
        <v>n/a</v>
      </c>
      <c r="S49" s="64">
        <f>IFERROR(F49/L49-1,"n/a")</f>
        <v>20.900789177001126</v>
      </c>
      <c r="T49" s="60">
        <f>IFERROR(F49/M49-1,"n/a")</f>
        <v>2.9840032813781789</v>
      </c>
      <c r="U49" s="64"/>
      <c r="V49" s="74">
        <f>'Feb-26'!V49+'Mar-26'!F49</f>
        <v>1735859</v>
      </c>
      <c r="W49" s="74">
        <f>'Feb-26'!W49+'Mar-26'!G49</f>
        <v>1484512.4</v>
      </c>
      <c r="X49" s="74">
        <f>'Feb-26'!X49+'Mar-26'!H49</f>
        <v>1296421</v>
      </c>
      <c r="Y49" s="74">
        <f>'Feb-26'!Y49+'Mar-26'!I49</f>
        <v>905256</v>
      </c>
      <c r="Z49" s="74">
        <f>'Feb-26'!Z49+'Mar-26'!J49</f>
        <v>20626</v>
      </c>
      <c r="AA49" s="74">
        <f>'Feb-26'!AA49+'Mar-26'!K49</f>
        <v>8294</v>
      </c>
      <c r="AB49" s="74">
        <f>'Feb-26'!AB49+'Mar-26'!L49</f>
        <v>581199</v>
      </c>
      <c r="AC49" s="74"/>
      <c r="AD49" s="147">
        <f t="shared" si="25"/>
        <v>0.16931256350570068</v>
      </c>
      <c r="AE49" s="147">
        <f t="shared" si="26"/>
        <v>0.3389624203865873</v>
      </c>
      <c r="AF49" s="147">
        <f t="shared" si="27"/>
        <v>0.9175338246860556</v>
      </c>
      <c r="AG49" s="147">
        <f t="shared" si="28"/>
        <v>83.158780180354896</v>
      </c>
      <c r="AH49" s="147">
        <f t="shared" si="29"/>
        <v>208.29093320472631</v>
      </c>
      <c r="AI49" s="158">
        <f t="shared" si="30"/>
        <v>1.9866861436444316</v>
      </c>
      <c r="AJ49" s="163"/>
      <c r="AK49" s="154">
        <v>1484512.4</v>
      </c>
      <c r="AL49" s="82">
        <v>1296421</v>
      </c>
      <c r="AM49" s="82">
        <v>905256</v>
      </c>
      <c r="AN49" s="82">
        <v>20626</v>
      </c>
      <c r="AO49" s="84">
        <v>10047</v>
      </c>
      <c r="AP49" s="78">
        <v>581199</v>
      </c>
      <c r="AR49" s="122"/>
    </row>
    <row r="50" spans="1:44" s="123" customFormat="1" ht="11.25">
      <c r="A50" s="122"/>
      <c r="B50" s="122"/>
      <c r="C50" s="31" t="s">
        <v>110</v>
      </c>
      <c r="D50" s="26"/>
      <c r="E50" s="34"/>
      <c r="F50" s="72"/>
      <c r="G50" s="72"/>
      <c r="H50" s="72"/>
      <c r="I50" s="72"/>
      <c r="J50" s="72"/>
      <c r="K50" s="72"/>
      <c r="L50" s="72"/>
      <c r="M50" s="72"/>
      <c r="N50" s="64"/>
      <c r="O50" s="64"/>
      <c r="P50" s="64"/>
      <c r="Q50" s="64"/>
      <c r="R50" s="64"/>
      <c r="S50" s="64"/>
      <c r="T50" s="60"/>
      <c r="U50" s="64"/>
      <c r="V50" s="72"/>
      <c r="W50" s="72"/>
      <c r="X50" s="72"/>
      <c r="Y50" s="72"/>
      <c r="Z50" s="72"/>
      <c r="AA50" s="72"/>
      <c r="AB50" s="72"/>
      <c r="AC50" s="72"/>
      <c r="AD50" s="160"/>
      <c r="AE50" s="147"/>
      <c r="AF50" s="147"/>
      <c r="AG50" s="147"/>
      <c r="AH50" s="147"/>
      <c r="AI50" s="158"/>
      <c r="AJ50" s="163"/>
      <c r="AK50" s="155"/>
      <c r="AL50" s="90"/>
      <c r="AM50" s="90"/>
      <c r="AN50" s="90"/>
      <c r="AO50" s="44"/>
      <c r="AP50" s="79"/>
      <c r="AR50" s="122"/>
    </row>
    <row r="51" spans="1:44" s="123" customFormat="1" ht="11.25">
      <c r="A51" s="122"/>
      <c r="B51" s="122"/>
      <c r="C51" s="33"/>
      <c r="D51" s="26" t="s">
        <v>5</v>
      </c>
      <c r="E51" s="34"/>
      <c r="F51" s="74">
        <f t="shared" ref="F51:M52" si="31">F22</f>
        <v>175</v>
      </c>
      <c r="G51" s="74">
        <f t="shared" si="31"/>
        <v>149</v>
      </c>
      <c r="H51" s="74">
        <f t="shared" si="31"/>
        <v>87</v>
      </c>
      <c r="I51" s="74">
        <f t="shared" si="31"/>
        <v>108</v>
      </c>
      <c r="J51" s="74">
        <f t="shared" si="31"/>
        <v>24</v>
      </c>
      <c r="K51" s="74">
        <f t="shared" si="31"/>
        <v>0</v>
      </c>
      <c r="L51" s="74">
        <f t="shared" si="31"/>
        <v>10</v>
      </c>
      <c r="M51" s="74">
        <f t="shared" si="31"/>
        <v>44</v>
      </c>
      <c r="N51" s="64">
        <f t="shared" ref="N51:N52" si="32">IFERROR(F51/G51-1,"n/a")</f>
        <v>0.17449664429530198</v>
      </c>
      <c r="O51" s="64">
        <f>IFERROR(F51/H51-1,"n/a")</f>
        <v>1.0114942528735633</v>
      </c>
      <c r="P51" s="64">
        <f>IFERROR(F51/I51-1,"n/a")</f>
        <v>0.62037037037037046</v>
      </c>
      <c r="Q51" s="64">
        <f>IFERROR(F51/J51-1,"n/a")</f>
        <v>6.291666666666667</v>
      </c>
      <c r="R51" s="64" t="str">
        <f>IFERROR(F51/K51-1,"n/a")</f>
        <v>n/a</v>
      </c>
      <c r="S51" s="64">
        <f>IFERROR(F51/L51-1,"n/a")</f>
        <v>16.5</v>
      </c>
      <c r="T51" s="60">
        <f>IFERROR(F51/M51-1,"n/a")</f>
        <v>2.9772727272727271</v>
      </c>
      <c r="U51" s="64"/>
      <c r="V51" s="74">
        <f>'Feb-26'!V51+'Mar-26'!F51</f>
        <v>1790</v>
      </c>
      <c r="W51" s="74">
        <f>'Feb-26'!W51+'Mar-26'!G51</f>
        <v>1788</v>
      </c>
      <c r="X51" s="74">
        <f>'Feb-26'!X51+'Mar-26'!H51</f>
        <v>1471</v>
      </c>
      <c r="Y51" s="74">
        <f>'Feb-26'!Y51+'Mar-26'!I51</f>
        <v>1128</v>
      </c>
      <c r="Z51" s="74">
        <f>'Feb-26'!Z51+'Mar-26'!J51</f>
        <v>336</v>
      </c>
      <c r="AA51" s="74">
        <f>'Feb-26'!AA51+'Mar-26'!K51</f>
        <v>0</v>
      </c>
      <c r="AB51" s="74">
        <f>'Feb-26'!AB51+'Mar-26'!L51</f>
        <v>781</v>
      </c>
      <c r="AC51" s="74"/>
      <c r="AD51" s="147">
        <f t="shared" ref="AD51:AD52" si="33">IFERROR(V51/W51-1,"n/a")</f>
        <v>1.1185682326622093E-3</v>
      </c>
      <c r="AE51" s="147">
        <f t="shared" ref="AE51:AE52" si="34">IFERROR(V51/X51-1,"n/a")</f>
        <v>0.21685927940176741</v>
      </c>
      <c r="AF51" s="147">
        <f t="shared" ref="AF51:AF52" si="35">IFERROR(V51/Y51-1,"n/a")</f>
        <v>0.58687943262411357</v>
      </c>
      <c r="AG51" s="147">
        <f t="shared" ref="AG51:AG52" si="36">IFERROR(V51/Z51-1,"n/a")</f>
        <v>4.3273809523809526</v>
      </c>
      <c r="AH51" s="147" t="str">
        <f t="shared" ref="AH51:AH52" si="37">IFERROR(V51/AA51-1,"n/a")</f>
        <v>n/a</v>
      </c>
      <c r="AI51" s="158">
        <f t="shared" ref="AI51:AI52" si="38">IFERROR(V51/AB51-1,"n/a")</f>
        <v>1.2919334186939819</v>
      </c>
      <c r="AJ51" s="163"/>
      <c r="AK51" s="154">
        <v>1788</v>
      </c>
      <c r="AL51" s="89">
        <v>1471</v>
      </c>
      <c r="AM51" s="89">
        <v>1129</v>
      </c>
      <c r="AN51" s="89">
        <v>336</v>
      </c>
      <c r="AO51" s="84">
        <v>43</v>
      </c>
      <c r="AP51" s="78">
        <v>781</v>
      </c>
      <c r="AR51" s="122"/>
    </row>
    <row r="52" spans="1:44" s="123" customFormat="1" ht="11.25">
      <c r="A52" s="122"/>
      <c r="B52" s="122"/>
      <c r="C52" s="33"/>
      <c r="D52" s="26" t="s">
        <v>11</v>
      </c>
      <c r="E52" s="32"/>
      <c r="F52" s="74">
        <f t="shared" si="31"/>
        <v>461241</v>
      </c>
      <c r="G52" s="74">
        <f t="shared" si="31"/>
        <v>376742</v>
      </c>
      <c r="H52" s="74">
        <f t="shared" si="31"/>
        <v>316617</v>
      </c>
      <c r="I52" s="74">
        <f t="shared" si="31"/>
        <v>297870</v>
      </c>
      <c r="J52" s="74">
        <f t="shared" si="31"/>
        <v>32594</v>
      </c>
      <c r="K52" s="74">
        <f t="shared" si="31"/>
        <v>0</v>
      </c>
      <c r="L52" s="74">
        <f t="shared" si="31"/>
        <v>28535</v>
      </c>
      <c r="M52" s="74">
        <f t="shared" si="31"/>
        <v>117674</v>
      </c>
      <c r="N52" s="64">
        <f t="shared" si="32"/>
        <v>0.22428877056447116</v>
      </c>
      <c r="O52" s="64">
        <f>IFERROR(F52/H52-1,"n/a")</f>
        <v>0.45677901060271564</v>
      </c>
      <c r="P52" s="64">
        <f>IFERROR(F52/I52-1,"n/a")</f>
        <v>0.5484640950750328</v>
      </c>
      <c r="Q52" s="64">
        <f>IFERROR(F52/J52-1,"n/a")</f>
        <v>13.151101429710989</v>
      </c>
      <c r="R52" s="64" t="str">
        <f>IFERROR(F52/K52-1,"n/a")</f>
        <v>n/a</v>
      </c>
      <c r="S52" s="64">
        <f>IFERROR(F52/L52-1,"n/a")</f>
        <v>15.16404415629928</v>
      </c>
      <c r="T52" s="60">
        <f>IFERROR(F52/M52-1,"n/a")</f>
        <v>2.919650899943913</v>
      </c>
      <c r="U52" s="64"/>
      <c r="V52" s="74">
        <f>'Feb-26'!V52+'Mar-26'!F52-663</f>
        <v>4670803</v>
      </c>
      <c r="W52" s="74">
        <f>'Feb-26'!W52+'Mar-26'!G52</f>
        <v>5247410</v>
      </c>
      <c r="X52" s="74">
        <f>'Feb-26'!X52+'Mar-26'!H52</f>
        <v>4534917</v>
      </c>
      <c r="Y52" s="74">
        <f>'Feb-26'!Y52+'Mar-26'!I52</f>
        <v>2929044</v>
      </c>
      <c r="Z52" s="74">
        <f>'Feb-26'!Z52+'Mar-26'!J52</f>
        <v>533563</v>
      </c>
      <c r="AA52" s="74">
        <f>'Feb-26'!AA52+'Mar-26'!K52</f>
        <v>0</v>
      </c>
      <c r="AB52" s="74">
        <f>'Feb-26'!AB52+'Mar-26'!L52</f>
        <v>2441594</v>
      </c>
      <c r="AC52" s="74"/>
      <c r="AD52" s="147">
        <f t="shared" si="33"/>
        <v>-0.10988411425827216</v>
      </c>
      <c r="AE52" s="147">
        <f t="shared" si="34"/>
        <v>2.996438523571654E-2</v>
      </c>
      <c r="AF52" s="147">
        <f t="shared" si="35"/>
        <v>0.59465101924040753</v>
      </c>
      <c r="AG52" s="147">
        <f t="shared" si="36"/>
        <v>7.7539859398046715</v>
      </c>
      <c r="AH52" s="147" t="str">
        <f t="shared" si="37"/>
        <v>n/a</v>
      </c>
      <c r="AI52" s="158">
        <f t="shared" si="38"/>
        <v>0.91301379344805067</v>
      </c>
      <c r="AJ52" s="163"/>
      <c r="AK52" s="154">
        <v>5247410</v>
      </c>
      <c r="AL52" s="82">
        <v>4517247</v>
      </c>
      <c r="AM52" s="82">
        <v>2932981</v>
      </c>
      <c r="AN52" s="82">
        <v>533563</v>
      </c>
      <c r="AO52" s="84">
        <v>140552</v>
      </c>
      <c r="AP52" s="78">
        <v>2441594</v>
      </c>
      <c r="AR52" s="122"/>
    </row>
    <row r="53" spans="1:44" s="123" customFormat="1" ht="11.25">
      <c r="C53" s="31" t="s">
        <v>111</v>
      </c>
      <c r="D53" s="26"/>
      <c r="E53" s="32"/>
      <c r="F53" s="72"/>
      <c r="G53" s="72"/>
      <c r="H53" s="72"/>
      <c r="I53" s="72"/>
      <c r="J53" s="72"/>
      <c r="K53" s="72"/>
      <c r="L53" s="72"/>
      <c r="M53" s="72"/>
      <c r="N53" s="64"/>
      <c r="O53" s="64"/>
      <c r="P53" s="64"/>
      <c r="Q53" s="64"/>
      <c r="R53" s="64"/>
      <c r="S53" s="64"/>
      <c r="T53" s="60"/>
      <c r="U53" s="64"/>
      <c r="V53" s="72"/>
      <c r="W53" s="72"/>
      <c r="X53" s="72"/>
      <c r="Y53" s="72"/>
      <c r="Z53" s="72"/>
      <c r="AA53" s="72"/>
      <c r="AB53" s="72"/>
      <c r="AC53" s="72"/>
      <c r="AD53" s="160"/>
      <c r="AE53" s="147"/>
      <c r="AF53" s="147"/>
      <c r="AG53" s="147"/>
      <c r="AH53" s="147"/>
      <c r="AI53" s="158"/>
      <c r="AJ53" s="163"/>
      <c r="AK53" s="155"/>
      <c r="AL53" s="90"/>
      <c r="AM53" s="90"/>
      <c r="AN53" s="90"/>
      <c r="AO53" s="44"/>
      <c r="AP53" s="79"/>
      <c r="AR53" s="122"/>
    </row>
    <row r="54" spans="1:44" s="123" customFormat="1" ht="11.25">
      <c r="C54" s="33"/>
      <c r="D54" s="26" t="s">
        <v>5</v>
      </c>
      <c r="E54" s="32"/>
      <c r="F54" s="74">
        <f t="shared" ref="F54:M55" si="39">F25</f>
        <v>1</v>
      </c>
      <c r="G54" s="74">
        <f t="shared" si="39"/>
        <v>0</v>
      </c>
      <c r="H54" s="74">
        <f t="shared" si="39"/>
        <v>0</v>
      </c>
      <c r="I54" s="74">
        <f t="shared" si="39"/>
        <v>0</v>
      </c>
      <c r="J54" s="74">
        <f t="shared" si="39"/>
        <v>0</v>
      </c>
      <c r="K54" s="74">
        <f t="shared" si="39"/>
        <v>0</v>
      </c>
      <c r="L54" s="74">
        <f t="shared" si="39"/>
        <v>0</v>
      </c>
      <c r="M54" s="74">
        <f t="shared" si="39"/>
        <v>0</v>
      </c>
      <c r="N54" s="64" t="str">
        <f t="shared" ref="N54:N57" si="40">IFERROR(F54/G54-1,"n/a")</f>
        <v>n/a</v>
      </c>
      <c r="O54" s="64" t="str">
        <f>IFERROR(F54/H54-1,"n/a")</f>
        <v>n/a</v>
      </c>
      <c r="P54" s="64" t="str">
        <f>IFERROR(F54/I54-1,"n/a")</f>
        <v>n/a</v>
      </c>
      <c r="Q54" s="64" t="str">
        <f>IFERROR(F54/J54-1,"n/a")</f>
        <v>n/a</v>
      </c>
      <c r="R54" s="64" t="str">
        <f>IFERROR(F54/K54-1,"n/a")</f>
        <v>n/a</v>
      </c>
      <c r="S54" s="64" t="str">
        <f>IFERROR(F54/L54-1,"n/a")</f>
        <v>n/a</v>
      </c>
      <c r="T54" s="60" t="str">
        <f>IFERROR(F54/M54-1,"n/a")</f>
        <v>n/a</v>
      </c>
      <c r="U54" s="64"/>
      <c r="V54" s="74">
        <f>'Feb-26'!V54+'Mar-26'!F54</f>
        <v>24</v>
      </c>
      <c r="W54" s="74">
        <f>'Feb-26'!W54+'Mar-26'!G54</f>
        <v>14</v>
      </c>
      <c r="X54" s="74">
        <f>'Feb-26'!X54+'Mar-26'!H54</f>
        <v>21</v>
      </c>
      <c r="Y54" s="74">
        <f>'Feb-26'!Y54+'Mar-26'!I54</f>
        <v>9</v>
      </c>
      <c r="Z54" s="74">
        <f>'Feb-26'!Z54+'Mar-26'!J54</f>
        <v>0</v>
      </c>
      <c r="AA54" s="74">
        <f>'Feb-26'!AA54+'Mar-26'!K54</f>
        <v>0</v>
      </c>
      <c r="AB54" s="74">
        <f>'Feb-26'!AB54+'Mar-26'!L54</f>
        <v>16</v>
      </c>
      <c r="AC54" s="74"/>
      <c r="AD54" s="147">
        <f t="shared" ref="AD54:AD57" si="41">IFERROR(V54/W54-1,"n/a")</f>
        <v>0.71428571428571419</v>
      </c>
      <c r="AE54" s="147">
        <f t="shared" ref="AE54:AE55" si="42">IFERROR(V54/X54-1,"n/a")</f>
        <v>0.14285714285714279</v>
      </c>
      <c r="AF54" s="147">
        <f t="shared" ref="AF54:AF57" si="43">IFERROR(V54/Y54-1,"n/a")</f>
        <v>1.6666666666666665</v>
      </c>
      <c r="AG54" s="147" t="str">
        <f t="shared" ref="AG54:AG57" si="44">IFERROR(V54/Z54-1,"n/a")</f>
        <v>n/a</v>
      </c>
      <c r="AH54" s="147" t="str">
        <f t="shared" ref="AH54:AH57" si="45">IFERROR(V54/AA54-1,"n/a")</f>
        <v>n/a</v>
      </c>
      <c r="AI54" s="158">
        <f t="shared" ref="AI54:AI57" si="46">IFERROR(V54/AB54-1,"n/a")</f>
        <v>0.5</v>
      </c>
      <c r="AJ54" s="163"/>
      <c r="AK54" s="154">
        <v>14</v>
      </c>
      <c r="AL54" s="89">
        <v>21</v>
      </c>
      <c r="AM54" s="89">
        <v>9</v>
      </c>
      <c r="AN54" s="68">
        <v>0</v>
      </c>
      <c r="AO54" s="68">
        <v>0</v>
      </c>
      <c r="AP54" s="78">
        <v>16</v>
      </c>
      <c r="AR54" s="122"/>
    </row>
    <row r="55" spans="1:44" s="123" customFormat="1" ht="11.25">
      <c r="C55" s="33"/>
      <c r="D55" s="26" t="s">
        <v>11</v>
      </c>
      <c r="E55" s="32"/>
      <c r="F55" s="74">
        <f t="shared" si="39"/>
        <v>4408</v>
      </c>
      <c r="G55" s="74">
        <f t="shared" si="39"/>
        <v>0</v>
      </c>
      <c r="H55" s="74">
        <f t="shared" si="39"/>
        <v>0</v>
      </c>
      <c r="I55" s="74">
        <f t="shared" si="39"/>
        <v>0</v>
      </c>
      <c r="J55" s="74">
        <f t="shared" si="39"/>
        <v>0</v>
      </c>
      <c r="K55" s="74">
        <f t="shared" si="39"/>
        <v>0</v>
      </c>
      <c r="L55" s="74">
        <f t="shared" si="39"/>
        <v>0</v>
      </c>
      <c r="M55" s="74">
        <f t="shared" si="39"/>
        <v>0</v>
      </c>
      <c r="N55" s="64" t="str">
        <f t="shared" si="40"/>
        <v>n/a</v>
      </c>
      <c r="O55" s="64" t="str">
        <f>IFERROR(F55/H55-1,"n/a")</f>
        <v>n/a</v>
      </c>
      <c r="P55" s="64" t="str">
        <f>IFERROR(F55/I55-1,"n/a")</f>
        <v>n/a</v>
      </c>
      <c r="Q55" s="64" t="str">
        <f>IFERROR(F55/J55-1,"n/a")</f>
        <v>n/a</v>
      </c>
      <c r="R55" s="64" t="str">
        <f>IFERROR(F55/K55-1,"n/a")</f>
        <v>n/a</v>
      </c>
      <c r="S55" s="64" t="str">
        <f>IFERROR(F55/L55-1,"n/a")</f>
        <v>n/a</v>
      </c>
      <c r="T55" s="60" t="str">
        <f>IFERROR(F55/M55-1,"n/a")</f>
        <v>n/a</v>
      </c>
      <c r="U55" s="64"/>
      <c r="V55" s="74">
        <f>'Feb-26'!V55+'Mar-26'!F55</f>
        <v>77245</v>
      </c>
      <c r="W55" s="74">
        <f>'Feb-26'!W55+'Mar-26'!G55</f>
        <v>47798</v>
      </c>
      <c r="X55" s="74">
        <f>'Feb-26'!X55+'Mar-26'!H55</f>
        <v>38626</v>
      </c>
      <c r="Y55" s="74">
        <f>'Feb-26'!Y55+'Mar-26'!I55</f>
        <v>15637</v>
      </c>
      <c r="Z55" s="74">
        <f>'Feb-26'!Z55+'Mar-26'!J55</f>
        <v>0</v>
      </c>
      <c r="AA55" s="74">
        <f>'Feb-26'!AA55+'Mar-26'!K55</f>
        <v>0</v>
      </c>
      <c r="AB55" s="74">
        <f>'Feb-26'!AB55+'Mar-26'!L55</f>
        <v>20248</v>
      </c>
      <c r="AC55" s="74"/>
      <c r="AD55" s="147">
        <f t="shared" si="41"/>
        <v>0.61607180216745472</v>
      </c>
      <c r="AE55" s="147">
        <f t="shared" si="42"/>
        <v>0.99981877491844862</v>
      </c>
      <c r="AF55" s="147">
        <f t="shared" si="43"/>
        <v>3.9398861674234187</v>
      </c>
      <c r="AG55" s="147" t="str">
        <f t="shared" si="44"/>
        <v>n/a</v>
      </c>
      <c r="AH55" s="147" t="str">
        <f t="shared" si="45"/>
        <v>n/a</v>
      </c>
      <c r="AI55" s="158">
        <f t="shared" si="46"/>
        <v>2.8149446858949032</v>
      </c>
      <c r="AJ55" s="163"/>
      <c r="AK55" s="154">
        <v>47798</v>
      </c>
      <c r="AL55" s="82">
        <v>38626</v>
      </c>
      <c r="AM55" s="82">
        <v>15637</v>
      </c>
      <c r="AN55" s="68">
        <v>0</v>
      </c>
      <c r="AO55" s="68">
        <v>0</v>
      </c>
      <c r="AP55" s="78">
        <v>20248</v>
      </c>
      <c r="AR55" s="122"/>
    </row>
    <row r="56" spans="1:44" s="123" customFormat="1" ht="12" thickBot="1">
      <c r="C56" s="35" t="s">
        <v>158</v>
      </c>
      <c r="D56" s="36"/>
      <c r="E56" s="37"/>
      <c r="F56" s="75">
        <f t="shared" ref="F56:M57" si="47">F42+F45+F48+F51+F54</f>
        <v>627</v>
      </c>
      <c r="G56" s="75">
        <f t="shared" si="47"/>
        <v>542</v>
      </c>
      <c r="H56" s="75">
        <f t="shared" si="47"/>
        <v>406</v>
      </c>
      <c r="I56" s="75">
        <f t="shared" si="47"/>
        <v>322</v>
      </c>
      <c r="J56" s="75">
        <f t="shared" si="47"/>
        <v>260</v>
      </c>
      <c r="K56" s="75">
        <f t="shared" si="47"/>
        <v>5</v>
      </c>
      <c r="L56" s="75">
        <f t="shared" si="47"/>
        <v>160</v>
      </c>
      <c r="M56" s="75">
        <f t="shared" si="47"/>
        <v>229</v>
      </c>
      <c r="N56" s="66">
        <f t="shared" si="40"/>
        <v>0.15682656826568264</v>
      </c>
      <c r="O56" s="66">
        <f>IFERROR(F56/H56-1,"n/a")</f>
        <v>0.54433497536945818</v>
      </c>
      <c r="P56" s="66">
        <f>IFERROR(F56/I56-1,"n/a")</f>
        <v>0.94720496894409933</v>
      </c>
      <c r="Q56" s="66">
        <f>IFERROR(F56/J56-1,"n/a")</f>
        <v>1.4115384615384614</v>
      </c>
      <c r="R56" s="66">
        <f>IFERROR(F56/K56-1,"n/a")</f>
        <v>124.4</v>
      </c>
      <c r="S56" s="66">
        <f>IFERROR(F56/L56-1,"n/a")</f>
        <v>2.9187500000000002</v>
      </c>
      <c r="T56" s="66">
        <f>IFERROR(F56/M56-1,"n/a")</f>
        <v>1.7379912663755457</v>
      </c>
      <c r="U56" s="75">
        <f>U42+U45+U48+U51+U54</f>
        <v>0</v>
      </c>
      <c r="V56" s="75">
        <f>V42+V45+V48+V51+V54</f>
        <v>6795</v>
      </c>
      <c r="W56" s="75">
        <f>W42+W45+W48+W51+W54</f>
        <v>6221</v>
      </c>
      <c r="X56" s="75">
        <f>X42+X45+X48+X51+X54</f>
        <v>4590</v>
      </c>
      <c r="Y56" s="75">
        <f t="shared" ref="X56:AB57" si="48">Y42+Y45+Y48+Y51+Y54</f>
        <v>3856</v>
      </c>
      <c r="Z56" s="75">
        <f t="shared" si="48"/>
        <v>1668</v>
      </c>
      <c r="AA56" s="75">
        <f t="shared" si="48"/>
        <v>105</v>
      </c>
      <c r="AB56" s="75">
        <f t="shared" si="48"/>
        <v>3241</v>
      </c>
      <c r="AC56" s="75"/>
      <c r="AD56" s="66">
        <f t="shared" si="41"/>
        <v>9.2268124095804538E-2</v>
      </c>
      <c r="AE56" s="66">
        <f>IFERROR(V56/X56-1,"n/a")</f>
        <v>0.48039215686274517</v>
      </c>
      <c r="AF56" s="66">
        <f t="shared" si="43"/>
        <v>0.76218879668049788</v>
      </c>
      <c r="AG56" s="66">
        <f t="shared" si="44"/>
        <v>3.0737410071942444</v>
      </c>
      <c r="AH56" s="66">
        <f t="shared" si="45"/>
        <v>63.714285714285708</v>
      </c>
      <c r="AI56" s="66">
        <f t="shared" si="46"/>
        <v>1.0965751311323664</v>
      </c>
      <c r="AJ56" s="46"/>
      <c r="AK56" s="46">
        <f t="shared" ref="AK56:AO57" si="49">AK42+AK45+AK48+AK51+AK54</f>
        <v>6221</v>
      </c>
      <c r="AL56" s="46">
        <f t="shared" si="49"/>
        <v>4589</v>
      </c>
      <c r="AM56" s="46">
        <f t="shared" si="49"/>
        <v>3856</v>
      </c>
      <c r="AN56" s="46">
        <f t="shared" si="49"/>
        <v>1673</v>
      </c>
      <c r="AO56" s="46">
        <f t="shared" si="49"/>
        <v>669</v>
      </c>
      <c r="AP56" s="80">
        <f>AP42+AP45+AP48+AP51+AP54</f>
        <v>3241</v>
      </c>
      <c r="AR56" s="122"/>
    </row>
    <row r="57" spans="1:44" s="123" customFormat="1" ht="12.75" thickTop="1" thickBot="1">
      <c r="C57" s="38" t="s">
        <v>159</v>
      </c>
      <c r="D57" s="39"/>
      <c r="E57" s="40"/>
      <c r="F57" s="76">
        <f t="shared" si="47"/>
        <v>1739746</v>
      </c>
      <c r="G57" s="76">
        <f t="shared" si="47"/>
        <v>1450136</v>
      </c>
      <c r="H57" s="76">
        <f t="shared" si="47"/>
        <v>1260097</v>
      </c>
      <c r="I57" s="76">
        <f t="shared" si="47"/>
        <v>921313</v>
      </c>
      <c r="J57" s="76">
        <f t="shared" si="47"/>
        <v>406818</v>
      </c>
      <c r="K57" s="76">
        <f t="shared" si="47"/>
        <v>4146</v>
      </c>
      <c r="L57" s="76">
        <f t="shared" si="47"/>
        <v>226273</v>
      </c>
      <c r="M57" s="76">
        <f t="shared" si="47"/>
        <v>655947</v>
      </c>
      <c r="N57" s="67">
        <f t="shared" si="40"/>
        <v>0.19971230284607788</v>
      </c>
      <c r="O57" s="67">
        <f>IFERROR(F57/H57-1,"n/a")</f>
        <v>0.38064450593882859</v>
      </c>
      <c r="P57" s="67">
        <f>IFERROR(F57/I57-1,"n/a")</f>
        <v>0.88833328087197283</v>
      </c>
      <c r="Q57" s="67">
        <f>IFERROR(F57/J57-1,"n/a")</f>
        <v>3.2764725257977769</v>
      </c>
      <c r="R57" s="67">
        <f>IFERROR(F57/K57-1,"n/a")</f>
        <v>418.62035697057405</v>
      </c>
      <c r="S57" s="67">
        <f>IFERROR(F57/L57-1,"n/a")</f>
        <v>6.6887034688186393</v>
      </c>
      <c r="T57" s="67">
        <f>IFERROR(F57/M57-1,"n/a")</f>
        <v>1.6522661129633951</v>
      </c>
      <c r="U57" s="76">
        <f t="shared" ref="U57:W57" si="50">U43+U46+U49+U52+U55</f>
        <v>0</v>
      </c>
      <c r="V57" s="76">
        <f t="shared" si="50"/>
        <v>18817276</v>
      </c>
      <c r="W57" s="76">
        <f t="shared" si="50"/>
        <v>17650949.399999999</v>
      </c>
      <c r="X57" s="76">
        <f t="shared" si="48"/>
        <v>13428473</v>
      </c>
      <c r="Y57" s="76">
        <f t="shared" si="48"/>
        <v>9237323</v>
      </c>
      <c r="Z57" s="76">
        <f t="shared" si="48"/>
        <v>2405988</v>
      </c>
      <c r="AA57" s="76">
        <f t="shared" si="48"/>
        <v>47959</v>
      </c>
      <c r="AB57" s="76">
        <f t="shared" si="48"/>
        <v>8615169</v>
      </c>
      <c r="AC57" s="76"/>
      <c r="AD57" s="67">
        <f t="shared" si="41"/>
        <v>6.6077272874625281E-2</v>
      </c>
      <c r="AE57" s="67">
        <f>IFERROR(V57/X57-1,"n/a")</f>
        <v>0.40129678184556061</v>
      </c>
      <c r="AF57" s="67">
        <f t="shared" si="43"/>
        <v>1.0370919150494142</v>
      </c>
      <c r="AG57" s="67">
        <f t="shared" si="44"/>
        <v>6.8210182261923169</v>
      </c>
      <c r="AH57" s="67">
        <f t="shared" si="45"/>
        <v>391.3617256406514</v>
      </c>
      <c r="AI57" s="67">
        <f t="shared" si="46"/>
        <v>1.1842027707175564</v>
      </c>
      <c r="AJ57" s="47"/>
      <c r="AK57" s="47">
        <f t="shared" si="49"/>
        <v>17650949.399999999</v>
      </c>
      <c r="AL57" s="47">
        <f t="shared" si="49"/>
        <v>13408675</v>
      </c>
      <c r="AM57" s="47">
        <f t="shared" si="49"/>
        <v>9237323</v>
      </c>
      <c r="AN57" s="47">
        <f t="shared" si="49"/>
        <v>2410085</v>
      </c>
      <c r="AO57" s="47">
        <f t="shared" si="49"/>
        <v>1324261</v>
      </c>
      <c r="AP57" s="81">
        <f>AP43+AP46+AP49+AP52+AP55</f>
        <v>8638971</v>
      </c>
      <c r="AR57" s="122"/>
    </row>
    <row r="58" spans="1:44" s="123" customFormat="1" ht="12" thickTop="1">
      <c r="C58" s="31" t="s">
        <v>162</v>
      </c>
      <c r="D58" s="26"/>
      <c r="E58" s="32"/>
      <c r="F58" s="72"/>
      <c r="G58" s="72"/>
      <c r="H58" s="72"/>
      <c r="I58" s="72"/>
      <c r="J58" s="72"/>
      <c r="K58" s="72"/>
      <c r="L58" s="72"/>
      <c r="M58" s="72"/>
      <c r="N58" s="64"/>
      <c r="O58" s="64"/>
      <c r="P58" s="64"/>
      <c r="Q58" s="64"/>
      <c r="R58" s="64"/>
      <c r="S58" s="64"/>
      <c r="T58" s="60"/>
      <c r="V58" s="128">
        <f>V56-F56-'Feb-26'!V56</f>
        <v>0</v>
      </c>
      <c r="W58" s="128">
        <f>W56-G56-'Feb-26'!W56</f>
        <v>0</v>
      </c>
      <c r="X58" s="128">
        <f>X56-H56-'Feb-26'!X56</f>
        <v>0</v>
      </c>
      <c r="Y58" s="128">
        <f>Y56-I56-'Feb-26'!Y56</f>
        <v>0</v>
      </c>
      <c r="Z58" s="128">
        <f>Z56-J56-'Feb-26'!Z56</f>
        <v>0</v>
      </c>
      <c r="AA58" s="128">
        <f>AA56-K56-'Feb-26'!AA56</f>
        <v>0</v>
      </c>
      <c r="AB58" s="128">
        <f>AB56-L56-'Feb-26'!AB56</f>
        <v>0</v>
      </c>
      <c r="AC58" s="128"/>
      <c r="AR58" s="122"/>
    </row>
    <row r="59" spans="1:44" s="123" customFormat="1" ht="11.25">
      <c r="C59" s="33"/>
      <c r="D59" s="26" t="s">
        <v>5</v>
      </c>
      <c r="E59" s="32"/>
      <c r="F59" s="74">
        <f t="shared" ref="F59:M60" si="51">F30</f>
        <v>98</v>
      </c>
      <c r="G59" s="74">
        <f t="shared" si="51"/>
        <v>0</v>
      </c>
      <c r="H59" s="74">
        <f t="shared" si="51"/>
        <v>0</v>
      </c>
      <c r="I59" s="74">
        <f t="shared" si="51"/>
        <v>0</v>
      </c>
      <c r="J59" s="74">
        <f t="shared" si="51"/>
        <v>0</v>
      </c>
      <c r="K59" s="74">
        <f t="shared" si="51"/>
        <v>0</v>
      </c>
      <c r="L59" s="74">
        <f t="shared" si="51"/>
        <v>0</v>
      </c>
      <c r="M59" s="74">
        <f t="shared" si="51"/>
        <v>0</v>
      </c>
      <c r="N59" s="64"/>
      <c r="O59" s="64"/>
      <c r="P59" s="64"/>
      <c r="Q59" s="64"/>
      <c r="R59" s="64"/>
      <c r="S59" s="64"/>
      <c r="T59" s="60"/>
      <c r="V59" s="128">
        <f>V57-F57-'Feb-26'!V57+674+13</f>
        <v>0</v>
      </c>
      <c r="W59" s="128">
        <f>W57-G57-'Feb-26'!W57</f>
        <v>0</v>
      </c>
      <c r="X59" s="128">
        <f>X57-H57-'Feb-26'!X57</f>
        <v>0</v>
      </c>
      <c r="Y59" s="128">
        <f>Y57-I57-'Feb-26'!Y57</f>
        <v>0</v>
      </c>
      <c r="Z59" s="128">
        <f>Z57-J57-'Feb-26'!Z57</f>
        <v>0</v>
      </c>
      <c r="AA59" s="128">
        <f>AA57-K57-'Feb-26'!AA57</f>
        <v>0</v>
      </c>
      <c r="AB59" s="128">
        <f>AB57-L57-'Feb-26'!AB57</f>
        <v>0</v>
      </c>
      <c r="AC59" s="128"/>
      <c r="AD59" s="131"/>
      <c r="AR59" s="122"/>
    </row>
    <row r="60" spans="1:44" ht="15.75" thickBot="1">
      <c r="C60" s="33"/>
      <c r="D60" s="26" t="s">
        <v>11</v>
      </c>
      <c r="E60" s="32"/>
      <c r="F60" s="74">
        <f t="shared" si="51"/>
        <v>373673</v>
      </c>
      <c r="G60" s="74">
        <f t="shared" si="51"/>
        <v>0</v>
      </c>
      <c r="H60" s="74">
        <f t="shared" si="51"/>
        <v>0</v>
      </c>
      <c r="I60" s="74">
        <f t="shared" si="51"/>
        <v>0</v>
      </c>
      <c r="J60" s="74">
        <f t="shared" si="51"/>
        <v>0</v>
      </c>
      <c r="K60" s="74">
        <f t="shared" si="51"/>
        <v>0</v>
      </c>
      <c r="L60" s="74">
        <f t="shared" si="51"/>
        <v>0</v>
      </c>
      <c r="M60" s="74">
        <f t="shared" si="51"/>
        <v>0</v>
      </c>
      <c r="N60" s="64"/>
      <c r="O60" s="64"/>
      <c r="P60" s="64"/>
      <c r="Q60" s="64"/>
      <c r="R60" s="64"/>
      <c r="S60" s="64"/>
      <c r="T60" s="60"/>
      <c r="V60" s="111"/>
      <c r="W60" s="153"/>
      <c r="Y60" s="111"/>
      <c r="Z60" s="111"/>
      <c r="AA60" s="111"/>
      <c r="AB60" s="111"/>
      <c r="AC60" s="111"/>
      <c r="AD60" s="111"/>
      <c r="AR60" s="9"/>
    </row>
    <row r="61" spans="1:44" ht="16.5" thickTop="1" thickBot="1">
      <c r="C61" s="35" t="s">
        <v>160</v>
      </c>
      <c r="D61" s="36"/>
      <c r="E61" s="37"/>
      <c r="F61" s="75">
        <f>F56+F59</f>
        <v>725</v>
      </c>
      <c r="G61" s="75"/>
      <c r="H61" s="75"/>
      <c r="I61" s="75"/>
      <c r="J61" s="75"/>
      <c r="K61" s="75"/>
      <c r="L61" s="75"/>
      <c r="M61" s="75"/>
      <c r="N61" s="67"/>
      <c r="O61" s="67"/>
      <c r="P61" s="67"/>
      <c r="Q61" s="67"/>
      <c r="R61" s="67"/>
      <c r="S61" s="67"/>
      <c r="T61" s="67"/>
      <c r="W61" s="153"/>
      <c r="X61" s="153"/>
      <c r="Y61" s="153"/>
      <c r="Z61" s="153"/>
      <c r="AA61" s="153"/>
      <c r="AB61" s="153"/>
      <c r="AC61" s="153"/>
      <c r="AD61" s="111"/>
      <c r="AR61" s="9"/>
    </row>
    <row r="62" spans="1:44" ht="16.5" thickTop="1" thickBot="1">
      <c r="C62" s="38" t="s">
        <v>161</v>
      </c>
      <c r="D62" s="39"/>
      <c r="E62" s="40"/>
      <c r="F62" s="75">
        <f>F57+F60</f>
        <v>2113419</v>
      </c>
      <c r="G62" s="75"/>
      <c r="H62" s="75"/>
      <c r="I62" s="75"/>
      <c r="J62" s="75"/>
      <c r="K62" s="75"/>
      <c r="L62" s="75"/>
      <c r="M62" s="75"/>
      <c r="N62" s="67"/>
      <c r="O62" s="67"/>
      <c r="P62" s="67"/>
      <c r="Q62" s="67"/>
      <c r="R62" s="67"/>
      <c r="S62" s="67"/>
      <c r="T62" s="67"/>
      <c r="V62" s="111"/>
      <c r="W62" s="153"/>
      <c r="X62" s="153"/>
      <c r="Y62" s="153"/>
      <c r="Z62" s="153"/>
      <c r="AA62" s="153"/>
      <c r="AB62" s="153"/>
      <c r="AC62" s="153"/>
      <c r="AD62" s="111"/>
      <c r="AR62" s="9"/>
    </row>
    <row r="63" spans="1:44" ht="15.75" thickTop="1">
      <c r="W63" s="153"/>
      <c r="X63" s="150"/>
      <c r="Y63" s="150"/>
      <c r="Z63" s="150"/>
      <c r="AA63" s="150"/>
      <c r="AB63" s="150"/>
      <c r="AC63" s="150"/>
      <c r="AR63" s="9"/>
    </row>
    <row r="64" spans="1:44" ht="15">
      <c r="W64" s="153"/>
      <c r="X64" s="150"/>
      <c r="Y64" s="150"/>
      <c r="Z64" s="150"/>
      <c r="AA64" s="150"/>
      <c r="AB64" s="150"/>
      <c r="AC64" s="150"/>
      <c r="AR64" s="9"/>
    </row>
    <row r="65" spans="44:44" ht="15">
      <c r="AR65" s="9"/>
    </row>
    <row r="66" spans="44:44" ht="15" customHeight="1"/>
    <row r="67" spans="44:44" ht="15" customHeight="1"/>
    <row r="68" spans="44:44" ht="15" customHeight="1"/>
    <row r="69" spans="44:44" ht="15" customHeight="1"/>
    <row r="70" spans="44:44" ht="15" customHeight="1"/>
    <row r="71" spans="44:44" ht="15" customHeight="1"/>
  </sheetData>
  <mergeCells count="9">
    <mergeCell ref="AJ39:AP39"/>
    <mergeCell ref="F9:T9"/>
    <mergeCell ref="U9:AI9"/>
    <mergeCell ref="AJ9:AP9"/>
    <mergeCell ref="G10:T10"/>
    <mergeCell ref="U10:AI10"/>
    <mergeCell ref="F38:T38"/>
    <mergeCell ref="U38:AI38"/>
    <mergeCell ref="AJ38:AP38"/>
  </mergeCell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F289-8477-488D-9F0D-C7C1BA1C1EEF}">
  <dimension ref="A1:AS71"/>
  <sheetViews>
    <sheetView showGridLines="0" zoomScale="85" zoomScaleNormal="85" workbookViewId="0"/>
  </sheetViews>
  <sheetFormatPr defaultColWidth="0" defaultRowHeight="0" customHeight="1" zeroHeight="1"/>
  <cols>
    <col min="1" max="2" width="4.140625" customWidth="1"/>
    <col min="3" max="3" width="6.28515625" customWidth="1"/>
    <col min="4" max="4" width="10" customWidth="1"/>
    <col min="5" max="5" width="20.42578125" customWidth="1"/>
    <col min="6" max="8" width="13" customWidth="1"/>
    <col min="9" max="9" width="11.140625" bestFit="1" customWidth="1"/>
    <col min="10" max="10" width="10.140625" bestFit="1" customWidth="1"/>
    <col min="11" max="12" width="8.85546875" customWidth="1"/>
    <col min="13" max="13" width="10.140625" bestFit="1" customWidth="1"/>
    <col min="14" max="15" width="10.140625" customWidth="1"/>
    <col min="16" max="16" width="8" customWidth="1"/>
    <col min="17" max="17" width="8.85546875" bestFit="1" customWidth="1"/>
    <col min="18" max="18" width="8.5703125" bestFit="1" customWidth="1"/>
    <col min="19" max="20" width="8" customWidth="1"/>
    <col min="21" max="21" width="10" bestFit="1" customWidth="1"/>
    <col min="22" max="22" width="11.85546875" bestFit="1" customWidth="1"/>
    <col min="23" max="24" width="12.5703125" bestFit="1" customWidth="1"/>
    <col min="25" max="27" width="11.5703125" bestFit="1" customWidth="1"/>
    <col min="28" max="28" width="11.85546875" bestFit="1" customWidth="1"/>
    <col min="29" max="29" width="8.42578125" customWidth="1"/>
    <col min="30" max="30" width="9.140625" customWidth="1"/>
    <col min="31" max="31" width="8.85546875" customWidth="1"/>
    <col min="32" max="32" width="8.85546875" bestFit="1" customWidth="1"/>
    <col min="33" max="33" width="8.85546875" customWidth="1"/>
    <col min="34" max="34" width="9" bestFit="1" customWidth="1"/>
    <col min="35" max="35" width="7.85546875" customWidth="1"/>
    <col min="36" max="36" width="10" bestFit="1" customWidth="1"/>
    <col min="37" max="37" width="12.85546875" bestFit="1" customWidth="1"/>
    <col min="38" max="38" width="10.85546875" bestFit="1" customWidth="1"/>
    <col min="39" max="39" width="13.42578125" bestFit="1" customWidth="1"/>
    <col min="40" max="40" width="13.140625" bestFit="1" customWidth="1"/>
    <col min="41" max="41" width="12.85546875" bestFit="1" customWidth="1"/>
    <col min="42" max="42" width="15.42578125" bestFit="1" customWidth="1"/>
    <col min="43" max="43" width="11.140625" customWidth="1"/>
    <col min="44" max="44" width="3.42578125" customWidth="1"/>
    <col min="45" max="45" width="0" hidden="1" customWidth="1"/>
    <col min="46" max="16384" width="8.85546875" hidden="1"/>
  </cols>
  <sheetData>
    <row r="1" spans="1:4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row>
    <row r="2" spans="1:4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4"/>
      <c r="AR2" s="9"/>
    </row>
    <row r="3" spans="1:4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f>Occupancy_2026!AY3</f>
        <v>46154</v>
      </c>
      <c r="AQ3" s="25"/>
      <c r="AR3" s="9"/>
    </row>
    <row r="4" spans="1:44" ht="15.75">
      <c r="A4" s="9"/>
      <c r="B4" s="11" t="s">
        <v>7</v>
      </c>
      <c r="C4" s="26"/>
      <c r="D4" s="93" t="s">
        <v>39</v>
      </c>
      <c r="E4" s="133" t="s">
        <v>156</v>
      </c>
      <c r="F4" s="133"/>
      <c r="G4" s="133"/>
      <c r="H4" s="133"/>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9"/>
    </row>
    <row r="5" spans="1:4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9"/>
    </row>
    <row r="6" spans="1:4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9"/>
    </row>
    <row r="7" spans="1:4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9"/>
    </row>
    <row r="8" spans="1:4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9"/>
    </row>
    <row r="9" spans="1:44" s="123" customFormat="1" ht="15" customHeight="1">
      <c r="A9" s="122"/>
      <c r="C9" s="27" t="s">
        <v>7</v>
      </c>
      <c r="D9" s="28"/>
      <c r="E9" s="28"/>
      <c r="F9" s="167" t="str">
        <f>D4</f>
        <v>February</v>
      </c>
      <c r="G9" s="167"/>
      <c r="H9" s="167"/>
      <c r="I9" s="167"/>
      <c r="J9" s="167"/>
      <c r="K9" s="167"/>
      <c r="L9" s="167"/>
      <c r="M9" s="167"/>
      <c r="N9" s="167"/>
      <c r="O9" s="167"/>
      <c r="P9" s="167"/>
      <c r="Q9" s="167"/>
      <c r="R9" s="167"/>
      <c r="S9" s="167"/>
      <c r="T9" s="168"/>
      <c r="U9" s="169" t="str">
        <f xml:space="preserve"> "January to "&amp; F9</f>
        <v>January to February</v>
      </c>
      <c r="V9" s="170"/>
      <c r="W9" s="170"/>
      <c r="X9" s="170"/>
      <c r="Y9" s="170"/>
      <c r="Z9" s="170"/>
      <c r="AA9" s="170"/>
      <c r="AB9" s="170"/>
      <c r="AC9" s="170"/>
      <c r="AD9" s="170"/>
      <c r="AE9" s="170"/>
      <c r="AF9" s="170"/>
      <c r="AG9" s="170"/>
      <c r="AH9" s="170"/>
      <c r="AI9" s="171"/>
      <c r="AJ9" s="169" t="s">
        <v>57</v>
      </c>
      <c r="AK9" s="170"/>
      <c r="AL9" s="170"/>
      <c r="AM9" s="170"/>
      <c r="AN9" s="170"/>
      <c r="AO9" s="170"/>
      <c r="AP9" s="172"/>
      <c r="AQ9" s="122"/>
      <c r="AR9" s="122"/>
    </row>
    <row r="10" spans="1:44" s="123" customFormat="1" ht="13.5">
      <c r="A10" s="122"/>
      <c r="B10" s="124"/>
      <c r="C10" s="29"/>
      <c r="D10" s="30"/>
      <c r="E10" s="30"/>
      <c r="F10" s="30"/>
      <c r="G10" s="173"/>
      <c r="H10" s="173"/>
      <c r="I10" s="173"/>
      <c r="J10" s="173"/>
      <c r="K10" s="173"/>
      <c r="L10" s="173"/>
      <c r="M10" s="173"/>
      <c r="N10" s="173"/>
      <c r="O10" s="173"/>
      <c r="P10" s="173"/>
      <c r="Q10" s="173"/>
      <c r="R10" s="173"/>
      <c r="S10" s="173"/>
      <c r="T10" s="174"/>
      <c r="U10" s="175"/>
      <c r="V10" s="173"/>
      <c r="W10" s="173"/>
      <c r="X10" s="173"/>
      <c r="Y10" s="173"/>
      <c r="Z10" s="173"/>
      <c r="AA10" s="173"/>
      <c r="AB10" s="173"/>
      <c r="AC10" s="173"/>
      <c r="AD10" s="173"/>
      <c r="AE10" s="173"/>
      <c r="AF10" s="173"/>
      <c r="AG10" s="173"/>
      <c r="AH10" s="173"/>
      <c r="AI10" s="174"/>
      <c r="AJ10" s="152"/>
      <c r="AK10" s="152"/>
      <c r="AL10" s="30"/>
      <c r="AM10" s="30"/>
      <c r="AN10" s="30"/>
      <c r="AO10" s="30"/>
      <c r="AP10" s="56"/>
      <c r="AQ10" s="122"/>
      <c r="AR10" s="122"/>
    </row>
    <row r="11" spans="1:44" s="123" customFormat="1" ht="26.25" customHeight="1">
      <c r="A11" s="125"/>
      <c r="B11" s="126"/>
      <c r="C11" s="59" t="s">
        <v>29</v>
      </c>
      <c r="D11" s="50"/>
      <c r="E11" s="51"/>
      <c r="F11" s="55">
        <v>2026</v>
      </c>
      <c r="G11" s="52">
        <v>2025</v>
      </c>
      <c r="H11" s="52">
        <v>2024</v>
      </c>
      <c r="I11" s="52">
        <v>2023</v>
      </c>
      <c r="J11" s="52">
        <v>2022</v>
      </c>
      <c r="K11" s="52">
        <v>2021</v>
      </c>
      <c r="L11" s="52">
        <v>2020</v>
      </c>
      <c r="M11" s="52">
        <v>2019</v>
      </c>
      <c r="N11" s="53" t="s">
        <v>146</v>
      </c>
      <c r="O11" s="53" t="s">
        <v>147</v>
      </c>
      <c r="P11" s="53" t="s">
        <v>148</v>
      </c>
      <c r="Q11" s="53" t="s">
        <v>149</v>
      </c>
      <c r="R11" s="53" t="s">
        <v>150</v>
      </c>
      <c r="S11" s="53" t="s">
        <v>151</v>
      </c>
      <c r="T11" s="57" t="s">
        <v>157</v>
      </c>
      <c r="U11" s="53">
        <v>2026</v>
      </c>
      <c r="V11" s="53">
        <v>2025</v>
      </c>
      <c r="W11" s="53">
        <v>2024</v>
      </c>
      <c r="X11" s="53">
        <v>2023</v>
      </c>
      <c r="Y11" s="53">
        <v>2022</v>
      </c>
      <c r="Z11" s="52">
        <v>2021</v>
      </c>
      <c r="AA11" s="52">
        <v>2020</v>
      </c>
      <c r="AB11" s="52">
        <v>2019</v>
      </c>
      <c r="AC11" s="53" t="s">
        <v>146</v>
      </c>
      <c r="AD11" s="53" t="s">
        <v>147</v>
      </c>
      <c r="AE11" s="53" t="s">
        <v>148</v>
      </c>
      <c r="AF11" s="53" t="s">
        <v>149</v>
      </c>
      <c r="AG11" s="53" t="s">
        <v>150</v>
      </c>
      <c r="AH11" s="53" t="s">
        <v>151</v>
      </c>
      <c r="AI11" s="57" t="s">
        <v>157</v>
      </c>
      <c r="AJ11" s="53">
        <v>2025</v>
      </c>
      <c r="AK11" s="53">
        <v>2024</v>
      </c>
      <c r="AL11" s="53">
        <v>2023</v>
      </c>
      <c r="AM11" s="53">
        <v>2022</v>
      </c>
      <c r="AN11" s="53">
        <v>2021</v>
      </c>
      <c r="AO11" s="52">
        <v>2020</v>
      </c>
      <c r="AP11" s="77">
        <v>2019</v>
      </c>
      <c r="AQ11" s="125"/>
      <c r="AR11" s="125"/>
    </row>
    <row r="12" spans="1:44" s="123" customFormat="1" ht="12.75">
      <c r="A12" s="122"/>
      <c r="B12" s="127"/>
      <c r="C12" s="31" t="s">
        <v>107</v>
      </c>
      <c r="D12" s="26"/>
      <c r="E12" s="32"/>
      <c r="F12" s="26"/>
      <c r="G12" s="26"/>
      <c r="H12" s="26"/>
      <c r="I12" s="26"/>
      <c r="J12" s="26"/>
      <c r="K12" s="26"/>
      <c r="L12" s="26"/>
      <c r="M12" s="26"/>
      <c r="N12" s="146"/>
      <c r="O12" s="26"/>
      <c r="P12" s="26"/>
      <c r="Q12" s="26"/>
      <c r="R12" s="26"/>
      <c r="S12" s="26"/>
      <c r="T12" s="32"/>
      <c r="U12" s="26"/>
      <c r="V12" s="26"/>
      <c r="W12" s="26"/>
      <c r="X12" s="26"/>
      <c r="Y12" s="26"/>
      <c r="Z12" s="26"/>
      <c r="AA12" s="26"/>
      <c r="AB12" s="26"/>
      <c r="AC12" s="26"/>
      <c r="AD12" s="26"/>
      <c r="AE12" s="26"/>
      <c r="AF12" s="26"/>
      <c r="AG12" s="26"/>
      <c r="AH12" s="26"/>
      <c r="AI12" s="32"/>
      <c r="AJ12" s="26"/>
      <c r="AK12" s="26"/>
      <c r="AL12" s="26"/>
      <c r="AM12" s="26"/>
      <c r="AN12" s="26"/>
      <c r="AO12" s="26"/>
      <c r="AP12" s="32"/>
      <c r="AQ12" s="122"/>
      <c r="AR12" s="122"/>
    </row>
    <row r="13" spans="1:44" s="123" customFormat="1" ht="12.75">
      <c r="A13" s="122"/>
      <c r="B13" s="127"/>
      <c r="C13" s="33"/>
      <c r="D13" s="26" t="s">
        <v>5</v>
      </c>
      <c r="E13" s="32"/>
      <c r="F13" s="71">
        <v>377</v>
      </c>
      <c r="G13" s="71">
        <v>340</v>
      </c>
      <c r="H13" s="71">
        <v>224</v>
      </c>
      <c r="I13" s="73">
        <v>161</v>
      </c>
      <c r="J13" s="73">
        <v>162</v>
      </c>
      <c r="K13" s="73">
        <v>0</v>
      </c>
      <c r="L13" s="73">
        <v>175</v>
      </c>
      <c r="M13" s="73">
        <v>157</v>
      </c>
      <c r="N13" s="64">
        <f>IFERROR(F13/G13-1,"n/a")</f>
        <v>0.10882352941176476</v>
      </c>
      <c r="O13" s="64">
        <f>IFERROR(F13/H13-1,"n/a")</f>
        <v>0.68303571428571419</v>
      </c>
      <c r="P13" s="64">
        <f>IFERROR(F13/I13-1,"n/a")</f>
        <v>1.341614906832298</v>
      </c>
      <c r="Q13" s="64">
        <f>IFERROR(F13/J13-1,"n/a")</f>
        <v>1.3271604938271606</v>
      </c>
      <c r="R13" s="64" t="str">
        <f>IFERROR(F13/K13-1,"n/a")</f>
        <v>n/a</v>
      </c>
      <c r="S13" s="64">
        <f>IFERROR(F13/L13-1,"n/a")</f>
        <v>1.1542857142857144</v>
      </c>
      <c r="T13" s="60">
        <f>IFERROR(F13/M13-1,"n/a")</f>
        <v>1.4012738853503186</v>
      </c>
      <c r="U13" s="68">
        <f>F13+'Jan-26'!U13</f>
        <v>811</v>
      </c>
      <c r="V13" s="68">
        <f>G13+'Jan-26'!V13</f>
        <v>744</v>
      </c>
      <c r="W13" s="68">
        <f>H13+'Jan-26'!W13</f>
        <v>421</v>
      </c>
      <c r="X13" s="68">
        <f>I13+'Jan-26'!X13</f>
        <v>349</v>
      </c>
      <c r="Y13" s="68">
        <f>J13+'Jan-26'!Y13</f>
        <v>326</v>
      </c>
      <c r="Z13" s="68">
        <f>K13+'Jan-26'!Z13</f>
        <v>0</v>
      </c>
      <c r="AA13" s="68">
        <f>L13+'Jan-26'!AA13</f>
        <v>362</v>
      </c>
      <c r="AB13" s="68">
        <f>M13+'Jan-26'!AB13</f>
        <v>346</v>
      </c>
      <c r="AC13" s="64">
        <f>IFERROR(U13/V13-1,"n/a")</f>
        <v>9.0053763440860246E-2</v>
      </c>
      <c r="AD13" s="64">
        <f>IFERROR(U13/W13-1,"n/a")</f>
        <v>0.92636579572446553</v>
      </c>
      <c r="AE13" s="64">
        <f>IFERROR(U13/X13-1,"n/a")</f>
        <v>1.3237822349570201</v>
      </c>
      <c r="AF13" s="64">
        <f>IFERROR(U13/Y13-1,"n/a")</f>
        <v>1.4877300613496933</v>
      </c>
      <c r="AG13" s="64" t="str">
        <f>IFERROR(U13/Z13-1,"n/a")</f>
        <v>n/a</v>
      </c>
      <c r="AH13" s="64">
        <f>IFERROR(U13/AA13-1,"n/a")</f>
        <v>1.2403314917127073</v>
      </c>
      <c r="AI13" s="60">
        <f>IFERROR(U13/AB13-1,"n/a")</f>
        <v>1.3439306358381504</v>
      </c>
      <c r="AJ13" s="68">
        <v>2979</v>
      </c>
      <c r="AK13" s="68">
        <v>2483</v>
      </c>
      <c r="AL13" s="68">
        <v>1630</v>
      </c>
      <c r="AM13" s="68">
        <v>1486</v>
      </c>
      <c r="AN13" s="68">
        <v>522</v>
      </c>
      <c r="AO13" s="68">
        <v>551</v>
      </c>
      <c r="AP13" s="134">
        <v>1591</v>
      </c>
      <c r="AQ13" s="122"/>
      <c r="AR13" s="122"/>
    </row>
    <row r="14" spans="1:44" s="123" customFormat="1" ht="12.75">
      <c r="A14" s="122"/>
      <c r="B14" s="127"/>
      <c r="C14" s="33"/>
      <c r="D14" s="26" t="s">
        <v>11</v>
      </c>
      <c r="E14" s="32"/>
      <c r="F14" s="71">
        <v>1088715</v>
      </c>
      <c r="G14" s="71">
        <v>876872</v>
      </c>
      <c r="H14" s="71">
        <v>674695</v>
      </c>
      <c r="I14" s="73">
        <v>449661</v>
      </c>
      <c r="J14" s="73">
        <v>219545</v>
      </c>
      <c r="K14" s="73">
        <v>0</v>
      </c>
      <c r="L14" s="73">
        <v>430518</v>
      </c>
      <c r="M14" s="73">
        <v>425246</v>
      </c>
      <c r="N14" s="64">
        <f>IFERROR(F14/G14-1,"n/a")</f>
        <v>0.24158942240144521</v>
      </c>
      <c r="O14" s="64">
        <f>IFERROR(F14/H14-1,"n/a")</f>
        <v>0.61364023744062135</v>
      </c>
      <c r="P14" s="64">
        <f>IFERROR(F14/I14-1,"n/a")</f>
        <v>1.4211906302748072</v>
      </c>
      <c r="Q14" s="64">
        <f>IFERROR(F14/J14-1,"n/a")</f>
        <v>3.9589605775581314</v>
      </c>
      <c r="R14" s="64" t="str">
        <f>IFERROR(F14/K14-1,"n/a")</f>
        <v>n/a</v>
      </c>
      <c r="S14" s="64">
        <f>IFERROR(F14/L14-1,"n/a")</f>
        <v>1.5288489679874013</v>
      </c>
      <c r="T14" s="60">
        <f>IFERROR(F14/M14-1,"n/a")</f>
        <v>1.5602004486814689</v>
      </c>
      <c r="U14" s="68">
        <f>F14+'Jan-26'!U14-174</f>
        <v>2342094</v>
      </c>
      <c r="V14" s="68">
        <f>G14+'Jan-26'!V14</f>
        <v>1929201</v>
      </c>
      <c r="W14" s="68">
        <f>H14+'Jan-26'!W14</f>
        <v>1296003</v>
      </c>
      <c r="X14" s="68">
        <f>I14+'Jan-26'!X14</f>
        <v>972610</v>
      </c>
      <c r="Y14" s="68">
        <f>J14+'Jan-26'!Y14</f>
        <v>415157</v>
      </c>
      <c r="Z14" s="68">
        <f>K14+'Jan-26'!Z14</f>
        <v>0</v>
      </c>
      <c r="AA14" s="68">
        <f>L14+'Jan-26'!AA14</f>
        <v>896598</v>
      </c>
      <c r="AB14" s="68">
        <f>M14+'Jan-26'!AB14</f>
        <v>950508</v>
      </c>
      <c r="AC14" s="64">
        <f>IFERROR(U14/V14-1,"n/a")</f>
        <v>0.21402280011258545</v>
      </c>
      <c r="AD14" s="64">
        <f>IFERROR(U14/W14-1,"n/a")</f>
        <v>0.80716711303909028</v>
      </c>
      <c r="AE14" s="64">
        <f>IFERROR(U14/X14-1,"n/a")</f>
        <v>1.4080505032849753</v>
      </c>
      <c r="AF14" s="64">
        <f>IFERROR(U14/Y14-1,"n/a")</f>
        <v>4.6414657587370565</v>
      </c>
      <c r="AG14" s="64" t="str">
        <f>IFERROR(U14/Z14-1,"n/a")</f>
        <v>n/a</v>
      </c>
      <c r="AH14" s="64">
        <f>IFERROR(U14/AA14-1,"n/a")</f>
        <v>1.612200785636372</v>
      </c>
      <c r="AI14" s="60">
        <f>IFERROR(U14/AB14-1,"n/a")</f>
        <v>1.4640444898938254</v>
      </c>
      <c r="AJ14" s="68">
        <v>9306898</v>
      </c>
      <c r="AK14" s="68">
        <v>8019489</v>
      </c>
      <c r="AL14" s="68">
        <v>5232537</v>
      </c>
      <c r="AM14" s="68">
        <v>3592413</v>
      </c>
      <c r="AN14" s="68">
        <v>768312</v>
      </c>
      <c r="AO14" s="68">
        <v>1092884</v>
      </c>
      <c r="AP14" s="134">
        <v>4592479</v>
      </c>
      <c r="AQ14" s="122"/>
      <c r="AR14" s="122"/>
    </row>
    <row r="15" spans="1:44" s="123" customFormat="1" ht="12.75">
      <c r="A15" s="122"/>
      <c r="B15" s="127"/>
      <c r="C15" s="31" t="s">
        <v>163</v>
      </c>
      <c r="D15" s="26"/>
      <c r="E15" s="32"/>
      <c r="F15" s="97"/>
      <c r="G15" s="97"/>
      <c r="H15" s="97"/>
      <c r="I15" s="97"/>
      <c r="J15" s="26"/>
      <c r="K15" s="26"/>
      <c r="L15" s="26"/>
      <c r="M15" s="26"/>
      <c r="N15" s="64"/>
      <c r="O15" s="64"/>
      <c r="P15" s="64"/>
      <c r="Q15" s="64"/>
      <c r="R15" s="64"/>
      <c r="S15" s="64"/>
      <c r="T15" s="61"/>
      <c r="U15" s="87"/>
      <c r="V15" s="87"/>
      <c r="W15" s="87"/>
      <c r="X15" s="87"/>
      <c r="Y15" s="87"/>
      <c r="Z15" s="87"/>
      <c r="AA15" s="87"/>
      <c r="AB15" s="87"/>
      <c r="AC15" s="64"/>
      <c r="AD15" s="64"/>
      <c r="AE15" s="64"/>
      <c r="AF15" s="64"/>
      <c r="AG15" s="64"/>
      <c r="AH15" s="64"/>
      <c r="AI15" s="61"/>
      <c r="AJ15" s="43"/>
      <c r="AK15" s="43"/>
      <c r="AL15" s="43"/>
      <c r="AM15" s="43"/>
      <c r="AN15" s="43"/>
      <c r="AO15" s="43"/>
      <c r="AP15" s="135"/>
      <c r="AQ15" s="122"/>
      <c r="AR15" s="122"/>
    </row>
    <row r="16" spans="1:44" s="123" customFormat="1" ht="12.75">
      <c r="A16" s="122"/>
      <c r="B16" s="127"/>
      <c r="C16" s="33"/>
      <c r="D16" s="26" t="s">
        <v>5</v>
      </c>
      <c r="E16" s="32"/>
      <c r="F16" s="71">
        <v>15</v>
      </c>
      <c r="G16" s="71">
        <v>15</v>
      </c>
      <c r="H16" s="71">
        <v>8</v>
      </c>
      <c r="I16" s="73">
        <v>6</v>
      </c>
      <c r="J16" s="73">
        <v>7</v>
      </c>
      <c r="K16" s="73">
        <v>5</v>
      </c>
      <c r="L16" s="73">
        <v>4</v>
      </c>
      <c r="M16" s="73">
        <v>8</v>
      </c>
      <c r="N16" s="64">
        <f t="shared" ref="N16:N17" si="0">IFERROR(F16/G16-1,"n/a")</f>
        <v>0</v>
      </c>
      <c r="O16" s="64">
        <f>IFERROR(F16/H16-1,"n/a")</f>
        <v>0.875</v>
      </c>
      <c r="P16" s="64">
        <f>IFERROR(F16/I16-1,"n/a")</f>
        <v>1.5</v>
      </c>
      <c r="Q16" s="64">
        <f>IFERROR(F16/J16-1,"n/a")</f>
        <v>1.1428571428571428</v>
      </c>
      <c r="R16" s="64">
        <f>IFERROR(F16/K16-1,"n/a")</f>
        <v>2</v>
      </c>
      <c r="S16" s="64">
        <f>IFERROR(F16/L16-1,"n/a")</f>
        <v>2.75</v>
      </c>
      <c r="T16" s="60">
        <f>IFERROR(F16/M16-1,"n/a")</f>
        <v>0.875</v>
      </c>
      <c r="U16" s="68">
        <f>F16+'Jan-26'!U16</f>
        <v>33</v>
      </c>
      <c r="V16" s="68">
        <f>G16+'Jan-26'!V16</f>
        <v>27</v>
      </c>
      <c r="W16" s="68">
        <f>H16+'Jan-26'!W16</f>
        <v>20</v>
      </c>
      <c r="X16" s="68">
        <f>I16+'Jan-26'!X16</f>
        <v>11</v>
      </c>
      <c r="Y16" s="68">
        <f>J16+'Jan-26'!Y16</f>
        <v>10</v>
      </c>
      <c r="Z16" s="68">
        <f>K16+'Jan-26'!Z16</f>
        <v>7</v>
      </c>
      <c r="AA16" s="68">
        <f>L16+'Jan-26'!AA16</f>
        <v>9</v>
      </c>
      <c r="AB16" s="68">
        <f>M16+'Jan-26'!AB16</f>
        <v>13</v>
      </c>
      <c r="AC16" s="64">
        <f t="shared" ref="AC16:AC17" si="1">IFERROR(U16/V16-1,"n/a")</f>
        <v>0.22222222222222232</v>
      </c>
      <c r="AD16" s="64">
        <f>IFERROR(U16/W16-1,"n/a")</f>
        <v>0.64999999999999991</v>
      </c>
      <c r="AE16" s="64">
        <f>IFERROR(U16/X16-1,"n/a")</f>
        <v>2</v>
      </c>
      <c r="AF16" s="64">
        <f>IFERROR(U16/Y16-1,"n/a")</f>
        <v>2.2999999999999998</v>
      </c>
      <c r="AG16" s="64">
        <f>IFERROR(U16/Z16-1,"n/a")</f>
        <v>3.7142857142857144</v>
      </c>
      <c r="AH16" s="64">
        <f>IFERROR(U16/AA16-1,"n/a")</f>
        <v>2.6666666666666665</v>
      </c>
      <c r="AI16" s="60">
        <f>IFERROR(U16/AB16-1,"n/a")</f>
        <v>1.5384615384615383</v>
      </c>
      <c r="AJ16" s="68">
        <v>1003</v>
      </c>
      <c r="AK16" s="68">
        <v>797</v>
      </c>
      <c r="AL16" s="68">
        <v>575</v>
      </c>
      <c r="AM16" s="68">
        <v>572</v>
      </c>
      <c r="AN16" s="68">
        <v>202</v>
      </c>
      <c r="AO16" s="68">
        <v>54</v>
      </c>
      <c r="AP16" s="134">
        <v>586</v>
      </c>
      <c r="AQ16" s="122"/>
      <c r="AR16" s="122"/>
    </row>
    <row r="17" spans="1:44" s="123" customFormat="1" ht="12.75">
      <c r="A17" s="122"/>
      <c r="B17" s="127"/>
      <c r="C17" s="33"/>
      <c r="D17" s="26" t="s">
        <v>11</v>
      </c>
      <c r="E17" s="32"/>
      <c r="F17" s="71">
        <v>30840</v>
      </c>
      <c r="G17" s="71">
        <v>51126</v>
      </c>
      <c r="H17" s="71">
        <v>31100</v>
      </c>
      <c r="I17" s="73">
        <v>24121</v>
      </c>
      <c r="J17" s="73">
        <v>6429</v>
      </c>
      <c r="K17" s="73">
        <v>4669</v>
      </c>
      <c r="L17" s="73">
        <v>17407</v>
      </c>
      <c r="M17" s="73">
        <v>26946</v>
      </c>
      <c r="N17" s="64">
        <f t="shared" si="0"/>
        <v>-0.39678441497476824</v>
      </c>
      <c r="O17" s="64">
        <f>IFERROR(F17/H17-1,"n/a")</f>
        <v>-8.3601286173633493E-3</v>
      </c>
      <c r="P17" s="64">
        <f>IFERROR(F17/I17-1,"n/a")</f>
        <v>0.27855395713278885</v>
      </c>
      <c r="Q17" s="64">
        <f>IFERROR(F17/J17-1,"n/a")</f>
        <v>3.7970135324311709</v>
      </c>
      <c r="R17" s="64">
        <f>IFERROR(F17/K17-1,"n/a")</f>
        <v>5.6052687941743411</v>
      </c>
      <c r="S17" s="64">
        <f>IFERROR(F17/L17-1,"n/a")</f>
        <v>0.77170103981157001</v>
      </c>
      <c r="T17" s="60">
        <f>IFERROR(F17/M17-1,"n/a")</f>
        <v>0.14451124471164545</v>
      </c>
      <c r="U17" s="68">
        <f>F17+'Jan-26'!U17</f>
        <v>68969</v>
      </c>
      <c r="V17" s="68">
        <f>G17+'Jan-26'!V17</f>
        <v>87620</v>
      </c>
      <c r="W17" s="68">
        <f>H17+'Jan-26'!W17</f>
        <v>76236</v>
      </c>
      <c r="X17" s="68">
        <f>I17+'Jan-26'!X17</f>
        <v>39920</v>
      </c>
      <c r="Y17" s="68">
        <f>J17+'Jan-26'!Y17</f>
        <v>8131</v>
      </c>
      <c r="Z17" s="68">
        <f>K17+'Jan-26'!Z17</f>
        <v>5957</v>
      </c>
      <c r="AA17" s="68">
        <f>L17+'Jan-26'!AA17</f>
        <v>40548</v>
      </c>
      <c r="AB17" s="68">
        <f>M17+'Jan-26'!AB17</f>
        <v>47573</v>
      </c>
      <c r="AC17" s="64">
        <f t="shared" si="1"/>
        <v>-0.2128623601917371</v>
      </c>
      <c r="AD17" s="64">
        <f>IFERROR(U17/W17-1,"n/a")</f>
        <v>-9.5322419854137141E-2</v>
      </c>
      <c r="AE17" s="64">
        <f>IFERROR(U17/X17-1,"n/a")</f>
        <v>0.72768036072144282</v>
      </c>
      <c r="AF17" s="64">
        <f>IFERROR(U17/Y17-1,"n/a")</f>
        <v>7.4822285081785758</v>
      </c>
      <c r="AG17" s="64">
        <f>IFERROR(U17/Z17-1,"n/a")</f>
        <v>10.577807621285881</v>
      </c>
      <c r="AH17" s="64">
        <f>IFERROR(U17/AA17-1,"n/a")</f>
        <v>0.70092236361842764</v>
      </c>
      <c r="AI17" s="60">
        <f>IFERROR(U17/AB17-1,"n/a")</f>
        <v>0.44975090912912785</v>
      </c>
      <c r="AJ17" s="68">
        <v>2427137</v>
      </c>
      <c r="AK17" s="68">
        <v>2060976</v>
      </c>
      <c r="AL17" s="68">
        <v>1660685</v>
      </c>
      <c r="AM17" s="68">
        <v>965963</v>
      </c>
      <c r="AN17" s="68">
        <v>301521</v>
      </c>
      <c r="AO17" s="68">
        <v>70675</v>
      </c>
      <c r="AP17" s="134">
        <v>1400932</v>
      </c>
      <c r="AQ17" s="122"/>
      <c r="AR17" s="122"/>
    </row>
    <row r="18" spans="1:44" s="123" customFormat="1" ht="12.75">
      <c r="A18" s="122"/>
      <c r="B18" s="127"/>
      <c r="C18" s="31" t="s">
        <v>164</v>
      </c>
      <c r="D18" s="26"/>
      <c r="E18" s="32"/>
      <c r="F18" s="72"/>
      <c r="G18" s="72"/>
      <c r="H18" s="72"/>
      <c r="I18" s="72"/>
      <c r="J18" s="72"/>
      <c r="K18" s="72"/>
      <c r="L18" s="72"/>
      <c r="M18" s="72"/>
      <c r="N18" s="64"/>
      <c r="O18" s="64"/>
      <c r="P18" s="64"/>
      <c r="Q18" s="64"/>
      <c r="R18" s="64"/>
      <c r="S18" s="64"/>
      <c r="T18" s="60"/>
      <c r="U18" s="87"/>
      <c r="V18" s="87"/>
      <c r="W18" s="87"/>
      <c r="X18" s="87"/>
      <c r="Y18" s="87"/>
      <c r="Z18" s="87"/>
      <c r="AA18" s="87"/>
      <c r="AB18" s="87"/>
      <c r="AC18" s="64"/>
      <c r="AD18" s="64"/>
      <c r="AE18" s="64"/>
      <c r="AF18" s="64"/>
      <c r="AG18" s="64"/>
      <c r="AH18" s="64"/>
      <c r="AI18" s="60"/>
      <c r="AJ18" s="43"/>
      <c r="AK18" s="43"/>
      <c r="AL18" s="43"/>
      <c r="AM18" s="43"/>
      <c r="AN18" s="43"/>
      <c r="AO18" s="43"/>
      <c r="AP18" s="135"/>
      <c r="AQ18" s="122"/>
      <c r="AR18" s="122"/>
    </row>
    <row r="19" spans="1:44" s="123" customFormat="1" ht="12.75">
      <c r="A19" s="122"/>
      <c r="B19" s="127"/>
      <c r="C19" s="33"/>
      <c r="D19" s="26" t="s">
        <v>5</v>
      </c>
      <c r="E19" s="32"/>
      <c r="F19" s="71">
        <v>6</v>
      </c>
      <c r="G19" s="71">
        <v>7</v>
      </c>
      <c r="H19" s="71">
        <v>4</v>
      </c>
      <c r="I19" s="73">
        <v>2</v>
      </c>
      <c r="J19" s="73">
        <v>3</v>
      </c>
      <c r="K19" s="73">
        <v>0</v>
      </c>
      <c r="L19" s="73">
        <v>0</v>
      </c>
      <c r="M19" s="73">
        <v>1</v>
      </c>
      <c r="N19" s="64">
        <f t="shared" ref="N19:N20" si="2">IFERROR(F19/G19-1,"n/a")</f>
        <v>-0.1428571428571429</v>
      </c>
      <c r="O19" s="64">
        <f>IFERROR(F19/H19-1,"n/a")</f>
        <v>0.5</v>
      </c>
      <c r="P19" s="64">
        <f>IFERROR(F19/I19-1,"n/a")</f>
        <v>2</v>
      </c>
      <c r="Q19" s="64">
        <f>IFERROR(F19/J19-1,"n/a")</f>
        <v>1</v>
      </c>
      <c r="R19" s="64" t="str">
        <f>IFERROR(F19/K19-1,"n/a")</f>
        <v>n/a</v>
      </c>
      <c r="S19" s="64" t="str">
        <f>IFERROR(F19/L19-1,"n/a")</f>
        <v>n/a</v>
      </c>
      <c r="T19" s="60">
        <f>IFERROR(F19/M19-1,"n/a")</f>
        <v>5</v>
      </c>
      <c r="U19" s="68">
        <f>F19+'Jan-26'!U19</f>
        <v>13</v>
      </c>
      <c r="V19" s="68">
        <f>G19+'Jan-26'!V19</f>
        <v>8</v>
      </c>
      <c r="W19" s="68">
        <f>H19+'Jan-26'!W19</f>
        <v>6</v>
      </c>
      <c r="X19" s="68">
        <f>I19+'Jan-26'!X19</f>
        <v>6</v>
      </c>
      <c r="Y19" s="68">
        <f>J19+'Jan-26'!Y19</f>
        <v>6</v>
      </c>
      <c r="Z19" s="68">
        <f>K19+'Jan-26'!Z19</f>
        <v>0</v>
      </c>
      <c r="AA19" s="68">
        <f>L19+'Jan-26'!AA19</f>
        <v>1</v>
      </c>
      <c r="AB19" s="68">
        <f>M19+'Jan-26'!AB19</f>
        <v>1</v>
      </c>
      <c r="AC19" s="64">
        <f t="shared" ref="AC19:AC20" si="3">IFERROR(U19/V19-1,"n/a")</f>
        <v>0.625</v>
      </c>
      <c r="AD19" s="64">
        <f>IFERROR(U19/W19-1,"n/a")</f>
        <v>1.1666666666666665</v>
      </c>
      <c r="AE19" s="64">
        <f>IFERROR(U19/X19-1,"n/a")</f>
        <v>1.1666666666666665</v>
      </c>
      <c r="AF19" s="64">
        <f>IFERROR(U19/Y19-1,"n/a")</f>
        <v>1.1666666666666665</v>
      </c>
      <c r="AG19" s="64" t="str">
        <f>IFERROR(U19/Z19-1,"n/a")</f>
        <v>n/a</v>
      </c>
      <c r="AH19" s="64">
        <f>IFERROR(U19/AA19-1,"n/a")</f>
        <v>12</v>
      </c>
      <c r="AI19" s="60">
        <f>IFERROR(U19/AB19-1,"n/a")</f>
        <v>12</v>
      </c>
      <c r="AJ19" s="68">
        <v>860</v>
      </c>
      <c r="AK19" s="68">
        <v>733</v>
      </c>
      <c r="AL19" s="68">
        <v>708</v>
      </c>
      <c r="AM19" s="68">
        <v>658</v>
      </c>
      <c r="AN19" s="68">
        <v>47</v>
      </c>
      <c r="AO19" s="68">
        <v>9</v>
      </c>
      <c r="AP19" s="134">
        <v>290</v>
      </c>
      <c r="AQ19" s="122"/>
      <c r="AR19" s="122"/>
    </row>
    <row r="20" spans="1:44" s="123" customFormat="1" ht="12.75">
      <c r="A20" s="122"/>
      <c r="B20" s="127"/>
      <c r="C20" s="33"/>
      <c r="D20" s="26" t="s">
        <v>11</v>
      </c>
      <c r="E20" s="32"/>
      <c r="F20" s="71">
        <v>8372</v>
      </c>
      <c r="G20" s="71">
        <v>11128</v>
      </c>
      <c r="H20" s="71">
        <v>5580</v>
      </c>
      <c r="I20" s="73">
        <v>2252</v>
      </c>
      <c r="J20" s="73">
        <v>925</v>
      </c>
      <c r="K20" s="73">
        <v>0</v>
      </c>
      <c r="L20" s="73">
        <v>43</v>
      </c>
      <c r="M20" s="73">
        <v>1168</v>
      </c>
      <c r="N20" s="64">
        <f t="shared" si="2"/>
        <v>-0.24766355140186913</v>
      </c>
      <c r="O20" s="64">
        <f>IFERROR(F20/H20-1,"n/a")</f>
        <v>0.50035842293906807</v>
      </c>
      <c r="P20" s="64">
        <f>IFERROR(F20/I20-1,"n/a")</f>
        <v>2.7175843694493782</v>
      </c>
      <c r="Q20" s="64">
        <f>IFERROR(F20/J20-1,"n/a")</f>
        <v>8.0508108108108107</v>
      </c>
      <c r="R20" s="64" t="str">
        <f>IFERROR(F20/K20-1,"n/a")</f>
        <v>n/a</v>
      </c>
      <c r="S20" s="64">
        <f>IFERROR(F20/L20-1,"n/a")</f>
        <v>193.69767441860466</v>
      </c>
      <c r="T20" s="60">
        <f>IFERROR(F20/M20-1,"n/a")</f>
        <v>6.1678082191780819</v>
      </c>
      <c r="U20" s="68">
        <f>F20+'Jan-26'!U20</f>
        <v>16087</v>
      </c>
      <c r="V20" s="68">
        <f>G20+'Jan-26'!V20</f>
        <v>12929</v>
      </c>
      <c r="W20" s="68">
        <f>H20+'Jan-26'!W20</f>
        <v>8420</v>
      </c>
      <c r="X20" s="68">
        <f>I20+'Jan-26'!X20</f>
        <v>6112</v>
      </c>
      <c r="Y20" s="68">
        <f>J20+'Jan-26'!Y20</f>
        <v>1739</v>
      </c>
      <c r="Z20" s="68">
        <f>K20+'Jan-26'!Z20</f>
        <v>0</v>
      </c>
      <c r="AA20" s="68">
        <f>L20+'Jan-26'!AA20</f>
        <v>866</v>
      </c>
      <c r="AB20" s="68">
        <f>M20+'Jan-26'!AB20</f>
        <v>1608</v>
      </c>
      <c r="AC20" s="64">
        <f t="shared" si="3"/>
        <v>0.24425709644984139</v>
      </c>
      <c r="AD20" s="64">
        <f>IFERROR(U20/W20-1,"n/a")</f>
        <v>0.91057007125890732</v>
      </c>
      <c r="AE20" s="64">
        <f>IFERROR(U20/X20-1,"n/a")</f>
        <v>1.6320353403141361</v>
      </c>
      <c r="AF20" s="64">
        <f>IFERROR(U20/Y20-1,"n/a")</f>
        <v>8.2507188039102939</v>
      </c>
      <c r="AG20" s="64" t="str">
        <f>IFERROR(U20/Z20-1,"n/a")</f>
        <v>n/a</v>
      </c>
      <c r="AH20" s="64">
        <f>IFERROR(U20/AA20-1,"n/a")</f>
        <v>17.57621247113164</v>
      </c>
      <c r="AI20" s="60">
        <f>IFERROR(U20/AB20-1,"n/a")</f>
        <v>9.0043532338308463</v>
      </c>
      <c r="AJ20" s="68">
        <v>1728606</v>
      </c>
      <c r="AK20" s="68">
        <v>1496271.4</v>
      </c>
      <c r="AL20" s="68">
        <v>1277526</v>
      </c>
      <c r="AM20" s="68">
        <v>887495</v>
      </c>
      <c r="AN20" s="68">
        <v>17541</v>
      </c>
      <c r="AO20" s="68">
        <v>10046.999999999998</v>
      </c>
      <c r="AP20" s="134">
        <v>585930</v>
      </c>
      <c r="AQ20" s="122"/>
      <c r="AR20" s="122"/>
    </row>
    <row r="21" spans="1:44" s="123" customFormat="1" ht="12.75">
      <c r="A21" s="122"/>
      <c r="B21" s="127"/>
      <c r="C21" s="31" t="s">
        <v>110</v>
      </c>
      <c r="D21" s="26"/>
      <c r="E21" s="34"/>
      <c r="F21" s="72"/>
      <c r="G21" s="72"/>
      <c r="H21" s="72"/>
      <c r="I21" s="72"/>
      <c r="J21" s="72"/>
      <c r="K21" s="72"/>
      <c r="L21" s="72"/>
      <c r="M21" s="72"/>
      <c r="N21" s="64"/>
      <c r="O21" s="64"/>
      <c r="P21" s="64"/>
      <c r="Q21" s="64"/>
      <c r="R21" s="64"/>
      <c r="S21" s="64"/>
      <c r="T21" s="60"/>
      <c r="U21" s="87"/>
      <c r="V21" s="87"/>
      <c r="W21" s="87"/>
      <c r="X21" s="87"/>
      <c r="Y21" s="87"/>
      <c r="Z21" s="87"/>
      <c r="AA21" s="87"/>
      <c r="AB21" s="87"/>
      <c r="AC21" s="64"/>
      <c r="AD21" s="64"/>
      <c r="AE21" s="64"/>
      <c r="AF21" s="64"/>
      <c r="AG21" s="64"/>
      <c r="AH21" s="64"/>
      <c r="AI21" s="60"/>
      <c r="AJ21" s="43"/>
      <c r="AK21" s="43"/>
      <c r="AL21" s="43"/>
      <c r="AM21" s="43"/>
      <c r="AN21" s="43"/>
      <c r="AO21" s="43"/>
      <c r="AP21" s="135"/>
      <c r="AQ21" s="122"/>
      <c r="AR21" s="122"/>
    </row>
    <row r="22" spans="1:44" s="123" customFormat="1" ht="12.75">
      <c r="A22" s="122"/>
      <c r="B22" s="127"/>
      <c r="C22" s="33"/>
      <c r="D22" s="26" t="s">
        <v>5</v>
      </c>
      <c r="E22" s="34"/>
      <c r="F22" s="71">
        <v>126</v>
      </c>
      <c r="G22" s="71">
        <v>114</v>
      </c>
      <c r="H22" s="71">
        <v>77</v>
      </c>
      <c r="I22" s="73">
        <v>73</v>
      </c>
      <c r="J22" s="73">
        <v>13</v>
      </c>
      <c r="K22" s="73">
        <v>0</v>
      </c>
      <c r="L22" s="73">
        <v>14</v>
      </c>
      <c r="M22" s="73">
        <v>21</v>
      </c>
      <c r="N22" s="64">
        <f t="shared" ref="N22:N23" si="4">IFERROR(F22/G22-1,"n/a")</f>
        <v>0.10526315789473695</v>
      </c>
      <c r="O22" s="64">
        <f>IFERROR(F22/H22-1,"n/a")</f>
        <v>0.63636363636363646</v>
      </c>
      <c r="P22" s="64">
        <f>IFERROR(F22/I22-1,"n/a")</f>
        <v>0.72602739726027399</v>
      </c>
      <c r="Q22" s="64">
        <f>IFERROR(F22/J22-1,"n/a")</f>
        <v>8.6923076923076916</v>
      </c>
      <c r="R22" s="64" t="str">
        <f>IFERROR(F22/K22-1,"n/a")</f>
        <v>n/a</v>
      </c>
      <c r="S22" s="64">
        <f>IFERROR(F22/L22-1,"n/a")</f>
        <v>8</v>
      </c>
      <c r="T22" s="60">
        <f>IFERROR(F22/M22-1,"n/a")</f>
        <v>5</v>
      </c>
      <c r="U22" s="68">
        <f>F22+'Jan-26'!U22</f>
        <v>275</v>
      </c>
      <c r="V22" s="68">
        <f>G22+'Jan-26'!V22</f>
        <v>247</v>
      </c>
      <c r="W22" s="68">
        <f>H22+'Jan-26'!W22</f>
        <v>172</v>
      </c>
      <c r="X22" s="68">
        <f>I22+'Jan-26'!X22</f>
        <v>179</v>
      </c>
      <c r="Y22" s="68">
        <f>J22+'Jan-26'!Y22</f>
        <v>29</v>
      </c>
      <c r="Z22" s="68">
        <f>K22+'Jan-26'!Z22</f>
        <v>0</v>
      </c>
      <c r="AA22" s="68">
        <f>L22+'Jan-26'!AA22</f>
        <v>33</v>
      </c>
      <c r="AB22" s="68">
        <f>M22+'Jan-26'!AB22</f>
        <v>45</v>
      </c>
      <c r="AC22" s="64">
        <f t="shared" ref="AC22:AC23" si="5">IFERROR(U22/V22-1,"n/a")</f>
        <v>0.11336032388663964</v>
      </c>
      <c r="AD22" s="64">
        <f>IFERROR(U22/W22-1,"n/a")</f>
        <v>0.59883720930232553</v>
      </c>
      <c r="AE22" s="64">
        <f>IFERROR(U22/X22-1,"n/a")</f>
        <v>0.53631284916201127</v>
      </c>
      <c r="AF22" s="64">
        <f>IFERROR(U22/Y22-1,"n/a")</f>
        <v>8.4827586206896548</v>
      </c>
      <c r="AG22" s="64" t="str">
        <f>IFERROR(U22/Z22-1,"n/a")</f>
        <v>n/a</v>
      </c>
      <c r="AH22" s="64">
        <f>IFERROR(U22/AA22-1,"n/a")</f>
        <v>7.3333333333333339</v>
      </c>
      <c r="AI22" s="60">
        <f>IFERROR(U22/AB22-1,"n/a")</f>
        <v>5.1111111111111107</v>
      </c>
      <c r="AJ22" s="68">
        <v>1736</v>
      </c>
      <c r="AK22" s="68">
        <v>1651</v>
      </c>
      <c r="AL22" s="68">
        <v>1500</v>
      </c>
      <c r="AM22" s="68">
        <v>895</v>
      </c>
      <c r="AN22" s="68">
        <v>283</v>
      </c>
      <c r="AO22" s="68">
        <v>43</v>
      </c>
      <c r="AP22" s="134">
        <v>827</v>
      </c>
      <c r="AQ22" s="122"/>
      <c r="AR22" s="122"/>
    </row>
    <row r="23" spans="1:44" s="123" customFormat="1" ht="12.75">
      <c r="A23" s="122"/>
      <c r="B23" s="127"/>
      <c r="C23" s="33"/>
      <c r="D23" s="26" t="s">
        <v>11</v>
      </c>
      <c r="E23" s="32"/>
      <c r="F23" s="71">
        <v>362958</v>
      </c>
      <c r="G23" s="71">
        <v>321671</v>
      </c>
      <c r="H23" s="71">
        <v>282857</v>
      </c>
      <c r="I23" s="73">
        <v>247607</v>
      </c>
      <c r="J23" s="73">
        <v>14032</v>
      </c>
      <c r="K23" s="73">
        <v>0</v>
      </c>
      <c r="L23" s="73">
        <v>47023</v>
      </c>
      <c r="M23" s="73">
        <v>59703</v>
      </c>
      <c r="N23" s="64">
        <f t="shared" si="4"/>
        <v>0.12835163878621314</v>
      </c>
      <c r="O23" s="64">
        <f>IFERROR(F23/H23-1,"n/a")</f>
        <v>0.28318549655833158</v>
      </c>
      <c r="P23" s="64">
        <f>IFERROR(F23/I23-1,"n/a")</f>
        <v>0.46586324296162873</v>
      </c>
      <c r="Q23" s="64">
        <f>IFERROR(F23/J23-1,"n/a")</f>
        <v>24.866448118586089</v>
      </c>
      <c r="R23" s="64" t="str">
        <f>IFERROR(F23/K23-1,"n/a")</f>
        <v>n/a</v>
      </c>
      <c r="S23" s="64">
        <f>IFERROR(F23/L23-1,"n/a")</f>
        <v>6.7187333857899327</v>
      </c>
      <c r="T23" s="60">
        <f>IFERROR(F23/M23-1,"n/a")</f>
        <v>5.0793929953268684</v>
      </c>
      <c r="U23" s="68">
        <f>F23+'Jan-26'!U23-500</f>
        <v>797079</v>
      </c>
      <c r="V23" s="68">
        <f>G23+'Jan-26'!V23</f>
        <v>737249</v>
      </c>
      <c r="W23" s="68">
        <f>H23+'Jan-26'!W23</f>
        <v>596438</v>
      </c>
      <c r="X23" s="68">
        <f>I23+'Jan-26'!X23</f>
        <v>538404</v>
      </c>
      <c r="Y23" s="68">
        <f>J23+'Jan-26'!Y23</f>
        <v>35860</v>
      </c>
      <c r="Z23" s="68">
        <f>K23+'Jan-26'!Z23</f>
        <v>0</v>
      </c>
      <c r="AA23" s="68">
        <f>L23+'Jan-26'!AA23</f>
        <v>112017</v>
      </c>
      <c r="AB23" s="68">
        <f>M23+'Jan-26'!AB23</f>
        <v>134226</v>
      </c>
      <c r="AC23" s="64">
        <f t="shared" si="5"/>
        <v>8.1153043273032521E-2</v>
      </c>
      <c r="AD23" s="64">
        <f>IFERROR(U23/W23-1,"n/a")</f>
        <v>0.33639875393586594</v>
      </c>
      <c r="AE23" s="64">
        <f>IFERROR(U23/X23-1,"n/a")</f>
        <v>0.48044776784719279</v>
      </c>
      <c r="AF23" s="64">
        <f>IFERROR(U23/Y23-1,"n/a")</f>
        <v>21.227523703290576</v>
      </c>
      <c r="AG23" s="64" t="str">
        <f>IFERROR(U23/Z23-1,"n/a")</f>
        <v>n/a</v>
      </c>
      <c r="AH23" s="64">
        <f>IFERROR(U23/AA23-1,"n/a")</f>
        <v>6.1156967246043008</v>
      </c>
      <c r="AI23" s="60">
        <f>IFERROR(U23/AB23-1,"n/a")</f>
        <v>4.9383353448661209</v>
      </c>
      <c r="AJ23" s="68">
        <v>4526210</v>
      </c>
      <c r="AK23" s="68">
        <v>5046474</v>
      </c>
      <c r="AL23" s="68">
        <v>4449177</v>
      </c>
      <c r="AM23" s="68">
        <v>2165161</v>
      </c>
      <c r="AN23" s="68">
        <v>465109</v>
      </c>
      <c r="AO23" s="68">
        <v>140552</v>
      </c>
      <c r="AP23" s="134">
        <v>2552942</v>
      </c>
      <c r="AQ23" s="122"/>
      <c r="AR23" s="122"/>
    </row>
    <row r="24" spans="1:44" s="123" customFormat="1" ht="12.75">
      <c r="A24" s="122"/>
      <c r="B24" s="127"/>
      <c r="C24" s="31" t="s">
        <v>111</v>
      </c>
      <c r="D24" s="26"/>
      <c r="E24" s="32"/>
      <c r="F24" s="72"/>
      <c r="G24" s="72"/>
      <c r="H24" s="72"/>
      <c r="I24" s="72"/>
      <c r="J24" s="72"/>
      <c r="K24" s="72"/>
      <c r="L24" s="72"/>
      <c r="M24" s="72"/>
      <c r="N24" s="64"/>
      <c r="O24" s="64"/>
      <c r="P24" s="64"/>
      <c r="Q24" s="64"/>
      <c r="R24" s="64"/>
      <c r="S24" s="64"/>
      <c r="T24" s="60"/>
      <c r="U24" s="87"/>
      <c r="V24" s="87"/>
      <c r="W24" s="87"/>
      <c r="X24" s="87"/>
      <c r="Y24" s="87"/>
      <c r="Z24" s="87"/>
      <c r="AA24" s="87"/>
      <c r="AB24" s="87"/>
      <c r="AC24" s="64"/>
      <c r="AD24" s="64"/>
      <c r="AE24" s="64"/>
      <c r="AF24" s="64"/>
      <c r="AG24" s="64"/>
      <c r="AH24" s="64"/>
      <c r="AI24" s="60"/>
      <c r="AJ24" s="43"/>
      <c r="AK24" s="43"/>
      <c r="AL24" s="43"/>
      <c r="AM24" s="43"/>
      <c r="AN24" s="43"/>
      <c r="AO24" s="43"/>
      <c r="AP24" s="135"/>
      <c r="AQ24" s="122"/>
      <c r="AR24" s="122"/>
    </row>
    <row r="25" spans="1:44" s="123" customFormat="1" ht="12.75">
      <c r="B25" s="127"/>
      <c r="C25" s="33"/>
      <c r="D25" s="26" t="s">
        <v>5</v>
      </c>
      <c r="E25" s="32"/>
      <c r="F25" s="71">
        <v>0</v>
      </c>
      <c r="G25" s="71">
        <v>0</v>
      </c>
      <c r="H25" s="71">
        <v>0</v>
      </c>
      <c r="I25" s="73">
        <v>0</v>
      </c>
      <c r="J25" s="73">
        <v>0</v>
      </c>
      <c r="K25" s="73">
        <v>0</v>
      </c>
      <c r="L25" s="73">
        <v>0</v>
      </c>
      <c r="M25" s="73">
        <v>0</v>
      </c>
      <c r="N25" s="64" t="str">
        <f t="shared" ref="N25:N28" si="6">IFERROR(F25/G25-1,"n/a")</f>
        <v>n/a</v>
      </c>
      <c r="O25" s="64" t="str">
        <f>IFERROR(F25/H25-1,"n/a")</f>
        <v>n/a</v>
      </c>
      <c r="P25" s="64" t="str">
        <f>IFERROR(F25/I25-1,"n/a")</f>
        <v>n/a</v>
      </c>
      <c r="Q25" s="64" t="str">
        <f>IFERROR(F25/J25-1,"n/a")</f>
        <v>n/a</v>
      </c>
      <c r="R25" s="64" t="str">
        <f>IFERROR(F25/K25-1,"n/a")</f>
        <v>n/a</v>
      </c>
      <c r="S25" s="64" t="str">
        <f>IFERROR(F25/L25-1,"n/a")</f>
        <v>n/a</v>
      </c>
      <c r="T25" s="60" t="str">
        <f>IFERROR(F25/M25-1,"n/a")</f>
        <v>n/a</v>
      </c>
      <c r="U25" s="68">
        <f>F25+'Jan-26'!U25</f>
        <v>0</v>
      </c>
      <c r="V25" s="68">
        <f>G25+'Jan-26'!V25</f>
        <v>0</v>
      </c>
      <c r="W25" s="68">
        <f>H25+'Jan-26'!W25</f>
        <v>0</v>
      </c>
      <c r="X25" s="68">
        <f>I25+'Jan-26'!X25</f>
        <v>0</v>
      </c>
      <c r="Y25" s="68">
        <f>J25+'Jan-26'!Y25</f>
        <v>0</v>
      </c>
      <c r="Z25" s="68">
        <f>K25+'Jan-26'!Z25</f>
        <v>0</v>
      </c>
      <c r="AA25" s="68">
        <f>L25+'Jan-26'!AA25</f>
        <v>0</v>
      </c>
      <c r="AB25" s="68">
        <f>M25+'Jan-26'!AB25</f>
        <v>0</v>
      </c>
      <c r="AC25" s="64" t="str">
        <f t="shared" ref="AC25:AC28" si="7">IFERROR(U25/V25-1,"n/a")</f>
        <v>n/a</v>
      </c>
      <c r="AD25" s="64" t="str">
        <f>IFERROR(U25/W25-1,"n/a")</f>
        <v>n/a</v>
      </c>
      <c r="AE25" s="64" t="str">
        <f>IFERROR(U25/X25-1,"n/a")</f>
        <v>n/a</v>
      </c>
      <c r="AF25" s="64" t="str">
        <f>IFERROR(U25/Y25-1,"n/a")</f>
        <v>n/a</v>
      </c>
      <c r="AG25" s="64" t="str">
        <f>IFERROR(U25/Z25-1,"n/a")</f>
        <v>n/a</v>
      </c>
      <c r="AH25" s="64" t="str">
        <f>IFERROR(U25/AA25-1,"n/a")</f>
        <v>n/a</v>
      </c>
      <c r="AI25" s="60" t="str">
        <f>IFERROR(U25/AB25-1,"n/a")</f>
        <v>n/a</v>
      </c>
      <c r="AJ25" s="68">
        <v>23</v>
      </c>
      <c r="AK25" s="68">
        <v>14</v>
      </c>
      <c r="AL25" s="68">
        <v>21</v>
      </c>
      <c r="AM25" s="68">
        <v>9</v>
      </c>
      <c r="AN25" s="68">
        <v>0</v>
      </c>
      <c r="AO25" s="68">
        <v>0</v>
      </c>
      <c r="AP25" s="134">
        <v>16</v>
      </c>
      <c r="AQ25" s="122"/>
      <c r="AR25" s="122"/>
    </row>
    <row r="26" spans="1:44" s="123" customFormat="1" ht="12.75">
      <c r="A26" s="122"/>
      <c r="B26" s="127"/>
      <c r="C26" s="33"/>
      <c r="D26" s="26" t="s">
        <v>11</v>
      </c>
      <c r="E26" s="32"/>
      <c r="F26" s="71">
        <v>0</v>
      </c>
      <c r="G26" s="71">
        <v>0</v>
      </c>
      <c r="H26" s="71">
        <v>0</v>
      </c>
      <c r="I26" s="73">
        <v>0</v>
      </c>
      <c r="J26" s="73">
        <v>0</v>
      </c>
      <c r="K26" s="73">
        <v>0</v>
      </c>
      <c r="L26" s="73">
        <v>0</v>
      </c>
      <c r="M26" s="73">
        <v>0</v>
      </c>
      <c r="N26" s="64" t="str">
        <f t="shared" si="6"/>
        <v>n/a</v>
      </c>
      <c r="O26" s="64" t="str">
        <f>IFERROR(F26/H26-1,"n/a")</f>
        <v>n/a</v>
      </c>
      <c r="P26" s="64" t="str">
        <f>IFERROR(F26/I26-1,"n/a")</f>
        <v>n/a</v>
      </c>
      <c r="Q26" s="64" t="str">
        <f>IFERROR(F26/J26-1,"n/a")</f>
        <v>n/a</v>
      </c>
      <c r="R26" s="64" t="str">
        <f>IFERROR(F26/K26-1,"n/a")</f>
        <v>n/a</v>
      </c>
      <c r="S26" s="64" t="str">
        <f>IFERROR(F26/L26-1,"n/a")</f>
        <v>n/a</v>
      </c>
      <c r="T26" s="60" t="str">
        <f>IFERROR(F26/M26-1,"n/a")</f>
        <v>n/a</v>
      </c>
      <c r="U26" s="68">
        <f>F26+'Jan-26'!U26</f>
        <v>0</v>
      </c>
      <c r="V26" s="68">
        <f>G26+'Jan-26'!V26</f>
        <v>0</v>
      </c>
      <c r="W26" s="68">
        <f>H26+'Jan-26'!W26</f>
        <v>0</v>
      </c>
      <c r="X26" s="68">
        <f>I26+'Jan-26'!X26</f>
        <v>0</v>
      </c>
      <c r="Y26" s="68">
        <f>J26+'Jan-26'!Y26</f>
        <v>0</v>
      </c>
      <c r="Z26" s="68">
        <f>K26+'Jan-26'!Z26</f>
        <v>0</v>
      </c>
      <c r="AA26" s="68">
        <f>L26+'Jan-26'!AA26</f>
        <v>0</v>
      </c>
      <c r="AB26" s="68">
        <f>M26+'Jan-26'!AB26</f>
        <v>0</v>
      </c>
      <c r="AC26" s="64" t="str">
        <f t="shared" si="7"/>
        <v>n/a</v>
      </c>
      <c r="AD26" s="64" t="str">
        <f>IFERROR(U26/W26-1,"n/a")</f>
        <v>n/a</v>
      </c>
      <c r="AE26" s="64" t="str">
        <f>IFERROR(U26/X26-1,"n/a")</f>
        <v>n/a</v>
      </c>
      <c r="AF26" s="64" t="str">
        <f>IFERROR(U26/Y26-1,"n/a")</f>
        <v>n/a</v>
      </c>
      <c r="AG26" s="64" t="str">
        <f>IFERROR(U26/Z26-1,"n/a")</f>
        <v>n/a</v>
      </c>
      <c r="AH26" s="64" t="str">
        <f>IFERROR(U26/AA26-1,"n/a")</f>
        <v>n/a</v>
      </c>
      <c r="AI26" s="60" t="str">
        <f>IFERROR(U26/AB26-1,"n/a")</f>
        <v>n/a</v>
      </c>
      <c r="AJ26" s="68">
        <v>72837</v>
      </c>
      <c r="AK26" s="68">
        <v>47798</v>
      </c>
      <c r="AL26" s="68">
        <v>38626</v>
      </c>
      <c r="AM26" s="68">
        <v>15637</v>
      </c>
      <c r="AN26" s="68">
        <v>0</v>
      </c>
      <c r="AO26" s="68">
        <v>0</v>
      </c>
      <c r="AP26" s="136">
        <v>20248</v>
      </c>
      <c r="AQ26" s="122"/>
      <c r="AR26" s="122"/>
    </row>
    <row r="27" spans="1:44" s="123" customFormat="1" ht="13.5" thickBot="1">
      <c r="A27" s="122"/>
      <c r="B27" s="127"/>
      <c r="C27" s="35" t="s">
        <v>158</v>
      </c>
      <c r="D27" s="36"/>
      <c r="E27" s="37"/>
      <c r="F27" s="75">
        <f>F13+F16+F19+F22+F25</f>
        <v>524</v>
      </c>
      <c r="G27" s="75">
        <f t="shared" ref="G27:M27" si="8">G13+G16+G19+G22+G25</f>
        <v>476</v>
      </c>
      <c r="H27" s="75">
        <f t="shared" si="8"/>
        <v>313</v>
      </c>
      <c r="I27" s="75">
        <f t="shared" si="8"/>
        <v>242</v>
      </c>
      <c r="J27" s="75">
        <f t="shared" si="8"/>
        <v>185</v>
      </c>
      <c r="K27" s="75">
        <f t="shared" si="8"/>
        <v>5</v>
      </c>
      <c r="L27" s="75">
        <f t="shared" si="8"/>
        <v>193</v>
      </c>
      <c r="M27" s="75">
        <f t="shared" si="8"/>
        <v>187</v>
      </c>
      <c r="N27" s="66">
        <f t="shared" si="6"/>
        <v>0.10084033613445387</v>
      </c>
      <c r="O27" s="66">
        <f>IFERROR(F27/H27-1,"n/a")</f>
        <v>0.67412140575079871</v>
      </c>
      <c r="P27" s="66">
        <f>IFERROR(F27/I27-1,"n/a")</f>
        <v>1.165289256198347</v>
      </c>
      <c r="Q27" s="66">
        <f>IFERROR(F27/J27-1,"n/a")</f>
        <v>1.8324324324324324</v>
      </c>
      <c r="R27" s="66">
        <f>IFERROR(F27/K27-1,"n/a")</f>
        <v>103.8</v>
      </c>
      <c r="S27" s="66">
        <f>IFERROR(F27/L27-1,"n/a")</f>
        <v>1.7150259067357512</v>
      </c>
      <c r="T27" s="62">
        <f>IFERROR(F27/M27-1,"n/a")</f>
        <v>1.8021390374331552</v>
      </c>
      <c r="U27" s="75">
        <f>U13+U16+U19+U22+U25</f>
        <v>1132</v>
      </c>
      <c r="V27" s="75">
        <f t="shared" ref="V27:AB27" si="9">V13+V16+V19+V22+V25</f>
        <v>1026</v>
      </c>
      <c r="W27" s="75">
        <f t="shared" si="9"/>
        <v>619</v>
      </c>
      <c r="X27" s="75">
        <f t="shared" si="9"/>
        <v>545</v>
      </c>
      <c r="Y27" s="75">
        <f t="shared" si="9"/>
        <v>371</v>
      </c>
      <c r="Z27" s="75">
        <f t="shared" si="9"/>
        <v>7</v>
      </c>
      <c r="AA27" s="75">
        <f t="shared" si="9"/>
        <v>405</v>
      </c>
      <c r="AB27" s="75">
        <f t="shared" si="9"/>
        <v>405</v>
      </c>
      <c r="AC27" s="66">
        <f t="shared" si="7"/>
        <v>0.10331384015594547</v>
      </c>
      <c r="AD27" s="66">
        <f>IFERROR(U27/W27-1,"n/a")</f>
        <v>0.82875605815831976</v>
      </c>
      <c r="AE27" s="66">
        <f>IFERROR(U27/X27-1,"n/a")</f>
        <v>1.0770642201834861</v>
      </c>
      <c r="AF27" s="66">
        <f>IFERROR(U27/Y27-1,"n/a")</f>
        <v>2.0512129380053907</v>
      </c>
      <c r="AG27" s="66">
        <f>IFERROR(U27/Z27-1,"n/a")</f>
        <v>160.71428571428572</v>
      </c>
      <c r="AH27" s="66">
        <f>IFERROR(U27/AA27-1,"n/a")</f>
        <v>1.7950617283950616</v>
      </c>
      <c r="AI27" s="62">
        <f>IFERROR(U27/AB27-1,"n/a")</f>
        <v>1.7950617283950616</v>
      </c>
      <c r="AJ27" s="75">
        <f>AJ13+AJ16+AJ19+AJ22+AJ25</f>
        <v>6601</v>
      </c>
      <c r="AK27" s="75">
        <f t="shared" ref="AK27:AP27" si="10">AK13+AK16+AK19+AK22+AK25</f>
        <v>5678</v>
      </c>
      <c r="AL27" s="75">
        <f t="shared" si="10"/>
        <v>4434</v>
      </c>
      <c r="AM27" s="75">
        <f t="shared" si="10"/>
        <v>3620</v>
      </c>
      <c r="AN27" s="75">
        <f t="shared" si="10"/>
        <v>1054</v>
      </c>
      <c r="AO27" s="75">
        <f t="shared" si="10"/>
        <v>657</v>
      </c>
      <c r="AP27" s="75">
        <f t="shared" si="10"/>
        <v>3310</v>
      </c>
      <c r="AQ27" s="122"/>
      <c r="AR27" s="122"/>
    </row>
    <row r="28" spans="1:44" s="123" customFormat="1" ht="14.25" thickTop="1" thickBot="1">
      <c r="A28" s="122"/>
      <c r="B28" s="127"/>
      <c r="C28" s="38" t="s">
        <v>159</v>
      </c>
      <c r="D28" s="39"/>
      <c r="E28" s="40"/>
      <c r="F28" s="75">
        <f>F14+F17+F20+F23+F26</f>
        <v>1490885</v>
      </c>
      <c r="G28" s="75">
        <f t="shared" ref="G28:M28" si="11">G14+G17+G20+G23+G26</f>
        <v>1260797</v>
      </c>
      <c r="H28" s="75">
        <f t="shared" si="11"/>
        <v>994232</v>
      </c>
      <c r="I28" s="75">
        <f t="shared" si="11"/>
        <v>723641</v>
      </c>
      <c r="J28" s="75">
        <f t="shared" si="11"/>
        <v>240931</v>
      </c>
      <c r="K28" s="75">
        <f t="shared" si="11"/>
        <v>4669</v>
      </c>
      <c r="L28" s="75">
        <f t="shared" si="11"/>
        <v>494991</v>
      </c>
      <c r="M28" s="75">
        <f t="shared" si="11"/>
        <v>513063</v>
      </c>
      <c r="N28" s="67">
        <f t="shared" si="6"/>
        <v>0.18249408905636666</v>
      </c>
      <c r="O28" s="67">
        <f>IFERROR(F28/H28-1,"n/a")</f>
        <v>0.4995343139227062</v>
      </c>
      <c r="P28" s="67">
        <f>IFERROR(F28/I28-1,"n/a")</f>
        <v>1.0602550159540436</v>
      </c>
      <c r="Q28" s="67">
        <f>IFERROR(F28/J28-1,"n/a")</f>
        <v>5.1880164860478724</v>
      </c>
      <c r="R28" s="67">
        <f>IFERROR(F28/K28-1,"n/a")</f>
        <v>318.31569929321051</v>
      </c>
      <c r="S28" s="67">
        <f>IFERROR(F28/L28-1,"n/a")</f>
        <v>2.0119436515007343</v>
      </c>
      <c r="T28" s="63">
        <f>IFERROR(F28/M28-1,"n/a")</f>
        <v>1.9058517180151364</v>
      </c>
      <c r="U28" s="75">
        <f>U14+U17+U20+U23+U26</f>
        <v>3224229</v>
      </c>
      <c r="V28" s="75">
        <f t="shared" ref="V28:AB28" si="12">V14+V17+V20+V23+V26</f>
        <v>2766999</v>
      </c>
      <c r="W28" s="75">
        <f t="shared" si="12"/>
        <v>1977097</v>
      </c>
      <c r="X28" s="75">
        <f t="shared" si="12"/>
        <v>1557046</v>
      </c>
      <c r="Y28" s="75">
        <f t="shared" si="12"/>
        <v>460887</v>
      </c>
      <c r="Z28" s="75">
        <f t="shared" si="12"/>
        <v>5957</v>
      </c>
      <c r="AA28" s="75">
        <f t="shared" si="12"/>
        <v>1050029</v>
      </c>
      <c r="AB28" s="75">
        <f t="shared" si="12"/>
        <v>1133915</v>
      </c>
      <c r="AC28" s="67">
        <f t="shared" si="7"/>
        <v>0.1652440062320224</v>
      </c>
      <c r="AD28" s="67">
        <f>IFERROR(U28/W28-1,"n/a")</f>
        <v>0.63078948579659966</v>
      </c>
      <c r="AE28" s="67">
        <f>IFERROR(U28/X28-1,"n/a")</f>
        <v>1.0707345833071082</v>
      </c>
      <c r="AF28" s="67">
        <f>IFERROR(U28/Y28-1,"n/a")</f>
        <v>5.9957039361058131</v>
      </c>
      <c r="AG28" s="67">
        <f>IFERROR(U28/Z28-1,"n/a")</f>
        <v>540.25046164176604</v>
      </c>
      <c r="AH28" s="67">
        <f>IFERROR(U28/AA28-1,"n/a")</f>
        <v>2.0706094784048821</v>
      </c>
      <c r="AI28" s="63">
        <f>IFERROR(U28/AB28-1,"n/a")</f>
        <v>1.8434485830066629</v>
      </c>
      <c r="AJ28" s="75">
        <f>AJ14+AJ17+AJ20+AJ23+AJ26</f>
        <v>18061688</v>
      </c>
      <c r="AK28" s="75">
        <f t="shared" ref="AK28:AP28" si="13">AK14+AK17+AK20+AK23+AK26</f>
        <v>16671008.4</v>
      </c>
      <c r="AL28" s="75">
        <f t="shared" si="13"/>
        <v>12658551</v>
      </c>
      <c r="AM28" s="75">
        <f t="shared" si="13"/>
        <v>7626669</v>
      </c>
      <c r="AN28" s="75">
        <f t="shared" si="13"/>
        <v>1552483</v>
      </c>
      <c r="AO28" s="75">
        <f t="shared" si="13"/>
        <v>1314158</v>
      </c>
      <c r="AP28" s="75">
        <f t="shared" si="13"/>
        <v>9152531</v>
      </c>
      <c r="AQ28" s="122"/>
      <c r="AR28" s="122"/>
    </row>
    <row r="29" spans="1:44" s="123" customFormat="1" ht="13.5" thickTop="1">
      <c r="A29" s="122"/>
      <c r="B29" s="127"/>
      <c r="C29" s="31" t="s">
        <v>162</v>
      </c>
      <c r="D29" s="26"/>
      <c r="E29" s="32"/>
      <c r="F29" s="72"/>
      <c r="G29" s="72"/>
      <c r="H29" s="72"/>
      <c r="I29" s="72"/>
      <c r="J29" s="72"/>
      <c r="K29" s="72"/>
      <c r="L29" s="72"/>
      <c r="M29" s="72"/>
      <c r="N29" s="64"/>
      <c r="O29" s="64"/>
      <c r="P29" s="64"/>
      <c r="Q29" s="64"/>
      <c r="R29" s="64"/>
      <c r="S29" s="64"/>
      <c r="T29" s="60"/>
      <c r="U29" s="87"/>
      <c r="V29" s="87"/>
      <c r="W29" s="87"/>
      <c r="X29" s="87"/>
      <c r="Y29" s="87"/>
      <c r="Z29" s="87"/>
      <c r="AA29" s="87"/>
      <c r="AB29" s="87"/>
      <c r="AC29" s="64"/>
      <c r="AD29" s="64"/>
      <c r="AE29" s="64"/>
      <c r="AF29" s="64"/>
      <c r="AG29" s="64"/>
      <c r="AH29" s="64"/>
      <c r="AI29" s="60"/>
      <c r="AJ29" s="43"/>
      <c r="AK29" s="43"/>
      <c r="AL29" s="43"/>
      <c r="AM29" s="43"/>
      <c r="AN29" s="43"/>
      <c r="AO29" s="43"/>
      <c r="AP29" s="135"/>
      <c r="AQ29" s="122"/>
      <c r="AR29" s="122"/>
    </row>
    <row r="30" spans="1:44" s="123" customFormat="1" ht="12.75">
      <c r="B30" s="127"/>
      <c r="C30" s="33"/>
      <c r="D30" s="26" t="s">
        <v>5</v>
      </c>
      <c r="E30" s="32"/>
      <c r="F30" s="71">
        <v>86</v>
      </c>
      <c r="G30" s="71"/>
      <c r="H30" s="71"/>
      <c r="I30" s="73"/>
      <c r="J30" s="73"/>
      <c r="K30" s="73"/>
      <c r="L30" s="73"/>
      <c r="M30" s="73"/>
      <c r="N30" s="64"/>
      <c r="O30" s="64"/>
      <c r="P30" s="64"/>
      <c r="Q30" s="64"/>
      <c r="R30" s="64"/>
      <c r="S30" s="64"/>
      <c r="T30" s="60"/>
      <c r="U30" s="68">
        <f>F30+'Jan-26'!U30</f>
        <v>143</v>
      </c>
      <c r="V30" s="68"/>
      <c r="W30" s="68"/>
      <c r="X30" s="68"/>
      <c r="Y30" s="68"/>
      <c r="Z30" s="68"/>
      <c r="AA30" s="68"/>
      <c r="AB30" s="68"/>
      <c r="AC30" s="64"/>
      <c r="AD30" s="64"/>
      <c r="AE30" s="64"/>
      <c r="AF30" s="64"/>
      <c r="AG30" s="64"/>
      <c r="AH30" s="64"/>
      <c r="AI30" s="60"/>
      <c r="AJ30" s="68">
        <v>725</v>
      </c>
      <c r="AK30" s="68"/>
      <c r="AL30" s="68"/>
      <c r="AM30" s="68"/>
      <c r="AN30" s="68"/>
      <c r="AO30" s="68"/>
      <c r="AP30" s="134"/>
      <c r="AQ30" s="122"/>
      <c r="AR30" s="122"/>
    </row>
    <row r="31" spans="1:44" s="123" customFormat="1" ht="12.75">
      <c r="A31" s="122"/>
      <c r="B31" s="127"/>
      <c r="C31" s="33"/>
      <c r="D31" s="26" t="s">
        <v>11</v>
      </c>
      <c r="E31" s="32"/>
      <c r="F31" s="71">
        <v>303628</v>
      </c>
      <c r="G31" s="71"/>
      <c r="H31" s="71"/>
      <c r="I31" s="73"/>
      <c r="J31" s="73"/>
      <c r="K31" s="73"/>
      <c r="L31" s="73"/>
      <c r="M31" s="73"/>
      <c r="N31" s="64"/>
      <c r="O31" s="64"/>
      <c r="P31" s="64"/>
      <c r="Q31" s="64"/>
      <c r="R31" s="64"/>
      <c r="S31" s="64"/>
      <c r="T31" s="60"/>
      <c r="U31" s="68">
        <f>F31+'Jan-26'!U31</f>
        <v>573179</v>
      </c>
      <c r="V31" s="68"/>
      <c r="W31" s="68"/>
      <c r="X31" s="68"/>
      <c r="Y31" s="68"/>
      <c r="Z31" s="68"/>
      <c r="AA31" s="68"/>
      <c r="AB31" s="68"/>
      <c r="AC31" s="64"/>
      <c r="AD31" s="64"/>
      <c r="AE31" s="64"/>
      <c r="AF31" s="64"/>
      <c r="AG31" s="64"/>
      <c r="AH31" s="64"/>
      <c r="AI31" s="60"/>
      <c r="AJ31" s="68">
        <v>2827444</v>
      </c>
      <c r="AK31" s="68"/>
      <c r="AL31" s="68"/>
      <c r="AM31" s="68"/>
      <c r="AN31" s="68"/>
      <c r="AO31" s="68"/>
      <c r="AP31" s="136"/>
      <c r="AQ31" s="122"/>
      <c r="AR31" s="122"/>
    </row>
    <row r="32" spans="1:44" s="123" customFormat="1" ht="13.5" thickBot="1">
      <c r="A32" s="122"/>
      <c r="B32" s="127"/>
      <c r="C32" s="35" t="s">
        <v>160</v>
      </c>
      <c r="D32" s="36"/>
      <c r="E32" s="37"/>
      <c r="F32" s="75">
        <f>F27+F30</f>
        <v>610</v>
      </c>
      <c r="G32" s="75"/>
      <c r="H32" s="75"/>
      <c r="I32" s="75"/>
      <c r="J32" s="75"/>
      <c r="K32" s="75"/>
      <c r="L32" s="75"/>
      <c r="M32" s="75"/>
      <c r="N32" s="66"/>
      <c r="O32" s="66"/>
      <c r="P32" s="66"/>
      <c r="Q32" s="66"/>
      <c r="R32" s="66"/>
      <c r="S32" s="66"/>
      <c r="T32" s="62"/>
      <c r="U32" s="75">
        <f t="shared" ref="U32" si="14">U27+U30</f>
        <v>1275</v>
      </c>
      <c r="V32" s="75"/>
      <c r="W32" s="75"/>
      <c r="X32" s="75"/>
      <c r="Y32" s="75"/>
      <c r="Z32" s="75"/>
      <c r="AA32" s="75"/>
      <c r="AB32" s="75"/>
      <c r="AC32" s="66"/>
      <c r="AD32" s="66"/>
      <c r="AE32" s="66"/>
      <c r="AF32" s="66"/>
      <c r="AG32" s="66"/>
      <c r="AH32" s="66"/>
      <c r="AI32" s="62"/>
      <c r="AJ32" s="75">
        <f t="shared" ref="AJ32" si="15">AJ27+AJ30</f>
        <v>7326</v>
      </c>
      <c r="AK32" s="75"/>
      <c r="AL32" s="75"/>
      <c r="AM32" s="75"/>
      <c r="AN32" s="75"/>
      <c r="AO32" s="75"/>
      <c r="AP32" s="75"/>
      <c r="AQ32" s="122"/>
      <c r="AR32" s="122"/>
    </row>
    <row r="33" spans="1:44" s="123" customFormat="1" ht="14.25" thickTop="1" thickBot="1">
      <c r="A33" s="122"/>
      <c r="B33" s="127"/>
      <c r="C33" s="38" t="s">
        <v>161</v>
      </c>
      <c r="D33" s="39"/>
      <c r="E33" s="40"/>
      <c r="F33" s="76">
        <f>F28+F31</f>
        <v>1794513</v>
      </c>
      <c r="G33" s="76"/>
      <c r="H33" s="76"/>
      <c r="I33" s="76"/>
      <c r="J33" s="76"/>
      <c r="K33" s="76"/>
      <c r="L33" s="76"/>
      <c r="M33" s="76"/>
      <c r="N33" s="67"/>
      <c r="O33" s="67"/>
      <c r="P33" s="67"/>
      <c r="Q33" s="67"/>
      <c r="R33" s="67"/>
      <c r="S33" s="67"/>
      <c r="T33" s="63"/>
      <c r="U33" s="76">
        <f t="shared" ref="U33" si="16">U28+U31</f>
        <v>3797408</v>
      </c>
      <c r="V33" s="76"/>
      <c r="W33" s="76"/>
      <c r="X33" s="76"/>
      <c r="Y33" s="76"/>
      <c r="Z33" s="76"/>
      <c r="AA33" s="76"/>
      <c r="AB33" s="76"/>
      <c r="AC33" s="67"/>
      <c r="AD33" s="67"/>
      <c r="AE33" s="67"/>
      <c r="AF33" s="67"/>
      <c r="AG33" s="67"/>
      <c r="AH33" s="67"/>
      <c r="AI33" s="63"/>
      <c r="AJ33" s="76">
        <f t="shared" ref="AJ33" si="17">AJ28+AJ31</f>
        <v>20889132</v>
      </c>
      <c r="AK33" s="76"/>
      <c r="AL33" s="76"/>
      <c r="AM33" s="76"/>
      <c r="AN33" s="76"/>
      <c r="AO33" s="76"/>
      <c r="AP33" s="76"/>
      <c r="AQ33" s="122"/>
      <c r="AR33" s="122"/>
    </row>
    <row r="34" spans="1:44" s="123" customFormat="1" ht="12" thickTop="1">
      <c r="A34" s="122"/>
      <c r="B34" s="122"/>
      <c r="C34" s="122"/>
      <c r="D34" s="122"/>
      <c r="E34" s="122"/>
      <c r="F34" s="128"/>
      <c r="G34" s="128"/>
      <c r="H34" s="122"/>
      <c r="I34" s="128"/>
      <c r="J34" s="128"/>
      <c r="K34" s="128"/>
      <c r="L34" s="128"/>
      <c r="M34" s="128"/>
      <c r="N34" s="128"/>
      <c r="O34" s="128"/>
      <c r="P34" s="128"/>
      <c r="Q34" s="128"/>
      <c r="R34" s="128"/>
      <c r="S34" s="128"/>
      <c r="T34" s="122"/>
      <c r="U34" s="128">
        <f>'Jan-26'!U32+'Feb-26'!F32-'Feb-26'!U32</f>
        <v>0</v>
      </c>
      <c r="V34" s="128">
        <f>'Jan-26'!V32+'Feb-26'!G32-'Feb-26'!V32</f>
        <v>0</v>
      </c>
      <c r="W34" s="128">
        <f>'Jan-26'!W32+'Feb-26'!H32-'Feb-26'!W32</f>
        <v>0</v>
      </c>
      <c r="X34" s="128">
        <f>'Jan-26'!X32+'Feb-26'!I32-'Feb-26'!X32</f>
        <v>0</v>
      </c>
      <c r="Y34" s="128">
        <f>'Jan-26'!Y32+'Feb-26'!J32-'Feb-26'!Y32</f>
        <v>0</v>
      </c>
      <c r="Z34" s="128">
        <f>'Jan-26'!Z32+'Feb-26'!K32-'Feb-26'!Z32</f>
        <v>0</v>
      </c>
      <c r="AA34" s="128">
        <f>'Jan-26'!AA32+'Feb-26'!L32-'Feb-26'!AA32</f>
        <v>0</v>
      </c>
      <c r="AB34" s="128">
        <f>'Jan-26'!AB32+'Feb-26'!M32-'Feb-26'!AB32</f>
        <v>0</v>
      </c>
      <c r="AC34" s="128"/>
      <c r="AD34" s="122"/>
      <c r="AE34" s="122"/>
      <c r="AF34" s="122"/>
      <c r="AG34" s="122"/>
      <c r="AH34" s="122"/>
      <c r="AI34" s="122"/>
      <c r="AJ34" s="122"/>
      <c r="AK34" s="122"/>
      <c r="AL34" s="122"/>
      <c r="AM34" s="122"/>
      <c r="AN34" s="122"/>
      <c r="AO34" s="122"/>
      <c r="AP34" s="122"/>
      <c r="AQ34" s="122"/>
      <c r="AR34" s="122"/>
    </row>
    <row r="35" spans="1:44" s="123" customFormat="1" ht="11.25">
      <c r="A35" s="122"/>
      <c r="B35" s="122"/>
      <c r="C35" s="122"/>
      <c r="D35" s="122"/>
      <c r="E35" s="122"/>
      <c r="F35" s="122"/>
      <c r="G35" s="122"/>
      <c r="H35" s="122"/>
      <c r="I35" s="128"/>
      <c r="J35" s="128"/>
      <c r="K35" s="128"/>
      <c r="L35" s="128"/>
      <c r="M35" s="128"/>
      <c r="N35" s="128"/>
      <c r="O35" s="128"/>
      <c r="P35" s="128"/>
      <c r="Q35" s="128"/>
      <c r="R35" s="128"/>
      <c r="S35" s="128"/>
      <c r="T35" s="122"/>
      <c r="U35" s="128">
        <f>'Jan-26'!U33+'Feb-26'!F33-'Feb-26'!U33-674</f>
        <v>0</v>
      </c>
      <c r="V35" s="128">
        <f>'Jan-26'!V33+'Feb-26'!G33-'Feb-26'!V33</f>
        <v>0</v>
      </c>
      <c r="W35" s="128">
        <f>'Jan-26'!W33+'Feb-26'!H33-'Feb-26'!W33</f>
        <v>0</v>
      </c>
      <c r="X35" s="128">
        <f>'Jan-26'!X33+'Feb-26'!I33-'Feb-26'!X33</f>
        <v>0</v>
      </c>
      <c r="Y35" s="128">
        <f>'Jan-26'!Y33+'Feb-26'!J33-'Feb-26'!Y33</f>
        <v>0</v>
      </c>
      <c r="Z35" s="128">
        <f>'Jan-26'!Z33+'Feb-26'!K33-'Feb-26'!Z33</f>
        <v>0</v>
      </c>
      <c r="AA35" s="128">
        <f>'Jan-26'!AA33+'Feb-26'!L33-'Feb-26'!AA33</f>
        <v>0</v>
      </c>
      <c r="AB35" s="128">
        <f>'Jan-26'!AB33+'Feb-26'!M33-'Feb-26'!AB33</f>
        <v>0</v>
      </c>
      <c r="AC35" s="128"/>
      <c r="AD35" s="128"/>
      <c r="AE35" s="122"/>
      <c r="AF35" s="122"/>
      <c r="AG35" s="122"/>
      <c r="AH35" s="122"/>
      <c r="AI35" s="122"/>
      <c r="AJ35" s="122"/>
      <c r="AK35" s="122"/>
      <c r="AL35" s="122"/>
      <c r="AM35" s="122"/>
      <c r="AN35" s="122"/>
      <c r="AO35" s="122"/>
      <c r="AP35" s="122"/>
      <c r="AQ35" s="122"/>
      <c r="AR35" s="122"/>
    </row>
    <row r="36" spans="1:44" s="123" customFormat="1" ht="12.75">
      <c r="A36" s="122"/>
      <c r="B36" s="129"/>
      <c r="C36" s="130" t="s">
        <v>63</v>
      </c>
      <c r="D36" s="24"/>
      <c r="E36" s="24"/>
      <c r="F36" s="24"/>
      <c r="G36" s="24"/>
      <c r="H36" s="24"/>
      <c r="I36" s="24"/>
      <c r="J36" s="24"/>
      <c r="K36" s="24"/>
      <c r="L36" s="24"/>
      <c r="M36" s="95"/>
      <c r="N36" s="95"/>
      <c r="O36" s="95"/>
      <c r="P36" s="95"/>
      <c r="Q36" s="95"/>
      <c r="R36" s="95"/>
      <c r="S36" s="95"/>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122"/>
    </row>
    <row r="37" spans="1:44" s="123" customFormat="1" ht="12.75">
      <c r="A37" s="122"/>
      <c r="B37" s="129"/>
      <c r="C37" s="24"/>
      <c r="D37" s="24"/>
      <c r="E37" s="24"/>
      <c r="F37" s="24"/>
      <c r="G37" s="24"/>
      <c r="H37" s="24"/>
      <c r="I37" s="24"/>
      <c r="J37" s="24"/>
      <c r="K37" s="24"/>
      <c r="L37" s="24"/>
      <c r="M37" s="95"/>
      <c r="N37" s="95"/>
      <c r="O37" s="95"/>
      <c r="P37" s="95"/>
      <c r="Q37" s="95"/>
      <c r="R37" s="95"/>
      <c r="S37" s="95"/>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122"/>
    </row>
    <row r="38" spans="1:44" s="123" customFormat="1" ht="15" customHeight="1">
      <c r="A38" s="122"/>
      <c r="B38" s="122"/>
      <c r="C38" s="27" t="s">
        <v>7</v>
      </c>
      <c r="D38" s="28"/>
      <c r="E38" s="28"/>
      <c r="F38" s="170" t="str">
        <f>F9</f>
        <v>February</v>
      </c>
      <c r="G38" s="170"/>
      <c r="H38" s="170"/>
      <c r="I38" s="170"/>
      <c r="J38" s="170"/>
      <c r="K38" s="170"/>
      <c r="L38" s="170"/>
      <c r="M38" s="170"/>
      <c r="N38" s="170"/>
      <c r="O38" s="170"/>
      <c r="P38" s="170"/>
      <c r="Q38" s="170"/>
      <c r="R38" s="170"/>
      <c r="S38" s="170"/>
      <c r="T38" s="171"/>
      <c r="U38" s="176" t="str">
        <f>"April to "&amp;D4&amp;" (YTD)"</f>
        <v>April to February (YTD)</v>
      </c>
      <c r="V38" s="177"/>
      <c r="W38" s="177"/>
      <c r="X38" s="177"/>
      <c r="Y38" s="177"/>
      <c r="Z38" s="177"/>
      <c r="AA38" s="177"/>
      <c r="AB38" s="177"/>
      <c r="AC38" s="177"/>
      <c r="AD38" s="177"/>
      <c r="AE38" s="177"/>
      <c r="AF38" s="177"/>
      <c r="AG38" s="177"/>
      <c r="AH38" s="177"/>
      <c r="AI38" s="178"/>
      <c r="AJ38" s="176" t="s">
        <v>58</v>
      </c>
      <c r="AK38" s="177"/>
      <c r="AL38" s="177"/>
      <c r="AM38" s="177"/>
      <c r="AN38" s="177"/>
      <c r="AO38" s="177"/>
      <c r="AP38" s="179"/>
    </row>
    <row r="39" spans="1:44" s="123" customFormat="1" ht="11.25">
      <c r="A39" s="122"/>
      <c r="B39" s="122"/>
      <c r="C39" s="29"/>
      <c r="D39" s="30"/>
      <c r="E39" s="30"/>
      <c r="F39" s="142"/>
      <c r="G39" s="143"/>
      <c r="H39" s="143"/>
      <c r="I39" s="143"/>
      <c r="J39" s="143"/>
      <c r="K39" s="143"/>
      <c r="L39" s="143"/>
      <c r="M39" s="143"/>
      <c r="N39" s="143"/>
      <c r="O39" s="143"/>
      <c r="P39" s="143"/>
      <c r="Q39" s="143"/>
      <c r="R39" s="143"/>
      <c r="S39" s="143"/>
      <c r="T39" s="144"/>
      <c r="U39" s="143"/>
      <c r="V39" s="143"/>
      <c r="W39" s="143"/>
      <c r="X39" s="143"/>
      <c r="Y39" s="143"/>
      <c r="Z39" s="143"/>
      <c r="AA39" s="143"/>
      <c r="AB39" s="143"/>
      <c r="AC39" s="143"/>
      <c r="AD39" s="143"/>
      <c r="AE39" s="143"/>
      <c r="AF39" s="143"/>
      <c r="AG39" s="143"/>
      <c r="AH39" s="143"/>
      <c r="AI39" s="144"/>
      <c r="AJ39" s="164"/>
      <c r="AK39" s="165"/>
      <c r="AL39" s="165"/>
      <c r="AM39" s="165"/>
      <c r="AN39" s="165"/>
      <c r="AO39" s="165"/>
      <c r="AP39" s="166"/>
    </row>
    <row r="40" spans="1:44" s="123" customFormat="1" ht="22.5">
      <c r="A40" s="122"/>
      <c r="B40" s="122"/>
      <c r="C40" s="59" t="s">
        <v>29</v>
      </c>
      <c r="D40" s="50"/>
      <c r="E40" s="51"/>
      <c r="F40" s="55">
        <v>2026</v>
      </c>
      <c r="G40" s="52">
        <v>2025</v>
      </c>
      <c r="H40" s="52">
        <v>2024</v>
      </c>
      <c r="I40" s="52">
        <v>2023</v>
      </c>
      <c r="J40" s="52">
        <v>2022</v>
      </c>
      <c r="K40" s="52">
        <v>2021</v>
      </c>
      <c r="L40" s="52">
        <v>2020</v>
      </c>
      <c r="M40" s="52">
        <v>2019</v>
      </c>
      <c r="N40" s="53" t="s">
        <v>147</v>
      </c>
      <c r="O40" s="53" t="s">
        <v>147</v>
      </c>
      <c r="P40" s="53" t="s">
        <v>148</v>
      </c>
      <c r="Q40" s="53" t="s">
        <v>149</v>
      </c>
      <c r="R40" s="53" t="s">
        <v>150</v>
      </c>
      <c r="S40" s="53" t="s">
        <v>151</v>
      </c>
      <c r="T40" s="57" t="s">
        <v>157</v>
      </c>
      <c r="U40" s="53"/>
      <c r="V40" s="53" t="s">
        <v>145</v>
      </c>
      <c r="W40" s="53" t="s">
        <v>128</v>
      </c>
      <c r="X40" s="53" t="s">
        <v>114</v>
      </c>
      <c r="Y40" s="53" t="s">
        <v>53</v>
      </c>
      <c r="Z40" s="52" t="s">
        <v>54</v>
      </c>
      <c r="AA40" s="52" t="s">
        <v>59</v>
      </c>
      <c r="AB40" s="52" t="s">
        <v>64</v>
      </c>
      <c r="AC40" s="52"/>
      <c r="AD40" s="53" t="s">
        <v>146</v>
      </c>
      <c r="AE40" s="53" t="s">
        <v>147</v>
      </c>
      <c r="AF40" s="53" t="s">
        <v>148</v>
      </c>
      <c r="AG40" s="53" t="s">
        <v>149</v>
      </c>
      <c r="AH40" s="53" t="s">
        <v>150</v>
      </c>
      <c r="AI40" s="57" t="s">
        <v>151</v>
      </c>
      <c r="AJ40" s="53"/>
      <c r="AK40" s="53" t="s">
        <v>128</v>
      </c>
      <c r="AL40" s="53" t="s">
        <v>114</v>
      </c>
      <c r="AM40" s="53" t="s">
        <v>53</v>
      </c>
      <c r="AN40" s="53" t="s">
        <v>54</v>
      </c>
      <c r="AO40" s="53" t="s">
        <v>65</v>
      </c>
      <c r="AP40" s="57" t="s">
        <v>73</v>
      </c>
      <c r="AR40" s="122"/>
    </row>
    <row r="41" spans="1:44" s="123" customFormat="1" ht="11.25">
      <c r="A41" s="122"/>
      <c r="B41" s="122"/>
      <c r="C41" s="31" t="s">
        <v>107</v>
      </c>
      <c r="D41" s="26"/>
      <c r="E41" s="32"/>
      <c r="F41" s="26"/>
      <c r="G41" s="26"/>
      <c r="H41" s="26"/>
      <c r="I41" s="26"/>
      <c r="J41" s="26"/>
      <c r="K41" s="26"/>
      <c r="L41" s="26"/>
      <c r="M41" s="26"/>
      <c r="N41" s="26"/>
      <c r="O41" s="26"/>
      <c r="P41" s="26"/>
      <c r="Q41" s="26"/>
      <c r="R41" s="26"/>
      <c r="S41" s="26"/>
      <c r="T41" s="32"/>
      <c r="U41" s="26"/>
      <c r="V41" s="26"/>
      <c r="W41" s="26"/>
      <c r="X41" s="26"/>
      <c r="Y41" s="26"/>
      <c r="Z41" s="26"/>
      <c r="AA41" s="26"/>
      <c r="AB41" s="122"/>
      <c r="AC41" s="122"/>
      <c r="AD41" s="122"/>
      <c r="AE41" s="26"/>
      <c r="AF41" s="26"/>
      <c r="AG41" s="122"/>
      <c r="AH41" s="26"/>
      <c r="AI41" s="32"/>
      <c r="AJ41" s="26"/>
      <c r="AK41" s="26"/>
      <c r="AL41" s="26"/>
      <c r="AM41" s="26"/>
      <c r="AN41" s="26"/>
      <c r="AO41" s="88"/>
      <c r="AP41" s="85"/>
      <c r="AR41" s="122"/>
    </row>
    <row r="42" spans="1:44" s="123" customFormat="1" ht="11.25">
      <c r="A42" s="122"/>
      <c r="B42" s="122"/>
      <c r="C42" s="33"/>
      <c r="D42" s="26" t="s">
        <v>5</v>
      </c>
      <c r="E42" s="32"/>
      <c r="F42" s="74">
        <f t="shared" ref="F42:M43" si="18">F13</f>
        <v>377</v>
      </c>
      <c r="G42" s="74">
        <f t="shared" si="18"/>
        <v>340</v>
      </c>
      <c r="H42" s="74">
        <f t="shared" si="18"/>
        <v>224</v>
      </c>
      <c r="I42" s="74">
        <f t="shared" si="18"/>
        <v>161</v>
      </c>
      <c r="J42" s="74">
        <f t="shared" si="18"/>
        <v>162</v>
      </c>
      <c r="K42" s="74">
        <f t="shared" si="18"/>
        <v>0</v>
      </c>
      <c r="L42" s="74">
        <f t="shared" si="18"/>
        <v>175</v>
      </c>
      <c r="M42" s="74">
        <f t="shared" si="18"/>
        <v>157</v>
      </c>
      <c r="N42" s="64">
        <f t="shared" ref="N42:N43" si="19">IFERROR(F42/G42-1,"n/a")</f>
        <v>0.10882352941176476</v>
      </c>
      <c r="O42" s="64">
        <f>IFERROR(F42/H42-1,"n/a")</f>
        <v>0.68303571428571419</v>
      </c>
      <c r="P42" s="64">
        <f>IFERROR(F42/I42-1,"n/a")</f>
        <v>1.341614906832298</v>
      </c>
      <c r="Q42" s="64">
        <f>IFERROR(F42/J42-1,"n/a")</f>
        <v>1.3271604938271606</v>
      </c>
      <c r="R42" s="64" t="str">
        <f>IFERROR(F42/K42-1,"n/a")</f>
        <v>n/a</v>
      </c>
      <c r="S42" s="64">
        <f>IFERROR(F42/L42-1,"n/a")</f>
        <v>1.1542857142857144</v>
      </c>
      <c r="T42" s="60">
        <f>IFERROR(F42/M42-1,"n/a")</f>
        <v>1.4012738853503186</v>
      </c>
      <c r="U42" s="64"/>
      <c r="V42" s="74">
        <f>'Jan-26'!V42+'Feb-26'!F42</f>
        <v>2699</v>
      </c>
      <c r="W42" s="74">
        <f>'Jan-26'!W42+'Feb-26'!G42</f>
        <v>2525</v>
      </c>
      <c r="X42" s="74">
        <f>'Jan-26'!X42+'Feb-26'!H42</f>
        <v>1521</v>
      </c>
      <c r="Y42" s="74">
        <f>'Jan-26'!Y42+'Feb-26'!I42</f>
        <v>1305</v>
      </c>
      <c r="Z42" s="74">
        <f>'Jan-26'!Z42+'Feb-26'!J42</f>
        <v>841</v>
      </c>
      <c r="AA42" s="74">
        <f>'Jan-26'!AA42+'Feb-26'!K42</f>
        <v>42</v>
      </c>
      <c r="AB42" s="74">
        <f>'Jan-26'!AB42+'Feb-26'!L42</f>
        <v>1430</v>
      </c>
      <c r="AC42" s="74"/>
      <c r="AD42" s="147">
        <f>IFERROR(V42/W42-1,"n/a")</f>
        <v>6.8910891089108972E-2</v>
      </c>
      <c r="AE42" s="147">
        <f>IFERROR(V42/X42-1,"n/a")</f>
        <v>0.77449046679815914</v>
      </c>
      <c r="AF42" s="147">
        <f>IFERROR(V42/Y42-1,"n/a")</f>
        <v>1.068199233716475</v>
      </c>
      <c r="AG42" s="147">
        <f>IFERROR(V42/Z42-1,"n/a")</f>
        <v>2.2092746730083235</v>
      </c>
      <c r="AH42" s="147">
        <f>IFERROR(V42/AA42-1,"n/a")</f>
        <v>63.261904761904759</v>
      </c>
      <c r="AI42" s="158">
        <f>IFERROR(V42/AB42-1,"n/a")</f>
        <v>0.88741258741258733</v>
      </c>
      <c r="AJ42" s="163"/>
      <c r="AK42" s="154">
        <v>2874</v>
      </c>
      <c r="AL42" s="89">
        <v>1802</v>
      </c>
      <c r="AM42" s="89">
        <v>1486</v>
      </c>
      <c r="AN42" s="89">
        <v>1052</v>
      </c>
      <c r="AO42" s="70">
        <v>551</v>
      </c>
      <c r="AP42" s="78">
        <v>1584</v>
      </c>
      <c r="AR42" s="122"/>
    </row>
    <row r="43" spans="1:44" s="123" customFormat="1" ht="11.25">
      <c r="A43" s="122"/>
      <c r="B43" s="122"/>
      <c r="C43" s="33"/>
      <c r="D43" s="26" t="s">
        <v>11</v>
      </c>
      <c r="E43" s="32"/>
      <c r="F43" s="74">
        <f t="shared" si="18"/>
        <v>1088715</v>
      </c>
      <c r="G43" s="74">
        <f t="shared" si="18"/>
        <v>876872</v>
      </c>
      <c r="H43" s="74">
        <f t="shared" si="18"/>
        <v>674695</v>
      </c>
      <c r="I43" s="74">
        <f t="shared" si="18"/>
        <v>449661</v>
      </c>
      <c r="J43" s="74">
        <f t="shared" si="18"/>
        <v>219545</v>
      </c>
      <c r="K43" s="74">
        <f t="shared" si="18"/>
        <v>0</v>
      </c>
      <c r="L43" s="74">
        <f t="shared" si="18"/>
        <v>430518</v>
      </c>
      <c r="M43" s="74">
        <f t="shared" si="18"/>
        <v>425246</v>
      </c>
      <c r="N43" s="64">
        <f t="shared" si="19"/>
        <v>0.24158942240144521</v>
      </c>
      <c r="O43" s="64">
        <f>IFERROR(F43/H43-1,"n/a")</f>
        <v>0.61364023744062135</v>
      </c>
      <c r="P43" s="64">
        <f>IFERROR(F43/I43-1,"n/a")</f>
        <v>1.4211906302748072</v>
      </c>
      <c r="Q43" s="64">
        <f>IFERROR(F43/J43-1,"n/a")</f>
        <v>3.9589605775581314</v>
      </c>
      <c r="R43" s="64" t="str">
        <f>IFERROR(F43/K43-1,"n/a")</f>
        <v>n/a</v>
      </c>
      <c r="S43" s="64">
        <f>IFERROR(F43/L43-1,"n/a")</f>
        <v>1.5288489679874013</v>
      </c>
      <c r="T43" s="60">
        <f>IFERROR(F43/M43-1,"n/a")</f>
        <v>1.5602004486814689</v>
      </c>
      <c r="U43" s="64"/>
      <c r="V43" s="74">
        <f>'Jan-26'!V43+'Feb-26'!F43-174</f>
        <v>8726845</v>
      </c>
      <c r="W43" s="74">
        <f>'Jan-26'!W43+'Feb-26'!G43</f>
        <v>7794866</v>
      </c>
      <c r="X43" s="74">
        <f>'Jan-26'!X43+'Feb-26'!H43</f>
        <v>4990356</v>
      </c>
      <c r="Y43" s="74">
        <f>'Jan-26'!Y43+'Feb-26'!I43</f>
        <v>3805365</v>
      </c>
      <c r="Z43" s="74">
        <f>'Jan-26'!Z43+'Feb-26'!J43</f>
        <v>1178358</v>
      </c>
      <c r="AA43" s="74">
        <f>'Jan-26'!AA43+'Feb-26'!K43</f>
        <v>0</v>
      </c>
      <c r="AB43" s="74">
        <f>'Jan-26'!AB43+'Feb-26'!L43</f>
        <v>4016570</v>
      </c>
      <c r="AC43" s="74"/>
      <c r="AD43" s="147">
        <f>IFERROR(V43/W43-1,"n/a")</f>
        <v>0.11956318428052515</v>
      </c>
      <c r="AE43" s="147">
        <f>IFERROR(V43/X43-1,"n/a")</f>
        <v>0.74874197351852256</v>
      </c>
      <c r="AF43" s="147">
        <f>IFERROR(V43/Y43-1,"n/a")</f>
        <v>1.2933003798584366</v>
      </c>
      <c r="AG43" s="147">
        <f>IFERROR(V43/Z43-1,"n/a")</f>
        <v>6.4059369054226307</v>
      </c>
      <c r="AH43" s="147" t="str">
        <f>IFERROR(V43/AA43-1,"n/a")</f>
        <v>n/a</v>
      </c>
      <c r="AI43" s="158">
        <f>IFERROR(V43/AB43-1,"n/a")</f>
        <v>1.1727107955295191</v>
      </c>
      <c r="AJ43" s="163"/>
      <c r="AK43" s="154">
        <v>8791246</v>
      </c>
      <c r="AL43" s="89">
        <v>5848177</v>
      </c>
      <c r="AM43" s="89">
        <v>4370939</v>
      </c>
      <c r="AN43" s="89">
        <v>1527970</v>
      </c>
      <c r="AO43" s="84">
        <v>1092884</v>
      </c>
      <c r="AP43" s="78">
        <v>4234259</v>
      </c>
      <c r="AR43" s="122"/>
    </row>
    <row r="44" spans="1:44" s="123" customFormat="1" ht="11.25">
      <c r="A44" s="122"/>
      <c r="B44" s="122"/>
      <c r="C44" s="31" t="s">
        <v>163</v>
      </c>
      <c r="D44" s="26"/>
      <c r="E44" s="32"/>
      <c r="F44" s="26"/>
      <c r="G44" s="26"/>
      <c r="H44" s="26"/>
      <c r="I44" s="26"/>
      <c r="J44" s="26"/>
      <c r="K44" s="26"/>
      <c r="L44" s="26"/>
      <c r="M44" s="26"/>
      <c r="N44" s="64"/>
      <c r="O44" s="64"/>
      <c r="P44" s="64"/>
      <c r="Q44" s="64"/>
      <c r="R44" s="64"/>
      <c r="S44" s="64"/>
      <c r="T44" s="61"/>
      <c r="U44" s="65"/>
      <c r="V44" s="26"/>
      <c r="W44" s="26"/>
      <c r="X44" s="26"/>
      <c r="Y44" s="26"/>
      <c r="Z44" s="26"/>
      <c r="AA44" s="26"/>
      <c r="AB44" s="26"/>
      <c r="AC44" s="26"/>
      <c r="AD44" s="146"/>
      <c r="AE44" s="148"/>
      <c r="AF44" s="148"/>
      <c r="AG44" s="148"/>
      <c r="AH44" s="148"/>
      <c r="AI44" s="159"/>
      <c r="AJ44" s="108"/>
      <c r="AK44" s="44"/>
      <c r="AL44" s="90"/>
      <c r="AM44" s="90"/>
      <c r="AN44" s="90"/>
      <c r="AO44" s="44"/>
      <c r="AP44" s="79"/>
      <c r="AR44" s="122"/>
    </row>
    <row r="45" spans="1:44" s="123" customFormat="1" ht="11.25">
      <c r="A45" s="122"/>
      <c r="B45" s="122"/>
      <c r="C45" s="33"/>
      <c r="D45" s="26" t="s">
        <v>5</v>
      </c>
      <c r="E45" s="32"/>
      <c r="F45" s="74">
        <f t="shared" ref="F45:M45" si="20">F16</f>
        <v>15</v>
      </c>
      <c r="G45" s="74">
        <f t="shared" si="20"/>
        <v>15</v>
      </c>
      <c r="H45" s="74">
        <f t="shared" si="20"/>
        <v>8</v>
      </c>
      <c r="I45" s="74">
        <f t="shared" si="20"/>
        <v>6</v>
      </c>
      <c r="J45" s="74">
        <f t="shared" si="20"/>
        <v>7</v>
      </c>
      <c r="K45" s="74">
        <f t="shared" si="20"/>
        <v>5</v>
      </c>
      <c r="L45" s="74">
        <f t="shared" si="20"/>
        <v>4</v>
      </c>
      <c r="M45" s="74">
        <f t="shared" si="20"/>
        <v>8</v>
      </c>
      <c r="N45" s="64">
        <f t="shared" ref="N45:N46" si="21">IFERROR(F45/G45-1,"n/a")</f>
        <v>0</v>
      </c>
      <c r="O45" s="64">
        <f>IFERROR(F45/H45-1,"n/a")</f>
        <v>0.875</v>
      </c>
      <c r="P45" s="64">
        <f>IFERROR(F45/I45-1,"n/a")</f>
        <v>1.5</v>
      </c>
      <c r="Q45" s="64">
        <f>IFERROR(F45/J45-1,"n/a")</f>
        <v>1.1428571428571428</v>
      </c>
      <c r="R45" s="64">
        <f>IFERROR(F45/K45-1,"n/a")</f>
        <v>2</v>
      </c>
      <c r="S45" s="64">
        <f>IFERROR(F45/L45-1,"n/a")</f>
        <v>2.75</v>
      </c>
      <c r="T45" s="60">
        <f>IFERROR(F45/M45-1,"n/a")</f>
        <v>0.875</v>
      </c>
      <c r="U45" s="64"/>
      <c r="V45" s="74">
        <f>'Jan-26'!V45+'Feb-26'!F45</f>
        <v>980</v>
      </c>
      <c r="W45" s="74">
        <f>'Jan-26'!W45+'Feb-26'!G45</f>
        <v>787</v>
      </c>
      <c r="X45" s="74">
        <f>'Jan-26'!X45+'Feb-26'!H45</f>
        <v>567</v>
      </c>
      <c r="Y45" s="74">
        <f>'Jan-26'!Y45+'Feb-26'!I45</f>
        <v>548</v>
      </c>
      <c r="Z45" s="74">
        <f>'Jan-26'!Z45+'Feb-26'!J45</f>
        <v>202</v>
      </c>
      <c r="AA45" s="74">
        <f>'Jan-26'!AA45+'Feb-26'!K45</f>
        <v>51</v>
      </c>
      <c r="AB45" s="74">
        <f>'Jan-26'!AB45+'Feb-26'!L45</f>
        <v>579</v>
      </c>
      <c r="AC45" s="74"/>
      <c r="AD45" s="147">
        <f t="shared" ref="AD45:AD46" si="22">IFERROR(V45/W45-1,"n/a")</f>
        <v>0.24523506988564159</v>
      </c>
      <c r="AE45" s="147">
        <f t="shared" ref="AE45:AE46" si="23">IFERROR(V45/X45-1,"n/a")</f>
        <v>0.72839506172839497</v>
      </c>
      <c r="AF45" s="147">
        <f t="shared" ref="AF45:AF46" si="24">IFERROR(V45/Y45-1,"n/a")</f>
        <v>0.7883211678832116</v>
      </c>
      <c r="AG45" s="147">
        <f t="shared" ref="AG45:AG46" si="25">IFERROR(V45/Z45-1,"n/a")</f>
        <v>3.8514851485148514</v>
      </c>
      <c r="AH45" s="147">
        <f t="shared" ref="AH45:AH46" si="26">IFERROR(V45/AA45-1,"n/a")</f>
        <v>18.215686274509803</v>
      </c>
      <c r="AI45" s="158">
        <f t="shared" ref="AI45:AI46" si="27">IFERROR(V45/AB45-1,"n/a")</f>
        <v>0.69257340241796195</v>
      </c>
      <c r="AJ45" s="163"/>
      <c r="AK45" s="154">
        <v>817</v>
      </c>
      <c r="AL45" s="89">
        <v>583</v>
      </c>
      <c r="AM45" s="89">
        <v>563</v>
      </c>
      <c r="AN45" s="89">
        <v>226</v>
      </c>
      <c r="AO45" s="70">
        <v>66</v>
      </c>
      <c r="AP45" s="78">
        <v>573</v>
      </c>
      <c r="AR45" s="122"/>
    </row>
    <row r="46" spans="1:44" s="123" customFormat="1" ht="11.25">
      <c r="A46" s="122"/>
      <c r="B46" s="122"/>
      <c r="C46" s="33"/>
      <c r="D46" s="26" t="s">
        <v>11</v>
      </c>
      <c r="E46" s="32"/>
      <c r="F46" s="74">
        <f t="shared" ref="F46:M46" si="28">F17</f>
        <v>30840</v>
      </c>
      <c r="G46" s="74">
        <f t="shared" si="28"/>
        <v>51126</v>
      </c>
      <c r="H46" s="74">
        <f t="shared" si="28"/>
        <v>31100</v>
      </c>
      <c r="I46" s="74">
        <f t="shared" si="28"/>
        <v>24121</v>
      </c>
      <c r="J46" s="74">
        <f t="shared" si="28"/>
        <v>6429</v>
      </c>
      <c r="K46" s="74">
        <f t="shared" si="28"/>
        <v>4669</v>
      </c>
      <c r="L46" s="74">
        <f t="shared" si="28"/>
        <v>17407</v>
      </c>
      <c r="M46" s="74">
        <f t="shared" si="28"/>
        <v>26946</v>
      </c>
      <c r="N46" s="64">
        <f t="shared" si="21"/>
        <v>-0.39678441497476824</v>
      </c>
      <c r="O46" s="64">
        <f>IFERROR(F46/H46-1,"n/a")</f>
        <v>-8.3601286173633493E-3</v>
      </c>
      <c r="P46" s="64">
        <f>IFERROR(F46/I46-1,"n/a")</f>
        <v>0.27855395713278885</v>
      </c>
      <c r="Q46" s="64">
        <f>IFERROR(F46/J46-1,"n/a")</f>
        <v>3.7970135324311709</v>
      </c>
      <c r="R46" s="64">
        <f>IFERROR(F46/K46-1,"n/a")</f>
        <v>5.6052687941743411</v>
      </c>
      <c r="S46" s="64">
        <f>IFERROR(F46/L46-1,"n/a")</f>
        <v>0.77170103981157001</v>
      </c>
      <c r="T46" s="60">
        <f>IFERROR(F46/M46-1,"n/a")</f>
        <v>0.14451124471164545</v>
      </c>
      <c r="U46" s="64"/>
      <c r="V46" s="74">
        <f>'Jan-26'!V46+'Feb-26'!F46</f>
        <v>2351877</v>
      </c>
      <c r="W46" s="74">
        <f>'Jan-26'!W46+'Feb-26'!G46</f>
        <v>2018022</v>
      </c>
      <c r="X46" s="74">
        <f>'Jan-26'!X46+'Feb-26'!H46</f>
        <v>1655994</v>
      </c>
      <c r="Y46" s="74">
        <f>'Jan-26'!Y46+'Feb-26'!I46</f>
        <v>973312</v>
      </c>
      <c r="Z46" s="74">
        <f>'Jan-26'!Z46+'Feb-26'!J46</f>
        <v>300563</v>
      </c>
      <c r="AA46" s="74">
        <f>'Jan-26'!AA46+'Feb-26'!K46</f>
        <v>35519</v>
      </c>
      <c r="AB46" s="74">
        <f>'Jan-26'!AB46+'Feb-26'!L46</f>
        <v>1358707</v>
      </c>
      <c r="AC46" s="74"/>
      <c r="AD46" s="147">
        <f t="shared" si="22"/>
        <v>0.16543674945069964</v>
      </c>
      <c r="AE46" s="147">
        <f t="shared" si="23"/>
        <v>0.42022072543741107</v>
      </c>
      <c r="AF46" s="147">
        <f t="shared" si="24"/>
        <v>1.4163649477248819</v>
      </c>
      <c r="AG46" s="147">
        <f t="shared" si="25"/>
        <v>6.8249052611266192</v>
      </c>
      <c r="AH46" s="147">
        <f t="shared" si="26"/>
        <v>65.214617528646642</v>
      </c>
      <c r="AI46" s="158">
        <f t="shared" si="27"/>
        <v>0.73096701496349104</v>
      </c>
      <c r="AJ46" s="163"/>
      <c r="AK46" s="154">
        <v>2079983</v>
      </c>
      <c r="AL46" s="89">
        <v>1708204</v>
      </c>
      <c r="AM46" s="89">
        <v>1012510</v>
      </c>
      <c r="AN46" s="89">
        <v>327926</v>
      </c>
      <c r="AO46" s="84">
        <v>80778</v>
      </c>
      <c r="AP46" s="78">
        <v>1361671</v>
      </c>
      <c r="AR46" s="122"/>
    </row>
    <row r="47" spans="1:44" s="123" customFormat="1" ht="11.25">
      <c r="A47" s="122"/>
      <c r="B47" s="122"/>
      <c r="C47" s="31" t="s">
        <v>164</v>
      </c>
      <c r="D47" s="26"/>
      <c r="E47" s="32"/>
      <c r="F47" s="87"/>
      <c r="G47" s="87"/>
      <c r="H47" s="87"/>
      <c r="I47" s="87"/>
      <c r="J47" s="87"/>
      <c r="K47" s="87"/>
      <c r="L47" s="87"/>
      <c r="M47" s="72"/>
      <c r="N47" s="64"/>
      <c r="O47" s="64"/>
      <c r="P47" s="64"/>
      <c r="Q47" s="64"/>
      <c r="R47" s="64"/>
      <c r="S47" s="64"/>
      <c r="T47" s="60"/>
      <c r="U47" s="64"/>
      <c r="V47" s="87"/>
      <c r="W47" s="87"/>
      <c r="X47" s="87"/>
      <c r="Y47" s="87"/>
      <c r="Z47" s="87"/>
      <c r="AA47" s="87"/>
      <c r="AB47" s="87"/>
      <c r="AC47" s="87"/>
      <c r="AD47" s="110"/>
      <c r="AE47" s="147"/>
      <c r="AF47" s="147"/>
      <c r="AG47" s="147"/>
      <c r="AH47" s="147"/>
      <c r="AI47" s="158"/>
      <c r="AJ47" s="163"/>
      <c r="AK47" s="155"/>
      <c r="AL47" s="90"/>
      <c r="AM47" s="90"/>
      <c r="AN47" s="90"/>
      <c r="AO47" s="44"/>
      <c r="AP47" s="79"/>
      <c r="AR47" s="122"/>
    </row>
    <row r="48" spans="1:44" s="123" customFormat="1" ht="11.25">
      <c r="A48" s="122"/>
      <c r="B48" s="122"/>
      <c r="C48" s="33"/>
      <c r="D48" s="26" t="s">
        <v>5</v>
      </c>
      <c r="E48" s="32"/>
      <c r="F48" s="74">
        <f t="shared" ref="F48:M48" si="29">F19</f>
        <v>6</v>
      </c>
      <c r="G48" s="74">
        <f t="shared" si="29"/>
        <v>7</v>
      </c>
      <c r="H48" s="74">
        <f t="shared" si="29"/>
        <v>4</v>
      </c>
      <c r="I48" s="74">
        <f t="shared" si="29"/>
        <v>2</v>
      </c>
      <c r="J48" s="74">
        <f t="shared" si="29"/>
        <v>3</v>
      </c>
      <c r="K48" s="74">
        <f t="shared" si="29"/>
        <v>0</v>
      </c>
      <c r="L48" s="74">
        <f t="shared" si="29"/>
        <v>0</v>
      </c>
      <c r="M48" s="74">
        <f t="shared" si="29"/>
        <v>1</v>
      </c>
      <c r="N48" s="64">
        <f t="shared" ref="N48:N49" si="30">IFERROR(F48/G48-1,"n/a")</f>
        <v>-0.1428571428571429</v>
      </c>
      <c r="O48" s="64">
        <f>IFERROR(F48/H48-1,"n/a")</f>
        <v>0.5</v>
      </c>
      <c r="P48" s="64">
        <f>IFERROR(F48/I48-1,"n/a")</f>
        <v>2</v>
      </c>
      <c r="Q48" s="64">
        <f>IFERROR(F48/J48-1,"n/a")</f>
        <v>1</v>
      </c>
      <c r="R48" s="64" t="str">
        <f>IFERROR(F48/K48-1,"n/a")</f>
        <v>n/a</v>
      </c>
      <c r="S48" s="64" t="str">
        <f>IFERROR(F48/L48-1,"n/a")</f>
        <v>n/a</v>
      </c>
      <c r="T48" s="60">
        <f>IFERROR(F48/M48-1,"n/a")</f>
        <v>5</v>
      </c>
      <c r="U48" s="64"/>
      <c r="V48" s="74">
        <f>'Jan-26'!V48+'Feb-26'!F48</f>
        <v>851</v>
      </c>
      <c r="W48" s="74">
        <f>'Jan-26'!W48+'Feb-26'!G48</f>
        <v>714</v>
      </c>
      <c r="X48" s="74">
        <f>'Jan-26'!X48+'Feb-26'!H48</f>
        <v>691</v>
      </c>
      <c r="Y48" s="74">
        <f>'Jan-26'!Y48+'Feb-26'!I48</f>
        <v>652</v>
      </c>
      <c r="Z48" s="74">
        <f>'Jan-26'!Z48+'Feb-26'!J48</f>
        <v>53</v>
      </c>
      <c r="AA48" s="74">
        <f>'Jan-26'!AA48+'Feb-26'!K48</f>
        <v>7</v>
      </c>
      <c r="AB48" s="74">
        <f>'Jan-26'!AB48+'Feb-26'!L48</f>
        <v>285</v>
      </c>
      <c r="AC48" s="74"/>
      <c r="AD48" s="147">
        <f t="shared" ref="AD48:AD49" si="31">IFERROR(V48/W48-1,"n/a")</f>
        <v>0.1918767507002801</v>
      </c>
      <c r="AE48" s="147">
        <f t="shared" ref="AE48:AE49" si="32">IFERROR(V48/X48-1,"n/a")</f>
        <v>0.23154848046309695</v>
      </c>
      <c r="AF48" s="147">
        <f t="shared" ref="AF48:AF49" si="33">IFERROR(V48/Y48-1,"n/a")</f>
        <v>0.30521472392638027</v>
      </c>
      <c r="AG48" s="147">
        <f t="shared" ref="AG48:AG49" si="34">IFERROR(V48/Z48-1,"n/a")</f>
        <v>15.056603773584907</v>
      </c>
      <c r="AH48" s="147">
        <f t="shared" ref="AH48:AH49" si="35">IFERROR(V48/AA48-1,"n/a")</f>
        <v>120.57142857142857</v>
      </c>
      <c r="AI48" s="158">
        <f t="shared" ref="AI48:AI49" si="36">IFERROR(V48/AB48-1,"n/a")</f>
        <v>1.9859649122807017</v>
      </c>
      <c r="AJ48" s="163"/>
      <c r="AK48" s="154">
        <v>728</v>
      </c>
      <c r="AL48" s="89">
        <v>712</v>
      </c>
      <c r="AM48" s="89">
        <v>669</v>
      </c>
      <c r="AN48" s="89">
        <v>59</v>
      </c>
      <c r="AO48" s="70">
        <v>9</v>
      </c>
      <c r="AP48" s="78">
        <v>287</v>
      </c>
      <c r="AR48" s="122"/>
    </row>
    <row r="49" spans="1:44" s="123" customFormat="1" ht="11.25">
      <c r="A49" s="122"/>
      <c r="B49" s="122"/>
      <c r="C49" s="33"/>
      <c r="D49" s="26" t="s">
        <v>11</v>
      </c>
      <c r="E49" s="32"/>
      <c r="F49" s="74">
        <f t="shared" ref="F49:M49" si="37">F20</f>
        <v>8372</v>
      </c>
      <c r="G49" s="74">
        <f t="shared" si="37"/>
        <v>11128</v>
      </c>
      <c r="H49" s="74">
        <f t="shared" si="37"/>
        <v>5580</v>
      </c>
      <c r="I49" s="74">
        <f t="shared" si="37"/>
        <v>2252</v>
      </c>
      <c r="J49" s="74">
        <f t="shared" si="37"/>
        <v>925</v>
      </c>
      <c r="K49" s="74">
        <f t="shared" si="37"/>
        <v>0</v>
      </c>
      <c r="L49" s="74">
        <f t="shared" si="37"/>
        <v>43</v>
      </c>
      <c r="M49" s="74">
        <f t="shared" si="37"/>
        <v>1168</v>
      </c>
      <c r="N49" s="64">
        <f t="shared" si="30"/>
        <v>-0.24766355140186913</v>
      </c>
      <c r="O49" s="64">
        <f>IFERROR(F49/H49-1,"n/a")</f>
        <v>0.50035842293906807</v>
      </c>
      <c r="P49" s="64">
        <f>IFERROR(F49/I49-1,"n/a")</f>
        <v>2.7175843694493782</v>
      </c>
      <c r="Q49" s="64">
        <f>IFERROR(F49/J49-1,"n/a")</f>
        <v>8.0508108108108107</v>
      </c>
      <c r="R49" s="64" t="str">
        <f>IFERROR(F49/K49-1,"n/a")</f>
        <v>n/a</v>
      </c>
      <c r="S49" s="64">
        <f>IFERROR(F49/L49-1,"n/a")</f>
        <v>193.69767441860466</v>
      </c>
      <c r="T49" s="60">
        <f>IFERROR(F49/M49-1,"n/a")</f>
        <v>6.1678082191780819</v>
      </c>
      <c r="U49" s="64"/>
      <c r="V49" s="74">
        <f>'Jan-26'!V49+'Feb-26'!F49</f>
        <v>1716433</v>
      </c>
      <c r="W49" s="74">
        <f>'Jan-26'!W49+'Feb-26'!G49</f>
        <v>1469459.4</v>
      </c>
      <c r="X49" s="74">
        <f>'Jan-26'!X49+'Feb-26'!H49</f>
        <v>1265100</v>
      </c>
      <c r="Y49" s="74">
        <f>'Jan-26'!Y49+'Feb-26'!I49</f>
        <v>890522</v>
      </c>
      <c r="Z49" s="74">
        <f>'Jan-26'!Z49+'Feb-26'!J49</f>
        <v>19280</v>
      </c>
      <c r="AA49" s="74">
        <f>'Jan-26'!AA49+'Feb-26'!K49</f>
        <v>8294</v>
      </c>
      <c r="AB49" s="74">
        <f>'Jan-26'!AB49+'Feb-26'!L49</f>
        <v>580312</v>
      </c>
      <c r="AC49" s="74"/>
      <c r="AD49" s="147">
        <f t="shared" si="31"/>
        <v>0.16807106069075473</v>
      </c>
      <c r="AE49" s="147">
        <f t="shared" si="32"/>
        <v>0.35675677812030671</v>
      </c>
      <c r="AF49" s="147">
        <f t="shared" si="33"/>
        <v>0.92744592497434097</v>
      </c>
      <c r="AG49" s="147">
        <f t="shared" si="34"/>
        <v>88.026607883817434</v>
      </c>
      <c r="AH49" s="147">
        <f t="shared" si="35"/>
        <v>205.94875813841333</v>
      </c>
      <c r="AI49" s="158">
        <f t="shared" si="36"/>
        <v>1.9577761617888307</v>
      </c>
      <c r="AJ49" s="163"/>
      <c r="AK49" s="154">
        <v>1484512.4</v>
      </c>
      <c r="AL49" s="82">
        <v>1296421</v>
      </c>
      <c r="AM49" s="82">
        <v>905256</v>
      </c>
      <c r="AN49" s="82">
        <v>20626</v>
      </c>
      <c r="AO49" s="84">
        <v>10047</v>
      </c>
      <c r="AP49" s="78">
        <v>581199</v>
      </c>
      <c r="AR49" s="122"/>
    </row>
    <row r="50" spans="1:44" s="123" customFormat="1" ht="11.25">
      <c r="A50" s="122"/>
      <c r="B50" s="122"/>
      <c r="C50" s="31" t="s">
        <v>110</v>
      </c>
      <c r="D50" s="26"/>
      <c r="E50" s="34"/>
      <c r="F50" s="72"/>
      <c r="G50" s="72"/>
      <c r="H50" s="72"/>
      <c r="I50" s="72"/>
      <c r="J50" s="72"/>
      <c r="K50" s="72"/>
      <c r="L50" s="72"/>
      <c r="M50" s="72"/>
      <c r="N50" s="64"/>
      <c r="O50" s="64"/>
      <c r="P50" s="64"/>
      <c r="Q50" s="64"/>
      <c r="R50" s="64"/>
      <c r="S50" s="64"/>
      <c r="T50" s="60"/>
      <c r="U50" s="64"/>
      <c r="V50" s="72"/>
      <c r="W50" s="72"/>
      <c r="X50" s="72"/>
      <c r="Y50" s="72"/>
      <c r="Z50" s="72"/>
      <c r="AA50" s="72"/>
      <c r="AB50" s="72"/>
      <c r="AC50" s="72"/>
      <c r="AD50" s="160"/>
      <c r="AE50" s="147"/>
      <c r="AF50" s="147"/>
      <c r="AG50" s="147"/>
      <c r="AH50" s="147"/>
      <c r="AI50" s="158"/>
      <c r="AJ50" s="163"/>
      <c r="AK50" s="155"/>
      <c r="AL50" s="90"/>
      <c r="AM50" s="90"/>
      <c r="AN50" s="90"/>
      <c r="AO50" s="44"/>
      <c r="AP50" s="79"/>
      <c r="AR50" s="122"/>
    </row>
    <row r="51" spans="1:44" s="123" customFormat="1" ht="11.25">
      <c r="A51" s="122"/>
      <c r="B51" s="122"/>
      <c r="C51" s="33"/>
      <c r="D51" s="26" t="s">
        <v>5</v>
      </c>
      <c r="E51" s="34"/>
      <c r="F51" s="74">
        <f t="shared" ref="F51:M51" si="38">F22</f>
        <v>126</v>
      </c>
      <c r="G51" s="74">
        <f t="shared" si="38"/>
        <v>114</v>
      </c>
      <c r="H51" s="74">
        <f t="shared" si="38"/>
        <v>77</v>
      </c>
      <c r="I51" s="74">
        <f t="shared" si="38"/>
        <v>73</v>
      </c>
      <c r="J51" s="74">
        <f t="shared" si="38"/>
        <v>13</v>
      </c>
      <c r="K51" s="74">
        <f t="shared" si="38"/>
        <v>0</v>
      </c>
      <c r="L51" s="74">
        <f t="shared" si="38"/>
        <v>14</v>
      </c>
      <c r="M51" s="74">
        <f t="shared" si="38"/>
        <v>21</v>
      </c>
      <c r="N51" s="64">
        <f t="shared" ref="N51:N52" si="39">IFERROR(F51/G51-1,"n/a")</f>
        <v>0.10526315789473695</v>
      </c>
      <c r="O51" s="64">
        <f>IFERROR(F51/H51-1,"n/a")</f>
        <v>0.63636363636363646</v>
      </c>
      <c r="P51" s="64">
        <f>IFERROR(F51/I51-1,"n/a")</f>
        <v>0.72602739726027399</v>
      </c>
      <c r="Q51" s="64">
        <f>IFERROR(F51/J51-1,"n/a")</f>
        <v>8.6923076923076916</v>
      </c>
      <c r="R51" s="64" t="str">
        <f>IFERROR(F51/K51-1,"n/a")</f>
        <v>n/a</v>
      </c>
      <c r="S51" s="64">
        <f>IFERROR(F51/L51-1,"n/a")</f>
        <v>8</v>
      </c>
      <c r="T51" s="60">
        <f>IFERROR(F51/M51-1,"n/a")</f>
        <v>5</v>
      </c>
      <c r="U51" s="64"/>
      <c r="V51" s="74">
        <f>'Jan-26'!V51+'Feb-26'!F51</f>
        <v>1615</v>
      </c>
      <c r="W51" s="74">
        <f>'Jan-26'!W51+'Feb-26'!G51</f>
        <v>1639</v>
      </c>
      <c r="X51" s="74">
        <f>'Jan-26'!X51+'Feb-26'!H51</f>
        <v>1384</v>
      </c>
      <c r="Y51" s="74">
        <f>'Jan-26'!Y51+'Feb-26'!I51</f>
        <v>1020</v>
      </c>
      <c r="Z51" s="74">
        <f>'Jan-26'!Z51+'Feb-26'!J51</f>
        <v>312</v>
      </c>
      <c r="AA51" s="74">
        <f>'Jan-26'!AA51+'Feb-26'!K51</f>
        <v>0</v>
      </c>
      <c r="AB51" s="74">
        <f>'Jan-26'!AB51+'Feb-26'!L51</f>
        <v>771</v>
      </c>
      <c r="AC51" s="74"/>
      <c r="AD51" s="147">
        <f t="shared" ref="AD51:AD52" si="40">IFERROR(V51/W51-1,"n/a")</f>
        <v>-1.4643075045759568E-2</v>
      </c>
      <c r="AE51" s="147">
        <f t="shared" ref="AE51:AE52" si="41">IFERROR(V51/X51-1,"n/a")</f>
        <v>0.16690751445086716</v>
      </c>
      <c r="AF51" s="147">
        <f t="shared" ref="AF51:AF52" si="42">IFERROR(V51/Y51-1,"n/a")</f>
        <v>0.58333333333333326</v>
      </c>
      <c r="AG51" s="147">
        <f t="shared" ref="AG51:AG52" si="43">IFERROR(V51/Z51-1,"n/a")</f>
        <v>4.1762820512820511</v>
      </c>
      <c r="AH51" s="147" t="str">
        <f t="shared" ref="AH51:AH52" si="44">IFERROR(V51/AA51-1,"n/a")</f>
        <v>n/a</v>
      </c>
      <c r="AI51" s="158">
        <f t="shared" ref="AI51:AI52" si="45">IFERROR(V51/AB51-1,"n/a")</f>
        <v>1.0946822308690014</v>
      </c>
      <c r="AJ51" s="163"/>
      <c r="AK51" s="154">
        <v>1788</v>
      </c>
      <c r="AL51" s="89">
        <v>1471</v>
      </c>
      <c r="AM51" s="89">
        <v>1129</v>
      </c>
      <c r="AN51" s="89">
        <v>336</v>
      </c>
      <c r="AO51" s="84">
        <v>43</v>
      </c>
      <c r="AP51" s="78">
        <v>781</v>
      </c>
      <c r="AR51" s="122"/>
    </row>
    <row r="52" spans="1:44" s="123" customFormat="1" ht="11.25">
      <c r="A52" s="122"/>
      <c r="B52" s="122"/>
      <c r="C52" s="33"/>
      <c r="D52" s="26" t="s">
        <v>11</v>
      </c>
      <c r="E52" s="32"/>
      <c r="F52" s="74">
        <f t="shared" ref="F52:M52" si="46">F23</f>
        <v>362958</v>
      </c>
      <c r="G52" s="74">
        <f t="shared" si="46"/>
        <v>321671</v>
      </c>
      <c r="H52" s="74">
        <f t="shared" si="46"/>
        <v>282857</v>
      </c>
      <c r="I52" s="74">
        <f t="shared" si="46"/>
        <v>247607</v>
      </c>
      <c r="J52" s="74">
        <f t="shared" si="46"/>
        <v>14032</v>
      </c>
      <c r="K52" s="74">
        <f t="shared" si="46"/>
        <v>0</v>
      </c>
      <c r="L52" s="74">
        <f t="shared" si="46"/>
        <v>47023</v>
      </c>
      <c r="M52" s="74">
        <f t="shared" si="46"/>
        <v>59703</v>
      </c>
      <c r="N52" s="64">
        <f t="shared" si="39"/>
        <v>0.12835163878621314</v>
      </c>
      <c r="O52" s="64">
        <f>IFERROR(F52/H52-1,"n/a")</f>
        <v>0.28318549655833158</v>
      </c>
      <c r="P52" s="64">
        <f>IFERROR(F52/I52-1,"n/a")</f>
        <v>0.46586324296162873</v>
      </c>
      <c r="Q52" s="64">
        <f>IFERROR(F52/J52-1,"n/a")</f>
        <v>24.866448118586089</v>
      </c>
      <c r="R52" s="64" t="str">
        <f>IFERROR(F52/K52-1,"n/a")</f>
        <v>n/a</v>
      </c>
      <c r="S52" s="64">
        <f>IFERROR(F52/L52-1,"n/a")</f>
        <v>6.7187333857899327</v>
      </c>
      <c r="T52" s="60">
        <f>IFERROR(F52/M52-1,"n/a")</f>
        <v>5.0793929953268684</v>
      </c>
      <c r="U52" s="64"/>
      <c r="V52" s="74">
        <f>'Jan-26'!V52+'Feb-26'!F52-500</f>
        <v>4210225</v>
      </c>
      <c r="W52" s="74">
        <f>'Jan-26'!W52+'Feb-26'!G52</f>
        <v>4870668</v>
      </c>
      <c r="X52" s="74">
        <f>'Jan-26'!X52+'Feb-26'!H52</f>
        <v>4218300</v>
      </c>
      <c r="Y52" s="74">
        <f>'Jan-26'!Y52+'Feb-26'!I52</f>
        <v>2631174</v>
      </c>
      <c r="Z52" s="74">
        <f>'Jan-26'!Z52+'Feb-26'!J52</f>
        <v>500969</v>
      </c>
      <c r="AA52" s="74">
        <f>'Jan-26'!AA52+'Feb-26'!K52</f>
        <v>0</v>
      </c>
      <c r="AB52" s="74">
        <f>'Jan-26'!AB52+'Feb-26'!L52</f>
        <v>2413059</v>
      </c>
      <c r="AC52" s="74"/>
      <c r="AD52" s="147">
        <f t="shared" si="40"/>
        <v>-0.13559597985327676</v>
      </c>
      <c r="AE52" s="147">
        <f t="shared" si="41"/>
        <v>-1.9142782637555644E-3</v>
      </c>
      <c r="AF52" s="147">
        <f t="shared" si="42"/>
        <v>0.60013172827034622</v>
      </c>
      <c r="AG52" s="147">
        <f t="shared" si="43"/>
        <v>7.4041627326241741</v>
      </c>
      <c r="AH52" s="147" t="str">
        <f t="shared" si="44"/>
        <v>n/a</v>
      </c>
      <c r="AI52" s="158">
        <f t="shared" si="45"/>
        <v>0.74476670483398877</v>
      </c>
      <c r="AJ52" s="163"/>
      <c r="AK52" s="154">
        <v>5247410</v>
      </c>
      <c r="AL52" s="82">
        <v>4517247</v>
      </c>
      <c r="AM52" s="82">
        <v>2932981</v>
      </c>
      <c r="AN52" s="82">
        <v>533563</v>
      </c>
      <c r="AO52" s="84">
        <v>140552</v>
      </c>
      <c r="AP52" s="78">
        <v>2441594</v>
      </c>
      <c r="AR52" s="122"/>
    </row>
    <row r="53" spans="1:44" s="123" customFormat="1" ht="11.25">
      <c r="C53" s="31" t="s">
        <v>111</v>
      </c>
      <c r="D53" s="26"/>
      <c r="E53" s="32"/>
      <c r="F53" s="72"/>
      <c r="G53" s="72"/>
      <c r="H53" s="72"/>
      <c r="I53" s="72"/>
      <c r="J53" s="72"/>
      <c r="K53" s="72"/>
      <c r="L53" s="72"/>
      <c r="M53" s="72"/>
      <c r="N53" s="64"/>
      <c r="O53" s="64"/>
      <c r="P53" s="64"/>
      <c r="Q53" s="64"/>
      <c r="R53" s="64"/>
      <c r="S53" s="64"/>
      <c r="T53" s="60"/>
      <c r="U53" s="64"/>
      <c r="V53" s="72"/>
      <c r="W53" s="72"/>
      <c r="X53" s="72"/>
      <c r="Y53" s="72"/>
      <c r="Z53" s="72"/>
      <c r="AA53" s="72"/>
      <c r="AB53" s="72"/>
      <c r="AC53" s="72"/>
      <c r="AD53" s="160"/>
      <c r="AE53" s="147"/>
      <c r="AF53" s="147"/>
      <c r="AG53" s="147"/>
      <c r="AH53" s="147"/>
      <c r="AI53" s="158"/>
      <c r="AJ53" s="163"/>
      <c r="AK53" s="155"/>
      <c r="AL53" s="90"/>
      <c r="AM53" s="90"/>
      <c r="AN53" s="90"/>
      <c r="AO53" s="44"/>
      <c r="AP53" s="79"/>
      <c r="AR53" s="122"/>
    </row>
    <row r="54" spans="1:44" s="123" customFormat="1" ht="11.25">
      <c r="C54" s="33"/>
      <c r="D54" s="26" t="s">
        <v>5</v>
      </c>
      <c r="E54" s="32"/>
      <c r="F54" s="74">
        <f t="shared" ref="F54:M54" si="47">F25</f>
        <v>0</v>
      </c>
      <c r="G54" s="74">
        <f t="shared" si="47"/>
        <v>0</v>
      </c>
      <c r="H54" s="74">
        <f t="shared" si="47"/>
        <v>0</v>
      </c>
      <c r="I54" s="74">
        <f t="shared" si="47"/>
        <v>0</v>
      </c>
      <c r="J54" s="74">
        <f t="shared" si="47"/>
        <v>0</v>
      </c>
      <c r="K54" s="74">
        <f t="shared" si="47"/>
        <v>0</v>
      </c>
      <c r="L54" s="74">
        <f t="shared" si="47"/>
        <v>0</v>
      </c>
      <c r="M54" s="74">
        <f t="shared" si="47"/>
        <v>0</v>
      </c>
      <c r="N54" s="64" t="str">
        <f t="shared" ref="N54:N57" si="48">IFERROR(F54/G54-1,"n/a")</f>
        <v>n/a</v>
      </c>
      <c r="O54" s="64" t="str">
        <f>IFERROR(F54/H54-1,"n/a")</f>
        <v>n/a</v>
      </c>
      <c r="P54" s="64" t="str">
        <f>IFERROR(F54/I54-1,"n/a")</f>
        <v>n/a</v>
      </c>
      <c r="Q54" s="64" t="str">
        <f>IFERROR(F54/J54-1,"n/a")</f>
        <v>n/a</v>
      </c>
      <c r="R54" s="64" t="str">
        <f>IFERROR(F54/K54-1,"n/a")</f>
        <v>n/a</v>
      </c>
      <c r="S54" s="64" t="str">
        <f>IFERROR(F54/L54-1,"n/a")</f>
        <v>n/a</v>
      </c>
      <c r="T54" s="60" t="str">
        <f>IFERROR(F54/M54-1,"n/a")</f>
        <v>n/a</v>
      </c>
      <c r="U54" s="64"/>
      <c r="V54" s="74">
        <f>'Jan-26'!V54+'Feb-26'!F54</f>
        <v>23</v>
      </c>
      <c r="W54" s="74">
        <f>'Jan-26'!W54+'Feb-26'!G54</f>
        <v>14</v>
      </c>
      <c r="X54" s="74">
        <f>'Jan-26'!X54+'Feb-26'!H54</f>
        <v>21</v>
      </c>
      <c r="Y54" s="74">
        <f>'Jan-26'!Y54+'Feb-26'!I54</f>
        <v>9</v>
      </c>
      <c r="Z54" s="74">
        <f>'Jan-26'!Z54+'Feb-26'!J54</f>
        <v>0</v>
      </c>
      <c r="AA54" s="74">
        <f>'Jan-26'!AA54+'Feb-26'!K54</f>
        <v>0</v>
      </c>
      <c r="AB54" s="74">
        <f>'Jan-26'!AB54+'Feb-26'!L54</f>
        <v>16</v>
      </c>
      <c r="AC54" s="74"/>
      <c r="AD54" s="147">
        <f t="shared" ref="AD54:AD57" si="49">IFERROR(V54/W54-1,"n/a")</f>
        <v>0.64285714285714279</v>
      </c>
      <c r="AE54" s="147">
        <f t="shared" ref="AE54:AE55" si="50">IFERROR(V54/X54-1,"n/a")</f>
        <v>9.5238095238095344E-2</v>
      </c>
      <c r="AF54" s="147">
        <f t="shared" ref="AF54:AF57" si="51">IFERROR(V54/Y54-1,"n/a")</f>
        <v>1.5555555555555554</v>
      </c>
      <c r="AG54" s="147" t="str">
        <f t="shared" ref="AG54:AG57" si="52">IFERROR(V54/Z54-1,"n/a")</f>
        <v>n/a</v>
      </c>
      <c r="AH54" s="147" t="str">
        <f t="shared" ref="AH54:AH57" si="53">IFERROR(V54/AA54-1,"n/a")</f>
        <v>n/a</v>
      </c>
      <c r="AI54" s="158">
        <f t="shared" ref="AI54:AI57" si="54">IFERROR(V54/AB54-1,"n/a")</f>
        <v>0.4375</v>
      </c>
      <c r="AJ54" s="163"/>
      <c r="AK54" s="154">
        <v>14</v>
      </c>
      <c r="AL54" s="89">
        <v>21</v>
      </c>
      <c r="AM54" s="89">
        <v>9</v>
      </c>
      <c r="AN54" s="68">
        <v>0</v>
      </c>
      <c r="AO54" s="68">
        <v>0</v>
      </c>
      <c r="AP54" s="78">
        <v>16</v>
      </c>
      <c r="AR54" s="122"/>
    </row>
    <row r="55" spans="1:44" s="123" customFormat="1" ht="11.25">
      <c r="C55" s="33"/>
      <c r="D55" s="26" t="s">
        <v>11</v>
      </c>
      <c r="E55" s="32"/>
      <c r="F55" s="74">
        <f t="shared" ref="F55:M55" si="55">F26</f>
        <v>0</v>
      </c>
      <c r="G55" s="74">
        <f t="shared" si="55"/>
        <v>0</v>
      </c>
      <c r="H55" s="74">
        <f t="shared" si="55"/>
        <v>0</v>
      </c>
      <c r="I55" s="74">
        <f t="shared" si="55"/>
        <v>0</v>
      </c>
      <c r="J55" s="74">
        <f t="shared" si="55"/>
        <v>0</v>
      </c>
      <c r="K55" s="74">
        <f t="shared" si="55"/>
        <v>0</v>
      </c>
      <c r="L55" s="74">
        <f t="shared" si="55"/>
        <v>0</v>
      </c>
      <c r="M55" s="74">
        <f t="shared" si="55"/>
        <v>0</v>
      </c>
      <c r="N55" s="64" t="str">
        <f t="shared" si="48"/>
        <v>n/a</v>
      </c>
      <c r="O55" s="64" t="str">
        <f>IFERROR(F55/H55-1,"n/a")</f>
        <v>n/a</v>
      </c>
      <c r="P55" s="64" t="str">
        <f>IFERROR(F55/I55-1,"n/a")</f>
        <v>n/a</v>
      </c>
      <c r="Q55" s="64" t="str">
        <f>IFERROR(F55/J55-1,"n/a")</f>
        <v>n/a</v>
      </c>
      <c r="R55" s="64" t="str">
        <f>IFERROR(F55/K55-1,"n/a")</f>
        <v>n/a</v>
      </c>
      <c r="S55" s="64" t="str">
        <f>IFERROR(F55/L55-1,"n/a")</f>
        <v>n/a</v>
      </c>
      <c r="T55" s="60" t="str">
        <f>IFERROR(F55/M55-1,"n/a")</f>
        <v>n/a</v>
      </c>
      <c r="U55" s="64"/>
      <c r="V55" s="74">
        <f>'Jan-26'!V55+'Feb-26'!F55</f>
        <v>72837</v>
      </c>
      <c r="W55" s="74">
        <f>'Jan-26'!W55+'Feb-26'!G55</f>
        <v>47798</v>
      </c>
      <c r="X55" s="74">
        <f>'Jan-26'!X55+'Feb-26'!H55</f>
        <v>38626</v>
      </c>
      <c r="Y55" s="74">
        <f>'Jan-26'!Y55+'Feb-26'!I55</f>
        <v>15637</v>
      </c>
      <c r="Z55" s="74">
        <f>'Jan-26'!Z55+'Feb-26'!J55</f>
        <v>0</v>
      </c>
      <c r="AA55" s="74">
        <f>'Jan-26'!AA55+'Feb-26'!K55</f>
        <v>0</v>
      </c>
      <c r="AB55" s="74">
        <f>'Jan-26'!AB55+'Feb-26'!L55</f>
        <v>20248</v>
      </c>
      <c r="AC55" s="74"/>
      <c r="AD55" s="147">
        <f t="shared" si="49"/>
        <v>0.523850370308381</v>
      </c>
      <c r="AE55" s="147">
        <f t="shared" si="50"/>
        <v>0.88569875213586702</v>
      </c>
      <c r="AF55" s="147">
        <f t="shared" si="51"/>
        <v>3.6579906631706853</v>
      </c>
      <c r="AG55" s="147" t="str">
        <f t="shared" si="52"/>
        <v>n/a</v>
      </c>
      <c r="AH55" s="147" t="str">
        <f t="shared" si="53"/>
        <v>n/a</v>
      </c>
      <c r="AI55" s="158">
        <f t="shared" si="54"/>
        <v>2.5972441722639275</v>
      </c>
      <c r="AJ55" s="163"/>
      <c r="AK55" s="154">
        <v>47798</v>
      </c>
      <c r="AL55" s="82">
        <v>38626</v>
      </c>
      <c r="AM55" s="82">
        <v>15637</v>
      </c>
      <c r="AN55" s="68">
        <v>0</v>
      </c>
      <c r="AO55" s="68">
        <v>0</v>
      </c>
      <c r="AP55" s="78">
        <v>20248</v>
      </c>
      <c r="AR55" s="122"/>
    </row>
    <row r="56" spans="1:44" s="123" customFormat="1" ht="12" thickBot="1">
      <c r="C56" s="35" t="s">
        <v>158</v>
      </c>
      <c r="D56" s="36"/>
      <c r="E56" s="37"/>
      <c r="F56" s="75">
        <f t="shared" ref="F56:M57" si="56">F42+F45+F48+F51+F54</f>
        <v>524</v>
      </c>
      <c r="G56" s="75">
        <f t="shared" si="56"/>
        <v>476</v>
      </c>
      <c r="H56" s="75">
        <f t="shared" si="56"/>
        <v>313</v>
      </c>
      <c r="I56" s="75">
        <f t="shared" si="56"/>
        <v>242</v>
      </c>
      <c r="J56" s="75">
        <f t="shared" si="56"/>
        <v>185</v>
      </c>
      <c r="K56" s="75">
        <f t="shared" si="56"/>
        <v>5</v>
      </c>
      <c r="L56" s="75">
        <f t="shared" si="56"/>
        <v>193</v>
      </c>
      <c r="M56" s="75">
        <f t="shared" si="56"/>
        <v>187</v>
      </c>
      <c r="N56" s="66">
        <f t="shared" si="48"/>
        <v>0.10084033613445387</v>
      </c>
      <c r="O56" s="66">
        <f>IFERROR(F56/H56-1,"n/a")</f>
        <v>0.67412140575079871</v>
      </c>
      <c r="P56" s="66">
        <f>IFERROR(F56/I56-1,"n/a")</f>
        <v>1.165289256198347</v>
      </c>
      <c r="Q56" s="66">
        <f>IFERROR(F56/J56-1,"n/a")</f>
        <v>1.8324324324324324</v>
      </c>
      <c r="R56" s="66">
        <f>IFERROR(F56/K56-1,"n/a")</f>
        <v>103.8</v>
      </c>
      <c r="S56" s="66">
        <f>IFERROR(F56/L56-1,"n/a")</f>
        <v>1.7150259067357512</v>
      </c>
      <c r="T56" s="66">
        <f>IFERROR(F56/M56-1,"n/a")</f>
        <v>1.8021390374331552</v>
      </c>
      <c r="U56" s="75">
        <f>U42+U45+U48+U51+U54</f>
        <v>0</v>
      </c>
      <c r="V56" s="75">
        <f>V42+V45+V48+V51+V54</f>
        <v>6168</v>
      </c>
      <c r="W56" s="75">
        <f>W42+W45+W48+W51+W54</f>
        <v>5679</v>
      </c>
      <c r="X56" s="75">
        <f>X42+X45+X48+X51+X54</f>
        <v>4184</v>
      </c>
      <c r="Y56" s="75">
        <f t="shared" ref="X56:AB57" si="57">Y42+Y45+Y48+Y51+Y54</f>
        <v>3534</v>
      </c>
      <c r="Z56" s="75">
        <f t="shared" si="57"/>
        <v>1408</v>
      </c>
      <c r="AA56" s="75">
        <f t="shared" si="57"/>
        <v>100</v>
      </c>
      <c r="AB56" s="75">
        <f t="shared" si="57"/>
        <v>3081</v>
      </c>
      <c r="AC56" s="75"/>
      <c r="AD56" s="66">
        <f t="shared" si="49"/>
        <v>8.6106708927628173E-2</v>
      </c>
      <c r="AE56" s="66">
        <f>IFERROR(V56/X56-1,"n/a")</f>
        <v>0.47418738049713194</v>
      </c>
      <c r="AF56" s="66">
        <f t="shared" si="51"/>
        <v>0.74533106960950768</v>
      </c>
      <c r="AG56" s="66">
        <f t="shared" si="52"/>
        <v>3.3806818181818183</v>
      </c>
      <c r="AH56" s="66">
        <f t="shared" si="53"/>
        <v>60.68</v>
      </c>
      <c r="AI56" s="66">
        <f t="shared" si="54"/>
        <v>1.0019474196689386</v>
      </c>
      <c r="AJ56" s="46">
        <f t="shared" ref="AJ56:AO57" si="58">AJ42+AJ45+AJ48+AJ51+AJ54</f>
        <v>0</v>
      </c>
      <c r="AK56" s="46">
        <f t="shared" si="58"/>
        <v>6221</v>
      </c>
      <c r="AL56" s="46">
        <f t="shared" si="58"/>
        <v>4589</v>
      </c>
      <c r="AM56" s="46">
        <f t="shared" si="58"/>
        <v>3856</v>
      </c>
      <c r="AN56" s="46">
        <f t="shared" si="58"/>
        <v>1673</v>
      </c>
      <c r="AO56" s="46">
        <f t="shared" si="58"/>
        <v>669</v>
      </c>
      <c r="AP56" s="80">
        <f>AP42+AP45+AP48+AP51+AP54</f>
        <v>3241</v>
      </c>
      <c r="AR56" s="122"/>
    </row>
    <row r="57" spans="1:44" s="123" customFormat="1" ht="12.75" thickTop="1" thickBot="1">
      <c r="C57" s="38" t="s">
        <v>159</v>
      </c>
      <c r="D57" s="39"/>
      <c r="E57" s="40"/>
      <c r="F57" s="76">
        <f t="shared" si="56"/>
        <v>1490885</v>
      </c>
      <c r="G57" s="76">
        <f t="shared" si="56"/>
        <v>1260797</v>
      </c>
      <c r="H57" s="76">
        <f t="shared" si="56"/>
        <v>994232</v>
      </c>
      <c r="I57" s="76">
        <f t="shared" si="56"/>
        <v>723641</v>
      </c>
      <c r="J57" s="76">
        <f t="shared" si="56"/>
        <v>240931</v>
      </c>
      <c r="K57" s="76">
        <f t="shared" si="56"/>
        <v>4669</v>
      </c>
      <c r="L57" s="76">
        <f t="shared" si="56"/>
        <v>494991</v>
      </c>
      <c r="M57" s="76">
        <f t="shared" si="56"/>
        <v>513063</v>
      </c>
      <c r="N57" s="67">
        <f t="shared" si="48"/>
        <v>0.18249408905636666</v>
      </c>
      <c r="O57" s="67">
        <f>IFERROR(F57/H57-1,"n/a")</f>
        <v>0.4995343139227062</v>
      </c>
      <c r="P57" s="67">
        <f>IFERROR(F57/I57-1,"n/a")</f>
        <v>1.0602550159540436</v>
      </c>
      <c r="Q57" s="67">
        <f>IFERROR(F57/J57-1,"n/a")</f>
        <v>5.1880164860478724</v>
      </c>
      <c r="R57" s="67">
        <f>IFERROR(F57/K57-1,"n/a")</f>
        <v>318.31569929321051</v>
      </c>
      <c r="S57" s="67">
        <f>IFERROR(F57/L57-1,"n/a")</f>
        <v>2.0119436515007343</v>
      </c>
      <c r="T57" s="67">
        <f>IFERROR(F57/M57-1,"n/a")</f>
        <v>1.9058517180151364</v>
      </c>
      <c r="U57" s="76">
        <f t="shared" ref="U57:W57" si="59">U43+U46+U49+U52+U55</f>
        <v>0</v>
      </c>
      <c r="V57" s="76">
        <f t="shared" si="59"/>
        <v>17078217</v>
      </c>
      <c r="W57" s="76">
        <f t="shared" si="59"/>
        <v>16200813.4</v>
      </c>
      <c r="X57" s="76">
        <f t="shared" si="57"/>
        <v>12168376</v>
      </c>
      <c r="Y57" s="76">
        <f t="shared" si="57"/>
        <v>8316010</v>
      </c>
      <c r="Z57" s="76">
        <f t="shared" si="57"/>
        <v>1999170</v>
      </c>
      <c r="AA57" s="76">
        <f t="shared" si="57"/>
        <v>43813</v>
      </c>
      <c r="AB57" s="76">
        <f t="shared" si="57"/>
        <v>8388896</v>
      </c>
      <c r="AC57" s="76"/>
      <c r="AD57" s="67">
        <f t="shared" si="49"/>
        <v>5.4157996783050333E-2</v>
      </c>
      <c r="AE57" s="67">
        <f>IFERROR(V57/X57-1,"n/a")</f>
        <v>0.40349188749591569</v>
      </c>
      <c r="AF57" s="67">
        <f t="shared" si="51"/>
        <v>1.0536551783848265</v>
      </c>
      <c r="AG57" s="67">
        <f t="shared" si="52"/>
        <v>7.5426537012860333</v>
      </c>
      <c r="AH57" s="67">
        <f t="shared" si="53"/>
        <v>388.79793668545864</v>
      </c>
      <c r="AI57" s="67">
        <f t="shared" si="54"/>
        <v>1.0358122212982495</v>
      </c>
      <c r="AJ57" s="47">
        <f t="shared" si="58"/>
        <v>0</v>
      </c>
      <c r="AK57" s="47">
        <f t="shared" si="58"/>
        <v>17650949.399999999</v>
      </c>
      <c r="AL57" s="47">
        <f t="shared" si="58"/>
        <v>13408675</v>
      </c>
      <c r="AM57" s="47">
        <f t="shared" si="58"/>
        <v>9237323</v>
      </c>
      <c r="AN57" s="47">
        <f t="shared" si="58"/>
        <v>2410085</v>
      </c>
      <c r="AO57" s="47">
        <f t="shared" si="58"/>
        <v>1324261</v>
      </c>
      <c r="AP57" s="81">
        <f>AP43+AP46+AP49+AP52+AP55</f>
        <v>8638971</v>
      </c>
      <c r="AR57" s="122"/>
    </row>
    <row r="58" spans="1:44" s="123" customFormat="1" ht="12" thickTop="1">
      <c r="C58" s="31" t="s">
        <v>162</v>
      </c>
      <c r="D58" s="26"/>
      <c r="E58" s="32"/>
      <c r="F58" s="72"/>
      <c r="G58" s="72"/>
      <c r="H58" s="72"/>
      <c r="I58" s="72"/>
      <c r="J58" s="72"/>
      <c r="K58" s="72"/>
      <c r="L58" s="72"/>
      <c r="M58" s="72"/>
      <c r="N58" s="64"/>
      <c r="O58" s="64"/>
      <c r="P58" s="64"/>
      <c r="Q58" s="64"/>
      <c r="R58" s="64"/>
      <c r="S58" s="64"/>
      <c r="T58" s="60"/>
      <c r="V58" s="128">
        <f>V56-F56-'Jan-26'!V56</f>
        <v>0</v>
      </c>
      <c r="W58" s="128">
        <f>W56-G56-'Jan-26'!W56</f>
        <v>0</v>
      </c>
      <c r="X58" s="128">
        <f>X56-H56-'Jan-26'!X56</f>
        <v>0</v>
      </c>
      <c r="Y58" s="128">
        <f>Y56-I56-'Jan-26'!Y56</f>
        <v>0</v>
      </c>
      <c r="Z58" s="128">
        <f>Z56-J56-'Jan-26'!Z56</f>
        <v>0</v>
      </c>
      <c r="AA58" s="128">
        <f>AA56-K56-'Jan-26'!AA56</f>
        <v>0</v>
      </c>
      <c r="AB58" s="128">
        <f>AB56-L56-'Jan-26'!AB56</f>
        <v>0</v>
      </c>
      <c r="AC58" s="128"/>
      <c r="AR58" s="122"/>
    </row>
    <row r="59" spans="1:44" s="123" customFormat="1" ht="11.25">
      <c r="C59" s="33"/>
      <c r="D59" s="26" t="s">
        <v>5</v>
      </c>
      <c r="E59" s="32"/>
      <c r="F59" s="74">
        <f t="shared" ref="F59:M59" si="60">F30</f>
        <v>86</v>
      </c>
      <c r="G59" s="74">
        <f t="shared" si="60"/>
        <v>0</v>
      </c>
      <c r="H59" s="74">
        <f t="shared" si="60"/>
        <v>0</v>
      </c>
      <c r="I59" s="74">
        <f t="shared" si="60"/>
        <v>0</v>
      </c>
      <c r="J59" s="74">
        <f t="shared" si="60"/>
        <v>0</v>
      </c>
      <c r="K59" s="74">
        <f t="shared" si="60"/>
        <v>0</v>
      </c>
      <c r="L59" s="74">
        <f t="shared" si="60"/>
        <v>0</v>
      </c>
      <c r="M59" s="74">
        <f t="shared" si="60"/>
        <v>0</v>
      </c>
      <c r="N59" s="64"/>
      <c r="O59" s="64"/>
      <c r="P59" s="64"/>
      <c r="Q59" s="64"/>
      <c r="R59" s="64"/>
      <c r="S59" s="64"/>
      <c r="T59" s="60"/>
      <c r="V59" s="128">
        <f>V57-F57-'Jan-26'!V57+674</f>
        <v>0</v>
      </c>
      <c r="W59" s="128">
        <f>W57-G57-'Jan-26'!W57</f>
        <v>0</v>
      </c>
      <c r="X59" s="128">
        <f>X57-H57-'Jan-26'!X57</f>
        <v>0</v>
      </c>
      <c r="Y59" s="128">
        <f>Y57-I57-'Jan-26'!Y57</f>
        <v>0</v>
      </c>
      <c r="Z59" s="128">
        <f>Z57-J57-'Jan-26'!Z57</f>
        <v>0</v>
      </c>
      <c r="AA59" s="128">
        <f>AA57-K57-'Jan-26'!AA57</f>
        <v>0</v>
      </c>
      <c r="AB59" s="128">
        <f>AB57-L57-'Jan-26'!AB57</f>
        <v>0</v>
      </c>
      <c r="AC59" s="128"/>
      <c r="AD59" s="131"/>
      <c r="AR59" s="122"/>
    </row>
    <row r="60" spans="1:44" ht="15.75" thickBot="1">
      <c r="C60" s="33"/>
      <c r="D60" s="26" t="s">
        <v>11</v>
      </c>
      <c r="E60" s="32"/>
      <c r="F60" s="74">
        <f t="shared" ref="F60:M60" si="61">F31</f>
        <v>303628</v>
      </c>
      <c r="G60" s="74">
        <f t="shared" si="61"/>
        <v>0</v>
      </c>
      <c r="H60" s="74">
        <f t="shared" si="61"/>
        <v>0</v>
      </c>
      <c r="I60" s="74">
        <f t="shared" si="61"/>
        <v>0</v>
      </c>
      <c r="J60" s="74">
        <f t="shared" si="61"/>
        <v>0</v>
      </c>
      <c r="K60" s="74">
        <f t="shared" si="61"/>
        <v>0</v>
      </c>
      <c r="L60" s="74">
        <f t="shared" si="61"/>
        <v>0</v>
      </c>
      <c r="M60" s="74">
        <f t="shared" si="61"/>
        <v>0</v>
      </c>
      <c r="N60" s="64"/>
      <c r="O60" s="64"/>
      <c r="P60" s="64"/>
      <c r="Q60" s="64"/>
      <c r="R60" s="64"/>
      <c r="S60" s="64"/>
      <c r="T60" s="60"/>
      <c r="V60" s="111"/>
      <c r="W60" s="153"/>
      <c r="Y60" s="111"/>
      <c r="Z60" s="111"/>
      <c r="AA60" s="111"/>
      <c r="AB60" s="111"/>
      <c r="AC60" s="111"/>
      <c r="AD60" s="111"/>
      <c r="AR60" s="9"/>
    </row>
    <row r="61" spans="1:44" ht="16.5" thickTop="1" thickBot="1">
      <c r="C61" s="35" t="s">
        <v>160</v>
      </c>
      <c r="D61" s="36"/>
      <c r="E61" s="37"/>
      <c r="F61" s="75">
        <f>F56+F59</f>
        <v>610</v>
      </c>
      <c r="G61" s="75"/>
      <c r="H61" s="75"/>
      <c r="I61" s="75"/>
      <c r="J61" s="75"/>
      <c r="K61" s="75"/>
      <c r="L61" s="75"/>
      <c r="M61" s="75"/>
      <c r="N61" s="67"/>
      <c r="O61" s="67"/>
      <c r="P61" s="67"/>
      <c r="Q61" s="67"/>
      <c r="R61" s="67"/>
      <c r="S61" s="67"/>
      <c r="T61" s="67"/>
      <c r="W61" s="153"/>
      <c r="X61" s="153"/>
      <c r="Y61" s="153"/>
      <c r="Z61" s="153"/>
      <c r="AA61" s="153"/>
      <c r="AB61" s="153"/>
      <c r="AC61" s="153"/>
      <c r="AD61" s="111"/>
      <c r="AR61" s="9"/>
    </row>
    <row r="62" spans="1:44" ht="16.5" thickTop="1" thickBot="1">
      <c r="C62" s="38" t="s">
        <v>161</v>
      </c>
      <c r="D62" s="39"/>
      <c r="E62" s="40"/>
      <c r="F62" s="75">
        <f>F57+F60</f>
        <v>1794513</v>
      </c>
      <c r="G62" s="75"/>
      <c r="H62" s="75"/>
      <c r="I62" s="75"/>
      <c r="J62" s="75"/>
      <c r="K62" s="75"/>
      <c r="L62" s="75"/>
      <c r="M62" s="75"/>
      <c r="N62" s="67"/>
      <c r="O62" s="67"/>
      <c r="P62" s="67"/>
      <c r="Q62" s="67"/>
      <c r="R62" s="67"/>
      <c r="S62" s="67"/>
      <c r="T62" s="67"/>
      <c r="W62" s="153"/>
      <c r="X62" s="153"/>
      <c r="Y62" s="153"/>
      <c r="Z62" s="153"/>
      <c r="AA62" s="153"/>
      <c r="AB62" s="153"/>
      <c r="AC62" s="153"/>
      <c r="AD62" s="111"/>
      <c r="AR62" s="9"/>
    </row>
    <row r="63" spans="1:44" ht="15.75" thickTop="1">
      <c r="W63" s="153"/>
      <c r="X63" s="150"/>
      <c r="Y63" s="150"/>
      <c r="Z63" s="150"/>
      <c r="AA63" s="150"/>
      <c r="AB63" s="150"/>
      <c r="AC63" s="150"/>
      <c r="AR63" s="9"/>
    </row>
    <row r="64" spans="1:44" ht="15">
      <c r="W64" s="153"/>
      <c r="X64" s="150"/>
      <c r="Y64" s="150"/>
      <c r="Z64" s="150"/>
      <c r="AA64" s="150"/>
      <c r="AB64" s="150"/>
      <c r="AC64" s="150"/>
      <c r="AR64" s="9"/>
    </row>
    <row r="65" spans="44:44" ht="15">
      <c r="AR65" s="9"/>
    </row>
    <row r="66" spans="44:44" ht="15" customHeight="1"/>
    <row r="67" spans="44:44" ht="15" customHeight="1"/>
    <row r="68" spans="44:44" ht="15" customHeight="1"/>
    <row r="69" spans="44:44" ht="15" customHeight="1"/>
    <row r="70" spans="44:44" ht="15" customHeight="1"/>
    <row r="71" spans="44:44" ht="15" customHeight="1"/>
  </sheetData>
  <mergeCells count="9">
    <mergeCell ref="AJ39:AP39"/>
    <mergeCell ref="F9:T9"/>
    <mergeCell ref="U9:AI9"/>
    <mergeCell ref="AJ9:AP9"/>
    <mergeCell ref="G10:T10"/>
    <mergeCell ref="U10:AI10"/>
    <mergeCell ref="F38:T38"/>
    <mergeCell ref="U38:AI38"/>
    <mergeCell ref="AJ38:AP38"/>
  </mergeCell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3BE8E-7CF7-4864-9B72-B574D3A6DFE9}">
  <dimension ref="A1:AS71"/>
  <sheetViews>
    <sheetView showGridLines="0" zoomScale="85" zoomScaleNormal="85" workbookViewId="0"/>
  </sheetViews>
  <sheetFormatPr defaultColWidth="0" defaultRowHeight="0" customHeight="1" zeroHeight="1"/>
  <cols>
    <col min="1" max="2" width="4.140625" customWidth="1"/>
    <col min="3" max="3" width="5.140625" customWidth="1"/>
    <col min="4" max="4" width="10.85546875" customWidth="1"/>
    <col min="5" max="5" width="17.42578125" customWidth="1"/>
    <col min="6" max="8" width="13" customWidth="1"/>
    <col min="9" max="9" width="11.140625" bestFit="1" customWidth="1"/>
    <col min="10" max="10" width="10.140625" bestFit="1" customWidth="1"/>
    <col min="11" max="12" width="8.85546875" customWidth="1"/>
    <col min="13" max="13" width="10.140625" bestFit="1" customWidth="1"/>
    <col min="14" max="15" width="10.140625" customWidth="1"/>
    <col min="16" max="16" width="8" customWidth="1"/>
    <col min="17" max="17" width="8.85546875" bestFit="1" customWidth="1"/>
    <col min="18" max="18" width="8.5703125" bestFit="1" customWidth="1"/>
    <col min="19" max="20" width="8" customWidth="1"/>
    <col min="21" max="22" width="10" bestFit="1" customWidth="1"/>
    <col min="23" max="24" width="12.5703125" bestFit="1" customWidth="1"/>
    <col min="25" max="27" width="11.5703125" bestFit="1" customWidth="1"/>
    <col min="28" max="28" width="11.85546875" bestFit="1" customWidth="1"/>
    <col min="29" max="29" width="8.42578125" customWidth="1"/>
    <col min="30" max="30" width="9.140625" customWidth="1"/>
    <col min="31" max="31" width="8.85546875" customWidth="1"/>
    <col min="32" max="32" width="8.85546875" bestFit="1" customWidth="1"/>
    <col min="33" max="33" width="8.85546875" customWidth="1"/>
    <col min="34" max="34" width="9" bestFit="1" customWidth="1"/>
    <col min="35" max="35" width="7.85546875" customWidth="1"/>
    <col min="36" max="36" width="10" bestFit="1" customWidth="1"/>
    <col min="37" max="37" width="12.85546875" bestFit="1" customWidth="1"/>
    <col min="38" max="38" width="10.85546875" bestFit="1" customWidth="1"/>
    <col min="39" max="39" width="13.42578125" bestFit="1" customWidth="1"/>
    <col min="40" max="40" width="13.140625" bestFit="1" customWidth="1"/>
    <col min="41" max="41" width="12.85546875" bestFit="1" customWidth="1"/>
    <col min="42" max="42" width="15.42578125" bestFit="1" customWidth="1"/>
    <col min="43" max="43" width="11.140625" customWidth="1"/>
    <col min="44" max="44" width="3.42578125" customWidth="1"/>
    <col min="45" max="45" width="0" hidden="1" customWidth="1"/>
    <col min="46" max="16384" width="8.85546875" hidden="1"/>
  </cols>
  <sheetData>
    <row r="1" spans="1:4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row>
    <row r="2" spans="1:4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4"/>
      <c r="AR2" s="9"/>
    </row>
    <row r="3" spans="1:4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f>Occupancy_2026!AY3</f>
        <v>46154</v>
      </c>
      <c r="AQ3" s="25"/>
      <c r="AR3" s="9"/>
    </row>
    <row r="4" spans="1:44" ht="15.75">
      <c r="A4" s="9"/>
      <c r="B4" s="11" t="s">
        <v>7</v>
      </c>
      <c r="C4" s="26"/>
      <c r="D4" s="93" t="s">
        <v>33</v>
      </c>
      <c r="E4" s="133" t="s">
        <v>156</v>
      </c>
      <c r="F4" s="133"/>
      <c r="G4" s="133"/>
      <c r="H4" s="133"/>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9"/>
    </row>
    <row r="5" spans="1:4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9"/>
    </row>
    <row r="6" spans="1:4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9"/>
    </row>
    <row r="7" spans="1:4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9"/>
    </row>
    <row r="8" spans="1:4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9"/>
    </row>
    <row r="9" spans="1:44" s="123" customFormat="1" ht="15" customHeight="1">
      <c r="A9" s="122"/>
      <c r="C9" s="27" t="s">
        <v>7</v>
      </c>
      <c r="D9" s="28"/>
      <c r="E9" s="28"/>
      <c r="F9" s="167" t="str">
        <f>D4</f>
        <v>January</v>
      </c>
      <c r="G9" s="167"/>
      <c r="H9" s="167"/>
      <c r="I9" s="167"/>
      <c r="J9" s="167"/>
      <c r="K9" s="167"/>
      <c r="L9" s="167"/>
      <c r="M9" s="167"/>
      <c r="N9" s="167"/>
      <c r="O9" s="167"/>
      <c r="P9" s="167"/>
      <c r="Q9" s="167"/>
      <c r="R9" s="167"/>
      <c r="S9" s="167"/>
      <c r="T9" s="168"/>
      <c r="U9" s="169" t="str">
        <f xml:space="preserve"> "January to "&amp; F9</f>
        <v>January to January</v>
      </c>
      <c r="V9" s="170"/>
      <c r="W9" s="170"/>
      <c r="X9" s="170"/>
      <c r="Y9" s="170"/>
      <c r="Z9" s="170"/>
      <c r="AA9" s="170"/>
      <c r="AB9" s="170"/>
      <c r="AC9" s="170"/>
      <c r="AD9" s="170"/>
      <c r="AE9" s="170"/>
      <c r="AF9" s="170"/>
      <c r="AG9" s="170"/>
      <c r="AH9" s="170"/>
      <c r="AI9" s="171"/>
      <c r="AJ9" s="169" t="s">
        <v>57</v>
      </c>
      <c r="AK9" s="170"/>
      <c r="AL9" s="170"/>
      <c r="AM9" s="170"/>
      <c r="AN9" s="170"/>
      <c r="AO9" s="170"/>
      <c r="AP9" s="172"/>
      <c r="AQ9" s="122"/>
      <c r="AR9" s="122"/>
    </row>
    <row r="10" spans="1:44" s="123" customFormat="1" ht="13.5">
      <c r="A10" s="122"/>
      <c r="B10" s="124"/>
      <c r="C10" s="29"/>
      <c r="D10" s="30"/>
      <c r="E10" s="30"/>
      <c r="F10" s="30"/>
      <c r="G10" s="173"/>
      <c r="H10" s="173"/>
      <c r="I10" s="173"/>
      <c r="J10" s="173"/>
      <c r="K10" s="173"/>
      <c r="L10" s="173"/>
      <c r="M10" s="173"/>
      <c r="N10" s="173"/>
      <c r="O10" s="173"/>
      <c r="P10" s="173"/>
      <c r="Q10" s="173"/>
      <c r="R10" s="173"/>
      <c r="S10" s="173"/>
      <c r="T10" s="174"/>
      <c r="U10" s="175"/>
      <c r="V10" s="173"/>
      <c r="W10" s="173"/>
      <c r="X10" s="173"/>
      <c r="Y10" s="173"/>
      <c r="Z10" s="173"/>
      <c r="AA10" s="173"/>
      <c r="AB10" s="173"/>
      <c r="AC10" s="173"/>
      <c r="AD10" s="173"/>
      <c r="AE10" s="173"/>
      <c r="AF10" s="173"/>
      <c r="AG10" s="173"/>
      <c r="AH10" s="173"/>
      <c r="AI10" s="174"/>
      <c r="AJ10" s="152"/>
      <c r="AK10" s="152"/>
      <c r="AL10" s="30"/>
      <c r="AM10" s="30"/>
      <c r="AN10" s="30"/>
      <c r="AO10" s="30"/>
      <c r="AP10" s="56"/>
      <c r="AQ10" s="122"/>
      <c r="AR10" s="122"/>
    </row>
    <row r="11" spans="1:44" s="123" customFormat="1" ht="26.25" customHeight="1">
      <c r="A11" s="125"/>
      <c r="B11" s="126"/>
      <c r="C11" s="59" t="s">
        <v>29</v>
      </c>
      <c r="D11" s="50"/>
      <c r="E11" s="51"/>
      <c r="F11" s="55">
        <v>2026</v>
      </c>
      <c r="G11" s="52">
        <v>2025</v>
      </c>
      <c r="H11" s="52">
        <v>2024</v>
      </c>
      <c r="I11" s="52">
        <v>2023</v>
      </c>
      <c r="J11" s="52">
        <v>2022</v>
      </c>
      <c r="K11" s="52">
        <v>2021</v>
      </c>
      <c r="L11" s="52">
        <v>2020</v>
      </c>
      <c r="M11" s="52">
        <v>2019</v>
      </c>
      <c r="N11" s="53" t="s">
        <v>146</v>
      </c>
      <c r="O11" s="53" t="s">
        <v>147</v>
      </c>
      <c r="P11" s="53" t="s">
        <v>148</v>
      </c>
      <c r="Q11" s="53" t="s">
        <v>149</v>
      </c>
      <c r="R11" s="53" t="s">
        <v>150</v>
      </c>
      <c r="S11" s="53" t="s">
        <v>151</v>
      </c>
      <c r="T11" s="57" t="s">
        <v>157</v>
      </c>
      <c r="U11" s="53">
        <v>2026</v>
      </c>
      <c r="V11" s="53">
        <v>2025</v>
      </c>
      <c r="W11" s="53">
        <v>2024</v>
      </c>
      <c r="X11" s="53">
        <v>2023</v>
      </c>
      <c r="Y11" s="53">
        <v>2022</v>
      </c>
      <c r="Z11" s="52">
        <v>2021</v>
      </c>
      <c r="AA11" s="52">
        <v>2020</v>
      </c>
      <c r="AB11" s="52">
        <v>2019</v>
      </c>
      <c r="AC11" s="53" t="s">
        <v>146</v>
      </c>
      <c r="AD11" s="53" t="s">
        <v>147</v>
      </c>
      <c r="AE11" s="53" t="s">
        <v>148</v>
      </c>
      <c r="AF11" s="53" t="s">
        <v>149</v>
      </c>
      <c r="AG11" s="53" t="s">
        <v>150</v>
      </c>
      <c r="AH11" s="53" t="s">
        <v>151</v>
      </c>
      <c r="AI11" s="57" t="s">
        <v>157</v>
      </c>
      <c r="AJ11" s="53">
        <v>2025</v>
      </c>
      <c r="AK11" s="53">
        <v>2024</v>
      </c>
      <c r="AL11" s="53">
        <v>2023</v>
      </c>
      <c r="AM11" s="53">
        <v>2022</v>
      </c>
      <c r="AN11" s="53">
        <v>2021</v>
      </c>
      <c r="AO11" s="52">
        <v>2020</v>
      </c>
      <c r="AP11" s="77">
        <v>2019</v>
      </c>
      <c r="AQ11" s="125"/>
      <c r="AR11" s="125"/>
    </row>
    <row r="12" spans="1:44" s="123" customFormat="1" ht="12.75">
      <c r="A12" s="122"/>
      <c r="B12" s="127"/>
      <c r="C12" s="31" t="s">
        <v>107</v>
      </c>
      <c r="D12" s="26"/>
      <c r="E12" s="32"/>
      <c r="F12" s="26"/>
      <c r="G12" s="26"/>
      <c r="H12" s="26"/>
      <c r="I12" s="26"/>
      <c r="J12" s="26"/>
      <c r="K12" s="26"/>
      <c r="L12" s="26"/>
      <c r="M12" s="26"/>
      <c r="N12" s="146"/>
      <c r="O12" s="26"/>
      <c r="P12" s="26"/>
      <c r="Q12" s="26"/>
      <c r="R12" s="26"/>
      <c r="S12" s="26"/>
      <c r="T12" s="32"/>
      <c r="U12" s="26"/>
      <c r="V12" s="26"/>
      <c r="W12" s="26"/>
      <c r="X12" s="26"/>
      <c r="Y12" s="26"/>
      <c r="Z12" s="26"/>
      <c r="AA12" s="26"/>
      <c r="AB12" s="26"/>
      <c r="AC12" s="26"/>
      <c r="AD12" s="26"/>
      <c r="AE12" s="26"/>
      <c r="AF12" s="26"/>
      <c r="AG12" s="26"/>
      <c r="AH12" s="26"/>
      <c r="AI12" s="32"/>
      <c r="AJ12" s="26"/>
      <c r="AK12" s="26"/>
      <c r="AL12" s="26"/>
      <c r="AM12" s="26"/>
      <c r="AN12" s="26"/>
      <c r="AO12" s="26"/>
      <c r="AP12" s="32"/>
      <c r="AQ12" s="122"/>
      <c r="AR12" s="122"/>
    </row>
    <row r="13" spans="1:44" s="123" customFormat="1" ht="12.75">
      <c r="A13" s="122"/>
      <c r="B13" s="127"/>
      <c r="C13" s="33"/>
      <c r="D13" s="26" t="s">
        <v>5</v>
      </c>
      <c r="E13" s="32"/>
      <c r="F13" s="71">
        <v>434</v>
      </c>
      <c r="G13" s="71">
        <v>404</v>
      </c>
      <c r="H13" s="71">
        <v>197</v>
      </c>
      <c r="I13" s="73">
        <v>188</v>
      </c>
      <c r="J13" s="73">
        <v>164</v>
      </c>
      <c r="K13" s="73">
        <v>0</v>
      </c>
      <c r="L13" s="73">
        <v>187</v>
      </c>
      <c r="M13" s="73">
        <v>189</v>
      </c>
      <c r="N13" s="64">
        <f>IFERROR(F13/G13-1,"n/a")</f>
        <v>7.4257425742574323E-2</v>
      </c>
      <c r="O13" s="64">
        <f>IFERROR(F13/H13-1,"n/a")</f>
        <v>1.203045685279188</v>
      </c>
      <c r="P13" s="64">
        <f>IFERROR(F13/I13-1,"n/a")</f>
        <v>1.3085106382978724</v>
      </c>
      <c r="Q13" s="64">
        <f>IFERROR(F13/J13-1,"n/a")</f>
        <v>1.6463414634146343</v>
      </c>
      <c r="R13" s="64" t="str">
        <f>IFERROR(F13/K13-1,"n/a")</f>
        <v>n/a</v>
      </c>
      <c r="S13" s="64">
        <f>IFERROR(F13/L13-1,"n/a")</f>
        <v>1.320855614973262</v>
      </c>
      <c r="T13" s="60">
        <f>IFERROR(F13/M13-1,"n/a")</f>
        <v>1.2962962962962963</v>
      </c>
      <c r="U13" s="68">
        <f>F13</f>
        <v>434</v>
      </c>
      <c r="V13" s="68">
        <f>G13</f>
        <v>404</v>
      </c>
      <c r="W13" s="68">
        <f t="shared" ref="W13:W14" si="0">H13</f>
        <v>197</v>
      </c>
      <c r="X13" s="68">
        <f t="shared" ref="X13:X14" si="1">I13</f>
        <v>188</v>
      </c>
      <c r="Y13" s="68">
        <f t="shared" ref="Y13:Y14" si="2">J13</f>
        <v>164</v>
      </c>
      <c r="Z13" s="68">
        <f t="shared" ref="Z13:Z14" si="3">K13</f>
        <v>0</v>
      </c>
      <c r="AA13" s="68">
        <f t="shared" ref="AA13:AA14" si="4">L13</f>
        <v>187</v>
      </c>
      <c r="AB13" s="68">
        <f t="shared" ref="AB13:AB14" si="5">M13</f>
        <v>189</v>
      </c>
      <c r="AC13" s="64">
        <f>IFERROR(U13/V13-1,"n/a")</f>
        <v>7.4257425742574323E-2</v>
      </c>
      <c r="AD13" s="64">
        <f>IFERROR(U13/W13-1,"n/a")</f>
        <v>1.203045685279188</v>
      </c>
      <c r="AE13" s="64">
        <f>IFERROR(U13/X13-1,"n/a")</f>
        <v>1.3085106382978724</v>
      </c>
      <c r="AF13" s="64">
        <f>IFERROR(U13/Y13-1,"n/a")</f>
        <v>1.6463414634146343</v>
      </c>
      <c r="AG13" s="64" t="str">
        <f>IFERROR(U13/Z13-1,"n/a")</f>
        <v>n/a</v>
      </c>
      <c r="AH13" s="64">
        <f>IFERROR(U13/AA13-1,"n/a")</f>
        <v>1.320855614973262</v>
      </c>
      <c r="AI13" s="60">
        <f>IFERROR(U13/AB13-1,"n/a")</f>
        <v>1.2962962962962963</v>
      </c>
      <c r="AJ13" s="68">
        <v>2979</v>
      </c>
      <c r="AK13" s="68">
        <v>2483</v>
      </c>
      <c r="AL13" s="68">
        <v>1630</v>
      </c>
      <c r="AM13" s="68">
        <v>1486</v>
      </c>
      <c r="AN13" s="68">
        <v>522</v>
      </c>
      <c r="AO13" s="68">
        <v>551</v>
      </c>
      <c r="AP13" s="134">
        <v>1591</v>
      </c>
      <c r="AQ13" s="122"/>
      <c r="AR13" s="122"/>
    </row>
    <row r="14" spans="1:44" s="123" customFormat="1" ht="12.75">
      <c r="A14" s="122"/>
      <c r="B14" s="127"/>
      <c r="C14" s="33"/>
      <c r="D14" s="26" t="s">
        <v>11</v>
      </c>
      <c r="E14" s="32"/>
      <c r="F14" s="71">
        <v>1253553</v>
      </c>
      <c r="G14" s="71">
        <v>1052329</v>
      </c>
      <c r="H14" s="71">
        <v>621308</v>
      </c>
      <c r="I14" s="73">
        <v>522949</v>
      </c>
      <c r="J14" s="73">
        <v>195612</v>
      </c>
      <c r="K14" s="73">
        <v>0</v>
      </c>
      <c r="L14" s="73">
        <v>466080</v>
      </c>
      <c r="M14" s="73">
        <v>525262</v>
      </c>
      <c r="N14" s="64">
        <f>IFERROR(F14/G14-1,"n/a")</f>
        <v>0.19121776554670644</v>
      </c>
      <c r="O14" s="64">
        <f>IFERROR(F14/H14-1,"n/a")</f>
        <v>1.0176031855376078</v>
      </c>
      <c r="P14" s="64">
        <f>IFERROR(F14/I14-1,"n/a")</f>
        <v>1.3970846105451966</v>
      </c>
      <c r="Q14" s="64">
        <f>IFERROR(F14/J14-1,"n/a")</f>
        <v>5.4083645175142632</v>
      </c>
      <c r="R14" s="64" t="str">
        <f>IFERROR(F14/K14-1,"n/a")</f>
        <v>n/a</v>
      </c>
      <c r="S14" s="64">
        <f>IFERROR(F14/L14-1,"n/a")</f>
        <v>1.6895661688980432</v>
      </c>
      <c r="T14" s="60">
        <f>IFERROR(F14/M14-1,"n/a")</f>
        <v>1.3865290083805797</v>
      </c>
      <c r="U14" s="68">
        <f>F14</f>
        <v>1253553</v>
      </c>
      <c r="V14" s="68">
        <f>G14</f>
        <v>1052329</v>
      </c>
      <c r="W14" s="68">
        <f t="shared" si="0"/>
        <v>621308</v>
      </c>
      <c r="X14" s="68">
        <f t="shared" si="1"/>
        <v>522949</v>
      </c>
      <c r="Y14" s="68">
        <f t="shared" si="2"/>
        <v>195612</v>
      </c>
      <c r="Z14" s="68">
        <f t="shared" si="3"/>
        <v>0</v>
      </c>
      <c r="AA14" s="68">
        <f t="shared" si="4"/>
        <v>466080</v>
      </c>
      <c r="AB14" s="68">
        <f t="shared" si="5"/>
        <v>525262</v>
      </c>
      <c r="AC14" s="64">
        <f>IFERROR(U14/V14-1,"n/a")</f>
        <v>0.19121776554670644</v>
      </c>
      <c r="AD14" s="64">
        <f>IFERROR(U14/W14-1,"n/a")</f>
        <v>1.0176031855376078</v>
      </c>
      <c r="AE14" s="64">
        <f>IFERROR(U14/X14-1,"n/a")</f>
        <v>1.3970846105451966</v>
      </c>
      <c r="AF14" s="64">
        <f>IFERROR(U14/Y14-1,"n/a")</f>
        <v>5.4083645175142632</v>
      </c>
      <c r="AG14" s="64" t="str">
        <f>IFERROR(U14/Z14-1,"n/a")</f>
        <v>n/a</v>
      </c>
      <c r="AH14" s="64">
        <f>IFERROR(U14/AA14-1,"n/a")</f>
        <v>1.6895661688980432</v>
      </c>
      <c r="AI14" s="60">
        <f>IFERROR(U14/AB14-1,"n/a")</f>
        <v>1.3865290083805797</v>
      </c>
      <c r="AJ14" s="68">
        <v>9306898</v>
      </c>
      <c r="AK14" s="68">
        <v>8019489</v>
      </c>
      <c r="AL14" s="68">
        <v>5232537</v>
      </c>
      <c r="AM14" s="68">
        <v>3592413</v>
      </c>
      <c r="AN14" s="68">
        <v>768312</v>
      </c>
      <c r="AO14" s="68">
        <v>1092884</v>
      </c>
      <c r="AP14" s="134">
        <v>4592479</v>
      </c>
      <c r="AQ14" s="122"/>
      <c r="AR14" s="122"/>
    </row>
    <row r="15" spans="1:44" s="123" customFormat="1" ht="12.75">
      <c r="A15" s="122"/>
      <c r="B15" s="127"/>
      <c r="C15" s="31" t="s">
        <v>108</v>
      </c>
      <c r="D15" s="26"/>
      <c r="E15" s="32"/>
      <c r="F15" s="97"/>
      <c r="G15" s="97"/>
      <c r="H15" s="97"/>
      <c r="I15" s="97"/>
      <c r="J15" s="26"/>
      <c r="K15" s="26"/>
      <c r="L15" s="26"/>
      <c r="M15" s="26"/>
      <c r="N15" s="64"/>
      <c r="O15" s="64"/>
      <c r="P15" s="64"/>
      <c r="Q15" s="64"/>
      <c r="R15" s="64"/>
      <c r="S15" s="64"/>
      <c r="T15" s="61"/>
      <c r="U15" s="87"/>
      <c r="V15" s="87"/>
      <c r="W15" s="87"/>
      <c r="X15" s="87"/>
      <c r="Y15" s="87"/>
      <c r="Z15" s="87"/>
      <c r="AA15" s="87"/>
      <c r="AB15" s="87"/>
      <c r="AC15" s="64"/>
      <c r="AD15" s="64"/>
      <c r="AE15" s="64"/>
      <c r="AF15" s="64"/>
      <c r="AG15" s="64"/>
      <c r="AH15" s="64"/>
      <c r="AI15" s="61"/>
      <c r="AJ15" s="43"/>
      <c r="AK15" s="43"/>
      <c r="AL15" s="43"/>
      <c r="AM15" s="43"/>
      <c r="AN15" s="43"/>
      <c r="AO15" s="43"/>
      <c r="AP15" s="135"/>
      <c r="AQ15" s="122"/>
      <c r="AR15" s="122"/>
    </row>
    <row r="16" spans="1:44" s="123" customFormat="1" ht="12.75">
      <c r="A16" s="122"/>
      <c r="B16" s="127"/>
      <c r="C16" s="33"/>
      <c r="D16" s="26" t="s">
        <v>5</v>
      </c>
      <c r="E16" s="32"/>
      <c r="F16" s="71">
        <v>18</v>
      </c>
      <c r="G16" s="71">
        <v>12</v>
      </c>
      <c r="H16" s="71">
        <v>12</v>
      </c>
      <c r="I16" s="73">
        <v>5</v>
      </c>
      <c r="J16" s="73">
        <v>3</v>
      </c>
      <c r="K16" s="73">
        <v>2</v>
      </c>
      <c r="L16" s="73">
        <v>5</v>
      </c>
      <c r="M16" s="73">
        <v>5</v>
      </c>
      <c r="N16" s="64">
        <f t="shared" ref="N16:N17" si="6">IFERROR(F16/G16-1,"n/a")</f>
        <v>0.5</v>
      </c>
      <c r="O16" s="64">
        <f>IFERROR(F16/H16-1,"n/a")</f>
        <v>0.5</v>
      </c>
      <c r="P16" s="64">
        <f>IFERROR(F16/I16-1,"n/a")</f>
        <v>2.6</v>
      </c>
      <c r="Q16" s="64">
        <f>IFERROR(F16/J16-1,"n/a")</f>
        <v>5</v>
      </c>
      <c r="R16" s="64">
        <f>IFERROR(F16/K16-1,"n/a")</f>
        <v>8</v>
      </c>
      <c r="S16" s="64">
        <f>IFERROR(F16/L16-1,"n/a")</f>
        <v>2.6</v>
      </c>
      <c r="T16" s="60">
        <f>IFERROR(F16/M16-1,"n/a")</f>
        <v>2.6</v>
      </c>
      <c r="U16" s="68">
        <f t="shared" ref="U16:U17" si="7">F16</f>
        <v>18</v>
      </c>
      <c r="V16" s="68">
        <f t="shared" ref="V16:V17" si="8">G16</f>
        <v>12</v>
      </c>
      <c r="W16" s="68">
        <f t="shared" ref="W16:W17" si="9">H16</f>
        <v>12</v>
      </c>
      <c r="X16" s="68">
        <f t="shared" ref="X16:X17" si="10">I16</f>
        <v>5</v>
      </c>
      <c r="Y16" s="68">
        <f t="shared" ref="Y16:Y17" si="11">J16</f>
        <v>3</v>
      </c>
      <c r="Z16" s="68">
        <f t="shared" ref="Z16:Z17" si="12">K16</f>
        <v>2</v>
      </c>
      <c r="AA16" s="68">
        <f t="shared" ref="AA16:AA17" si="13">L16</f>
        <v>5</v>
      </c>
      <c r="AB16" s="68">
        <f t="shared" ref="AB16:AB17" si="14">M16</f>
        <v>5</v>
      </c>
      <c r="AC16" s="64">
        <f t="shared" ref="AC16:AC17" si="15">IFERROR(U16/V16-1,"n/a")</f>
        <v>0.5</v>
      </c>
      <c r="AD16" s="64">
        <f>IFERROR(U16/W16-1,"n/a")</f>
        <v>0.5</v>
      </c>
      <c r="AE16" s="64">
        <f>IFERROR(U16/X16-1,"n/a")</f>
        <v>2.6</v>
      </c>
      <c r="AF16" s="64">
        <f>IFERROR(U16/Y16-1,"n/a")</f>
        <v>5</v>
      </c>
      <c r="AG16" s="64">
        <f>IFERROR(U16/Z16-1,"n/a")</f>
        <v>8</v>
      </c>
      <c r="AH16" s="64">
        <f>IFERROR(U16/AA16-1,"n/a")</f>
        <v>2.6</v>
      </c>
      <c r="AI16" s="60">
        <f>IFERROR(U16/AB16-1,"n/a")</f>
        <v>2.6</v>
      </c>
      <c r="AJ16" s="68">
        <v>1003</v>
      </c>
      <c r="AK16" s="68">
        <v>797</v>
      </c>
      <c r="AL16" s="68">
        <v>575</v>
      </c>
      <c r="AM16" s="68">
        <v>572</v>
      </c>
      <c r="AN16" s="68">
        <v>202</v>
      </c>
      <c r="AO16" s="68">
        <v>54</v>
      </c>
      <c r="AP16" s="134">
        <v>586</v>
      </c>
      <c r="AQ16" s="122"/>
      <c r="AR16" s="122"/>
    </row>
    <row r="17" spans="1:44" s="123" customFormat="1" ht="12.75">
      <c r="A17" s="122"/>
      <c r="B17" s="127"/>
      <c r="C17" s="33"/>
      <c r="D17" s="26" t="s">
        <v>11</v>
      </c>
      <c r="E17" s="32"/>
      <c r="F17" s="71">
        <v>38129</v>
      </c>
      <c r="G17" s="71">
        <v>36494</v>
      </c>
      <c r="H17" s="71">
        <v>45136</v>
      </c>
      <c r="I17" s="73">
        <v>15799</v>
      </c>
      <c r="J17" s="73">
        <v>1702</v>
      </c>
      <c r="K17" s="73">
        <v>1288</v>
      </c>
      <c r="L17" s="73">
        <v>23141</v>
      </c>
      <c r="M17" s="73">
        <v>20627</v>
      </c>
      <c r="N17" s="64">
        <f t="shared" si="6"/>
        <v>4.48018852414096E-2</v>
      </c>
      <c r="O17" s="64">
        <f>IFERROR(F17/H17-1,"n/a")</f>
        <v>-0.155241935483871</v>
      </c>
      <c r="P17" s="64">
        <f>IFERROR(F17/I17-1,"n/a")</f>
        <v>1.4133805937084625</v>
      </c>
      <c r="Q17" s="64">
        <f>IFERROR(F17/J17-1,"n/a")</f>
        <v>21.402467685076381</v>
      </c>
      <c r="R17" s="64">
        <f>IFERROR(F17/K17-1,"n/a")</f>
        <v>28.603260869565219</v>
      </c>
      <c r="S17" s="64">
        <f>IFERROR(F17/L17-1,"n/a")</f>
        <v>0.64768160407933961</v>
      </c>
      <c r="T17" s="60">
        <f>IFERROR(F17/M17-1,"n/a")</f>
        <v>0.8484995394385999</v>
      </c>
      <c r="U17" s="68">
        <f t="shared" si="7"/>
        <v>38129</v>
      </c>
      <c r="V17" s="68">
        <f t="shared" si="8"/>
        <v>36494</v>
      </c>
      <c r="W17" s="68">
        <f t="shared" si="9"/>
        <v>45136</v>
      </c>
      <c r="X17" s="68">
        <f t="shared" si="10"/>
        <v>15799</v>
      </c>
      <c r="Y17" s="68">
        <f t="shared" si="11"/>
        <v>1702</v>
      </c>
      <c r="Z17" s="68">
        <f t="shared" si="12"/>
        <v>1288</v>
      </c>
      <c r="AA17" s="68">
        <f t="shared" si="13"/>
        <v>23141</v>
      </c>
      <c r="AB17" s="68">
        <f t="shared" si="14"/>
        <v>20627</v>
      </c>
      <c r="AC17" s="64">
        <f t="shared" si="15"/>
        <v>4.48018852414096E-2</v>
      </c>
      <c r="AD17" s="64">
        <f>IFERROR(U17/W17-1,"n/a")</f>
        <v>-0.155241935483871</v>
      </c>
      <c r="AE17" s="64">
        <f>IFERROR(U17/X17-1,"n/a")</f>
        <v>1.4133805937084625</v>
      </c>
      <c r="AF17" s="64">
        <f>IFERROR(U17/Y17-1,"n/a")</f>
        <v>21.402467685076381</v>
      </c>
      <c r="AG17" s="64">
        <f>IFERROR(U17/Z17-1,"n/a")</f>
        <v>28.603260869565219</v>
      </c>
      <c r="AH17" s="64">
        <f>IFERROR(U17/AA17-1,"n/a")</f>
        <v>0.64768160407933961</v>
      </c>
      <c r="AI17" s="60">
        <f>IFERROR(U17/AB17-1,"n/a")</f>
        <v>0.8484995394385999</v>
      </c>
      <c r="AJ17" s="68">
        <v>2427137</v>
      </c>
      <c r="AK17" s="68">
        <v>2060976</v>
      </c>
      <c r="AL17" s="68">
        <v>1660685</v>
      </c>
      <c r="AM17" s="68">
        <v>965963</v>
      </c>
      <c r="AN17" s="68">
        <v>301521</v>
      </c>
      <c r="AO17" s="68">
        <v>70675</v>
      </c>
      <c r="AP17" s="134">
        <v>1400932</v>
      </c>
      <c r="AQ17" s="122"/>
      <c r="AR17" s="122"/>
    </row>
    <row r="18" spans="1:44" s="123" customFormat="1" ht="12.75">
      <c r="A18" s="122"/>
      <c r="B18" s="127"/>
      <c r="C18" s="31" t="s">
        <v>109</v>
      </c>
      <c r="D18" s="26"/>
      <c r="E18" s="32"/>
      <c r="F18" s="72"/>
      <c r="G18" s="72"/>
      <c r="H18" s="72"/>
      <c r="I18" s="72"/>
      <c r="J18" s="72"/>
      <c r="K18" s="72"/>
      <c r="L18" s="72"/>
      <c r="M18" s="72"/>
      <c r="N18" s="64"/>
      <c r="O18" s="64"/>
      <c r="P18" s="64"/>
      <c r="Q18" s="64"/>
      <c r="R18" s="64"/>
      <c r="S18" s="64"/>
      <c r="T18" s="60"/>
      <c r="U18" s="87"/>
      <c r="V18" s="87"/>
      <c r="W18" s="87"/>
      <c r="X18" s="87"/>
      <c r="Y18" s="87"/>
      <c r="Z18" s="87"/>
      <c r="AA18" s="87"/>
      <c r="AB18" s="87"/>
      <c r="AC18" s="64"/>
      <c r="AD18" s="64"/>
      <c r="AE18" s="64"/>
      <c r="AF18" s="64"/>
      <c r="AG18" s="64"/>
      <c r="AH18" s="64"/>
      <c r="AI18" s="60"/>
      <c r="AJ18" s="43"/>
      <c r="AK18" s="43"/>
      <c r="AL18" s="43"/>
      <c r="AM18" s="43"/>
      <c r="AN18" s="43"/>
      <c r="AO18" s="43"/>
      <c r="AP18" s="135"/>
      <c r="AQ18" s="122"/>
      <c r="AR18" s="122"/>
    </row>
    <row r="19" spans="1:44" s="123" customFormat="1" ht="12.75">
      <c r="A19" s="122"/>
      <c r="B19" s="127"/>
      <c r="C19" s="33"/>
      <c r="D19" s="26" t="s">
        <v>5</v>
      </c>
      <c r="E19" s="32"/>
      <c r="F19" s="71">
        <v>7</v>
      </c>
      <c r="G19" s="71">
        <v>1</v>
      </c>
      <c r="H19" s="71">
        <v>2</v>
      </c>
      <c r="I19" s="73">
        <v>4</v>
      </c>
      <c r="J19" s="73">
        <v>3</v>
      </c>
      <c r="K19" s="73">
        <v>0</v>
      </c>
      <c r="L19" s="73">
        <v>1</v>
      </c>
      <c r="M19" s="73">
        <v>0</v>
      </c>
      <c r="N19" s="64">
        <f t="shared" ref="N19:N20" si="16">IFERROR(F19/G19-1,"n/a")</f>
        <v>6</v>
      </c>
      <c r="O19" s="64">
        <f>IFERROR(F19/H19-1,"n/a")</f>
        <v>2.5</v>
      </c>
      <c r="P19" s="64">
        <f>IFERROR(F19/I19-1,"n/a")</f>
        <v>0.75</v>
      </c>
      <c r="Q19" s="64">
        <f>IFERROR(F19/J19-1,"n/a")</f>
        <v>1.3333333333333335</v>
      </c>
      <c r="R19" s="64" t="str">
        <f>IFERROR(F19/K19-1,"n/a")</f>
        <v>n/a</v>
      </c>
      <c r="S19" s="64">
        <f>IFERROR(F19/L19-1,"n/a")</f>
        <v>6</v>
      </c>
      <c r="T19" s="60" t="str">
        <f>IFERROR(F19/M19-1,"n/a")</f>
        <v>n/a</v>
      </c>
      <c r="U19" s="68">
        <f t="shared" ref="U19:U20" si="17">F19</f>
        <v>7</v>
      </c>
      <c r="V19" s="68">
        <f t="shared" ref="V19:V20" si="18">G19</f>
        <v>1</v>
      </c>
      <c r="W19" s="68">
        <f t="shared" ref="W19:W20" si="19">H19</f>
        <v>2</v>
      </c>
      <c r="X19" s="68">
        <f t="shared" ref="X19:X20" si="20">I19</f>
        <v>4</v>
      </c>
      <c r="Y19" s="68">
        <f t="shared" ref="Y19:Y20" si="21">J19</f>
        <v>3</v>
      </c>
      <c r="Z19" s="68">
        <f t="shared" ref="Z19:Z20" si="22">K19</f>
        <v>0</v>
      </c>
      <c r="AA19" s="68">
        <f t="shared" ref="AA19:AA20" si="23">L19</f>
        <v>1</v>
      </c>
      <c r="AB19" s="68">
        <f t="shared" ref="AB19:AB20" si="24">M19</f>
        <v>0</v>
      </c>
      <c r="AC19" s="64">
        <f t="shared" ref="AC19:AC20" si="25">IFERROR(U19/V19-1,"n/a")</f>
        <v>6</v>
      </c>
      <c r="AD19" s="64">
        <f>IFERROR(U19/W19-1,"n/a")</f>
        <v>2.5</v>
      </c>
      <c r="AE19" s="64">
        <f>IFERROR(U19/X19-1,"n/a")</f>
        <v>0.75</v>
      </c>
      <c r="AF19" s="64">
        <f>IFERROR(U19/Y19-1,"n/a")</f>
        <v>1.3333333333333335</v>
      </c>
      <c r="AG19" s="64" t="str">
        <f>IFERROR(U19/Z19-1,"n/a")</f>
        <v>n/a</v>
      </c>
      <c r="AH19" s="64">
        <f>IFERROR(U19/AA19-1,"n/a")</f>
        <v>6</v>
      </c>
      <c r="AI19" s="60" t="str">
        <f>IFERROR(U19/AB19-1,"n/a")</f>
        <v>n/a</v>
      </c>
      <c r="AJ19" s="68">
        <v>860</v>
      </c>
      <c r="AK19" s="68">
        <v>733</v>
      </c>
      <c r="AL19" s="68">
        <v>708</v>
      </c>
      <c r="AM19" s="68">
        <v>658</v>
      </c>
      <c r="AN19" s="68">
        <v>47</v>
      </c>
      <c r="AO19" s="68">
        <v>9</v>
      </c>
      <c r="AP19" s="134">
        <v>290</v>
      </c>
      <c r="AQ19" s="122"/>
      <c r="AR19" s="122"/>
    </row>
    <row r="20" spans="1:44" s="123" customFormat="1" ht="12.75">
      <c r="A20" s="122"/>
      <c r="B20" s="127"/>
      <c r="C20" s="33"/>
      <c r="D20" s="26" t="s">
        <v>11</v>
      </c>
      <c r="E20" s="32"/>
      <c r="F20" s="71">
        <v>7715</v>
      </c>
      <c r="G20" s="71">
        <v>1801</v>
      </c>
      <c r="H20" s="71">
        <v>2840</v>
      </c>
      <c r="I20" s="73">
        <v>3860</v>
      </c>
      <c r="J20" s="73">
        <v>814</v>
      </c>
      <c r="K20" s="73">
        <v>0</v>
      </c>
      <c r="L20" s="73">
        <v>823</v>
      </c>
      <c r="M20" s="73">
        <v>440</v>
      </c>
      <c r="N20" s="64">
        <f t="shared" si="16"/>
        <v>3.2837312604108826</v>
      </c>
      <c r="O20" s="64">
        <f>IFERROR(F20/H20-1,"n/a")</f>
        <v>1.716549295774648</v>
      </c>
      <c r="P20" s="64">
        <f>IFERROR(F20/I20-1,"n/a")</f>
        <v>0.99870466321243523</v>
      </c>
      <c r="Q20" s="64">
        <f>IFERROR(F20/J20-1,"n/a")</f>
        <v>8.4778869778869783</v>
      </c>
      <c r="R20" s="64" t="str">
        <f>IFERROR(F20/K20-1,"n/a")</f>
        <v>n/a</v>
      </c>
      <c r="S20" s="64">
        <f>IFERROR(F20/L20-1,"n/a")</f>
        <v>8.3742405832320781</v>
      </c>
      <c r="T20" s="60">
        <f>IFERROR(F20/M20-1,"n/a")</f>
        <v>16.53409090909091</v>
      </c>
      <c r="U20" s="68">
        <f t="shared" si="17"/>
        <v>7715</v>
      </c>
      <c r="V20" s="68">
        <f t="shared" si="18"/>
        <v>1801</v>
      </c>
      <c r="W20" s="68">
        <f t="shared" si="19"/>
        <v>2840</v>
      </c>
      <c r="X20" s="68">
        <f t="shared" si="20"/>
        <v>3860</v>
      </c>
      <c r="Y20" s="68">
        <f t="shared" si="21"/>
        <v>814</v>
      </c>
      <c r="Z20" s="68">
        <f t="shared" si="22"/>
        <v>0</v>
      </c>
      <c r="AA20" s="68">
        <f t="shared" si="23"/>
        <v>823</v>
      </c>
      <c r="AB20" s="68">
        <f t="shared" si="24"/>
        <v>440</v>
      </c>
      <c r="AC20" s="64">
        <f t="shared" si="25"/>
        <v>3.2837312604108826</v>
      </c>
      <c r="AD20" s="64">
        <f>IFERROR(U20/W20-1,"n/a")</f>
        <v>1.716549295774648</v>
      </c>
      <c r="AE20" s="64">
        <f>IFERROR(U20/X20-1,"n/a")</f>
        <v>0.99870466321243523</v>
      </c>
      <c r="AF20" s="64">
        <f>IFERROR(U20/Y20-1,"n/a")</f>
        <v>8.4778869778869783</v>
      </c>
      <c r="AG20" s="64" t="str">
        <f>IFERROR(U20/Z20-1,"n/a")</f>
        <v>n/a</v>
      </c>
      <c r="AH20" s="64">
        <f>IFERROR(U20/AA20-1,"n/a")</f>
        <v>8.3742405832320781</v>
      </c>
      <c r="AI20" s="60">
        <f>IFERROR(U20/AB20-1,"n/a")</f>
        <v>16.53409090909091</v>
      </c>
      <c r="AJ20" s="68">
        <v>1728606</v>
      </c>
      <c r="AK20" s="68">
        <v>1496271.4</v>
      </c>
      <c r="AL20" s="68">
        <v>1277526</v>
      </c>
      <c r="AM20" s="68">
        <v>887495</v>
      </c>
      <c r="AN20" s="68">
        <v>17541</v>
      </c>
      <c r="AO20" s="68">
        <v>10046.999999999998</v>
      </c>
      <c r="AP20" s="134">
        <v>585930</v>
      </c>
      <c r="AQ20" s="122"/>
      <c r="AR20" s="122"/>
    </row>
    <row r="21" spans="1:44" s="123" customFormat="1" ht="12.75">
      <c r="A21" s="122"/>
      <c r="B21" s="127"/>
      <c r="C21" s="31" t="s">
        <v>110</v>
      </c>
      <c r="D21" s="26"/>
      <c r="E21" s="34"/>
      <c r="F21" s="72"/>
      <c r="G21" s="72"/>
      <c r="H21" s="72"/>
      <c r="I21" s="72"/>
      <c r="J21" s="72"/>
      <c r="K21" s="72"/>
      <c r="L21" s="72"/>
      <c r="M21" s="72"/>
      <c r="N21" s="64"/>
      <c r="O21" s="64"/>
      <c r="P21" s="64"/>
      <c r="Q21" s="64"/>
      <c r="R21" s="64"/>
      <c r="S21" s="64"/>
      <c r="T21" s="60"/>
      <c r="U21" s="87"/>
      <c r="V21" s="87"/>
      <c r="W21" s="87"/>
      <c r="X21" s="87"/>
      <c r="Y21" s="87"/>
      <c r="Z21" s="87"/>
      <c r="AA21" s="87"/>
      <c r="AB21" s="87"/>
      <c r="AC21" s="64"/>
      <c r="AD21" s="64"/>
      <c r="AE21" s="64"/>
      <c r="AF21" s="64"/>
      <c r="AG21" s="64"/>
      <c r="AH21" s="64"/>
      <c r="AI21" s="60"/>
      <c r="AJ21" s="43"/>
      <c r="AK21" s="43"/>
      <c r="AL21" s="43"/>
      <c r="AM21" s="43"/>
      <c r="AN21" s="43"/>
      <c r="AO21" s="43"/>
      <c r="AP21" s="135"/>
      <c r="AQ21" s="122"/>
      <c r="AR21" s="122"/>
    </row>
    <row r="22" spans="1:44" s="123" customFormat="1" ht="12.75">
      <c r="A22" s="122"/>
      <c r="B22" s="127"/>
      <c r="C22" s="33"/>
      <c r="D22" s="26" t="s">
        <v>5</v>
      </c>
      <c r="E22" s="34"/>
      <c r="F22" s="71">
        <v>149</v>
      </c>
      <c r="G22" s="71">
        <v>133</v>
      </c>
      <c r="H22" s="71">
        <v>95</v>
      </c>
      <c r="I22" s="73">
        <v>106</v>
      </c>
      <c r="J22" s="73">
        <v>16</v>
      </c>
      <c r="K22" s="73">
        <v>0</v>
      </c>
      <c r="L22" s="73">
        <v>19</v>
      </c>
      <c r="M22" s="73">
        <v>24</v>
      </c>
      <c r="N22" s="64">
        <f t="shared" ref="N22:N23" si="26">IFERROR(F22/G22-1,"n/a")</f>
        <v>0.12030075187969924</v>
      </c>
      <c r="O22" s="64">
        <f>IFERROR(F22/H22-1,"n/a")</f>
        <v>0.56842105263157894</v>
      </c>
      <c r="P22" s="64">
        <f>IFERROR(F22/I22-1,"n/a")</f>
        <v>0.40566037735849059</v>
      </c>
      <c r="Q22" s="64">
        <f>IFERROR(F22/J22-1,"n/a")</f>
        <v>8.3125</v>
      </c>
      <c r="R22" s="64" t="str">
        <f>IFERROR(F22/K22-1,"n/a")</f>
        <v>n/a</v>
      </c>
      <c r="S22" s="64">
        <f>IFERROR(F22/L22-1,"n/a")</f>
        <v>6.8421052631578947</v>
      </c>
      <c r="T22" s="60">
        <f>IFERROR(F22/M22-1,"n/a")</f>
        <v>5.208333333333333</v>
      </c>
      <c r="U22" s="68">
        <f t="shared" ref="U22:U23" si="27">F22</f>
        <v>149</v>
      </c>
      <c r="V22" s="68">
        <f t="shared" ref="V22:V23" si="28">G22</f>
        <v>133</v>
      </c>
      <c r="W22" s="68">
        <f t="shared" ref="W22:W23" si="29">H22</f>
        <v>95</v>
      </c>
      <c r="X22" s="68">
        <f t="shared" ref="X22:X23" si="30">I22</f>
        <v>106</v>
      </c>
      <c r="Y22" s="68">
        <f t="shared" ref="Y22:Y23" si="31">J22</f>
        <v>16</v>
      </c>
      <c r="Z22" s="68">
        <f t="shared" ref="Z22:Z23" si="32">K22</f>
        <v>0</v>
      </c>
      <c r="AA22" s="68">
        <f t="shared" ref="AA22:AA23" si="33">L22</f>
        <v>19</v>
      </c>
      <c r="AB22" s="68">
        <f t="shared" ref="AB22:AB23" si="34">M22</f>
        <v>24</v>
      </c>
      <c r="AC22" s="64">
        <f t="shared" ref="AC22:AC23" si="35">IFERROR(U22/V22-1,"n/a")</f>
        <v>0.12030075187969924</v>
      </c>
      <c r="AD22" s="64">
        <f>IFERROR(U22/W22-1,"n/a")</f>
        <v>0.56842105263157894</v>
      </c>
      <c r="AE22" s="64">
        <f>IFERROR(U22/X22-1,"n/a")</f>
        <v>0.40566037735849059</v>
      </c>
      <c r="AF22" s="64">
        <f>IFERROR(U22/Y22-1,"n/a")</f>
        <v>8.3125</v>
      </c>
      <c r="AG22" s="64" t="str">
        <f>IFERROR(U22/Z22-1,"n/a")</f>
        <v>n/a</v>
      </c>
      <c r="AH22" s="64">
        <f>IFERROR(U22/AA22-1,"n/a")</f>
        <v>6.8421052631578947</v>
      </c>
      <c r="AI22" s="60">
        <f>IFERROR(U22/AB22-1,"n/a")</f>
        <v>5.208333333333333</v>
      </c>
      <c r="AJ22" s="68">
        <v>1736</v>
      </c>
      <c r="AK22" s="68">
        <v>1651</v>
      </c>
      <c r="AL22" s="68">
        <v>1500</v>
      </c>
      <c r="AM22" s="68">
        <v>895</v>
      </c>
      <c r="AN22" s="68">
        <v>283</v>
      </c>
      <c r="AO22" s="68">
        <v>43</v>
      </c>
      <c r="AP22" s="134">
        <v>827</v>
      </c>
      <c r="AQ22" s="122"/>
      <c r="AR22" s="122"/>
    </row>
    <row r="23" spans="1:44" s="123" customFormat="1" ht="12.75">
      <c r="A23" s="122"/>
      <c r="B23" s="127"/>
      <c r="C23" s="33"/>
      <c r="D23" s="26" t="s">
        <v>11</v>
      </c>
      <c r="E23" s="32"/>
      <c r="F23" s="71">
        <v>434621</v>
      </c>
      <c r="G23" s="71">
        <v>415578</v>
      </c>
      <c r="H23" s="71">
        <v>313581</v>
      </c>
      <c r="I23" s="73">
        <v>290797</v>
      </c>
      <c r="J23" s="73">
        <v>21828</v>
      </c>
      <c r="K23" s="73">
        <v>0</v>
      </c>
      <c r="L23" s="73">
        <v>64994</v>
      </c>
      <c r="M23" s="73">
        <v>74523</v>
      </c>
      <c r="N23" s="64">
        <f t="shared" si="26"/>
        <v>4.5822926141422249E-2</v>
      </c>
      <c r="O23" s="64">
        <f>IFERROR(F23/H23-1,"n/a")</f>
        <v>0.38599277379688179</v>
      </c>
      <c r="P23" s="64">
        <f>IFERROR(F23/I23-1,"n/a")</f>
        <v>0.49458557000244152</v>
      </c>
      <c r="Q23" s="64">
        <f>IFERROR(F23/J23-1,"n/a")</f>
        <v>18.911169140553419</v>
      </c>
      <c r="R23" s="64" t="str">
        <f>IFERROR(F23/K23-1,"n/a")</f>
        <v>n/a</v>
      </c>
      <c r="S23" s="64">
        <f>IFERROR(F23/L23-1,"n/a")</f>
        <v>5.687094193310152</v>
      </c>
      <c r="T23" s="60">
        <f>IFERROR(F23/M23-1,"n/a")</f>
        <v>4.8320384310883888</v>
      </c>
      <c r="U23" s="68">
        <f t="shared" si="27"/>
        <v>434621</v>
      </c>
      <c r="V23" s="68">
        <f t="shared" si="28"/>
        <v>415578</v>
      </c>
      <c r="W23" s="68">
        <f t="shared" si="29"/>
        <v>313581</v>
      </c>
      <c r="X23" s="68">
        <f t="shared" si="30"/>
        <v>290797</v>
      </c>
      <c r="Y23" s="68">
        <f t="shared" si="31"/>
        <v>21828</v>
      </c>
      <c r="Z23" s="68">
        <f t="shared" si="32"/>
        <v>0</v>
      </c>
      <c r="AA23" s="68">
        <f t="shared" si="33"/>
        <v>64994</v>
      </c>
      <c r="AB23" s="68">
        <f t="shared" si="34"/>
        <v>74523</v>
      </c>
      <c r="AC23" s="64">
        <f t="shared" si="35"/>
        <v>4.5822926141422249E-2</v>
      </c>
      <c r="AD23" s="64">
        <f>IFERROR(U23/W23-1,"n/a")</f>
        <v>0.38599277379688179</v>
      </c>
      <c r="AE23" s="64">
        <f>IFERROR(U23/X23-1,"n/a")</f>
        <v>0.49458557000244152</v>
      </c>
      <c r="AF23" s="64">
        <f>IFERROR(U23/Y23-1,"n/a")</f>
        <v>18.911169140553419</v>
      </c>
      <c r="AG23" s="64" t="str">
        <f>IFERROR(U23/Z23-1,"n/a")</f>
        <v>n/a</v>
      </c>
      <c r="AH23" s="64">
        <f>IFERROR(U23/AA23-1,"n/a")</f>
        <v>5.687094193310152</v>
      </c>
      <c r="AI23" s="60">
        <f>IFERROR(U23/AB23-1,"n/a")</f>
        <v>4.8320384310883888</v>
      </c>
      <c r="AJ23" s="68">
        <v>4526210</v>
      </c>
      <c r="AK23" s="68">
        <v>5046474</v>
      </c>
      <c r="AL23" s="68">
        <v>4449177</v>
      </c>
      <c r="AM23" s="68">
        <v>2165161</v>
      </c>
      <c r="AN23" s="68">
        <v>465109</v>
      </c>
      <c r="AO23" s="68">
        <v>140552</v>
      </c>
      <c r="AP23" s="134">
        <v>2552942</v>
      </c>
      <c r="AQ23" s="122"/>
      <c r="AR23" s="122"/>
    </row>
    <row r="24" spans="1:44" s="123" customFormat="1" ht="12.75">
      <c r="A24" s="122"/>
      <c r="B24" s="127"/>
      <c r="C24" s="31" t="s">
        <v>111</v>
      </c>
      <c r="D24" s="26"/>
      <c r="E24" s="32"/>
      <c r="F24" s="72"/>
      <c r="G24" s="72"/>
      <c r="H24" s="72"/>
      <c r="I24" s="72"/>
      <c r="J24" s="72"/>
      <c r="K24" s="72"/>
      <c r="L24" s="72"/>
      <c r="M24" s="72"/>
      <c r="N24" s="64"/>
      <c r="O24" s="64"/>
      <c r="P24" s="64"/>
      <c r="Q24" s="64"/>
      <c r="R24" s="64"/>
      <c r="S24" s="64"/>
      <c r="T24" s="60"/>
      <c r="U24" s="87"/>
      <c r="V24" s="87"/>
      <c r="W24" s="87"/>
      <c r="X24" s="87"/>
      <c r="Y24" s="87"/>
      <c r="Z24" s="87"/>
      <c r="AA24" s="87"/>
      <c r="AB24" s="87"/>
      <c r="AC24" s="64"/>
      <c r="AD24" s="64"/>
      <c r="AE24" s="64"/>
      <c r="AF24" s="64"/>
      <c r="AG24" s="64"/>
      <c r="AH24" s="64"/>
      <c r="AI24" s="60"/>
      <c r="AJ24" s="43"/>
      <c r="AK24" s="43"/>
      <c r="AL24" s="43"/>
      <c r="AM24" s="43"/>
      <c r="AN24" s="43"/>
      <c r="AO24" s="43"/>
      <c r="AP24" s="135"/>
      <c r="AQ24" s="122"/>
      <c r="AR24" s="122"/>
    </row>
    <row r="25" spans="1:44" s="123" customFormat="1" ht="12.75">
      <c r="B25" s="127"/>
      <c r="C25" s="33"/>
      <c r="D25" s="26" t="s">
        <v>5</v>
      </c>
      <c r="E25" s="32"/>
      <c r="F25" s="71">
        <v>0</v>
      </c>
      <c r="G25" s="71">
        <v>0</v>
      </c>
      <c r="H25" s="71">
        <v>0</v>
      </c>
      <c r="I25" s="73">
        <v>0</v>
      </c>
      <c r="J25" s="73">
        <v>0</v>
      </c>
      <c r="K25" s="73">
        <v>0</v>
      </c>
      <c r="L25" s="73">
        <v>0</v>
      </c>
      <c r="M25" s="73">
        <v>0</v>
      </c>
      <c r="N25" s="64" t="str">
        <f t="shared" ref="N25:N28" si="36">IFERROR(F25/G25-1,"n/a")</f>
        <v>n/a</v>
      </c>
      <c r="O25" s="64" t="str">
        <f>IFERROR(F25/H25-1,"n/a")</f>
        <v>n/a</v>
      </c>
      <c r="P25" s="64" t="str">
        <f>IFERROR(F25/I25-1,"n/a")</f>
        <v>n/a</v>
      </c>
      <c r="Q25" s="64" t="str">
        <f>IFERROR(F25/J25-1,"n/a")</f>
        <v>n/a</v>
      </c>
      <c r="R25" s="64" t="str">
        <f>IFERROR(F25/K25-1,"n/a")</f>
        <v>n/a</v>
      </c>
      <c r="S25" s="64" t="str">
        <f>IFERROR(F25/L25-1,"n/a")</f>
        <v>n/a</v>
      </c>
      <c r="T25" s="60" t="str">
        <f>IFERROR(F25/M25-1,"n/a")</f>
        <v>n/a</v>
      </c>
      <c r="U25" s="68">
        <f t="shared" ref="U25:U26" si="37">F25</f>
        <v>0</v>
      </c>
      <c r="V25" s="68">
        <f t="shared" ref="V25:V26" si="38">G25</f>
        <v>0</v>
      </c>
      <c r="W25" s="68">
        <f t="shared" ref="W25:W26" si="39">H25</f>
        <v>0</v>
      </c>
      <c r="X25" s="68">
        <f t="shared" ref="X25:X26" si="40">I25</f>
        <v>0</v>
      </c>
      <c r="Y25" s="68">
        <f t="shared" ref="Y25:Y26" si="41">J25</f>
        <v>0</v>
      </c>
      <c r="Z25" s="68">
        <f t="shared" ref="Z25:Z26" si="42">K25</f>
        <v>0</v>
      </c>
      <c r="AA25" s="68">
        <f t="shared" ref="AA25:AA26" si="43">L25</f>
        <v>0</v>
      </c>
      <c r="AB25" s="68">
        <f t="shared" ref="AB25:AB26" si="44">M25</f>
        <v>0</v>
      </c>
      <c r="AC25" s="64" t="str">
        <f t="shared" ref="AC25:AC28" si="45">IFERROR(U25/V25-1,"n/a")</f>
        <v>n/a</v>
      </c>
      <c r="AD25" s="64" t="str">
        <f>IFERROR(U25/W25-1,"n/a")</f>
        <v>n/a</v>
      </c>
      <c r="AE25" s="64" t="str">
        <f>IFERROR(U25/X25-1,"n/a")</f>
        <v>n/a</v>
      </c>
      <c r="AF25" s="64" t="str">
        <f>IFERROR(U25/Y25-1,"n/a")</f>
        <v>n/a</v>
      </c>
      <c r="AG25" s="64" t="str">
        <f>IFERROR(U25/Z25-1,"n/a")</f>
        <v>n/a</v>
      </c>
      <c r="AH25" s="64" t="str">
        <f>IFERROR(U25/AA25-1,"n/a")</f>
        <v>n/a</v>
      </c>
      <c r="AI25" s="60" t="str">
        <f>IFERROR(U25/AB25-1,"n/a")</f>
        <v>n/a</v>
      </c>
      <c r="AJ25" s="68">
        <v>23</v>
      </c>
      <c r="AK25" s="68">
        <v>14</v>
      </c>
      <c r="AL25" s="68">
        <v>21</v>
      </c>
      <c r="AM25" s="68">
        <v>9</v>
      </c>
      <c r="AN25" s="68">
        <v>0</v>
      </c>
      <c r="AO25" s="68">
        <v>0</v>
      </c>
      <c r="AP25" s="134">
        <v>16</v>
      </c>
      <c r="AQ25" s="122"/>
      <c r="AR25" s="122"/>
    </row>
    <row r="26" spans="1:44" s="123" customFormat="1" ht="12.75">
      <c r="A26" s="122"/>
      <c r="B26" s="127"/>
      <c r="C26" s="33"/>
      <c r="D26" s="26" t="s">
        <v>11</v>
      </c>
      <c r="E26" s="32"/>
      <c r="F26" s="71">
        <v>0</v>
      </c>
      <c r="G26" s="71">
        <v>0</v>
      </c>
      <c r="H26" s="71">
        <v>0</v>
      </c>
      <c r="I26" s="73">
        <v>0</v>
      </c>
      <c r="J26" s="73">
        <v>0</v>
      </c>
      <c r="K26" s="73">
        <v>0</v>
      </c>
      <c r="L26" s="73">
        <v>0</v>
      </c>
      <c r="M26" s="73">
        <v>0</v>
      </c>
      <c r="N26" s="64" t="str">
        <f t="shared" si="36"/>
        <v>n/a</v>
      </c>
      <c r="O26" s="64" t="str">
        <f>IFERROR(F26/H26-1,"n/a")</f>
        <v>n/a</v>
      </c>
      <c r="P26" s="64" t="str">
        <f>IFERROR(F26/I26-1,"n/a")</f>
        <v>n/a</v>
      </c>
      <c r="Q26" s="64" t="str">
        <f>IFERROR(F26/J26-1,"n/a")</f>
        <v>n/a</v>
      </c>
      <c r="R26" s="64" t="str">
        <f>IFERROR(F26/K26-1,"n/a")</f>
        <v>n/a</v>
      </c>
      <c r="S26" s="64" t="str">
        <f>IFERROR(F26/L26-1,"n/a")</f>
        <v>n/a</v>
      </c>
      <c r="T26" s="60" t="str">
        <f>IFERROR(F26/M26-1,"n/a")</f>
        <v>n/a</v>
      </c>
      <c r="U26" s="68">
        <f t="shared" si="37"/>
        <v>0</v>
      </c>
      <c r="V26" s="68">
        <f t="shared" si="38"/>
        <v>0</v>
      </c>
      <c r="W26" s="68">
        <f t="shared" si="39"/>
        <v>0</v>
      </c>
      <c r="X26" s="68">
        <f t="shared" si="40"/>
        <v>0</v>
      </c>
      <c r="Y26" s="68">
        <f t="shared" si="41"/>
        <v>0</v>
      </c>
      <c r="Z26" s="68">
        <f t="shared" si="42"/>
        <v>0</v>
      </c>
      <c r="AA26" s="68">
        <f t="shared" si="43"/>
        <v>0</v>
      </c>
      <c r="AB26" s="68">
        <f t="shared" si="44"/>
        <v>0</v>
      </c>
      <c r="AC26" s="64" t="str">
        <f t="shared" si="45"/>
        <v>n/a</v>
      </c>
      <c r="AD26" s="64" t="str">
        <f>IFERROR(U26/W26-1,"n/a")</f>
        <v>n/a</v>
      </c>
      <c r="AE26" s="64" t="str">
        <f>IFERROR(U26/X26-1,"n/a")</f>
        <v>n/a</v>
      </c>
      <c r="AF26" s="64" t="str">
        <f>IFERROR(U26/Y26-1,"n/a")</f>
        <v>n/a</v>
      </c>
      <c r="AG26" s="64" t="str">
        <f>IFERROR(U26/Z26-1,"n/a")</f>
        <v>n/a</v>
      </c>
      <c r="AH26" s="64" t="str">
        <f>IFERROR(U26/AA26-1,"n/a")</f>
        <v>n/a</v>
      </c>
      <c r="AI26" s="60" t="str">
        <f>IFERROR(U26/AB26-1,"n/a")</f>
        <v>n/a</v>
      </c>
      <c r="AJ26" s="68">
        <v>72837</v>
      </c>
      <c r="AK26" s="68">
        <v>47798</v>
      </c>
      <c r="AL26" s="68">
        <v>38626</v>
      </c>
      <c r="AM26" s="68">
        <v>15637</v>
      </c>
      <c r="AN26" s="68">
        <v>0</v>
      </c>
      <c r="AO26" s="68">
        <v>0</v>
      </c>
      <c r="AP26" s="136">
        <v>20248</v>
      </c>
      <c r="AQ26" s="122"/>
      <c r="AR26" s="122"/>
    </row>
    <row r="27" spans="1:44" s="123" customFormat="1" ht="13.5" thickBot="1">
      <c r="A27" s="122"/>
      <c r="B27" s="127"/>
      <c r="C27" s="35" t="s">
        <v>158</v>
      </c>
      <c r="D27" s="36"/>
      <c r="E27" s="37"/>
      <c r="F27" s="75">
        <f t="shared" ref="F27" si="46">F13+F16+F19+F22+F25</f>
        <v>608</v>
      </c>
      <c r="G27" s="75">
        <f t="shared" ref="G27:M28" si="47">G13+G16+G19+G22+G25</f>
        <v>550</v>
      </c>
      <c r="H27" s="75">
        <f t="shared" si="47"/>
        <v>306</v>
      </c>
      <c r="I27" s="75">
        <f t="shared" si="47"/>
        <v>303</v>
      </c>
      <c r="J27" s="75">
        <f t="shared" si="47"/>
        <v>186</v>
      </c>
      <c r="K27" s="75">
        <f t="shared" si="47"/>
        <v>2</v>
      </c>
      <c r="L27" s="75">
        <f t="shared" si="47"/>
        <v>212</v>
      </c>
      <c r="M27" s="75">
        <f t="shared" si="47"/>
        <v>218</v>
      </c>
      <c r="N27" s="66">
        <f t="shared" si="36"/>
        <v>0.10545454545454547</v>
      </c>
      <c r="O27" s="66">
        <f>IFERROR(F27/H27-1,"n/a")</f>
        <v>0.98692810457516345</v>
      </c>
      <c r="P27" s="66">
        <f>IFERROR(F27/I27-1,"n/a")</f>
        <v>1.0066006600660065</v>
      </c>
      <c r="Q27" s="66">
        <f>IFERROR(F27/J27-1,"n/a")</f>
        <v>2.2688172043010755</v>
      </c>
      <c r="R27" s="66">
        <f>IFERROR(F27/K27-1,"n/a")</f>
        <v>303</v>
      </c>
      <c r="S27" s="66">
        <f>IFERROR(F27/L27-1,"n/a")</f>
        <v>1.8679245283018866</v>
      </c>
      <c r="T27" s="62">
        <f>IFERROR(F27/M27-1,"n/a")</f>
        <v>1.7889908256880735</v>
      </c>
      <c r="U27" s="75">
        <f t="shared" ref="U27" si="48">U13+U16+U19+U22+U25</f>
        <v>608</v>
      </c>
      <c r="V27" s="75">
        <f t="shared" ref="V27:AB28" si="49">V13+V16+V19+V22+V25</f>
        <v>550</v>
      </c>
      <c r="W27" s="75">
        <f t="shared" si="49"/>
        <v>306</v>
      </c>
      <c r="X27" s="75">
        <f t="shared" si="49"/>
        <v>303</v>
      </c>
      <c r="Y27" s="75">
        <f t="shared" si="49"/>
        <v>186</v>
      </c>
      <c r="Z27" s="75">
        <f t="shared" si="49"/>
        <v>2</v>
      </c>
      <c r="AA27" s="75">
        <f t="shared" si="49"/>
        <v>212</v>
      </c>
      <c r="AB27" s="75">
        <f t="shared" si="49"/>
        <v>218</v>
      </c>
      <c r="AC27" s="66">
        <f t="shared" si="45"/>
        <v>0.10545454545454547</v>
      </c>
      <c r="AD27" s="66">
        <f>IFERROR(U27/W27-1,"n/a")</f>
        <v>0.98692810457516345</v>
      </c>
      <c r="AE27" s="66">
        <f>IFERROR(U27/X27-1,"n/a")</f>
        <v>1.0066006600660065</v>
      </c>
      <c r="AF27" s="66">
        <f>IFERROR(U27/Y27-1,"n/a")</f>
        <v>2.2688172043010755</v>
      </c>
      <c r="AG27" s="66">
        <f>IFERROR(U27/Z27-1,"n/a")</f>
        <v>303</v>
      </c>
      <c r="AH27" s="66">
        <f>IFERROR(U27/AA27-1,"n/a")</f>
        <v>1.8679245283018866</v>
      </c>
      <c r="AI27" s="62">
        <f>IFERROR(U27/AB27-1,"n/a")</f>
        <v>1.7889908256880735</v>
      </c>
      <c r="AJ27" s="75">
        <f t="shared" ref="AJ27" si="50">AJ13+AJ16+AJ19+AJ22+AJ25</f>
        <v>6601</v>
      </c>
      <c r="AK27" s="75">
        <f t="shared" ref="AK27:AP28" si="51">AK13+AK16+AK19+AK22+AK25</f>
        <v>5678</v>
      </c>
      <c r="AL27" s="75">
        <f t="shared" si="51"/>
        <v>4434</v>
      </c>
      <c r="AM27" s="75">
        <f t="shared" si="51"/>
        <v>3620</v>
      </c>
      <c r="AN27" s="46">
        <f t="shared" si="51"/>
        <v>1054</v>
      </c>
      <c r="AO27" s="46">
        <f t="shared" si="51"/>
        <v>657</v>
      </c>
      <c r="AP27" s="80">
        <f t="shared" si="51"/>
        <v>3310</v>
      </c>
      <c r="AQ27" s="122"/>
      <c r="AR27" s="122"/>
    </row>
    <row r="28" spans="1:44" s="123" customFormat="1" ht="14.25" thickTop="1" thickBot="1">
      <c r="A28" s="122"/>
      <c r="B28" s="127"/>
      <c r="C28" s="38" t="s">
        <v>159</v>
      </c>
      <c r="D28" s="39"/>
      <c r="E28" s="40"/>
      <c r="F28" s="76">
        <f t="shared" ref="F28" si="52">F14+F17+F20+F23+F26</f>
        <v>1734018</v>
      </c>
      <c r="G28" s="76">
        <f t="shared" si="47"/>
        <v>1506202</v>
      </c>
      <c r="H28" s="76">
        <f t="shared" si="47"/>
        <v>982865</v>
      </c>
      <c r="I28" s="76">
        <f t="shared" si="47"/>
        <v>833405</v>
      </c>
      <c r="J28" s="76">
        <f t="shared" si="47"/>
        <v>219956</v>
      </c>
      <c r="K28" s="76">
        <f t="shared" si="47"/>
        <v>1288</v>
      </c>
      <c r="L28" s="76">
        <f t="shared" si="47"/>
        <v>555038</v>
      </c>
      <c r="M28" s="76">
        <f t="shared" si="47"/>
        <v>620852</v>
      </c>
      <c r="N28" s="67">
        <f t="shared" si="36"/>
        <v>0.1512519569088342</v>
      </c>
      <c r="O28" s="67">
        <f>IFERROR(F28/H28-1,"n/a")</f>
        <v>0.76424839627008789</v>
      </c>
      <c r="P28" s="67">
        <f>IFERROR(F28/I28-1,"n/a")</f>
        <v>1.0806426647308331</v>
      </c>
      <c r="Q28" s="67">
        <f>IFERROR(F28/J28-1,"n/a")</f>
        <v>6.883476695339068</v>
      </c>
      <c r="R28" s="67">
        <f>IFERROR(F28/K28-1,"n/a")</f>
        <v>1345.2872670807453</v>
      </c>
      <c r="S28" s="67">
        <f>IFERROR(F28/L28-1,"n/a")</f>
        <v>2.124142851480439</v>
      </c>
      <c r="T28" s="63">
        <f>IFERROR(F28/M28-1,"n/a")</f>
        <v>1.7929651511149194</v>
      </c>
      <c r="U28" s="76">
        <f t="shared" ref="U28" si="53">U14+U17+U20+U23+U26</f>
        <v>1734018</v>
      </c>
      <c r="V28" s="76">
        <f t="shared" si="49"/>
        <v>1506202</v>
      </c>
      <c r="W28" s="76">
        <f t="shared" si="49"/>
        <v>982865</v>
      </c>
      <c r="X28" s="76">
        <f t="shared" si="49"/>
        <v>833405</v>
      </c>
      <c r="Y28" s="76">
        <f t="shared" si="49"/>
        <v>219956</v>
      </c>
      <c r="Z28" s="76">
        <f t="shared" si="49"/>
        <v>1288</v>
      </c>
      <c r="AA28" s="76">
        <f t="shared" si="49"/>
        <v>555038</v>
      </c>
      <c r="AB28" s="76">
        <f t="shared" si="49"/>
        <v>620852</v>
      </c>
      <c r="AC28" s="67">
        <f t="shared" si="45"/>
        <v>0.1512519569088342</v>
      </c>
      <c r="AD28" s="67">
        <f>IFERROR(U28/W28-1,"n/a")</f>
        <v>0.76424839627008789</v>
      </c>
      <c r="AE28" s="67">
        <f>IFERROR(U28/X28-1,"n/a")</f>
        <v>1.0806426647308331</v>
      </c>
      <c r="AF28" s="67">
        <f>IFERROR(U28/Y28-1,"n/a")</f>
        <v>6.883476695339068</v>
      </c>
      <c r="AG28" s="67">
        <f>IFERROR(U28/Z28-1,"n/a")</f>
        <v>1345.2872670807453</v>
      </c>
      <c r="AH28" s="67">
        <f>IFERROR(U28/AA28-1,"n/a")</f>
        <v>2.124142851480439</v>
      </c>
      <c r="AI28" s="63">
        <f>IFERROR(U28/AB28-1,"n/a")</f>
        <v>1.7929651511149194</v>
      </c>
      <c r="AJ28" s="76">
        <f t="shared" ref="AJ28" si="54">AJ14+AJ17+AJ20+AJ23+AJ26</f>
        <v>18061688</v>
      </c>
      <c r="AK28" s="76">
        <f t="shared" si="51"/>
        <v>16671008.4</v>
      </c>
      <c r="AL28" s="76">
        <f t="shared" si="51"/>
        <v>12658551</v>
      </c>
      <c r="AM28" s="76">
        <f t="shared" si="51"/>
        <v>7626669</v>
      </c>
      <c r="AN28" s="47">
        <f t="shared" si="51"/>
        <v>1552483</v>
      </c>
      <c r="AO28" s="47">
        <f t="shared" si="51"/>
        <v>1314158</v>
      </c>
      <c r="AP28" s="81">
        <f t="shared" si="51"/>
        <v>9152531</v>
      </c>
      <c r="AQ28" s="122"/>
      <c r="AR28" s="122"/>
    </row>
    <row r="29" spans="1:44" s="123" customFormat="1" ht="13.5" thickTop="1">
      <c r="A29" s="122"/>
      <c r="B29" s="127"/>
      <c r="C29" s="31" t="s">
        <v>162</v>
      </c>
      <c r="D29" s="26"/>
      <c r="E29" s="32"/>
      <c r="F29" s="72"/>
      <c r="G29" s="72"/>
      <c r="H29" s="72"/>
      <c r="I29" s="72"/>
      <c r="J29" s="72"/>
      <c r="K29" s="72"/>
      <c r="L29" s="72"/>
      <c r="M29" s="72"/>
      <c r="N29" s="64"/>
      <c r="O29" s="64"/>
      <c r="P29" s="64"/>
      <c r="Q29" s="64"/>
      <c r="R29" s="64"/>
      <c r="S29" s="64"/>
      <c r="T29" s="60"/>
      <c r="U29" s="87"/>
      <c r="V29" s="87"/>
      <c r="W29" s="87"/>
      <c r="X29" s="87"/>
      <c r="Y29" s="87"/>
      <c r="Z29" s="87"/>
      <c r="AA29" s="87"/>
      <c r="AB29" s="87"/>
      <c r="AC29" s="64"/>
      <c r="AD29" s="64"/>
      <c r="AE29" s="64"/>
      <c r="AF29" s="64"/>
      <c r="AG29" s="64"/>
      <c r="AH29" s="64"/>
      <c r="AI29" s="60"/>
      <c r="AJ29" s="43"/>
      <c r="AK29" s="43"/>
      <c r="AL29" s="43"/>
      <c r="AM29" s="43"/>
      <c r="AN29" s="43"/>
      <c r="AO29" s="43"/>
      <c r="AP29" s="135"/>
      <c r="AQ29" s="122"/>
      <c r="AR29" s="122"/>
    </row>
    <row r="30" spans="1:44" s="123" customFormat="1" ht="12.75">
      <c r="B30" s="127"/>
      <c r="C30" s="33"/>
      <c r="D30" s="26" t="s">
        <v>5</v>
      </c>
      <c r="E30" s="32"/>
      <c r="F30" s="71">
        <v>57</v>
      </c>
      <c r="G30" s="71"/>
      <c r="H30" s="71"/>
      <c r="I30" s="73"/>
      <c r="J30" s="73"/>
      <c r="K30" s="73"/>
      <c r="L30" s="73"/>
      <c r="M30" s="73"/>
      <c r="N30" s="64"/>
      <c r="O30" s="64"/>
      <c r="P30" s="64"/>
      <c r="Q30" s="64"/>
      <c r="R30" s="64"/>
      <c r="S30" s="64"/>
      <c r="T30" s="60"/>
      <c r="U30" s="68">
        <f t="shared" ref="U30:U31" si="55">F30</f>
        <v>57</v>
      </c>
      <c r="V30" s="68"/>
      <c r="W30" s="68"/>
      <c r="X30" s="68"/>
      <c r="Y30" s="68"/>
      <c r="Z30" s="68"/>
      <c r="AA30" s="68"/>
      <c r="AB30" s="68"/>
      <c r="AC30" s="64"/>
      <c r="AD30" s="64"/>
      <c r="AE30" s="64"/>
      <c r="AF30" s="64"/>
      <c r="AG30" s="64"/>
      <c r="AH30" s="64"/>
      <c r="AI30" s="60"/>
      <c r="AJ30" s="68">
        <v>725</v>
      </c>
      <c r="AK30" s="68"/>
      <c r="AL30" s="68"/>
      <c r="AM30" s="68"/>
      <c r="AN30" s="68"/>
      <c r="AO30" s="68"/>
      <c r="AP30" s="134"/>
      <c r="AQ30" s="122"/>
      <c r="AR30" s="122"/>
    </row>
    <row r="31" spans="1:44" s="123" customFormat="1" ht="12.75">
      <c r="A31" s="122"/>
      <c r="B31" s="127"/>
      <c r="C31" s="33"/>
      <c r="D31" s="26" t="s">
        <v>11</v>
      </c>
      <c r="E31" s="32"/>
      <c r="F31" s="71">
        <v>269551</v>
      </c>
      <c r="G31" s="71"/>
      <c r="H31" s="71"/>
      <c r="I31" s="73"/>
      <c r="J31" s="73"/>
      <c r="K31" s="73"/>
      <c r="L31" s="73"/>
      <c r="M31" s="73"/>
      <c r="N31" s="64"/>
      <c r="O31" s="64"/>
      <c r="P31" s="64"/>
      <c r="Q31" s="64"/>
      <c r="R31" s="64"/>
      <c r="S31" s="64"/>
      <c r="T31" s="60"/>
      <c r="U31" s="68">
        <f t="shared" si="55"/>
        <v>269551</v>
      </c>
      <c r="V31" s="68"/>
      <c r="W31" s="68"/>
      <c r="X31" s="68"/>
      <c r="Y31" s="68"/>
      <c r="Z31" s="68"/>
      <c r="AA31" s="68"/>
      <c r="AB31" s="68"/>
      <c r="AC31" s="64"/>
      <c r="AD31" s="64"/>
      <c r="AE31" s="64"/>
      <c r="AF31" s="64"/>
      <c r="AG31" s="64"/>
      <c r="AH31" s="64"/>
      <c r="AI31" s="60"/>
      <c r="AJ31" s="68">
        <v>2827444</v>
      </c>
      <c r="AK31" s="68"/>
      <c r="AL31" s="68"/>
      <c r="AM31" s="68"/>
      <c r="AN31" s="68"/>
      <c r="AO31" s="68"/>
      <c r="AP31" s="136"/>
      <c r="AQ31" s="122"/>
      <c r="AR31" s="122"/>
    </row>
    <row r="32" spans="1:44" s="123" customFormat="1" ht="13.5" thickBot="1">
      <c r="A32" s="122"/>
      <c r="B32" s="127"/>
      <c r="C32" s="35" t="s">
        <v>160</v>
      </c>
      <c r="D32" s="36"/>
      <c r="E32" s="37"/>
      <c r="F32" s="75">
        <f>F27+F30</f>
        <v>665</v>
      </c>
      <c r="G32" s="75"/>
      <c r="H32" s="75"/>
      <c r="I32" s="75"/>
      <c r="J32" s="75"/>
      <c r="K32" s="75"/>
      <c r="L32" s="75"/>
      <c r="M32" s="75"/>
      <c r="N32" s="66"/>
      <c r="O32" s="66"/>
      <c r="P32" s="66"/>
      <c r="Q32" s="66"/>
      <c r="R32" s="66"/>
      <c r="S32" s="66"/>
      <c r="T32" s="62"/>
      <c r="U32" s="75">
        <f>U27+U30</f>
        <v>665</v>
      </c>
      <c r="V32" s="75"/>
      <c r="W32" s="75"/>
      <c r="X32" s="75"/>
      <c r="Y32" s="75"/>
      <c r="Z32" s="75"/>
      <c r="AA32" s="75"/>
      <c r="AB32" s="75"/>
      <c r="AC32" s="66"/>
      <c r="AD32" s="66"/>
      <c r="AE32" s="66"/>
      <c r="AF32" s="66"/>
      <c r="AG32" s="66"/>
      <c r="AH32" s="66"/>
      <c r="AI32" s="62"/>
      <c r="AJ32" s="75">
        <f>AJ27+AJ30</f>
        <v>7326</v>
      </c>
      <c r="AK32" s="75"/>
      <c r="AL32" s="75"/>
      <c r="AM32" s="75"/>
      <c r="AN32" s="75"/>
      <c r="AO32" s="75"/>
      <c r="AP32" s="75"/>
      <c r="AQ32" s="122"/>
      <c r="AR32" s="122"/>
    </row>
    <row r="33" spans="1:44" s="123" customFormat="1" ht="14.25" thickTop="1" thickBot="1">
      <c r="A33" s="122"/>
      <c r="B33" s="127"/>
      <c r="C33" s="38" t="s">
        <v>161</v>
      </c>
      <c r="D33" s="39"/>
      <c r="E33" s="40"/>
      <c r="F33" s="76">
        <f>F28+F31</f>
        <v>2003569</v>
      </c>
      <c r="G33" s="76"/>
      <c r="H33" s="76"/>
      <c r="I33" s="76"/>
      <c r="J33" s="76"/>
      <c r="K33" s="76"/>
      <c r="L33" s="76"/>
      <c r="M33" s="76"/>
      <c r="N33" s="67"/>
      <c r="O33" s="67"/>
      <c r="P33" s="67"/>
      <c r="Q33" s="67"/>
      <c r="R33" s="67"/>
      <c r="S33" s="67"/>
      <c r="T33" s="63"/>
      <c r="U33" s="75">
        <f>U28+U31</f>
        <v>2003569</v>
      </c>
      <c r="V33" s="75"/>
      <c r="W33" s="75"/>
      <c r="X33" s="75"/>
      <c r="Y33" s="75"/>
      <c r="Z33" s="75"/>
      <c r="AA33" s="75"/>
      <c r="AB33" s="75"/>
      <c r="AC33" s="67"/>
      <c r="AD33" s="67"/>
      <c r="AE33" s="67"/>
      <c r="AF33" s="67"/>
      <c r="AG33" s="67"/>
      <c r="AH33" s="67"/>
      <c r="AI33" s="63"/>
      <c r="AJ33" s="76">
        <f>AJ28+AJ31</f>
        <v>20889132</v>
      </c>
      <c r="AK33" s="76"/>
      <c r="AL33" s="76"/>
      <c r="AM33" s="76"/>
      <c r="AN33" s="76"/>
      <c r="AO33" s="76"/>
      <c r="AP33" s="76"/>
      <c r="AQ33" s="122"/>
      <c r="AR33" s="122"/>
    </row>
    <row r="34" spans="1:44" s="123" customFormat="1" ht="12" thickTop="1">
      <c r="A34" s="122"/>
      <c r="B34" s="122"/>
      <c r="C34" s="122"/>
      <c r="D34" s="122"/>
      <c r="E34" s="122"/>
      <c r="F34" s="128"/>
      <c r="G34" s="128"/>
      <c r="H34" s="122"/>
      <c r="I34" s="128"/>
      <c r="J34" s="128"/>
      <c r="K34" s="128"/>
      <c r="L34" s="128"/>
      <c r="M34" s="128"/>
      <c r="N34" s="128"/>
      <c r="O34" s="128"/>
      <c r="P34" s="128"/>
      <c r="Q34" s="128"/>
      <c r="R34" s="128"/>
      <c r="S34" s="128"/>
      <c r="T34" s="122"/>
      <c r="U34" s="122"/>
      <c r="V34" s="128"/>
      <c r="W34" s="128"/>
      <c r="X34" s="128"/>
      <c r="Y34" s="128"/>
      <c r="Z34" s="128"/>
      <c r="AA34" s="128"/>
      <c r="AB34" s="128"/>
      <c r="AC34" s="128"/>
      <c r="AD34" s="122"/>
      <c r="AE34" s="122"/>
      <c r="AF34" s="122"/>
      <c r="AG34" s="122"/>
      <c r="AH34" s="122"/>
      <c r="AI34" s="122"/>
      <c r="AJ34" s="122"/>
      <c r="AK34" s="122"/>
      <c r="AL34" s="122"/>
      <c r="AM34" s="122"/>
      <c r="AN34" s="122"/>
      <c r="AO34" s="122"/>
      <c r="AP34" s="122"/>
      <c r="AQ34" s="122"/>
      <c r="AR34" s="122"/>
    </row>
    <row r="35" spans="1:44" s="123" customFormat="1" ht="11.25">
      <c r="A35" s="122"/>
      <c r="B35" s="122"/>
      <c r="C35" s="122"/>
      <c r="D35" s="122"/>
      <c r="E35" s="122"/>
      <c r="F35" s="122"/>
      <c r="G35" s="122"/>
      <c r="H35" s="122"/>
      <c r="I35" s="128"/>
      <c r="J35" s="128"/>
      <c r="K35" s="128"/>
      <c r="L35" s="128"/>
      <c r="M35" s="128"/>
      <c r="N35" s="128"/>
      <c r="O35" s="128"/>
      <c r="P35" s="128"/>
      <c r="Q35" s="128"/>
      <c r="R35" s="128"/>
      <c r="S35" s="128"/>
      <c r="T35" s="122"/>
      <c r="U35" s="122"/>
      <c r="V35" s="128"/>
      <c r="W35" s="128"/>
      <c r="X35" s="128"/>
      <c r="Y35" s="128"/>
      <c r="Z35" s="128"/>
      <c r="AA35" s="128"/>
      <c r="AB35" s="128"/>
      <c r="AC35" s="128"/>
      <c r="AD35" s="128"/>
      <c r="AE35" s="122"/>
      <c r="AF35" s="122"/>
      <c r="AG35" s="122"/>
      <c r="AH35" s="122"/>
      <c r="AI35" s="122"/>
      <c r="AJ35" s="122"/>
      <c r="AK35" s="122"/>
      <c r="AL35" s="122"/>
      <c r="AM35" s="122"/>
      <c r="AN35" s="122"/>
      <c r="AO35" s="122"/>
      <c r="AP35" s="122"/>
      <c r="AQ35" s="122"/>
      <c r="AR35" s="122"/>
    </row>
    <row r="36" spans="1:44" s="123" customFormat="1" ht="12.75">
      <c r="A36" s="122"/>
      <c r="B36" s="129"/>
      <c r="C36" s="130" t="s">
        <v>63</v>
      </c>
      <c r="D36" s="24"/>
      <c r="E36" s="24"/>
      <c r="F36" s="24"/>
      <c r="G36" s="24"/>
      <c r="H36" s="24"/>
      <c r="I36" s="24"/>
      <c r="J36" s="24"/>
      <c r="K36" s="24"/>
      <c r="L36" s="24"/>
      <c r="M36" s="95"/>
      <c r="N36" s="95"/>
      <c r="O36" s="95"/>
      <c r="P36" s="95"/>
      <c r="Q36" s="95"/>
      <c r="R36" s="95"/>
      <c r="S36" s="95"/>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122"/>
    </row>
    <row r="37" spans="1:44" s="123" customFormat="1" ht="12.75">
      <c r="A37" s="122"/>
      <c r="B37" s="129"/>
      <c r="C37" s="24"/>
      <c r="D37" s="24"/>
      <c r="E37" s="24"/>
      <c r="F37" s="24"/>
      <c r="G37" s="24"/>
      <c r="H37" s="24"/>
      <c r="I37" s="24"/>
      <c r="J37" s="24"/>
      <c r="K37" s="24"/>
      <c r="L37" s="24"/>
      <c r="M37" s="95"/>
      <c r="N37" s="95"/>
      <c r="O37" s="95"/>
      <c r="P37" s="95"/>
      <c r="Q37" s="95"/>
      <c r="R37" s="95"/>
      <c r="S37" s="95"/>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122"/>
    </row>
    <row r="38" spans="1:44" s="123" customFormat="1" ht="15" customHeight="1">
      <c r="A38" s="122"/>
      <c r="B38" s="122"/>
      <c r="C38" s="27" t="s">
        <v>7</v>
      </c>
      <c r="D38" s="28"/>
      <c r="E38" s="28"/>
      <c r="F38" s="170" t="str">
        <f>F9</f>
        <v>January</v>
      </c>
      <c r="G38" s="170"/>
      <c r="H38" s="170"/>
      <c r="I38" s="170"/>
      <c r="J38" s="170"/>
      <c r="K38" s="170"/>
      <c r="L38" s="170"/>
      <c r="M38" s="170"/>
      <c r="N38" s="170"/>
      <c r="O38" s="170"/>
      <c r="P38" s="170"/>
      <c r="Q38" s="170"/>
      <c r="R38" s="170"/>
      <c r="S38" s="170"/>
      <c r="T38" s="171"/>
      <c r="U38" s="176" t="str">
        <f>"April to "&amp;D4&amp;" (YTD)"</f>
        <v>April to January (YTD)</v>
      </c>
      <c r="V38" s="177"/>
      <c r="W38" s="177"/>
      <c r="X38" s="177"/>
      <c r="Y38" s="177"/>
      <c r="Z38" s="177"/>
      <c r="AA38" s="177"/>
      <c r="AB38" s="177"/>
      <c r="AC38" s="177"/>
      <c r="AD38" s="177"/>
      <c r="AE38" s="177"/>
      <c r="AF38" s="177"/>
      <c r="AG38" s="177"/>
      <c r="AH38" s="177"/>
      <c r="AI38" s="178"/>
      <c r="AJ38" s="176" t="s">
        <v>58</v>
      </c>
      <c r="AK38" s="177"/>
      <c r="AL38" s="177"/>
      <c r="AM38" s="177"/>
      <c r="AN38" s="177"/>
      <c r="AO38" s="177"/>
      <c r="AP38" s="179"/>
    </row>
    <row r="39" spans="1:44" s="123" customFormat="1" ht="11.25">
      <c r="A39" s="122"/>
      <c r="B39" s="122"/>
      <c r="C39" s="29"/>
      <c r="D39" s="30"/>
      <c r="E39" s="30"/>
      <c r="F39" s="142"/>
      <c r="G39" s="143"/>
      <c r="H39" s="143"/>
      <c r="I39" s="143"/>
      <c r="J39" s="143"/>
      <c r="K39" s="143"/>
      <c r="L39" s="143"/>
      <c r="M39" s="143"/>
      <c r="N39" s="143"/>
      <c r="O39" s="143"/>
      <c r="P39" s="143"/>
      <c r="Q39" s="143"/>
      <c r="R39" s="143"/>
      <c r="S39" s="143"/>
      <c r="T39" s="144"/>
      <c r="U39" s="143"/>
      <c r="V39" s="143"/>
      <c r="W39" s="143"/>
      <c r="X39" s="143"/>
      <c r="Y39" s="143"/>
      <c r="Z39" s="143"/>
      <c r="AA39" s="143"/>
      <c r="AB39" s="143"/>
      <c r="AC39" s="143"/>
      <c r="AD39" s="143"/>
      <c r="AE39" s="143"/>
      <c r="AF39" s="143"/>
      <c r="AG39" s="143"/>
      <c r="AH39" s="143"/>
      <c r="AI39" s="144"/>
      <c r="AJ39" s="164"/>
      <c r="AK39" s="165"/>
      <c r="AL39" s="165"/>
      <c r="AM39" s="165"/>
      <c r="AN39" s="165"/>
      <c r="AO39" s="165"/>
      <c r="AP39" s="166"/>
    </row>
    <row r="40" spans="1:44" s="123" customFormat="1" ht="22.5">
      <c r="A40" s="122"/>
      <c r="B40" s="122"/>
      <c r="C40" s="59" t="s">
        <v>29</v>
      </c>
      <c r="D40" s="50"/>
      <c r="E40" s="51"/>
      <c r="F40" s="55">
        <v>2026</v>
      </c>
      <c r="G40" s="52">
        <v>2025</v>
      </c>
      <c r="H40" s="52">
        <v>2024</v>
      </c>
      <c r="I40" s="52">
        <v>2023</v>
      </c>
      <c r="J40" s="52">
        <v>2022</v>
      </c>
      <c r="K40" s="52">
        <v>2021</v>
      </c>
      <c r="L40" s="52">
        <v>2020</v>
      </c>
      <c r="M40" s="52">
        <v>2019</v>
      </c>
      <c r="N40" s="53" t="s">
        <v>147</v>
      </c>
      <c r="O40" s="53" t="s">
        <v>147</v>
      </c>
      <c r="P40" s="53" t="s">
        <v>148</v>
      </c>
      <c r="Q40" s="53" t="s">
        <v>149</v>
      </c>
      <c r="R40" s="53" t="s">
        <v>150</v>
      </c>
      <c r="S40" s="53" t="s">
        <v>151</v>
      </c>
      <c r="T40" s="57" t="s">
        <v>157</v>
      </c>
      <c r="U40" s="53"/>
      <c r="V40" s="53" t="s">
        <v>145</v>
      </c>
      <c r="W40" s="53" t="s">
        <v>128</v>
      </c>
      <c r="X40" s="53" t="s">
        <v>114</v>
      </c>
      <c r="Y40" s="53" t="s">
        <v>53</v>
      </c>
      <c r="Z40" s="52" t="s">
        <v>54</v>
      </c>
      <c r="AA40" s="52" t="s">
        <v>59</v>
      </c>
      <c r="AB40" s="52" t="s">
        <v>64</v>
      </c>
      <c r="AC40" s="52"/>
      <c r="AD40" s="53" t="s">
        <v>146</v>
      </c>
      <c r="AE40" s="53" t="s">
        <v>147</v>
      </c>
      <c r="AF40" s="53" t="s">
        <v>148</v>
      </c>
      <c r="AG40" s="53" t="s">
        <v>149</v>
      </c>
      <c r="AH40" s="53" t="s">
        <v>150</v>
      </c>
      <c r="AI40" s="57" t="s">
        <v>151</v>
      </c>
      <c r="AJ40" s="53"/>
      <c r="AK40" s="53" t="s">
        <v>128</v>
      </c>
      <c r="AL40" s="53" t="s">
        <v>114</v>
      </c>
      <c r="AM40" s="53" t="s">
        <v>53</v>
      </c>
      <c r="AN40" s="53" t="s">
        <v>54</v>
      </c>
      <c r="AO40" s="53" t="s">
        <v>65</v>
      </c>
      <c r="AP40" s="57" t="s">
        <v>73</v>
      </c>
      <c r="AR40" s="122"/>
    </row>
    <row r="41" spans="1:44" s="123" customFormat="1" ht="11.25">
      <c r="A41" s="122"/>
      <c r="B41" s="122"/>
      <c r="C41" s="31" t="s">
        <v>107</v>
      </c>
      <c r="D41" s="26"/>
      <c r="E41" s="32"/>
      <c r="F41" s="26"/>
      <c r="G41" s="26"/>
      <c r="H41" s="26"/>
      <c r="I41" s="26"/>
      <c r="J41" s="26"/>
      <c r="K41" s="26"/>
      <c r="L41" s="26"/>
      <c r="M41" s="26"/>
      <c r="N41" s="26"/>
      <c r="O41" s="26"/>
      <c r="P41" s="26"/>
      <c r="Q41" s="26"/>
      <c r="R41" s="26"/>
      <c r="S41" s="26"/>
      <c r="T41" s="32"/>
      <c r="U41" s="26"/>
      <c r="V41" s="26"/>
      <c r="W41" s="26"/>
      <c r="X41" s="26"/>
      <c r="Y41" s="26"/>
      <c r="Z41" s="26"/>
      <c r="AA41" s="26"/>
      <c r="AB41" s="122"/>
      <c r="AC41" s="122"/>
      <c r="AD41" s="122"/>
      <c r="AE41" s="26"/>
      <c r="AF41" s="26"/>
      <c r="AG41" s="122"/>
      <c r="AH41" s="26"/>
      <c r="AI41" s="32"/>
      <c r="AJ41" s="26"/>
      <c r="AK41" s="26"/>
      <c r="AL41" s="26"/>
      <c r="AM41" s="26"/>
      <c r="AN41" s="26"/>
      <c r="AO41" s="88"/>
      <c r="AP41" s="85"/>
      <c r="AR41" s="122"/>
    </row>
    <row r="42" spans="1:44" s="123" customFormat="1" ht="11.25">
      <c r="A42" s="122"/>
      <c r="B42" s="122"/>
      <c r="C42" s="33"/>
      <c r="D42" s="26" t="s">
        <v>5</v>
      </c>
      <c r="E42" s="32"/>
      <c r="F42" s="74">
        <f t="shared" ref="F42:M43" si="56">F13</f>
        <v>434</v>
      </c>
      <c r="G42" s="74">
        <f t="shared" si="56"/>
        <v>404</v>
      </c>
      <c r="H42" s="74">
        <f t="shared" si="56"/>
        <v>197</v>
      </c>
      <c r="I42" s="74">
        <f t="shared" si="56"/>
        <v>188</v>
      </c>
      <c r="J42" s="74">
        <f t="shared" si="56"/>
        <v>164</v>
      </c>
      <c r="K42" s="74">
        <f t="shared" si="56"/>
        <v>0</v>
      </c>
      <c r="L42" s="74">
        <f t="shared" si="56"/>
        <v>187</v>
      </c>
      <c r="M42" s="74">
        <f t="shared" si="56"/>
        <v>189</v>
      </c>
      <c r="N42" s="64">
        <f t="shared" ref="N42:N43" si="57">IFERROR(F42/G42-1,"n/a")</f>
        <v>7.4257425742574323E-2</v>
      </c>
      <c r="O42" s="64">
        <f>IFERROR(F42/H42-1,"n/a")</f>
        <v>1.203045685279188</v>
      </c>
      <c r="P42" s="64">
        <f>IFERROR(F42/I42-1,"n/a")</f>
        <v>1.3085106382978724</v>
      </c>
      <c r="Q42" s="64">
        <f>IFERROR(F42/J42-1,"n/a")</f>
        <v>1.6463414634146343</v>
      </c>
      <c r="R42" s="64" t="str">
        <f>IFERROR(F42/K42-1,"n/a")</f>
        <v>n/a</v>
      </c>
      <c r="S42" s="64">
        <f>IFERROR(F42/L42-1,"n/a")</f>
        <v>1.320855614973262</v>
      </c>
      <c r="T42" s="60">
        <f>IFERROR(F42/M42-1,"n/a")</f>
        <v>1.2962962962962963</v>
      </c>
      <c r="U42" s="64"/>
      <c r="V42" s="74">
        <f>'Dec-25'!S37+F42-2</f>
        <v>2322</v>
      </c>
      <c r="W42" s="74">
        <f>'Dec-25'!T37+G42</f>
        <v>2185</v>
      </c>
      <c r="X42" s="74">
        <f>'Dec-25'!U37+H42</f>
        <v>1297</v>
      </c>
      <c r="Y42" s="74">
        <f>'Dec-25'!V37+I42</f>
        <v>1144</v>
      </c>
      <c r="Z42" s="74">
        <f>'Dec-25'!W37+J42</f>
        <v>679</v>
      </c>
      <c r="AA42" s="74">
        <f>'Dec-25'!X37+K42</f>
        <v>42</v>
      </c>
      <c r="AB42" s="74">
        <f>'Dec-25'!Y37+L42</f>
        <v>1255</v>
      </c>
      <c r="AC42" s="74"/>
      <c r="AD42" s="147">
        <f>IFERROR(V42/W42-1,"n/a")</f>
        <v>6.2700228832951899E-2</v>
      </c>
      <c r="AE42" s="147">
        <f>IFERROR(V42/X42-1,"n/a")</f>
        <v>0.79028527370855817</v>
      </c>
      <c r="AF42" s="147">
        <f>IFERROR(V42/Y42-1,"n/a")</f>
        <v>1.0297202797202796</v>
      </c>
      <c r="AG42" s="147">
        <f>IFERROR(V42/Z42-1,"n/a")</f>
        <v>2.4197349042709866</v>
      </c>
      <c r="AH42" s="147">
        <f>IFERROR(V42/AA42-1,"n/a")</f>
        <v>54.285714285714285</v>
      </c>
      <c r="AI42" s="158">
        <f>IFERROR(V42/AB42-1,"n/a")</f>
        <v>0.85019920318725095</v>
      </c>
      <c r="AJ42" s="163"/>
      <c r="AK42" s="154">
        <v>2874</v>
      </c>
      <c r="AL42" s="89">
        <v>1802</v>
      </c>
      <c r="AM42" s="89">
        <v>1486</v>
      </c>
      <c r="AN42" s="89">
        <v>1052</v>
      </c>
      <c r="AO42" s="70">
        <v>551</v>
      </c>
      <c r="AP42" s="78">
        <v>1584</v>
      </c>
      <c r="AR42" s="122"/>
    </row>
    <row r="43" spans="1:44" s="123" customFormat="1" ht="11.25">
      <c r="A43" s="122"/>
      <c r="B43" s="122"/>
      <c r="C43" s="33"/>
      <c r="D43" s="26" t="s">
        <v>11</v>
      </c>
      <c r="E43" s="32"/>
      <c r="F43" s="74">
        <f t="shared" si="56"/>
        <v>1253553</v>
      </c>
      <c r="G43" s="74">
        <f t="shared" si="56"/>
        <v>1052329</v>
      </c>
      <c r="H43" s="74">
        <f t="shared" si="56"/>
        <v>621308</v>
      </c>
      <c r="I43" s="74">
        <f t="shared" si="56"/>
        <v>522949</v>
      </c>
      <c r="J43" s="74">
        <f t="shared" si="56"/>
        <v>195612</v>
      </c>
      <c r="K43" s="74">
        <f t="shared" si="56"/>
        <v>0</v>
      </c>
      <c r="L43" s="74">
        <f t="shared" si="56"/>
        <v>466080</v>
      </c>
      <c r="M43" s="74">
        <f t="shared" si="56"/>
        <v>525262</v>
      </c>
      <c r="N43" s="64">
        <f t="shared" si="57"/>
        <v>0.19121776554670644</v>
      </c>
      <c r="O43" s="64">
        <f>IFERROR(F43/H43-1,"n/a")</f>
        <v>1.0176031855376078</v>
      </c>
      <c r="P43" s="64">
        <f>IFERROR(F43/I43-1,"n/a")</f>
        <v>1.3970846105451966</v>
      </c>
      <c r="Q43" s="64">
        <f>IFERROR(F43/J43-1,"n/a")</f>
        <v>5.4083645175142632</v>
      </c>
      <c r="R43" s="64" t="str">
        <f>IFERROR(F43/K43-1,"n/a")</f>
        <v>n/a</v>
      </c>
      <c r="S43" s="64">
        <f>IFERROR(F43/L43-1,"n/a")</f>
        <v>1.6895661688980432</v>
      </c>
      <c r="T43" s="60">
        <f>IFERROR(F43/M43-1,"n/a")</f>
        <v>1.3865290083805797</v>
      </c>
      <c r="U43" s="64"/>
      <c r="V43" s="74">
        <f>'Dec-25'!S38+F43-1902</f>
        <v>7638304</v>
      </c>
      <c r="W43" s="74">
        <f>'Dec-25'!T38+G43</f>
        <v>6917994</v>
      </c>
      <c r="X43" s="74">
        <f>'Dec-25'!U38+H43</f>
        <v>4315661</v>
      </c>
      <c r="Y43" s="74">
        <f>'Dec-25'!V38+I43</f>
        <v>3355704</v>
      </c>
      <c r="Z43" s="74">
        <f>'Dec-25'!W38+J43</f>
        <v>958813</v>
      </c>
      <c r="AA43" s="74">
        <f>'Dec-25'!X38+K43</f>
        <v>0</v>
      </c>
      <c r="AB43" s="74">
        <f>'Dec-25'!Y38+L43</f>
        <v>3586052</v>
      </c>
      <c r="AC43" s="74"/>
      <c r="AD43" s="147">
        <f>IFERROR(V43/W43-1,"n/a")</f>
        <v>0.10412122358013032</v>
      </c>
      <c r="AE43" s="147">
        <f>IFERROR(V43/X43-1,"n/a")</f>
        <v>0.76990361383806549</v>
      </c>
      <c r="AF43" s="147">
        <f>IFERROR(V43/Y43-1,"n/a")</f>
        <v>1.2762150654527336</v>
      </c>
      <c r="AG43" s="147">
        <f>IFERROR(V43/Z43-1,"n/a")</f>
        <v>6.9664168091171064</v>
      </c>
      <c r="AH43" s="147" t="str">
        <f>IFERROR(V43/AA43-1,"n/a")</f>
        <v>n/a</v>
      </c>
      <c r="AI43" s="158">
        <f>IFERROR(V43/AB43-1,"n/a")</f>
        <v>1.1300036920825467</v>
      </c>
      <c r="AJ43" s="163"/>
      <c r="AK43" s="154">
        <v>8791246</v>
      </c>
      <c r="AL43" s="89">
        <v>5848177</v>
      </c>
      <c r="AM43" s="89">
        <v>4370939</v>
      </c>
      <c r="AN43" s="89">
        <v>1527970</v>
      </c>
      <c r="AO43" s="84">
        <v>1092884</v>
      </c>
      <c r="AP43" s="78">
        <v>4234259</v>
      </c>
      <c r="AR43" s="122"/>
    </row>
    <row r="44" spans="1:44" s="123" customFormat="1" ht="11.25">
      <c r="A44" s="122"/>
      <c r="B44" s="122"/>
      <c r="C44" s="31" t="s">
        <v>108</v>
      </c>
      <c r="D44" s="26"/>
      <c r="E44" s="32"/>
      <c r="F44" s="26"/>
      <c r="G44" s="26"/>
      <c r="H44" s="26"/>
      <c r="I44" s="26"/>
      <c r="J44" s="26"/>
      <c r="K44" s="26"/>
      <c r="L44" s="26"/>
      <c r="M44" s="26"/>
      <c r="N44" s="64"/>
      <c r="O44" s="64"/>
      <c r="P44" s="64"/>
      <c r="Q44" s="64"/>
      <c r="R44" s="64"/>
      <c r="S44" s="64"/>
      <c r="T44" s="61"/>
      <c r="U44" s="65"/>
      <c r="V44" s="157"/>
      <c r="W44" s="26"/>
      <c r="X44" s="26"/>
      <c r="Y44" s="26"/>
      <c r="Z44" s="26"/>
      <c r="AA44" s="26"/>
      <c r="AB44" s="26"/>
      <c r="AC44" s="26"/>
      <c r="AD44" s="146"/>
      <c r="AE44" s="148"/>
      <c r="AF44" s="148"/>
      <c r="AG44" s="148"/>
      <c r="AH44" s="148"/>
      <c r="AI44" s="159"/>
      <c r="AJ44" s="108"/>
      <c r="AK44" s="44"/>
      <c r="AL44" s="90"/>
      <c r="AM44" s="90"/>
      <c r="AN44" s="90"/>
      <c r="AO44" s="44"/>
      <c r="AP44" s="79"/>
      <c r="AR44" s="122"/>
    </row>
    <row r="45" spans="1:44" s="123" customFormat="1" ht="11.25">
      <c r="A45" s="122"/>
      <c r="B45" s="122"/>
      <c r="C45" s="33"/>
      <c r="D45" s="26" t="s">
        <v>5</v>
      </c>
      <c r="E45" s="32"/>
      <c r="F45" s="74">
        <f t="shared" ref="F45:M46" si="58">F16</f>
        <v>18</v>
      </c>
      <c r="G45" s="74">
        <f t="shared" si="58"/>
        <v>12</v>
      </c>
      <c r="H45" s="74">
        <f t="shared" si="58"/>
        <v>12</v>
      </c>
      <c r="I45" s="74">
        <f t="shared" si="58"/>
        <v>5</v>
      </c>
      <c r="J45" s="74">
        <f t="shared" si="58"/>
        <v>3</v>
      </c>
      <c r="K45" s="74">
        <f t="shared" si="58"/>
        <v>2</v>
      </c>
      <c r="L45" s="74">
        <f t="shared" si="58"/>
        <v>5</v>
      </c>
      <c r="M45" s="74">
        <f t="shared" si="58"/>
        <v>5</v>
      </c>
      <c r="N45" s="64">
        <f t="shared" ref="N45:N46" si="59">IFERROR(F45/G45-1,"n/a")</f>
        <v>0.5</v>
      </c>
      <c r="O45" s="64">
        <f>IFERROR(F45/H45-1,"n/a")</f>
        <v>0.5</v>
      </c>
      <c r="P45" s="64">
        <f>IFERROR(F45/I45-1,"n/a")</f>
        <v>2.6</v>
      </c>
      <c r="Q45" s="64">
        <f>IFERROR(F45/J45-1,"n/a")</f>
        <v>5</v>
      </c>
      <c r="R45" s="64">
        <f>IFERROR(F45/K45-1,"n/a")</f>
        <v>8</v>
      </c>
      <c r="S45" s="64">
        <f>IFERROR(F45/L45-1,"n/a")</f>
        <v>2.6</v>
      </c>
      <c r="T45" s="60">
        <f>IFERROR(F45/M45-1,"n/a")</f>
        <v>2.6</v>
      </c>
      <c r="U45" s="64"/>
      <c r="V45" s="74">
        <f>'Dec-25'!S40+F45</f>
        <v>965</v>
      </c>
      <c r="W45" s="74">
        <f>'Dec-25'!T40+G45</f>
        <v>772</v>
      </c>
      <c r="X45" s="74">
        <f>'Dec-25'!U40+H45</f>
        <v>559</v>
      </c>
      <c r="Y45" s="74">
        <f>'Dec-25'!V40+I45</f>
        <v>542</v>
      </c>
      <c r="Z45" s="74">
        <f>'Dec-25'!W40+J45</f>
        <v>195</v>
      </c>
      <c r="AA45" s="74">
        <f>'Dec-25'!X40+K45</f>
        <v>46</v>
      </c>
      <c r="AB45" s="74">
        <f>'Dec-25'!Y40+L45</f>
        <v>575</v>
      </c>
      <c r="AC45" s="74"/>
      <c r="AD45" s="147">
        <f t="shared" ref="AD45:AD46" si="60">IFERROR(V45/W45-1,"n/a")</f>
        <v>0.25</v>
      </c>
      <c r="AE45" s="147">
        <f t="shared" ref="AE45:AE46" si="61">IFERROR(V45/X45-1,"n/a")</f>
        <v>0.72629695885509848</v>
      </c>
      <c r="AF45" s="147">
        <f t="shared" ref="AF45:AF46" si="62">IFERROR(V45/Y45-1,"n/a")</f>
        <v>0.78044280442804426</v>
      </c>
      <c r="AG45" s="147">
        <f t="shared" ref="AG45:AG46" si="63">IFERROR(V45/Z45-1,"n/a")</f>
        <v>3.9487179487179489</v>
      </c>
      <c r="AH45" s="147">
        <f t="shared" ref="AH45:AH46" si="64">IFERROR(V45/AA45-1,"n/a")</f>
        <v>19.978260869565219</v>
      </c>
      <c r="AI45" s="158">
        <f t="shared" ref="AI45:AI46" si="65">IFERROR(V45/AB45-1,"n/a")</f>
        <v>0.67826086956521747</v>
      </c>
      <c r="AJ45" s="163"/>
      <c r="AK45" s="154">
        <v>817</v>
      </c>
      <c r="AL45" s="89">
        <v>583</v>
      </c>
      <c r="AM45" s="89">
        <v>563</v>
      </c>
      <c r="AN45" s="89">
        <v>226</v>
      </c>
      <c r="AO45" s="70">
        <v>66</v>
      </c>
      <c r="AP45" s="78">
        <v>573</v>
      </c>
      <c r="AR45" s="122"/>
    </row>
    <row r="46" spans="1:44" s="123" customFormat="1" ht="11.25">
      <c r="A46" s="122"/>
      <c r="B46" s="122"/>
      <c r="C46" s="33"/>
      <c r="D46" s="26" t="s">
        <v>11</v>
      </c>
      <c r="E46" s="32"/>
      <c r="F46" s="74">
        <f t="shared" si="58"/>
        <v>38129</v>
      </c>
      <c r="G46" s="74">
        <f t="shared" si="58"/>
        <v>36494</v>
      </c>
      <c r="H46" s="74">
        <f t="shared" si="58"/>
        <v>45136</v>
      </c>
      <c r="I46" s="74">
        <f t="shared" si="58"/>
        <v>15799</v>
      </c>
      <c r="J46" s="74">
        <f t="shared" si="58"/>
        <v>1702</v>
      </c>
      <c r="K46" s="74">
        <f t="shared" si="58"/>
        <v>1288</v>
      </c>
      <c r="L46" s="74">
        <f t="shared" si="58"/>
        <v>23141</v>
      </c>
      <c r="M46" s="74">
        <f t="shared" si="58"/>
        <v>20627</v>
      </c>
      <c r="N46" s="64">
        <f t="shared" si="59"/>
        <v>4.48018852414096E-2</v>
      </c>
      <c r="O46" s="64">
        <f>IFERROR(F46/H46-1,"n/a")</f>
        <v>-0.155241935483871</v>
      </c>
      <c r="P46" s="64">
        <f>IFERROR(F46/I46-1,"n/a")</f>
        <v>1.4133805937084625</v>
      </c>
      <c r="Q46" s="64">
        <f>IFERROR(F46/J46-1,"n/a")</f>
        <v>21.402467685076381</v>
      </c>
      <c r="R46" s="64">
        <f>IFERROR(F46/K46-1,"n/a")</f>
        <v>28.603260869565219</v>
      </c>
      <c r="S46" s="64">
        <f>IFERROR(F46/L46-1,"n/a")</f>
        <v>0.64768160407933961</v>
      </c>
      <c r="T46" s="60">
        <f>IFERROR(F46/M46-1,"n/a")</f>
        <v>0.8484995394385999</v>
      </c>
      <c r="U46" s="64"/>
      <c r="V46" s="74">
        <f>'Dec-25'!S41+F46+1</f>
        <v>2321037</v>
      </c>
      <c r="W46" s="74">
        <f>'Dec-25'!T41+G46</f>
        <v>1966896</v>
      </c>
      <c r="X46" s="74">
        <f>'Dec-25'!U41+H46</f>
        <v>1624894</v>
      </c>
      <c r="Y46" s="74">
        <f>'Dec-25'!V41+I46</f>
        <v>949191</v>
      </c>
      <c r="Z46" s="74">
        <f>'Dec-25'!W41+J46</f>
        <v>294134</v>
      </c>
      <c r="AA46" s="74">
        <f>'Dec-25'!X41+K46</f>
        <v>30850</v>
      </c>
      <c r="AB46" s="74">
        <f>'Dec-25'!Y41+L46</f>
        <v>1341300</v>
      </c>
      <c r="AC46" s="74"/>
      <c r="AD46" s="147">
        <f t="shared" si="60"/>
        <v>0.18005069917270666</v>
      </c>
      <c r="AE46" s="147">
        <f t="shared" si="61"/>
        <v>0.42842363871120215</v>
      </c>
      <c r="AF46" s="147">
        <f t="shared" si="62"/>
        <v>1.4452791903842326</v>
      </c>
      <c r="AG46" s="147">
        <f t="shared" si="63"/>
        <v>6.8910870555597112</v>
      </c>
      <c r="AH46" s="147">
        <f t="shared" si="64"/>
        <v>74.236207455429494</v>
      </c>
      <c r="AI46" s="158">
        <f t="shared" si="65"/>
        <v>0.73043838067546418</v>
      </c>
      <c r="AJ46" s="163"/>
      <c r="AK46" s="154">
        <v>2079983</v>
      </c>
      <c r="AL46" s="89">
        <v>1708204</v>
      </c>
      <c r="AM46" s="89">
        <v>1012510</v>
      </c>
      <c r="AN46" s="89">
        <v>327926</v>
      </c>
      <c r="AO46" s="84">
        <v>80778</v>
      </c>
      <c r="AP46" s="78">
        <v>1361671</v>
      </c>
      <c r="AR46" s="122"/>
    </row>
    <row r="47" spans="1:44" s="123" customFormat="1" ht="11.25">
      <c r="A47" s="122"/>
      <c r="B47" s="122"/>
      <c r="C47" s="31" t="s">
        <v>109</v>
      </c>
      <c r="D47" s="26"/>
      <c r="E47" s="32"/>
      <c r="F47" s="87"/>
      <c r="G47" s="87"/>
      <c r="H47" s="87"/>
      <c r="I47" s="87"/>
      <c r="J47" s="87"/>
      <c r="K47" s="87"/>
      <c r="L47" s="87"/>
      <c r="M47" s="72"/>
      <c r="N47" s="64"/>
      <c r="O47" s="64"/>
      <c r="P47" s="64"/>
      <c r="Q47" s="64"/>
      <c r="R47" s="64"/>
      <c r="S47" s="64"/>
      <c r="T47" s="60"/>
      <c r="U47" s="64"/>
      <c r="V47" s="87"/>
      <c r="W47" s="87"/>
      <c r="X47" s="87"/>
      <c r="Y47" s="87"/>
      <c r="Z47" s="87"/>
      <c r="AA47" s="87"/>
      <c r="AB47" s="87"/>
      <c r="AC47" s="87"/>
      <c r="AD47" s="110"/>
      <c r="AE47" s="147"/>
      <c r="AF47" s="147"/>
      <c r="AG47" s="147"/>
      <c r="AH47" s="147"/>
      <c r="AI47" s="158"/>
      <c r="AJ47" s="163"/>
      <c r="AK47" s="155"/>
      <c r="AL47" s="90"/>
      <c r="AM47" s="90"/>
      <c r="AN47" s="90"/>
      <c r="AO47" s="44"/>
      <c r="AP47" s="79"/>
      <c r="AR47" s="122"/>
    </row>
    <row r="48" spans="1:44" s="123" customFormat="1" ht="11.25">
      <c r="A48" s="122"/>
      <c r="B48" s="122"/>
      <c r="C48" s="33"/>
      <c r="D48" s="26" t="s">
        <v>5</v>
      </c>
      <c r="E48" s="32"/>
      <c r="F48" s="74">
        <f t="shared" ref="F48:M49" si="66">F19</f>
        <v>7</v>
      </c>
      <c r="G48" s="74">
        <f t="shared" si="66"/>
        <v>1</v>
      </c>
      <c r="H48" s="74">
        <f t="shared" si="66"/>
        <v>2</v>
      </c>
      <c r="I48" s="74">
        <f t="shared" si="66"/>
        <v>4</v>
      </c>
      <c r="J48" s="74">
        <f t="shared" si="66"/>
        <v>3</v>
      </c>
      <c r="K48" s="74">
        <f t="shared" si="66"/>
        <v>0</v>
      </c>
      <c r="L48" s="74">
        <f t="shared" si="66"/>
        <v>1</v>
      </c>
      <c r="M48" s="74">
        <f t="shared" si="66"/>
        <v>0</v>
      </c>
      <c r="N48" s="64">
        <f t="shared" ref="N48:N49" si="67">IFERROR(F48/G48-1,"n/a")</f>
        <v>6</v>
      </c>
      <c r="O48" s="64">
        <f>IFERROR(F48/H48-1,"n/a")</f>
        <v>2.5</v>
      </c>
      <c r="P48" s="64">
        <f>IFERROR(F48/I48-1,"n/a")</f>
        <v>0.75</v>
      </c>
      <c r="Q48" s="64">
        <f>IFERROR(F48/J48-1,"n/a")</f>
        <v>1.3333333333333335</v>
      </c>
      <c r="R48" s="64" t="str">
        <f>IFERROR(F48/K48-1,"n/a")</f>
        <v>n/a</v>
      </c>
      <c r="S48" s="64">
        <f>IFERROR(F48/L48-1,"n/a")</f>
        <v>6</v>
      </c>
      <c r="T48" s="60" t="str">
        <f>IFERROR(F48/M48-1,"n/a")</f>
        <v>n/a</v>
      </c>
      <c r="U48" s="64"/>
      <c r="V48" s="74">
        <f>'Dec-25'!S43+F48</f>
        <v>845</v>
      </c>
      <c r="W48" s="74">
        <f>'Dec-25'!T43+G48</f>
        <v>707</v>
      </c>
      <c r="X48" s="74">
        <f>'Dec-25'!U43+H48</f>
        <v>687</v>
      </c>
      <c r="Y48" s="74">
        <f>'Dec-25'!V43+I48</f>
        <v>650</v>
      </c>
      <c r="Z48" s="74">
        <f>'Dec-25'!W43+J48</f>
        <v>50</v>
      </c>
      <c r="AA48" s="74">
        <f>'Dec-25'!X43+K48</f>
        <v>7</v>
      </c>
      <c r="AB48" s="74">
        <f>'Dec-25'!Y43+L48</f>
        <v>285</v>
      </c>
      <c r="AC48" s="74"/>
      <c r="AD48" s="147">
        <f t="shared" ref="AD48:AD49" si="68">IFERROR(V48/W48-1,"n/a")</f>
        <v>0.19519094766619527</v>
      </c>
      <c r="AE48" s="147">
        <f t="shared" ref="AE48:AE49" si="69">IFERROR(V48/X48-1,"n/a")</f>
        <v>0.22998544395924303</v>
      </c>
      <c r="AF48" s="147">
        <f t="shared" ref="AF48:AF49" si="70">IFERROR(V48/Y48-1,"n/a")</f>
        <v>0.30000000000000004</v>
      </c>
      <c r="AG48" s="147">
        <f t="shared" ref="AG48:AG49" si="71">IFERROR(V48/Z48-1,"n/a")</f>
        <v>15.899999999999999</v>
      </c>
      <c r="AH48" s="147">
        <f t="shared" ref="AH48:AH49" si="72">IFERROR(V48/AA48-1,"n/a")</f>
        <v>119.71428571428571</v>
      </c>
      <c r="AI48" s="158">
        <f t="shared" ref="AI48:AI49" si="73">IFERROR(V48/AB48-1,"n/a")</f>
        <v>1.9649122807017543</v>
      </c>
      <c r="AJ48" s="163"/>
      <c r="AK48" s="154">
        <v>728</v>
      </c>
      <c r="AL48" s="89">
        <v>712</v>
      </c>
      <c r="AM48" s="89">
        <v>669</v>
      </c>
      <c r="AN48" s="89">
        <v>59</v>
      </c>
      <c r="AO48" s="70">
        <v>9</v>
      </c>
      <c r="AP48" s="78">
        <v>287</v>
      </c>
      <c r="AR48" s="122"/>
    </row>
    <row r="49" spans="1:44" s="123" customFormat="1" ht="11.25">
      <c r="A49" s="122"/>
      <c r="B49" s="122"/>
      <c r="C49" s="33"/>
      <c r="D49" s="26" t="s">
        <v>11</v>
      </c>
      <c r="E49" s="32"/>
      <c r="F49" s="74">
        <f t="shared" si="66"/>
        <v>7715</v>
      </c>
      <c r="G49" s="74">
        <f t="shared" si="66"/>
        <v>1801</v>
      </c>
      <c r="H49" s="74">
        <f t="shared" si="66"/>
        <v>2840</v>
      </c>
      <c r="I49" s="74">
        <f t="shared" si="66"/>
        <v>3860</v>
      </c>
      <c r="J49" s="74">
        <f t="shared" si="66"/>
        <v>814</v>
      </c>
      <c r="K49" s="74">
        <f t="shared" si="66"/>
        <v>0</v>
      </c>
      <c r="L49" s="74">
        <f t="shared" si="66"/>
        <v>823</v>
      </c>
      <c r="M49" s="74">
        <f t="shared" si="66"/>
        <v>440</v>
      </c>
      <c r="N49" s="64">
        <f t="shared" si="67"/>
        <v>3.2837312604108826</v>
      </c>
      <c r="O49" s="64">
        <f>IFERROR(F49/H49-1,"n/a")</f>
        <v>1.716549295774648</v>
      </c>
      <c r="P49" s="64">
        <f>IFERROR(F49/I49-1,"n/a")</f>
        <v>0.99870466321243523</v>
      </c>
      <c r="Q49" s="64">
        <f>IFERROR(F49/J49-1,"n/a")</f>
        <v>8.4778869778869783</v>
      </c>
      <c r="R49" s="64" t="str">
        <f>IFERROR(F49/K49-1,"n/a")</f>
        <v>n/a</v>
      </c>
      <c r="S49" s="64">
        <f>IFERROR(F49/L49-1,"n/a")</f>
        <v>8.3742405832320781</v>
      </c>
      <c r="T49" s="60">
        <f>IFERROR(F49/M49-1,"n/a")</f>
        <v>16.53409090909091</v>
      </c>
      <c r="U49" s="64"/>
      <c r="V49" s="74">
        <f>'Dec-25'!S44+F49</f>
        <v>1708061</v>
      </c>
      <c r="W49" s="74">
        <f>'Dec-25'!T44+G49</f>
        <v>1458331.4</v>
      </c>
      <c r="X49" s="74">
        <f>'Dec-25'!U44+H49</f>
        <v>1259520</v>
      </c>
      <c r="Y49" s="74">
        <f>'Dec-25'!V44+I49</f>
        <v>888270</v>
      </c>
      <c r="Z49" s="74">
        <f>'Dec-25'!W44+J49</f>
        <v>18355</v>
      </c>
      <c r="AA49" s="74">
        <f>'Dec-25'!X44+K49</f>
        <v>8294</v>
      </c>
      <c r="AB49" s="74">
        <f>'Dec-25'!Y44+L49</f>
        <v>580269</v>
      </c>
      <c r="AC49" s="74"/>
      <c r="AD49" s="147">
        <f t="shared" si="68"/>
        <v>0.1712433813055112</v>
      </c>
      <c r="AE49" s="147">
        <f t="shared" si="69"/>
        <v>0.35612058561991877</v>
      </c>
      <c r="AF49" s="147">
        <f t="shared" si="70"/>
        <v>0.92290744931158319</v>
      </c>
      <c r="AG49" s="147">
        <f t="shared" si="71"/>
        <v>92.056987196949066</v>
      </c>
      <c r="AH49" s="147">
        <f t="shared" si="72"/>
        <v>204.93935374969857</v>
      </c>
      <c r="AI49" s="158">
        <f t="shared" si="73"/>
        <v>1.9435675522904035</v>
      </c>
      <c r="AJ49" s="163"/>
      <c r="AK49" s="154">
        <v>1484512.4</v>
      </c>
      <c r="AL49" s="82">
        <v>1296421</v>
      </c>
      <c r="AM49" s="82">
        <v>905256</v>
      </c>
      <c r="AN49" s="82">
        <v>20626</v>
      </c>
      <c r="AO49" s="84">
        <v>10047</v>
      </c>
      <c r="AP49" s="78">
        <v>581199</v>
      </c>
      <c r="AR49" s="122"/>
    </row>
    <row r="50" spans="1:44" s="123" customFormat="1" ht="11.25">
      <c r="A50" s="122"/>
      <c r="B50" s="122"/>
      <c r="C50" s="31" t="s">
        <v>110</v>
      </c>
      <c r="D50" s="26"/>
      <c r="E50" s="34"/>
      <c r="F50" s="72"/>
      <c r="G50" s="72"/>
      <c r="H50" s="72"/>
      <c r="I50" s="72"/>
      <c r="J50" s="72"/>
      <c r="K50" s="72"/>
      <c r="L50" s="72"/>
      <c r="M50" s="72"/>
      <c r="N50" s="64"/>
      <c r="O50" s="64"/>
      <c r="P50" s="64"/>
      <c r="Q50" s="64"/>
      <c r="R50" s="64"/>
      <c r="S50" s="64"/>
      <c r="T50" s="60"/>
      <c r="U50" s="64"/>
      <c r="V50" s="72"/>
      <c r="W50" s="72"/>
      <c r="X50" s="72"/>
      <c r="Y50" s="72"/>
      <c r="Z50" s="72"/>
      <c r="AA50" s="72"/>
      <c r="AB50" s="72"/>
      <c r="AC50" s="72"/>
      <c r="AD50" s="160"/>
      <c r="AE50" s="147"/>
      <c r="AF50" s="147"/>
      <c r="AG50" s="147"/>
      <c r="AH50" s="147"/>
      <c r="AI50" s="158"/>
      <c r="AJ50" s="163"/>
      <c r="AK50" s="155"/>
      <c r="AL50" s="90"/>
      <c r="AM50" s="90"/>
      <c r="AN50" s="90"/>
      <c r="AO50" s="44"/>
      <c r="AP50" s="79"/>
      <c r="AR50" s="122"/>
    </row>
    <row r="51" spans="1:44" s="123" customFormat="1" ht="11.25">
      <c r="A51" s="122"/>
      <c r="B51" s="122"/>
      <c r="C51" s="33"/>
      <c r="D51" s="26" t="s">
        <v>5</v>
      </c>
      <c r="E51" s="34"/>
      <c r="F51" s="74">
        <f t="shared" ref="F51:M52" si="74">F22</f>
        <v>149</v>
      </c>
      <c r="G51" s="74">
        <f t="shared" si="74"/>
        <v>133</v>
      </c>
      <c r="H51" s="74">
        <f t="shared" si="74"/>
        <v>95</v>
      </c>
      <c r="I51" s="74">
        <f t="shared" si="74"/>
        <v>106</v>
      </c>
      <c r="J51" s="74">
        <f t="shared" si="74"/>
        <v>16</v>
      </c>
      <c r="K51" s="74">
        <f t="shared" si="74"/>
        <v>0</v>
      </c>
      <c r="L51" s="74">
        <f t="shared" si="74"/>
        <v>19</v>
      </c>
      <c r="M51" s="74">
        <f t="shared" si="74"/>
        <v>24</v>
      </c>
      <c r="N51" s="64">
        <f t="shared" ref="N51:N52" si="75">IFERROR(F51/G51-1,"n/a")</f>
        <v>0.12030075187969924</v>
      </c>
      <c r="O51" s="64">
        <f>IFERROR(F51/H51-1,"n/a")</f>
        <v>0.56842105263157894</v>
      </c>
      <c r="P51" s="64">
        <f>IFERROR(F51/I51-1,"n/a")</f>
        <v>0.40566037735849059</v>
      </c>
      <c r="Q51" s="64">
        <f>IFERROR(F51/J51-1,"n/a")</f>
        <v>8.3125</v>
      </c>
      <c r="R51" s="64" t="str">
        <f>IFERROR(F51/K51-1,"n/a")</f>
        <v>n/a</v>
      </c>
      <c r="S51" s="64">
        <f>IFERROR(F51/L51-1,"n/a")</f>
        <v>6.8421052631578947</v>
      </c>
      <c r="T51" s="60">
        <f>IFERROR(F51/M51-1,"n/a")</f>
        <v>5.208333333333333</v>
      </c>
      <c r="U51" s="64"/>
      <c r="V51" s="74">
        <f>'Dec-25'!S46+F51</f>
        <v>1489</v>
      </c>
      <c r="W51" s="74">
        <f>'Dec-25'!T46+G51</f>
        <v>1525</v>
      </c>
      <c r="X51" s="74">
        <f>'Dec-25'!U46+H51</f>
        <v>1307</v>
      </c>
      <c r="Y51" s="74">
        <f>'Dec-25'!V46+I51</f>
        <v>947</v>
      </c>
      <c r="Z51" s="74">
        <f>'Dec-25'!W46+J51</f>
        <v>299</v>
      </c>
      <c r="AA51" s="74">
        <f>'Dec-25'!X46+K51</f>
        <v>0</v>
      </c>
      <c r="AB51" s="74">
        <f>'Dec-25'!Y46+L51</f>
        <v>757</v>
      </c>
      <c r="AC51" s="74"/>
      <c r="AD51" s="147">
        <f t="shared" ref="AD51:AD52" si="76">IFERROR(V51/W51-1,"n/a")</f>
        <v>-2.3606557377049198E-2</v>
      </c>
      <c r="AE51" s="147">
        <f t="shared" ref="AE51:AE52" si="77">IFERROR(V51/X51-1,"n/a")</f>
        <v>0.1392501912777353</v>
      </c>
      <c r="AF51" s="147">
        <f t="shared" ref="AF51:AF52" si="78">IFERROR(V51/Y51-1,"n/a")</f>
        <v>0.57233368532206974</v>
      </c>
      <c r="AG51" s="147">
        <f t="shared" ref="AG51:AG52" si="79">IFERROR(V51/Z51-1,"n/a")</f>
        <v>3.9799331103678925</v>
      </c>
      <c r="AH51" s="147" t="str">
        <f t="shared" ref="AH51:AH52" si="80">IFERROR(V51/AA51-1,"n/a")</f>
        <v>n/a</v>
      </c>
      <c r="AI51" s="158">
        <f t="shared" ref="AI51:AI52" si="81">IFERROR(V51/AB51-1,"n/a")</f>
        <v>0.96697490092470284</v>
      </c>
      <c r="AJ51" s="163"/>
      <c r="AK51" s="154">
        <v>1788</v>
      </c>
      <c r="AL51" s="89">
        <v>1471</v>
      </c>
      <c r="AM51" s="89">
        <v>1129</v>
      </c>
      <c r="AN51" s="89">
        <v>336</v>
      </c>
      <c r="AO51" s="84">
        <v>43</v>
      </c>
      <c r="AP51" s="78">
        <v>781</v>
      </c>
      <c r="AR51" s="122"/>
    </row>
    <row r="52" spans="1:44" s="123" customFormat="1" ht="11.25">
      <c r="A52" s="122"/>
      <c r="B52" s="122"/>
      <c r="C52" s="33"/>
      <c r="D52" s="26" t="s">
        <v>11</v>
      </c>
      <c r="E52" s="32"/>
      <c r="F52" s="74">
        <f t="shared" si="74"/>
        <v>434621</v>
      </c>
      <c r="G52" s="74">
        <f t="shared" si="74"/>
        <v>415578</v>
      </c>
      <c r="H52" s="74">
        <f t="shared" si="74"/>
        <v>313581</v>
      </c>
      <c r="I52" s="74">
        <f t="shared" si="74"/>
        <v>290797</v>
      </c>
      <c r="J52" s="74">
        <f t="shared" si="74"/>
        <v>21828</v>
      </c>
      <c r="K52" s="74">
        <f t="shared" si="74"/>
        <v>0</v>
      </c>
      <c r="L52" s="74">
        <f t="shared" si="74"/>
        <v>64994</v>
      </c>
      <c r="M52" s="74">
        <f t="shared" si="74"/>
        <v>74523</v>
      </c>
      <c r="N52" s="64">
        <f t="shared" si="75"/>
        <v>4.5822926141422249E-2</v>
      </c>
      <c r="O52" s="64">
        <f>IFERROR(F52/H52-1,"n/a")</f>
        <v>0.38599277379688179</v>
      </c>
      <c r="P52" s="64">
        <f>IFERROR(F52/I52-1,"n/a")</f>
        <v>0.49458557000244152</v>
      </c>
      <c r="Q52" s="64">
        <f>IFERROR(F52/J52-1,"n/a")</f>
        <v>18.911169140553419</v>
      </c>
      <c r="R52" s="64" t="str">
        <f>IFERROR(F52/K52-1,"n/a")</f>
        <v>n/a</v>
      </c>
      <c r="S52" s="64">
        <f>IFERROR(F52/L52-1,"n/a")</f>
        <v>5.687094193310152</v>
      </c>
      <c r="T52" s="60">
        <f>IFERROR(F52/M52-1,"n/a")</f>
        <v>4.8320384310883888</v>
      </c>
      <c r="U52" s="64"/>
      <c r="V52" s="74">
        <f>'Dec-25'!S47+F52+27</f>
        <v>3847767</v>
      </c>
      <c r="W52" s="74">
        <f>'Dec-25'!T47+G52</f>
        <v>4548997</v>
      </c>
      <c r="X52" s="74">
        <f>'Dec-25'!U47+H52</f>
        <v>3935443</v>
      </c>
      <c r="Y52" s="74">
        <f>'Dec-25'!V47+I52</f>
        <v>2383567</v>
      </c>
      <c r="Z52" s="74">
        <f>'Dec-25'!W47+J52</f>
        <v>486937</v>
      </c>
      <c r="AA52" s="74">
        <f>'Dec-25'!X47+K52</f>
        <v>0</v>
      </c>
      <c r="AB52" s="74">
        <f>'Dec-25'!Y47+L52</f>
        <v>2366036</v>
      </c>
      <c r="AC52" s="74"/>
      <c r="AD52" s="147">
        <f t="shared" si="76"/>
        <v>-0.15415046437709234</v>
      </c>
      <c r="AE52" s="147">
        <f t="shared" si="77"/>
        <v>-2.2278559237168483E-2</v>
      </c>
      <c r="AF52" s="147">
        <f t="shared" si="78"/>
        <v>0.61428942421169608</v>
      </c>
      <c r="AG52" s="147">
        <f t="shared" si="79"/>
        <v>6.9019811597804237</v>
      </c>
      <c r="AH52" s="147" t="str">
        <f t="shared" si="80"/>
        <v>n/a</v>
      </c>
      <c r="AI52" s="158">
        <f t="shared" si="81"/>
        <v>0.62625040362868534</v>
      </c>
      <c r="AJ52" s="163"/>
      <c r="AK52" s="154">
        <v>5247410</v>
      </c>
      <c r="AL52" s="82">
        <v>4517247</v>
      </c>
      <c r="AM52" s="82">
        <v>2932981</v>
      </c>
      <c r="AN52" s="82">
        <v>533563</v>
      </c>
      <c r="AO52" s="84">
        <v>140552</v>
      </c>
      <c r="AP52" s="78">
        <v>2441594</v>
      </c>
      <c r="AR52" s="122"/>
    </row>
    <row r="53" spans="1:44" s="123" customFormat="1" ht="11.25">
      <c r="C53" s="31" t="s">
        <v>111</v>
      </c>
      <c r="D53" s="26"/>
      <c r="E53" s="32"/>
      <c r="F53" s="72"/>
      <c r="G53" s="72"/>
      <c r="H53" s="72"/>
      <c r="I53" s="72"/>
      <c r="J53" s="72"/>
      <c r="K53" s="72"/>
      <c r="L53" s="72"/>
      <c r="M53" s="72"/>
      <c r="N53" s="64"/>
      <c r="O53" s="64"/>
      <c r="P53" s="64"/>
      <c r="Q53" s="64"/>
      <c r="R53" s="64"/>
      <c r="S53" s="64"/>
      <c r="T53" s="60"/>
      <c r="U53" s="64"/>
      <c r="V53" s="72"/>
      <c r="W53" s="72"/>
      <c r="X53" s="72"/>
      <c r="Y53" s="72"/>
      <c r="Z53" s="72"/>
      <c r="AA53" s="72"/>
      <c r="AB53" s="72"/>
      <c r="AC53" s="72"/>
      <c r="AD53" s="160"/>
      <c r="AE53" s="147"/>
      <c r="AF53" s="147"/>
      <c r="AG53" s="147"/>
      <c r="AH53" s="147"/>
      <c r="AI53" s="158"/>
      <c r="AJ53" s="163"/>
      <c r="AK53" s="155"/>
      <c r="AL53" s="90"/>
      <c r="AM53" s="90"/>
      <c r="AN53" s="90"/>
      <c r="AO53" s="44"/>
      <c r="AP53" s="79"/>
      <c r="AR53" s="122"/>
    </row>
    <row r="54" spans="1:44" s="123" customFormat="1" ht="11.25">
      <c r="C54" s="33"/>
      <c r="D54" s="26" t="s">
        <v>5</v>
      </c>
      <c r="E54" s="32"/>
      <c r="F54" s="74">
        <f t="shared" ref="F54:M55" si="82">F25</f>
        <v>0</v>
      </c>
      <c r="G54" s="74">
        <f t="shared" si="82"/>
        <v>0</v>
      </c>
      <c r="H54" s="74">
        <f t="shared" si="82"/>
        <v>0</v>
      </c>
      <c r="I54" s="74">
        <f t="shared" si="82"/>
        <v>0</v>
      </c>
      <c r="J54" s="74">
        <f t="shared" si="82"/>
        <v>0</v>
      </c>
      <c r="K54" s="74">
        <f t="shared" si="82"/>
        <v>0</v>
      </c>
      <c r="L54" s="74">
        <f t="shared" si="82"/>
        <v>0</v>
      </c>
      <c r="M54" s="74">
        <f t="shared" si="82"/>
        <v>0</v>
      </c>
      <c r="N54" s="64" t="str">
        <f t="shared" ref="N54:N57" si="83">IFERROR(F54/G54-1,"n/a")</f>
        <v>n/a</v>
      </c>
      <c r="O54" s="64" t="str">
        <f>IFERROR(F54/H54-1,"n/a")</f>
        <v>n/a</v>
      </c>
      <c r="P54" s="64" t="str">
        <f>IFERROR(F54/I54-1,"n/a")</f>
        <v>n/a</v>
      </c>
      <c r="Q54" s="64" t="str">
        <f>IFERROR(F54/J54-1,"n/a")</f>
        <v>n/a</v>
      </c>
      <c r="R54" s="64" t="str">
        <f>IFERROR(F54/K54-1,"n/a")</f>
        <v>n/a</v>
      </c>
      <c r="S54" s="64" t="str">
        <f>IFERROR(F54/L54-1,"n/a")</f>
        <v>n/a</v>
      </c>
      <c r="T54" s="60" t="str">
        <f>IFERROR(F54/M54-1,"n/a")</f>
        <v>n/a</v>
      </c>
      <c r="U54" s="64"/>
      <c r="V54" s="74">
        <f>'Dec-25'!S49+F54</f>
        <v>23</v>
      </c>
      <c r="W54" s="74">
        <f>'Dec-25'!T49+G54</f>
        <v>14</v>
      </c>
      <c r="X54" s="74">
        <f>'Dec-25'!U49+H54</f>
        <v>21</v>
      </c>
      <c r="Y54" s="74">
        <f>'Dec-25'!V49+I54</f>
        <v>9</v>
      </c>
      <c r="Z54" s="74">
        <f>'Dec-25'!W49+J54</f>
        <v>0</v>
      </c>
      <c r="AA54" s="74">
        <f>'Dec-25'!X49+K54</f>
        <v>0</v>
      </c>
      <c r="AB54" s="74">
        <f>'Dec-25'!Y49+L54</f>
        <v>16</v>
      </c>
      <c r="AC54" s="74"/>
      <c r="AD54" s="147">
        <f t="shared" ref="AD54:AD57" si="84">IFERROR(V54/W54-1,"n/a")</f>
        <v>0.64285714285714279</v>
      </c>
      <c r="AE54" s="147">
        <f t="shared" ref="AE54:AE55" si="85">IFERROR(V54/X54-1,"n/a")</f>
        <v>9.5238095238095344E-2</v>
      </c>
      <c r="AF54" s="147">
        <f t="shared" ref="AF54:AF57" si="86">IFERROR(V54/Y54-1,"n/a")</f>
        <v>1.5555555555555554</v>
      </c>
      <c r="AG54" s="147" t="str">
        <f t="shared" ref="AG54:AG57" si="87">IFERROR(V54/Z54-1,"n/a")</f>
        <v>n/a</v>
      </c>
      <c r="AH54" s="147" t="str">
        <f t="shared" ref="AH54:AH57" si="88">IFERROR(V54/AA54-1,"n/a")</f>
        <v>n/a</v>
      </c>
      <c r="AI54" s="158">
        <f t="shared" ref="AI54:AI57" si="89">IFERROR(V54/AB54-1,"n/a")</f>
        <v>0.4375</v>
      </c>
      <c r="AJ54" s="163"/>
      <c r="AK54" s="154">
        <v>14</v>
      </c>
      <c r="AL54" s="89">
        <v>21</v>
      </c>
      <c r="AM54" s="89">
        <v>9</v>
      </c>
      <c r="AN54" s="68">
        <v>0</v>
      </c>
      <c r="AO54" s="68">
        <v>0</v>
      </c>
      <c r="AP54" s="78">
        <v>16</v>
      </c>
      <c r="AR54" s="122"/>
    </row>
    <row r="55" spans="1:44" s="123" customFormat="1" ht="11.25">
      <c r="C55" s="33"/>
      <c r="D55" s="26" t="s">
        <v>11</v>
      </c>
      <c r="E55" s="32"/>
      <c r="F55" s="74">
        <f t="shared" si="82"/>
        <v>0</v>
      </c>
      <c r="G55" s="74">
        <f t="shared" si="82"/>
        <v>0</v>
      </c>
      <c r="H55" s="74">
        <f t="shared" si="82"/>
        <v>0</v>
      </c>
      <c r="I55" s="74">
        <f t="shared" si="82"/>
        <v>0</v>
      </c>
      <c r="J55" s="74">
        <f t="shared" si="82"/>
        <v>0</v>
      </c>
      <c r="K55" s="74">
        <f t="shared" si="82"/>
        <v>0</v>
      </c>
      <c r="L55" s="74">
        <f t="shared" si="82"/>
        <v>0</v>
      </c>
      <c r="M55" s="74">
        <f t="shared" si="82"/>
        <v>0</v>
      </c>
      <c r="N55" s="64" t="str">
        <f t="shared" si="83"/>
        <v>n/a</v>
      </c>
      <c r="O55" s="64" t="str">
        <f>IFERROR(F55/H55-1,"n/a")</f>
        <v>n/a</v>
      </c>
      <c r="P55" s="64" t="str">
        <f>IFERROR(F55/I55-1,"n/a")</f>
        <v>n/a</v>
      </c>
      <c r="Q55" s="64" t="str">
        <f>IFERROR(F55/J55-1,"n/a")</f>
        <v>n/a</v>
      </c>
      <c r="R55" s="64" t="str">
        <f>IFERROR(F55/K55-1,"n/a")</f>
        <v>n/a</v>
      </c>
      <c r="S55" s="64" t="str">
        <f>IFERROR(F55/L55-1,"n/a")</f>
        <v>n/a</v>
      </c>
      <c r="T55" s="60" t="str">
        <f>IFERROR(F55/M55-1,"n/a")</f>
        <v>n/a</v>
      </c>
      <c r="U55" s="64"/>
      <c r="V55" s="74">
        <f>'Dec-25'!S50+F55</f>
        <v>72837</v>
      </c>
      <c r="W55" s="74">
        <f>'Dec-25'!T50+G55</f>
        <v>47798</v>
      </c>
      <c r="X55" s="74">
        <f>'Dec-25'!U50+H55</f>
        <v>38626</v>
      </c>
      <c r="Y55" s="74">
        <f>'Dec-25'!V50+I55</f>
        <v>15637</v>
      </c>
      <c r="Z55" s="74">
        <f>'Dec-25'!W50+J55</f>
        <v>0</v>
      </c>
      <c r="AA55" s="74">
        <f>'Dec-25'!X50+K55</f>
        <v>0</v>
      </c>
      <c r="AB55" s="74">
        <f>'Dec-25'!Y50+L55</f>
        <v>20248</v>
      </c>
      <c r="AC55" s="74"/>
      <c r="AD55" s="147">
        <f t="shared" si="84"/>
        <v>0.523850370308381</v>
      </c>
      <c r="AE55" s="147">
        <f t="shared" si="85"/>
        <v>0.88569875213586702</v>
      </c>
      <c r="AF55" s="147">
        <f t="shared" si="86"/>
        <v>3.6579906631706853</v>
      </c>
      <c r="AG55" s="147" t="str">
        <f t="shared" si="87"/>
        <v>n/a</v>
      </c>
      <c r="AH55" s="147" t="str">
        <f t="shared" si="88"/>
        <v>n/a</v>
      </c>
      <c r="AI55" s="158">
        <f t="shared" si="89"/>
        <v>2.5972441722639275</v>
      </c>
      <c r="AJ55" s="163"/>
      <c r="AK55" s="154">
        <v>47798</v>
      </c>
      <c r="AL55" s="82">
        <v>38626</v>
      </c>
      <c r="AM55" s="82">
        <v>15637</v>
      </c>
      <c r="AN55" s="68">
        <v>0</v>
      </c>
      <c r="AO55" s="68">
        <v>0</v>
      </c>
      <c r="AP55" s="78">
        <v>20248</v>
      </c>
      <c r="AR55" s="122"/>
    </row>
    <row r="56" spans="1:44" s="123" customFormat="1" ht="12" thickBot="1">
      <c r="C56" s="35" t="s">
        <v>158</v>
      </c>
      <c r="D56" s="36"/>
      <c r="E56" s="37"/>
      <c r="F56" s="75">
        <f t="shared" ref="F56" si="90">F42+F45+F48+F51+F54</f>
        <v>608</v>
      </c>
      <c r="G56" s="75">
        <f t="shared" ref="G56:M57" si="91">G42+G45+G48+G51+G54</f>
        <v>550</v>
      </c>
      <c r="H56" s="75">
        <f t="shared" si="91"/>
        <v>306</v>
      </c>
      <c r="I56" s="75">
        <f t="shared" si="91"/>
        <v>303</v>
      </c>
      <c r="J56" s="75">
        <f t="shared" si="91"/>
        <v>186</v>
      </c>
      <c r="K56" s="75">
        <f t="shared" si="91"/>
        <v>2</v>
      </c>
      <c r="L56" s="75">
        <f t="shared" si="91"/>
        <v>212</v>
      </c>
      <c r="M56" s="75">
        <f t="shared" si="91"/>
        <v>218</v>
      </c>
      <c r="N56" s="66">
        <f t="shared" si="83"/>
        <v>0.10545454545454547</v>
      </c>
      <c r="O56" s="66">
        <f>IFERROR(F56/H56-1,"n/a")</f>
        <v>0.98692810457516345</v>
      </c>
      <c r="P56" s="66">
        <f>IFERROR(F56/I56-1,"n/a")</f>
        <v>1.0066006600660065</v>
      </c>
      <c r="Q56" s="66">
        <f>IFERROR(F56/J56-1,"n/a")</f>
        <v>2.2688172043010755</v>
      </c>
      <c r="R56" s="66">
        <f>IFERROR(F56/K56-1,"n/a")</f>
        <v>303</v>
      </c>
      <c r="S56" s="66">
        <f>IFERROR(F56/L56-1,"n/a")</f>
        <v>1.8679245283018866</v>
      </c>
      <c r="T56" s="66">
        <f>IFERROR(F56/M56-1,"n/a")</f>
        <v>1.7889908256880735</v>
      </c>
      <c r="U56" s="75">
        <f>U42+U45+U48+U51+U54</f>
        <v>0</v>
      </c>
      <c r="V56" s="75">
        <f>V42+V45+V48+V51+V54</f>
        <v>5644</v>
      </c>
      <c r="W56" s="75">
        <f>W42+W45+W48+W51+W54</f>
        <v>5203</v>
      </c>
      <c r="X56" s="75">
        <f>X42+X45+X48+X51+X54</f>
        <v>3871</v>
      </c>
      <c r="Y56" s="75">
        <f t="shared" ref="X56:AB57" si="92">Y42+Y45+Y48+Y51+Y54</f>
        <v>3292</v>
      </c>
      <c r="Z56" s="75">
        <f t="shared" si="92"/>
        <v>1223</v>
      </c>
      <c r="AA56" s="75">
        <f t="shared" si="92"/>
        <v>95</v>
      </c>
      <c r="AB56" s="75">
        <f t="shared" si="92"/>
        <v>2888</v>
      </c>
      <c r="AC56" s="75"/>
      <c r="AD56" s="66">
        <f t="shared" si="84"/>
        <v>8.4758793004036104E-2</v>
      </c>
      <c r="AE56" s="66">
        <f>IFERROR(V56/X56-1,"n/a")</f>
        <v>0.45802118315680707</v>
      </c>
      <c r="AF56" s="66">
        <f t="shared" si="86"/>
        <v>0.71445929526123941</v>
      </c>
      <c r="AG56" s="66">
        <f t="shared" si="87"/>
        <v>3.6148814390842192</v>
      </c>
      <c r="AH56" s="66">
        <f t="shared" si="88"/>
        <v>58.410526315789475</v>
      </c>
      <c r="AI56" s="66">
        <f t="shared" si="89"/>
        <v>0.95429362880886437</v>
      </c>
      <c r="AJ56" s="46">
        <f t="shared" ref="AJ56" si="93">AJ42+AJ45+AJ48+AJ51+AJ54</f>
        <v>0</v>
      </c>
      <c r="AK56" s="46">
        <f t="shared" ref="AK56:AO57" si="94">AK42+AK45+AK48+AK51+AK54</f>
        <v>6221</v>
      </c>
      <c r="AL56" s="46">
        <f t="shared" si="94"/>
        <v>4589</v>
      </c>
      <c r="AM56" s="46">
        <f t="shared" si="94"/>
        <v>3856</v>
      </c>
      <c r="AN56" s="46">
        <f t="shared" si="94"/>
        <v>1673</v>
      </c>
      <c r="AO56" s="46">
        <f t="shared" si="94"/>
        <v>669</v>
      </c>
      <c r="AP56" s="80">
        <f>AP42+AP45+AP48+AP51+AP54</f>
        <v>3241</v>
      </c>
      <c r="AR56" s="122"/>
    </row>
    <row r="57" spans="1:44" s="123" customFormat="1" ht="12.75" thickTop="1" thickBot="1">
      <c r="C57" s="38" t="s">
        <v>159</v>
      </c>
      <c r="D57" s="39"/>
      <c r="E57" s="40"/>
      <c r="F57" s="76">
        <f t="shared" ref="F57" si="95">F43+F46+F49+F52+F55</f>
        <v>1734018</v>
      </c>
      <c r="G57" s="76">
        <f t="shared" si="91"/>
        <v>1506202</v>
      </c>
      <c r="H57" s="76">
        <f t="shared" si="91"/>
        <v>982865</v>
      </c>
      <c r="I57" s="76">
        <f t="shared" si="91"/>
        <v>833405</v>
      </c>
      <c r="J57" s="76">
        <f t="shared" si="91"/>
        <v>219956</v>
      </c>
      <c r="K57" s="76">
        <f t="shared" si="91"/>
        <v>1288</v>
      </c>
      <c r="L57" s="76">
        <f t="shared" si="91"/>
        <v>555038</v>
      </c>
      <c r="M57" s="76">
        <f t="shared" si="91"/>
        <v>620852</v>
      </c>
      <c r="N57" s="67">
        <f t="shared" si="83"/>
        <v>0.1512519569088342</v>
      </c>
      <c r="O57" s="67">
        <f>IFERROR(F57/H57-1,"n/a")</f>
        <v>0.76424839627008789</v>
      </c>
      <c r="P57" s="67">
        <f>IFERROR(F57/I57-1,"n/a")</f>
        <v>1.0806426647308331</v>
      </c>
      <c r="Q57" s="67">
        <f>IFERROR(F57/J57-1,"n/a")</f>
        <v>6.883476695339068</v>
      </c>
      <c r="R57" s="67">
        <f>IFERROR(F57/K57-1,"n/a")</f>
        <v>1345.2872670807453</v>
      </c>
      <c r="S57" s="67">
        <f>IFERROR(F57/L57-1,"n/a")</f>
        <v>2.124142851480439</v>
      </c>
      <c r="T57" s="67">
        <f>IFERROR(F57/M57-1,"n/a")</f>
        <v>1.7929651511149194</v>
      </c>
      <c r="U57" s="76">
        <f t="shared" ref="U57" si="96">U43+U46+U49+U52+U55</f>
        <v>0</v>
      </c>
      <c r="V57" s="76">
        <f t="shared" ref="V57:W57" si="97">V43+V46+V49+V52+V55</f>
        <v>15588006</v>
      </c>
      <c r="W57" s="76">
        <f t="shared" si="97"/>
        <v>14940016.4</v>
      </c>
      <c r="X57" s="76">
        <f t="shared" si="92"/>
        <v>11174144</v>
      </c>
      <c r="Y57" s="76">
        <f t="shared" si="92"/>
        <v>7592369</v>
      </c>
      <c r="Z57" s="76">
        <f t="shared" si="92"/>
        <v>1758239</v>
      </c>
      <c r="AA57" s="76">
        <f t="shared" si="92"/>
        <v>39144</v>
      </c>
      <c r="AB57" s="76">
        <f t="shared" si="92"/>
        <v>7893905</v>
      </c>
      <c r="AC57" s="76"/>
      <c r="AD57" s="67">
        <f t="shared" si="84"/>
        <v>4.3372750246780223E-2</v>
      </c>
      <c r="AE57" s="67">
        <f>IFERROR(V57/X57-1,"n/a")</f>
        <v>0.39500672266260395</v>
      </c>
      <c r="AF57" s="67">
        <f t="shared" si="86"/>
        <v>1.0531149105108035</v>
      </c>
      <c r="AG57" s="67">
        <f t="shared" si="87"/>
        <v>7.8656923205548281</v>
      </c>
      <c r="AH57" s="67">
        <f t="shared" si="88"/>
        <v>397.22210300429185</v>
      </c>
      <c r="AI57" s="67">
        <f t="shared" si="89"/>
        <v>0.9746888263793394</v>
      </c>
      <c r="AJ57" s="47">
        <f t="shared" ref="AJ57" si="98">AJ43+AJ46+AJ49+AJ52+AJ55</f>
        <v>0</v>
      </c>
      <c r="AK57" s="47">
        <f t="shared" si="94"/>
        <v>17650949.399999999</v>
      </c>
      <c r="AL57" s="47">
        <f t="shared" si="94"/>
        <v>13408675</v>
      </c>
      <c r="AM57" s="47">
        <f t="shared" si="94"/>
        <v>9237323</v>
      </c>
      <c r="AN57" s="47">
        <f t="shared" si="94"/>
        <v>2410085</v>
      </c>
      <c r="AO57" s="47">
        <f t="shared" si="94"/>
        <v>1324261</v>
      </c>
      <c r="AP57" s="81">
        <f>AP43+AP46+AP49+AP52+AP55</f>
        <v>8638971</v>
      </c>
      <c r="AR57" s="122"/>
    </row>
    <row r="58" spans="1:44" s="123" customFormat="1" ht="12" thickTop="1">
      <c r="C58" s="31" t="s">
        <v>162</v>
      </c>
      <c r="D58" s="26"/>
      <c r="E58" s="32"/>
      <c r="F58" s="72"/>
      <c r="G58" s="72"/>
      <c r="H58" s="72"/>
      <c r="I58" s="72"/>
      <c r="J58" s="72"/>
      <c r="K58" s="72"/>
      <c r="L58" s="72"/>
      <c r="M58" s="72"/>
      <c r="N58" s="64"/>
      <c r="O58" s="64"/>
      <c r="P58" s="64"/>
      <c r="Q58" s="64"/>
      <c r="R58" s="64"/>
      <c r="S58" s="64"/>
      <c r="T58" s="60"/>
      <c r="V58" s="128">
        <f>V56-F56-'Dec-25'!S51+2</f>
        <v>0</v>
      </c>
      <c r="W58" s="128">
        <f>W56-G56-'Dec-25'!T51</f>
        <v>0</v>
      </c>
      <c r="X58" s="128">
        <f>X56-H56-'Dec-25'!U51</f>
        <v>0</v>
      </c>
      <c r="Y58" s="128">
        <f>Y56-I56-'Dec-25'!V51</f>
        <v>0</v>
      </c>
      <c r="Z58" s="128">
        <f>Z56-J56-'Dec-25'!W51</f>
        <v>0</v>
      </c>
      <c r="AA58" s="128">
        <f>AA56-K56-'Dec-25'!X51</f>
        <v>0</v>
      </c>
      <c r="AB58" s="128">
        <f>AB56-L56-'Dec-25'!Y51</f>
        <v>0</v>
      </c>
      <c r="AC58" s="128"/>
      <c r="AR58" s="122"/>
    </row>
    <row r="59" spans="1:44" s="123" customFormat="1" ht="11.25">
      <c r="C59" s="33"/>
      <c r="D59" s="26" t="s">
        <v>5</v>
      </c>
      <c r="E59" s="32"/>
      <c r="F59" s="71">
        <f>F30</f>
        <v>57</v>
      </c>
      <c r="G59" s="71">
        <f t="shared" ref="G59:M59" si="99">G30</f>
        <v>0</v>
      </c>
      <c r="H59" s="71">
        <f t="shared" si="99"/>
        <v>0</v>
      </c>
      <c r="I59" s="71">
        <f t="shared" si="99"/>
        <v>0</v>
      </c>
      <c r="J59" s="71">
        <f t="shared" si="99"/>
        <v>0</v>
      </c>
      <c r="K59" s="71">
        <f t="shared" si="99"/>
        <v>0</v>
      </c>
      <c r="L59" s="71">
        <f t="shared" si="99"/>
        <v>0</v>
      </c>
      <c r="M59" s="71">
        <f t="shared" si="99"/>
        <v>0</v>
      </c>
      <c r="N59" s="64"/>
      <c r="O59" s="64"/>
      <c r="P59" s="64"/>
      <c r="Q59" s="64"/>
      <c r="R59" s="64"/>
      <c r="S59" s="64"/>
      <c r="T59" s="60"/>
      <c r="V59" s="128">
        <f>V57-F57-'Dec-25'!S52+1874</f>
        <v>0</v>
      </c>
      <c r="W59" s="128">
        <f>W57-G57-'Dec-25'!T52</f>
        <v>0</v>
      </c>
      <c r="X59" s="128">
        <f>X57-H57-'Dec-25'!U52</f>
        <v>0</v>
      </c>
      <c r="Y59" s="128">
        <f>Y57-I57-'Dec-25'!V52</f>
        <v>0</v>
      </c>
      <c r="Z59" s="128">
        <f>Z57-J57-'Dec-25'!W52</f>
        <v>0</v>
      </c>
      <c r="AA59" s="128">
        <f>AA57-K57-'Dec-25'!X52</f>
        <v>0</v>
      </c>
      <c r="AB59" s="128">
        <f>AB57-L57-'Dec-25'!Y52</f>
        <v>0</v>
      </c>
      <c r="AC59" s="128"/>
      <c r="AD59" s="131"/>
      <c r="AR59" s="122"/>
    </row>
    <row r="60" spans="1:44" ht="15">
      <c r="C60" s="33"/>
      <c r="D60" s="26" t="s">
        <v>11</v>
      </c>
      <c r="E60" s="32"/>
      <c r="F60" s="71">
        <f>F31</f>
        <v>269551</v>
      </c>
      <c r="G60" s="71">
        <f t="shared" ref="G60:M60" si="100">G31</f>
        <v>0</v>
      </c>
      <c r="H60" s="71">
        <f t="shared" si="100"/>
        <v>0</v>
      </c>
      <c r="I60" s="71">
        <f t="shared" si="100"/>
        <v>0</v>
      </c>
      <c r="J60" s="71">
        <f t="shared" si="100"/>
        <v>0</v>
      </c>
      <c r="K60" s="71">
        <f t="shared" si="100"/>
        <v>0</v>
      </c>
      <c r="L60" s="71">
        <f t="shared" si="100"/>
        <v>0</v>
      </c>
      <c r="M60" s="71">
        <f t="shared" si="100"/>
        <v>0</v>
      </c>
      <c r="N60" s="64"/>
      <c r="O60" s="64"/>
      <c r="P60" s="64"/>
      <c r="Q60" s="64"/>
      <c r="R60" s="64"/>
      <c r="S60" s="64"/>
      <c r="T60" s="60"/>
      <c r="W60" s="153"/>
      <c r="Y60" s="111"/>
      <c r="Z60" s="111"/>
      <c r="AA60" s="111"/>
      <c r="AB60" s="111"/>
      <c r="AC60" s="111"/>
      <c r="AD60" s="111"/>
      <c r="AR60" s="9"/>
    </row>
    <row r="61" spans="1:44" ht="15.75" thickBot="1">
      <c r="C61" s="35" t="s">
        <v>160</v>
      </c>
      <c r="D61" s="36"/>
      <c r="E61" s="37"/>
      <c r="F61" s="75">
        <f>F56+F59</f>
        <v>665</v>
      </c>
      <c r="G61" s="75"/>
      <c r="H61" s="75"/>
      <c r="I61" s="75"/>
      <c r="J61" s="75"/>
      <c r="K61" s="75"/>
      <c r="L61" s="75"/>
      <c r="M61" s="75"/>
      <c r="N61" s="66"/>
      <c r="O61" s="66"/>
      <c r="P61" s="66"/>
      <c r="Q61" s="66"/>
      <c r="R61" s="66"/>
      <c r="S61" s="66"/>
      <c r="T61" s="66"/>
      <c r="W61" s="153"/>
      <c r="X61" s="153"/>
      <c r="Y61" s="153"/>
      <c r="Z61" s="153"/>
      <c r="AA61" s="153"/>
      <c r="AB61" s="153"/>
      <c r="AC61" s="153"/>
      <c r="AD61" s="111"/>
      <c r="AR61" s="9"/>
    </row>
    <row r="62" spans="1:44" ht="16.5" thickTop="1" thickBot="1">
      <c r="C62" s="38" t="s">
        <v>161</v>
      </c>
      <c r="D62" s="39"/>
      <c r="E62" s="40"/>
      <c r="F62" s="76">
        <f>F57+F60</f>
        <v>2003569</v>
      </c>
      <c r="G62" s="76"/>
      <c r="H62" s="76"/>
      <c r="I62" s="76"/>
      <c r="J62" s="76"/>
      <c r="K62" s="76"/>
      <c r="L62" s="76"/>
      <c r="M62" s="76"/>
      <c r="N62" s="66"/>
      <c r="O62" s="66"/>
      <c r="P62" s="66"/>
      <c r="Q62" s="66"/>
      <c r="R62" s="66"/>
      <c r="S62" s="66"/>
      <c r="T62" s="66"/>
      <c r="W62" s="153"/>
      <c r="X62" s="153"/>
      <c r="Y62" s="153"/>
      <c r="Z62" s="153"/>
      <c r="AA62" s="153"/>
      <c r="AB62" s="153"/>
      <c r="AC62" s="153"/>
      <c r="AD62" s="111"/>
      <c r="AR62" s="9"/>
    </row>
    <row r="63" spans="1:44" ht="15.75" thickTop="1">
      <c r="W63" s="153"/>
      <c r="X63" s="150"/>
      <c r="Y63" s="150"/>
      <c r="Z63" s="150"/>
      <c r="AA63" s="150"/>
      <c r="AB63" s="150"/>
      <c r="AC63" s="150"/>
      <c r="AR63" s="9"/>
    </row>
    <row r="64" spans="1:44" ht="15">
      <c r="W64" s="153"/>
      <c r="X64" s="150"/>
      <c r="Y64" s="150"/>
      <c r="Z64" s="150"/>
      <c r="AA64" s="150"/>
      <c r="AB64" s="150"/>
      <c r="AC64" s="150"/>
      <c r="AR64" s="9"/>
    </row>
    <row r="65" spans="44:44" ht="15">
      <c r="AR65" s="9"/>
    </row>
    <row r="66" spans="44:44" ht="15" customHeight="1"/>
    <row r="67" spans="44:44" ht="15" customHeight="1"/>
    <row r="68" spans="44:44" ht="15" customHeight="1"/>
    <row r="69" spans="44:44" ht="15" customHeight="1"/>
    <row r="70" spans="44:44" ht="15" customHeight="1"/>
    <row r="71" spans="44:44" ht="15" customHeight="1"/>
  </sheetData>
  <mergeCells count="9">
    <mergeCell ref="AJ39:AP39"/>
    <mergeCell ref="U38:AI38"/>
    <mergeCell ref="G10:T10"/>
    <mergeCell ref="F9:T9"/>
    <mergeCell ref="F38:T38"/>
    <mergeCell ref="U9:AI9"/>
    <mergeCell ref="U10:AI10"/>
    <mergeCell ref="AJ9:AP9"/>
    <mergeCell ref="AJ38:AP38"/>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B29B276ACB4E644D9A6582918F6D7D7E" ma:contentTypeVersion="16" ma:contentTypeDescription="Yeni belge oluşturun." ma:contentTypeScope="" ma:versionID="d8bdb83f8f3a6a04c5282a5f951695c4">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ae6e43a695c8c0b7cbb3a1766b918bf0"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Resim Etiketleri" ma:readOnly="false" ma:fieldId="{5cf76f15-5ced-4ddc-b409-7134ff3c332f}" ma:taxonomyMulti="true" ma:sspId="2b000698-8d8e-4a24-bb1f-5c40ea2b5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TaxCatchAll" ma:index="21" nillable="true" ma:displayName="Taxonomy Catch All Column" ma:hidden="true" ma:list="{fbe57add-cae4-4e31-8402-3186dc955d50}" ma:internalName="TaxCatchAll" ma:showField="CatchAllData" ma:web="50acc271-0769-44fa-a07c-5c2dfce6e4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acc271-0769-44fa-a07c-5c2dfce6e462" xsi:nil="true"/>
    <lcf76f155ced4ddcb4097134ff3c332f xmlns="8cd7474e-1d48-42f1-a929-9fa835c241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E6567F-A482-4717-A03A-7D411D16FE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4D69E-E9A6-4C6E-930B-6845131E721B}">
  <ds:schemaRefs>
    <ds:schemaRef ds:uri="http://schemas.microsoft.com/sharepoint/v3/contenttype/forms"/>
  </ds:schemaRefs>
</ds:datastoreItem>
</file>

<file path=customXml/itemProps3.xml><?xml version="1.0" encoding="utf-8"?>
<ds:datastoreItem xmlns:ds="http://schemas.openxmlformats.org/officeDocument/2006/customXml" ds:itemID="{A16FC12F-4478-42E3-9A48-BDD9224AE15B}">
  <ds:schemaRefs>
    <ds:schemaRef ds:uri="http://schemas.microsoft.com/office/2006/metadata/properties"/>
    <ds:schemaRef ds:uri="http://schemas.microsoft.com/office/infopath/2007/PartnerControls"/>
    <ds:schemaRef ds:uri="8cd7474e-1d48-42f1-a929-9fa835c241d5"/>
    <ds:schemaRef ds:uri="http://purl.org/dc/elements/1.1/"/>
    <ds:schemaRef ds:uri="http://www.w3.org/XML/1998/namespace"/>
    <ds:schemaRef ds:uri="http://schemas.microsoft.com/office/2006/documentManagement/types"/>
    <ds:schemaRef ds:uri="http://schemas.openxmlformats.org/package/2006/metadata/core-properties"/>
    <ds:schemaRef ds:uri="50acc271-0769-44fa-a07c-5c2dfce6e462"/>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62</vt:i4>
      </vt:variant>
      <vt:variant>
        <vt:lpstr>Adlandırılmış Aralıklar</vt:lpstr>
      </vt:variant>
      <vt:variant>
        <vt:i4>3</vt:i4>
      </vt:variant>
    </vt:vector>
  </HeadingPairs>
  <TitlesOfParts>
    <vt:vector size="65" baseType="lpstr">
      <vt:lpstr> </vt:lpstr>
      <vt:lpstr>Disclaimer</vt:lpstr>
      <vt:lpstr>Notes</vt:lpstr>
      <vt:lpstr>Occupancy_2026</vt:lpstr>
      <vt:lpstr>Traffic&gt;</vt:lpstr>
      <vt:lpstr>Apr-26</vt:lpstr>
      <vt:lpstr>Mar-26</vt:lpstr>
      <vt:lpstr>Feb-26</vt:lpstr>
      <vt:lpstr>Jan-26</vt:lpstr>
      <vt:lpstr>Dec-25</vt:lpstr>
      <vt:lpstr>Nov-25</vt:lpstr>
      <vt:lpstr>Oct-25</vt:lpstr>
      <vt:lpstr>Sep-25</vt:lpstr>
      <vt:lpstr>Aug-25</vt:lpstr>
      <vt:lpstr>Jul-25</vt:lpstr>
      <vt:lpstr>Jun-25</vt:lpstr>
      <vt:lpstr>May-25</vt:lpstr>
      <vt:lpstr>Apr-25</vt:lpstr>
      <vt:lpstr>Mar-25</vt:lpstr>
      <vt:lpstr>Feb-25</vt:lpstr>
      <vt:lpstr>Jan-25</vt:lpstr>
      <vt:lpstr>Dec-24</vt:lpstr>
      <vt:lpstr>Nov-24</vt:lpstr>
      <vt:lpstr>Oct-24</vt:lpstr>
      <vt:lpstr>Sep-24</vt:lpstr>
      <vt:lpstr>Aug-24</vt:lpstr>
      <vt:lpstr>July-24</vt:lpstr>
      <vt:lpstr>June-24</vt:lpstr>
      <vt:lpstr>May-24</vt:lpstr>
      <vt:lpstr>Apr-24</vt:lpstr>
      <vt:lpstr>Mar-24</vt:lpstr>
      <vt:lpstr>Feb-24</vt:lpstr>
      <vt:lpstr>Jan-24</vt:lpstr>
      <vt:lpstr>Dec-23</vt:lpstr>
      <vt:lpstr>Nov-23</vt:lpstr>
      <vt:lpstr>Oct-23</vt:lpstr>
      <vt:lpstr>Sep-23</vt:lpstr>
      <vt:lpstr>Aug-23</vt:lpstr>
      <vt:lpstr>July-23</vt:lpstr>
      <vt:lpstr>June-23</vt:lpstr>
      <vt:lpstr>May-23</vt:lpstr>
      <vt:lpstr>Apr-23</vt:lpstr>
      <vt:lpstr>Mar-23</vt:lpstr>
      <vt:lpstr>Mar-23_old structure</vt:lpstr>
      <vt:lpstr>Feb-23</vt:lpstr>
      <vt:lpstr>Jan-23</vt:lpstr>
      <vt:lpstr>Dec-22</vt:lpstr>
      <vt:lpstr>Nov-22</vt:lpstr>
      <vt:lpstr>Oct-22</vt:lpstr>
      <vt:lpstr>Sep-22</vt:lpstr>
      <vt:lpstr>Aug-22</vt:lpstr>
      <vt:lpstr>Jul-22</vt:lpstr>
      <vt:lpstr>Jun-22</vt:lpstr>
      <vt:lpstr>May-22</vt:lpstr>
      <vt:lpstr>Apr-22</vt:lpstr>
      <vt:lpstr>Mar-22</vt:lpstr>
      <vt:lpstr>Feb-22</vt:lpstr>
      <vt:lpstr>Jan-22</vt:lpstr>
      <vt:lpstr>Dec-21</vt:lpstr>
      <vt:lpstr>Nov-21</vt:lpstr>
      <vt:lpstr>Oct-21</vt:lpstr>
      <vt:lpstr>Sept-21</vt:lpstr>
      <vt:lpstr>Disclaimer!Yazdırma_Alanı</vt:lpstr>
      <vt:lpstr>Notes!Yazdırma_Alanı</vt:lpstr>
      <vt:lpstr>'Traffic&gt;'!Yazdırma_Alanı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2022-08-04T14:43:41Z</cp:lastPrinted>
  <dcterms:created xsi:type="dcterms:W3CDTF">2021-12-10T09:13:50Z</dcterms:created>
  <dcterms:modified xsi:type="dcterms:W3CDTF">2026-05-15T09:56:53Z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y fmtid="{D5CDD505-2E9C-101B-9397-08002B2CF9AE}" pid="5" name="MediaServiceImageTags">
    <vt:lpwstr/>
  </property>
</Properties>
</file>