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6" firstSheet="2" activeTab="5"/>
  </bookViews>
  <sheets>
    <sheet name=" " sheetId="3" r:id="rId1"/>
    <sheet name="Disclaimer" sheetId="13" r:id="rId2"/>
    <sheet name="Notes" sheetId="11" r:id="rId3"/>
    <sheet name="Occupancy_2022" sheetId="24" r:id="rId4"/>
    <sheet name="Traffic&gt;" sheetId="25" r:id="rId5"/>
    <sheet name="Dec-22" sheetId="29" r:id="rId6"/>
    <sheet name="Nov-22" sheetId="28" r:id="rId7"/>
    <sheet name="Oct-22" sheetId="27" r:id="rId8"/>
    <sheet name="Sep-22" sheetId="26" r:id="rId9"/>
    <sheet name="Aug-22" sheetId="22" r:id="rId10"/>
    <sheet name="Jul-22" sheetId="21" r:id="rId11"/>
    <sheet name="Jun-22" sheetId="20" r:id="rId12"/>
    <sheet name="May-22" sheetId="19" r:id="rId13"/>
    <sheet name="Apr-22" sheetId="18" r:id="rId14"/>
    <sheet name="Mar-22" sheetId="17" r:id="rId15"/>
    <sheet name="Feb-22" sheetId="16" r:id="rId16"/>
    <sheet name="Jan-22" sheetId="15" r:id="rId17"/>
    <sheet name="Dec-21" sheetId="14" r:id="rId18"/>
    <sheet name="Nov-21" sheetId="10" r:id="rId19"/>
    <sheet name="Oct-21" sheetId="9" r:id="rId20"/>
    <sheet name="Sept-21" sheetId="1" r:id="rId21"/>
  </sheets>
  <externalReferences>
    <externalReference r:id="rId22"/>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3" hidden="1">'Apr-22'!$X:$XFD</definedName>
    <definedName name="Z_5F6D01E3_9E6F_4D7F_980F_63899AF95899_.wvu.Cols" localSheetId="9" hidden="1">'Aug-22'!$X:$XFD</definedName>
    <definedName name="Z_5F6D01E3_9E6F_4D7F_980F_63899AF95899_.wvu.Cols" localSheetId="17" hidden="1">'Dec-21'!$S:$XFD</definedName>
    <definedName name="Z_5F6D01E3_9E6F_4D7F_980F_63899AF95899_.wvu.Cols" localSheetId="5" hidden="1">'Dec-22'!$X:$XFD</definedName>
    <definedName name="Z_5F6D01E3_9E6F_4D7F_980F_63899AF95899_.wvu.Cols" localSheetId="1" hidden="1">Disclaimer!$X:$XFD</definedName>
    <definedName name="Z_5F6D01E3_9E6F_4D7F_980F_63899AF95899_.wvu.Cols" localSheetId="15" hidden="1">'Feb-22'!$X:$XFD</definedName>
    <definedName name="Z_5F6D01E3_9E6F_4D7F_980F_63899AF95899_.wvu.Cols" localSheetId="16" hidden="1">'Jan-22'!$X:$XFD</definedName>
    <definedName name="Z_5F6D01E3_9E6F_4D7F_980F_63899AF95899_.wvu.Cols" localSheetId="10" hidden="1">'Jul-22'!$X:$XFD</definedName>
    <definedName name="Z_5F6D01E3_9E6F_4D7F_980F_63899AF95899_.wvu.Cols" localSheetId="11" hidden="1">'Jun-22'!$X:$XFD</definedName>
    <definedName name="Z_5F6D01E3_9E6F_4D7F_980F_63899AF95899_.wvu.Cols" localSheetId="14" hidden="1">'Mar-22'!$X:$XFD</definedName>
    <definedName name="Z_5F6D01E3_9E6F_4D7F_980F_63899AF95899_.wvu.Cols" localSheetId="12" hidden="1">'May-22'!$X:$XFD</definedName>
    <definedName name="Z_5F6D01E3_9E6F_4D7F_980F_63899AF95899_.wvu.Cols" localSheetId="2" hidden="1">Notes!$S:$XFD</definedName>
    <definedName name="Z_5F6D01E3_9E6F_4D7F_980F_63899AF95899_.wvu.Cols" localSheetId="18" hidden="1">'Nov-21'!$S:$XFD</definedName>
    <definedName name="Z_5F6D01E3_9E6F_4D7F_980F_63899AF95899_.wvu.Cols" localSheetId="6" hidden="1">'Nov-22'!$X:$XFD</definedName>
    <definedName name="Z_5F6D01E3_9E6F_4D7F_980F_63899AF95899_.wvu.Cols" localSheetId="3" hidden="1">Occupancy_2022!$U:$XFD</definedName>
    <definedName name="Z_5F6D01E3_9E6F_4D7F_980F_63899AF95899_.wvu.Cols" localSheetId="19" hidden="1">'Oct-21'!$S:$XFD</definedName>
    <definedName name="Z_5F6D01E3_9E6F_4D7F_980F_63899AF95899_.wvu.Cols" localSheetId="7" hidden="1">'Oct-22'!$X:$XFD</definedName>
    <definedName name="Z_5F6D01E3_9E6F_4D7F_980F_63899AF95899_.wvu.Cols" localSheetId="8" hidden="1">'Sep-22'!$X:$XFD</definedName>
    <definedName name="Z_5F6D01E3_9E6F_4D7F_980F_63899AF95899_.wvu.Cols" localSheetId="20"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3" hidden="1">'Apr-22'!$49:$1048576,'Apr-22'!$30:$48</definedName>
    <definedName name="Z_5F6D01E3_9E6F_4D7F_980F_63899AF95899_.wvu.Rows" localSheetId="17" hidden="1">'Dec-21'!$49:$1048576,'Dec-21'!$30:$48</definedName>
    <definedName name="Z_5F6D01E3_9E6F_4D7F_980F_63899AF95899_.wvu.Rows" localSheetId="1" hidden="1">Disclaimer!$45:$1048576,Disclaimer!$30:$44</definedName>
    <definedName name="Z_5F6D01E3_9E6F_4D7F_980F_63899AF95899_.wvu.Rows" localSheetId="15" hidden="1">'Feb-22'!$49:$1048576,'Feb-22'!$30:$48</definedName>
    <definedName name="Z_5F6D01E3_9E6F_4D7F_980F_63899AF95899_.wvu.Rows" localSheetId="16" hidden="1">'Jan-22'!$49:$1048576,'Jan-22'!$30:$48</definedName>
    <definedName name="Z_5F6D01E3_9E6F_4D7F_980F_63899AF95899_.wvu.Rows" localSheetId="11" hidden="1">'Jun-22'!$49:$1048576,'Jun-22'!$30:$48</definedName>
    <definedName name="Z_5F6D01E3_9E6F_4D7F_980F_63899AF95899_.wvu.Rows" localSheetId="14" hidden="1">'Mar-22'!$49:$1048576,'Mar-22'!$30:$48</definedName>
    <definedName name="Z_5F6D01E3_9E6F_4D7F_980F_63899AF95899_.wvu.Rows" localSheetId="12" hidden="1">'May-22'!$49:$1048576,'May-22'!$30:$48</definedName>
    <definedName name="Z_5F6D01E3_9E6F_4D7F_980F_63899AF95899_.wvu.Rows" localSheetId="2" hidden="1">Notes!$45:$1048576,Notes!$27:$44</definedName>
    <definedName name="Z_5F6D01E3_9E6F_4D7F_980F_63899AF95899_.wvu.Rows" localSheetId="18" hidden="1">'Nov-21'!$49:$1048576,'Nov-21'!$30:$48</definedName>
    <definedName name="Z_5F6D01E3_9E6F_4D7F_980F_63899AF95899_.wvu.Rows" localSheetId="19" hidden="1">'Oct-21'!$49:$1048576,'Oct-21'!$30:$48</definedName>
    <definedName name="Z_5F6D01E3_9E6F_4D7F_980F_63899AF95899_.wvu.Rows" localSheetId="20"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7" l="1"/>
  <c r="F14" i="29"/>
  <c r="M28" i="29" l="1"/>
  <c r="F28" i="27"/>
  <c r="F29" i="28"/>
  <c r="F28" i="28"/>
  <c r="F29" i="29" l="1"/>
  <c r="F28" i="29"/>
  <c r="I56" i="29" l="1"/>
  <c r="F56" i="29" l="1"/>
  <c r="P29" i="29"/>
  <c r="O29" i="29"/>
  <c r="O56" i="29" s="1"/>
  <c r="N29" i="29"/>
  <c r="P28" i="29"/>
  <c r="O28" i="29"/>
  <c r="O55" i="29" s="1"/>
  <c r="N28" i="29"/>
  <c r="P26" i="29"/>
  <c r="P53" i="29" s="1"/>
  <c r="O26" i="29"/>
  <c r="O53" i="29" s="1"/>
  <c r="N26" i="29"/>
  <c r="M26" i="29"/>
  <c r="P25" i="29"/>
  <c r="O25" i="29"/>
  <c r="N25" i="29"/>
  <c r="M25" i="29"/>
  <c r="P23" i="29"/>
  <c r="S23" i="29" s="1"/>
  <c r="O23" i="29"/>
  <c r="O50" i="29" s="1"/>
  <c r="N23" i="29"/>
  <c r="N50" i="29" s="1"/>
  <c r="M23" i="29"/>
  <c r="M50" i="29" s="1"/>
  <c r="P22" i="29"/>
  <c r="O22" i="29"/>
  <c r="N22" i="29"/>
  <c r="M22" i="29"/>
  <c r="P20" i="29"/>
  <c r="P47" i="29" s="1"/>
  <c r="O20" i="29"/>
  <c r="N20" i="29"/>
  <c r="N47" i="29" s="1"/>
  <c r="P19" i="29"/>
  <c r="P46" i="29" s="1"/>
  <c r="O19" i="29"/>
  <c r="O46" i="29" s="1"/>
  <c r="N19" i="29"/>
  <c r="N46" i="29" s="1"/>
  <c r="M19" i="29"/>
  <c r="P17" i="29"/>
  <c r="O17" i="29"/>
  <c r="O44" i="29" s="1"/>
  <c r="N17" i="29"/>
  <c r="M17" i="29"/>
  <c r="P16" i="29"/>
  <c r="P43" i="29" s="1"/>
  <c r="O16" i="29"/>
  <c r="O43" i="29" s="1"/>
  <c r="N16" i="29"/>
  <c r="N43" i="29" s="1"/>
  <c r="M16" i="29"/>
  <c r="M43" i="29" s="1"/>
  <c r="P14" i="29"/>
  <c r="P41" i="29" s="1"/>
  <c r="O14" i="29"/>
  <c r="N14" i="29"/>
  <c r="O13" i="29"/>
  <c r="O40" i="29" s="1"/>
  <c r="N13" i="29"/>
  <c r="N40" i="29" s="1"/>
  <c r="M13" i="29"/>
  <c r="R13" i="29" s="1"/>
  <c r="U58" i="29"/>
  <c r="T58" i="29"/>
  <c r="V57" i="29"/>
  <c r="U57" i="29"/>
  <c r="T57" i="29"/>
  <c r="V56" i="29"/>
  <c r="H56" i="29"/>
  <c r="G56" i="29"/>
  <c r="I55" i="29"/>
  <c r="H55" i="29"/>
  <c r="G55" i="29"/>
  <c r="F55" i="29"/>
  <c r="I53" i="29"/>
  <c r="H53" i="29"/>
  <c r="G53" i="29"/>
  <c r="F53" i="29"/>
  <c r="I52" i="29"/>
  <c r="L52" i="29" s="1"/>
  <c r="H52" i="29"/>
  <c r="K52" i="29" s="1"/>
  <c r="G52" i="29"/>
  <c r="J52" i="29" s="1"/>
  <c r="F52" i="29"/>
  <c r="K50" i="29"/>
  <c r="I50" i="29"/>
  <c r="H50" i="29"/>
  <c r="G50" i="29"/>
  <c r="F50" i="29"/>
  <c r="O49" i="29"/>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P56" i="29"/>
  <c r="N56" i="29"/>
  <c r="V28" i="29"/>
  <c r="V30" i="29" s="1"/>
  <c r="P55" i="29"/>
  <c r="L28" i="29"/>
  <c r="K28" i="29"/>
  <c r="J28" i="29"/>
  <c r="N53" i="29"/>
  <c r="L26" i="29"/>
  <c r="K26" i="29"/>
  <c r="J26" i="29"/>
  <c r="P52" i="29"/>
  <c r="O52" i="29"/>
  <c r="S25" i="29"/>
  <c r="L25" i="29"/>
  <c r="K25" i="29"/>
  <c r="J25" i="29"/>
  <c r="P50" i="29"/>
  <c r="L23" i="29"/>
  <c r="K23" i="29"/>
  <c r="J23" i="29"/>
  <c r="P49" i="29"/>
  <c r="N49" i="29"/>
  <c r="L22" i="29"/>
  <c r="K22" i="29"/>
  <c r="J22" i="29"/>
  <c r="K20" i="29"/>
  <c r="J20" i="29"/>
  <c r="L19" i="29"/>
  <c r="K19" i="29"/>
  <c r="J19" i="29"/>
  <c r="P44" i="29"/>
  <c r="M44" i="29"/>
  <c r="L17" i="29"/>
  <c r="K17" i="29"/>
  <c r="J17" i="29"/>
  <c r="L16" i="29"/>
  <c r="K16" i="29"/>
  <c r="J16" i="29"/>
  <c r="L14" i="29"/>
  <c r="K14" i="29"/>
  <c r="J14" i="29"/>
  <c r="K13" i="29"/>
  <c r="J13" i="29"/>
  <c r="G30" i="28"/>
  <c r="L44" i="29" l="1"/>
  <c r="K55" i="29"/>
  <c r="L55" i="29"/>
  <c r="J40" i="29"/>
  <c r="K53" i="29"/>
  <c r="J46" i="29"/>
  <c r="J44" i="29"/>
  <c r="F57" i="29"/>
  <c r="K57" i="29" s="1"/>
  <c r="J53" i="29"/>
  <c r="K49" i="29"/>
  <c r="L49" i="29"/>
  <c r="N55" i="29"/>
  <c r="N57" i="29" s="1"/>
  <c r="J30" i="29"/>
  <c r="N52" i="29"/>
  <c r="N44" i="29"/>
  <c r="Q44" i="29" s="1"/>
  <c r="I58" i="29"/>
  <c r="K47" i="29"/>
  <c r="J55" i="29"/>
  <c r="O47" i="29"/>
  <c r="K46" i="29"/>
  <c r="S19" i="29"/>
  <c r="R22" i="29"/>
  <c r="O57" i="29"/>
  <c r="O41" i="29"/>
  <c r="O58" i="29" s="1"/>
  <c r="H58" i="29"/>
  <c r="L50" i="29"/>
  <c r="G57" i="29"/>
  <c r="G58" i="29"/>
  <c r="R17" i="29"/>
  <c r="R26" i="29"/>
  <c r="K31" i="29"/>
  <c r="L43" i="29"/>
  <c r="J49" i="29"/>
  <c r="L53" i="29"/>
  <c r="H57" i="29"/>
  <c r="S22" i="29"/>
  <c r="Q23" i="29"/>
  <c r="S26" i="29"/>
  <c r="Q22" i="29"/>
  <c r="R16" i="29"/>
  <c r="R19" i="29"/>
  <c r="P58" i="29"/>
  <c r="R44" i="29"/>
  <c r="S44" i="29"/>
  <c r="S50" i="29"/>
  <c r="R50" i="29"/>
  <c r="Q50" i="29"/>
  <c r="L56" i="29"/>
  <c r="K56" i="29"/>
  <c r="J56" i="29"/>
  <c r="S43" i="29"/>
  <c r="R43" i="29"/>
  <c r="Q43" i="29"/>
  <c r="F58" i="29"/>
  <c r="L31" i="29"/>
  <c r="L41" i="29"/>
  <c r="L47" i="29"/>
  <c r="M49" i="29"/>
  <c r="S16" i="29"/>
  <c r="Q17" i="29"/>
  <c r="L20" i="29"/>
  <c r="N30" i="29"/>
  <c r="K40" i="29"/>
  <c r="N41" i="29"/>
  <c r="M53" i="29"/>
  <c r="Q13" i="29"/>
  <c r="S17" i="29"/>
  <c r="Q19" i="29"/>
  <c r="R23" i="29"/>
  <c r="O31" i="29"/>
  <c r="M40" i="29"/>
  <c r="M46" i="29"/>
  <c r="J50" i="29"/>
  <c r="N31" i="29"/>
  <c r="J43" i="29"/>
  <c r="M52" i="29"/>
  <c r="Q25" i="29"/>
  <c r="P31" i="29"/>
  <c r="R25" i="29"/>
  <c r="J29" i="29"/>
  <c r="K43" i="29"/>
  <c r="O30" i="29"/>
  <c r="J31" i="29"/>
  <c r="J41" i="29"/>
  <c r="J47" i="29"/>
  <c r="Q26" i="29"/>
  <c r="K29" i="29"/>
  <c r="Q16" i="29"/>
  <c r="L29" i="29"/>
  <c r="K41" i="29"/>
  <c r="F20" i="28"/>
  <c r="U58" i="28"/>
  <c r="T58" i="28"/>
  <c r="V57" i="28"/>
  <c r="U57" i="28"/>
  <c r="T57" i="28"/>
  <c r="T31" i="28"/>
  <c r="I31" i="28"/>
  <c r="H31" i="28"/>
  <c r="G31" i="28"/>
  <c r="F31" i="28"/>
  <c r="U30" i="28"/>
  <c r="T30" i="28"/>
  <c r="I30" i="28"/>
  <c r="H30" i="28"/>
  <c r="F30" i="28"/>
  <c r="V58" i="27"/>
  <c r="U58" i="27"/>
  <c r="T58" i="27"/>
  <c r="P58" i="27"/>
  <c r="O58" i="27"/>
  <c r="N58" i="27"/>
  <c r="I58" i="27"/>
  <c r="H58" i="27"/>
  <c r="G58" i="27"/>
  <c r="V57" i="27"/>
  <c r="U57" i="27"/>
  <c r="T57" i="27"/>
  <c r="P57" i="27"/>
  <c r="O57" i="27"/>
  <c r="N57" i="27"/>
  <c r="I57" i="27"/>
  <c r="H57" i="27"/>
  <c r="G57" i="27"/>
  <c r="V31" i="27"/>
  <c r="U31" i="27"/>
  <c r="T31" i="27"/>
  <c r="P31" i="27"/>
  <c r="O31" i="27"/>
  <c r="N31" i="27"/>
  <c r="I31" i="27"/>
  <c r="H31" i="27"/>
  <c r="G31" i="27"/>
  <c r="V30" i="27"/>
  <c r="U30" i="27"/>
  <c r="T30" i="27"/>
  <c r="P30" i="27"/>
  <c r="O30" i="27"/>
  <c r="N30" i="27"/>
  <c r="I30" i="27"/>
  <c r="H30" i="27"/>
  <c r="G30" i="27"/>
  <c r="F31" i="27"/>
  <c r="F30" i="27"/>
  <c r="J57" i="29" l="1"/>
  <c r="N58" i="29"/>
  <c r="S52" i="29"/>
  <c r="R52" i="29"/>
  <c r="Q52" i="29"/>
  <c r="S49" i="29"/>
  <c r="R49" i="29"/>
  <c r="Q49" i="29"/>
  <c r="Q46" i="29"/>
  <c r="S46" i="29"/>
  <c r="R46" i="29"/>
  <c r="L58" i="29"/>
  <c r="K58" i="29"/>
  <c r="J58" i="29"/>
  <c r="R53" i="29"/>
  <c r="Q53" i="29"/>
  <c r="S53" i="29"/>
  <c r="Q40" i="29"/>
  <c r="R40"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s="1"/>
  <c r="F26" i="19"/>
  <c r="F26" i="20"/>
  <c r="F29" i="22"/>
  <c r="F20" i="22"/>
  <c r="F20" i="27"/>
  <c r="P29" i="27"/>
  <c r="P29" i="28" s="1"/>
  <c r="P56" i="28" s="1"/>
  <c r="O29" i="27"/>
  <c r="O29" i="28" s="1"/>
  <c r="O56" i="28" s="1"/>
  <c r="N29" i="27"/>
  <c r="N29" i="28" s="1"/>
  <c r="N56" i="28" s="1"/>
  <c r="P28" i="27"/>
  <c r="P28" i="28" s="1"/>
  <c r="P55" i="28" s="1"/>
  <c r="O28" i="27"/>
  <c r="O55" i="27" s="1"/>
  <c r="N28" i="27"/>
  <c r="N28" i="28" s="1"/>
  <c r="N55" i="28" s="1"/>
  <c r="M28" i="27"/>
  <c r="P26" i="27"/>
  <c r="P26" i="28" s="1"/>
  <c r="P53" i="28" s="1"/>
  <c r="O26" i="27"/>
  <c r="O53" i="27" s="1"/>
  <c r="N26" i="27"/>
  <c r="N26" i="28" s="1"/>
  <c r="N53" i="28" s="1"/>
  <c r="M26" i="27"/>
  <c r="M53" i="27" s="1"/>
  <c r="P25" i="27"/>
  <c r="P25" i="28" s="1"/>
  <c r="P52" i="28" s="1"/>
  <c r="O25" i="27"/>
  <c r="O52" i="27" s="1"/>
  <c r="N25" i="27"/>
  <c r="N52" i="27" s="1"/>
  <c r="M25" i="27"/>
  <c r="P23" i="27"/>
  <c r="P23" i="28" s="1"/>
  <c r="P50" i="28" s="1"/>
  <c r="O23" i="27"/>
  <c r="O50" i="27" s="1"/>
  <c r="N23" i="27"/>
  <c r="N23" i="28" s="1"/>
  <c r="N50" i="28" s="1"/>
  <c r="M23" i="27"/>
  <c r="M50" i="27" s="1"/>
  <c r="P22" i="27"/>
  <c r="P22" i="28" s="1"/>
  <c r="P49" i="28" s="1"/>
  <c r="O22" i="27"/>
  <c r="O49" i="27" s="1"/>
  <c r="N22" i="27"/>
  <c r="N22" i="28" s="1"/>
  <c r="N49" i="28" s="1"/>
  <c r="M22" i="27"/>
  <c r="M49" i="27" s="1"/>
  <c r="P20" i="27"/>
  <c r="P20" i="28" s="1"/>
  <c r="P47" i="28" s="1"/>
  <c r="O20" i="27"/>
  <c r="O47" i="27" s="1"/>
  <c r="N20" i="27"/>
  <c r="N20" i="28" s="1"/>
  <c r="N47" i="28" s="1"/>
  <c r="P19" i="27"/>
  <c r="P19" i="28" s="1"/>
  <c r="P46" i="28" s="1"/>
  <c r="O19" i="27"/>
  <c r="O46" i="27" s="1"/>
  <c r="N19" i="27"/>
  <c r="N19" i="28" s="1"/>
  <c r="N46" i="28" s="1"/>
  <c r="P17" i="27"/>
  <c r="P17" i="28" s="1"/>
  <c r="O17" i="27"/>
  <c r="O44" i="27" s="1"/>
  <c r="N17" i="27"/>
  <c r="N17" i="28" s="1"/>
  <c r="M17" i="27"/>
  <c r="M17" i="28" s="1"/>
  <c r="M44" i="28" s="1"/>
  <c r="P16" i="27"/>
  <c r="P16" i="28" s="1"/>
  <c r="P43" i="28" s="1"/>
  <c r="O16" i="27"/>
  <c r="O16" i="28" s="1"/>
  <c r="O43" i="28" s="1"/>
  <c r="N16" i="27"/>
  <c r="N43" i="27" s="1"/>
  <c r="M16" i="27"/>
  <c r="Q16" i="27" s="1"/>
  <c r="P14" i="27"/>
  <c r="O14" i="27"/>
  <c r="N14" i="27"/>
  <c r="M14" i="27"/>
  <c r="Q14" i="27" s="1"/>
  <c r="P13" i="27"/>
  <c r="O13" i="27"/>
  <c r="N13" i="27"/>
  <c r="M13" i="27"/>
  <c r="S13" i="27" s="1"/>
  <c r="V56" i="27"/>
  <c r="O56" i="27"/>
  <c r="I56" i="27"/>
  <c r="H56" i="27"/>
  <c r="G56" i="27"/>
  <c r="I55" i="27"/>
  <c r="H55" i="27"/>
  <c r="G55" i="27"/>
  <c r="F55" i="27"/>
  <c r="I53" i="27"/>
  <c r="H53" i="27"/>
  <c r="G53" i="27"/>
  <c r="F53" i="27"/>
  <c r="I52" i="27"/>
  <c r="H52" i="27"/>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U29" i="27"/>
  <c r="V28" i="27"/>
  <c r="P55" i="27"/>
  <c r="N55" i="27"/>
  <c r="L28" i="27"/>
  <c r="K28" i="27"/>
  <c r="J28" i="27"/>
  <c r="P53" i="27"/>
  <c r="N53" i="27"/>
  <c r="L26" i="27"/>
  <c r="K26" i="27"/>
  <c r="J26" i="27"/>
  <c r="P52" i="27"/>
  <c r="L25" i="27"/>
  <c r="K25" i="27"/>
  <c r="J25" i="27"/>
  <c r="P50" i="27"/>
  <c r="N50" i="27"/>
  <c r="L23" i="27"/>
  <c r="K23" i="27"/>
  <c r="J23" i="27"/>
  <c r="P49" i="27"/>
  <c r="N49" i="27"/>
  <c r="L22" i="27"/>
  <c r="K22" i="27"/>
  <c r="J22" i="27"/>
  <c r="P47" i="27"/>
  <c r="N47" i="27"/>
  <c r="L19" i="27"/>
  <c r="K19" i="27"/>
  <c r="J19" i="27"/>
  <c r="P44" i="27"/>
  <c r="L17" i="27"/>
  <c r="K17" i="27"/>
  <c r="J17" i="27"/>
  <c r="L16" i="27"/>
  <c r="K16" i="27"/>
  <c r="J16" i="27"/>
  <c r="N41" i="27"/>
  <c r="L14" i="27"/>
  <c r="K14" i="27"/>
  <c r="J14" i="27"/>
  <c r="P40" i="27"/>
  <c r="N40" i="27"/>
  <c r="L13" i="27"/>
  <c r="K13" i="27"/>
  <c r="J13" i="27"/>
  <c r="F20" i="26"/>
  <c r="F29" i="26"/>
  <c r="L46" i="27" l="1"/>
  <c r="F57" i="27"/>
  <c r="F58" i="28"/>
  <c r="G57" i="28"/>
  <c r="G58" i="28"/>
  <c r="H58" i="28"/>
  <c r="L43" i="28"/>
  <c r="K46" i="28"/>
  <c r="K49" i="28"/>
  <c r="K52" i="28"/>
  <c r="J49" i="27"/>
  <c r="J44" i="27"/>
  <c r="N13" i="28"/>
  <c r="N40" i="28" s="1"/>
  <c r="P13" i="28"/>
  <c r="P30" i="28" s="1"/>
  <c r="O40" i="27"/>
  <c r="N16" i="28"/>
  <c r="N43" i="28" s="1"/>
  <c r="N14" i="28"/>
  <c r="N31" i="28" s="1"/>
  <c r="J20" i="27"/>
  <c r="O25" i="28"/>
  <c r="O52" i="28" s="1"/>
  <c r="O14" i="28"/>
  <c r="S25" i="27"/>
  <c r="P14" i="28"/>
  <c r="P31" i="28" s="1"/>
  <c r="J55" i="27"/>
  <c r="M55" i="27"/>
  <c r="S55" i="27" s="1"/>
  <c r="K53" i="27"/>
  <c r="N46" i="27"/>
  <c r="K44" i="27"/>
  <c r="M16" i="28"/>
  <c r="M43" i="28" s="1"/>
  <c r="N25" i="28"/>
  <c r="N52" i="28" s="1"/>
  <c r="O19" i="28"/>
  <c r="O46" i="28" s="1"/>
  <c r="O28" i="28"/>
  <c r="O55" i="28" s="1"/>
  <c r="M13" i="28"/>
  <c r="M40" i="28" s="1"/>
  <c r="O22" i="28"/>
  <c r="O49" i="28" s="1"/>
  <c r="P40" i="28"/>
  <c r="P57" i="28" s="1"/>
  <c r="O41" i="27"/>
  <c r="P46" i="27"/>
  <c r="Q26" i="27"/>
  <c r="N56" i="27"/>
  <c r="L43" i="27"/>
  <c r="O13" i="28"/>
  <c r="P41" i="27"/>
  <c r="M44" i="27"/>
  <c r="S26" i="27"/>
  <c r="P56" i="27"/>
  <c r="S14" i="27"/>
  <c r="N44" i="27"/>
  <c r="L52" i="27"/>
  <c r="M14" i="28"/>
  <c r="M14" i="29" s="1"/>
  <c r="M23" i="28"/>
  <c r="M50" i="28" s="1"/>
  <c r="S50" i="28" s="1"/>
  <c r="M26" i="28"/>
  <c r="Q26" i="28" s="1"/>
  <c r="K30" i="27"/>
  <c r="K41" i="27"/>
  <c r="O17" i="28"/>
  <c r="O44" i="28" s="1"/>
  <c r="R44" i="28" s="1"/>
  <c r="O20" i="28"/>
  <c r="O47" i="28" s="1"/>
  <c r="O23" i="28"/>
  <c r="O50" i="28" s="1"/>
  <c r="O26" i="28"/>
  <c r="O53" i="28" s="1"/>
  <c r="M22" i="28"/>
  <c r="S22" i="28" s="1"/>
  <c r="M25" i="28"/>
  <c r="S25" i="28" s="1"/>
  <c r="M28" i="28"/>
  <c r="S17" i="28"/>
  <c r="L55" i="28"/>
  <c r="L53" i="28"/>
  <c r="L56" i="28"/>
  <c r="L30" i="28"/>
  <c r="J40" i="28"/>
  <c r="Q17" i="28"/>
  <c r="J41" i="28"/>
  <c r="L44" i="28"/>
  <c r="J46" i="28"/>
  <c r="J53" i="28"/>
  <c r="K53" i="28"/>
  <c r="L46" i="28"/>
  <c r="N44" i="28"/>
  <c r="K41" i="28"/>
  <c r="K44" i="28"/>
  <c r="L49" i="28"/>
  <c r="L52" i="28"/>
  <c r="K55" i="28"/>
  <c r="L41" i="28"/>
  <c r="L50" i="28"/>
  <c r="K30" i="28"/>
  <c r="K40" i="28"/>
  <c r="S16" i="28"/>
  <c r="S43" i="28"/>
  <c r="J47" i="28"/>
  <c r="L47" i="28"/>
  <c r="K47" i="28"/>
  <c r="J52" i="28"/>
  <c r="P44" i="28"/>
  <c r="L40" i="28"/>
  <c r="J44" i="28"/>
  <c r="J50" i="28"/>
  <c r="J56" i="28"/>
  <c r="J43" i="28"/>
  <c r="R43" i="28"/>
  <c r="K50" i="28"/>
  <c r="K56" i="28"/>
  <c r="J29" i="28"/>
  <c r="J30" i="28"/>
  <c r="K43" i="28"/>
  <c r="J49" i="28"/>
  <c r="J55" i="28"/>
  <c r="K29" i="27"/>
  <c r="L56" i="27"/>
  <c r="J29" i="27"/>
  <c r="L29" i="27"/>
  <c r="R26" i="27"/>
  <c r="J53" i="27"/>
  <c r="L57" i="27"/>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K49" i="27"/>
  <c r="R16" i="27"/>
  <c r="R25" i="27"/>
  <c r="S50" i="27"/>
  <c r="R50" i="27"/>
  <c r="Q50" i="27"/>
  <c r="S49" i="27"/>
  <c r="S44" i="27"/>
  <c r="R44" i="27"/>
  <c r="R53" i="27"/>
  <c r="Q53" i="27"/>
  <c r="S53" i="27"/>
  <c r="K20" i="27"/>
  <c r="R22" i="27"/>
  <c r="O43" i="27"/>
  <c r="J52" i="27"/>
  <c r="Q17" i="27"/>
  <c r="L20" i="27"/>
  <c r="R28" i="27"/>
  <c r="R17" i="27"/>
  <c r="Q23" i="27"/>
  <c r="S28" i="27"/>
  <c r="L40" i="27"/>
  <c r="P43" i="27"/>
  <c r="F47" i="27"/>
  <c r="K52" i="27"/>
  <c r="Q13" i="27"/>
  <c r="S17" i="27"/>
  <c r="R23" i="27"/>
  <c r="M40" i="27"/>
  <c r="J50" i="27"/>
  <c r="J56" i="27"/>
  <c r="S23" i="27"/>
  <c r="Q25" i="27"/>
  <c r="J43" i="27"/>
  <c r="Q49" i="27"/>
  <c r="M52" i="27"/>
  <c r="K43" i="27"/>
  <c r="R49"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S28" i="28" l="1"/>
  <c r="S14" i="29"/>
  <c r="R14" i="29"/>
  <c r="Q14" i="29"/>
  <c r="M41" i="29"/>
  <c r="R55" i="27"/>
  <c r="N57" i="28"/>
  <c r="O40" i="28"/>
  <c r="O57" i="28" s="1"/>
  <c r="O30" i="28"/>
  <c r="N41" i="28"/>
  <c r="N58" i="28" s="1"/>
  <c r="Q13" i="28"/>
  <c r="M49" i="28"/>
  <c r="S49" i="28" s="1"/>
  <c r="N30" i="28"/>
  <c r="O41" i="28"/>
  <c r="O58" i="28" s="1"/>
  <c r="O31" i="28"/>
  <c r="S13" i="28"/>
  <c r="Q43" i="28"/>
  <c r="M52" i="28"/>
  <c r="Q52" i="28" s="1"/>
  <c r="Q16" i="28"/>
  <c r="R50" i="28"/>
  <c r="Q50" i="28"/>
  <c r="S23" i="28"/>
  <c r="R13" i="28"/>
  <c r="R16" i="28"/>
  <c r="R22" i="28"/>
  <c r="P41" i="28"/>
  <c r="P58" i="28" s="1"/>
  <c r="Q55" i="27"/>
  <c r="Q25" i="28"/>
  <c r="M53" i="28"/>
  <c r="Q53" i="28" s="1"/>
  <c r="S14" i="28"/>
  <c r="R25" i="28"/>
  <c r="Q23" i="28"/>
  <c r="S26" i="28"/>
  <c r="Q44" i="27"/>
  <c r="R17" i="28"/>
  <c r="R23" i="28"/>
  <c r="R14" i="28"/>
  <c r="M41" i="28"/>
  <c r="Q22" i="28"/>
  <c r="Q28" i="28"/>
  <c r="R28" i="28"/>
  <c r="M55" i="28"/>
  <c r="Q55" i="28" s="1"/>
  <c r="Q14" i="28"/>
  <c r="R26" i="28"/>
  <c r="J57" i="28"/>
  <c r="Q44" i="28"/>
  <c r="L57" i="28"/>
  <c r="K57" i="28"/>
  <c r="S44" i="28"/>
  <c r="L58" i="28"/>
  <c r="K58" i="28"/>
  <c r="J58" i="28"/>
  <c r="R40" i="28"/>
  <c r="S40" i="28"/>
  <c r="Q40" i="28"/>
  <c r="R52" i="28"/>
  <c r="J31" i="28"/>
  <c r="L31" i="28"/>
  <c r="K31" i="28"/>
  <c r="J57" i="27"/>
  <c r="K57" i="27"/>
  <c r="R41" i="27"/>
  <c r="S41" i="27"/>
  <c r="R43" i="27"/>
  <c r="K31" i="27"/>
  <c r="J31" i="27"/>
  <c r="L31" i="27"/>
  <c r="S43" i="27"/>
  <c r="S52" i="27"/>
  <c r="R52" i="27"/>
  <c r="Q52" i="27"/>
  <c r="Q40" i="27"/>
  <c r="R40" i="27"/>
  <c r="S40"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M55" i="29" l="1"/>
  <c r="S28" i="29"/>
  <c r="R28" i="29"/>
  <c r="M30" i="29"/>
  <c r="Q28" i="29"/>
  <c r="Q41" i="29"/>
  <c r="R41" i="29"/>
  <c r="S41" i="29"/>
  <c r="Q49" i="28"/>
  <c r="Q41" i="28"/>
  <c r="R49" i="28"/>
  <c r="S52" i="28"/>
  <c r="S41" i="28"/>
  <c r="S53" i="28"/>
  <c r="R53" i="28"/>
  <c r="R41" i="28"/>
  <c r="S55" i="28"/>
  <c r="R55" i="28"/>
  <c r="L58" i="27"/>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R30" i="29" l="1"/>
  <c r="Q30" i="29"/>
  <c r="R55" i="29"/>
  <c r="Q55" i="29"/>
  <c r="M57" i="29"/>
  <c r="S55" i="29"/>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R57" i="29" l="1"/>
  <c r="Q57" i="29"/>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7" i="20" l="1"/>
  <c r="M13" i="2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M20" i="28" s="1"/>
  <c r="M20" i="29" s="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0" i="29" l="1"/>
  <c r="M47" i="29"/>
  <c r="Q20" i="29"/>
  <c r="R20" i="29"/>
  <c r="R20" i="28"/>
  <c r="S20" i="28"/>
  <c r="Q20" i="28"/>
  <c r="M47" i="28"/>
  <c r="S47" i="26"/>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9" l="1"/>
  <c r="S47" i="29"/>
  <c r="R47" i="29"/>
  <c r="R47" i="28"/>
  <c r="S47" i="28"/>
  <c r="Q47" i="28"/>
  <c r="Q47" i="27"/>
  <c r="R47" i="27"/>
  <c r="S47" i="27"/>
  <c r="M46" i="26"/>
  <c r="M19" i="27"/>
  <c r="M30" i="27" s="1"/>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19" i="28" l="1"/>
  <c r="M30" i="28" s="1"/>
  <c r="M56" i="26"/>
  <c r="M29" i="27"/>
  <c r="M31" i="27" s="1"/>
  <c r="R29" i="26"/>
  <c r="Q29" i="26"/>
  <c r="S29" i="26"/>
  <c r="M31" i="26"/>
  <c r="R30" i="26"/>
  <c r="S30" i="26"/>
  <c r="Q30" i="26"/>
  <c r="S19" i="27"/>
  <c r="R19" i="27"/>
  <c r="Q19" i="27"/>
  <c r="M46" i="27"/>
  <c r="M57" i="27" s="1"/>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19" i="28" l="1"/>
  <c r="M46" i="28"/>
  <c r="M57" i="28" s="1"/>
  <c r="Q19" i="28"/>
  <c r="R19" i="28"/>
  <c r="M29" i="28"/>
  <c r="M29" i="29" s="1"/>
  <c r="S30" i="28"/>
  <c r="Q30" i="28"/>
  <c r="R30" i="28"/>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Q29" i="28" l="1"/>
  <c r="M31" i="28"/>
  <c r="S31" i="28" s="1"/>
  <c r="R29" i="28"/>
  <c r="M56" i="28"/>
  <c r="M58" i="28" s="1"/>
  <c r="Q46" i="28"/>
  <c r="R46" i="28"/>
  <c r="S46" i="28"/>
  <c r="S29" i="28"/>
  <c r="R57" i="28"/>
  <c r="S57" i="28"/>
  <c r="Q57"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6" i="28" l="1"/>
  <c r="Q31" i="28"/>
  <c r="R31" i="28"/>
  <c r="M56" i="29"/>
  <c r="S29" i="29"/>
  <c r="R29" i="29"/>
  <c r="Q29" i="29"/>
  <c r="M31" i="29"/>
  <c r="S56" i="28"/>
  <c r="S58" i="28"/>
  <c r="Q58" i="28"/>
  <c r="R58" i="28"/>
  <c r="S58" i="27"/>
  <c r="R58" i="27"/>
  <c r="Q58" i="27"/>
  <c r="J27" i="9"/>
  <c r="I27" i="9"/>
  <c r="J28" i="9"/>
  <c r="I28" i="9"/>
  <c r="Q28" i="9"/>
  <c r="O27" i="9"/>
  <c r="N27" i="9"/>
  <c r="N26" i="9"/>
  <c r="K28" i="9"/>
  <c r="Q27" i="1"/>
  <c r="I26" i="1"/>
  <c r="I17" i="1"/>
  <c r="S31" i="29" l="1"/>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R58" i="29" l="1"/>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13" i="29" l="1"/>
  <c r="P40" i="29"/>
  <c r="P30" i="29"/>
  <c r="S30" i="29" s="1"/>
  <c r="P57" i="29" l="1"/>
  <c r="S57" i="29" s="1"/>
  <c r="S40" i="29"/>
</calcChain>
</file>

<file path=xl/sharedStrings.xml><?xml version="1.0" encoding="utf-8"?>
<sst xmlns="http://schemas.openxmlformats.org/spreadsheetml/2006/main" count="814" uniqueCount="104">
  <si>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</si>
  <si>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</si>
  <si>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</si>
  <si>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</si>
  <si>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</si>
  <si>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</si>
  <si>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</si>
  <si>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</si>
  <si>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</si>
  <si>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</si>
  <si>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</si>
  <si>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</si>
  <si>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</si>
  <si>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</si>
  <si>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</si>
  <si>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</si>
  <si>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</si>
  <si>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</si>
  <si>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</si>
  <si>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</si>
  <si>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</si>
  <si>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</si>
  <si>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</si>
  <si>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</si>
  <si>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</si>
  <si>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</si>
  <si>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</si>
  <si>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</si>
  <si>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</si>
  <si>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</si>
  <si>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</si>
  <si>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</si>
  <si>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</si>
  <si>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</si>
  <si>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</si>
  <si>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</si>
  <si>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</si>
  <si>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</si>
  <si>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</si>
  <si>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</si>
  <si>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</si>
  <si>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</si>
  <si>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</si>
  <si>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</si>
  <si>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</si>
  <si>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</si>
  <si>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</si>
  <si>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</si>
  <si>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</si>
  <si>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</si>
  <si>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</si>
  <si>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</si>
  <si>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</si>
  <si>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</si>
  <si>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</si>
  <si>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</si>
  <si>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</si>
  <si>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</si>
  <si>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</si>
  <si>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</si>
  <si>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</si>
  <si>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</si>
  <si>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</si>
  <si>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</si>
  <si>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</si>
  <si>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</si>
  <si>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</si>
  <si>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</si>
  <si>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</si>
  <si>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</si>
  <si>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</si>
  <si>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</si>
  <si>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</si>
  <si>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</si>
  <si>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</si>
  <si>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</si>
  <si>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</si>
  <si>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</si>
  <si>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</si>
  <si>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</si>
  <si>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</si>
  <si>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</si>
  <si>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</si>
  <si>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Occupancy Ratios - 2022</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</si>
  <si>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</si>
  <si>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</si>
  <si>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</si>
  <si>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</si>
  <si>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</si>
  <si>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</si>
  <si>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</si>
  <si>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</si>
  <si>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</si>
  <si>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</si>
  <si>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</si>
  <si>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</si>
  <si>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</si>
  <si>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</si>
  <si>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</si>
  <si>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Updated</t>
  </si>
  <si>
    <t>Previous</t>
  </si>
  <si>
    <t xml:space="preserve">Notes: </t>
  </si>
  <si>
    <t>Occupancy ratios will lag one month due to availability of data</t>
  </si>
  <si>
    <t>Historical occupancy data updated in November 2022 to reflect latest data on each ship's lower berth passenger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</si>
</sst>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20">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29" fillId="5" borderId="7" xfId="3" applyFont="1" applyBorder="1"/>
    <xf numFmtId="0" fontId="31" fillId="0" borderId="0" xfId="0" applyFont="1"/>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7" xfId="1" applyFont="1" applyBorder="1"/>
    <xf numFmtId="0" fontId="18" fillId="2" borderId="18" xfId="1" applyFont="1" applyBorder="1"/>
    <xf numFmtId="0" fontId="18" fillId="2" borderId="19" xfId="1" applyFont="1" applyBorder="1"/>
    <xf numFmtId="0" fontId="18" fillId="2" borderId="16" xfId="1" applyFont="1" applyBorder="1"/>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a:t>
          </a:r>
          <a:r>
            <a:rPr lang="de-DE" sz="1000">
              <a:solidFill>
                <a:schemeClr val="tx1"/>
              </a:solidFill>
              <a:effectLst/>
              <a:latin typeface="+mn-lt"/>
              <a:ea typeface="+mn-ea"/>
              <a:cs typeface="+mn-cs"/>
            </a:rPr>
            <a:t>Port of Adria. In</a:t>
          </a:r>
          <a:r>
            <a:rPr lang="de-DE" sz="1000" baseline="0">
              <a:solidFill>
                <a:schemeClr val="tx1"/>
              </a:solidFill>
              <a:effectLst/>
              <a:latin typeface="+mn-lt"/>
              <a:ea typeface="+mn-ea"/>
              <a:cs typeface="+mn-cs"/>
            </a:rPr>
            <a:t> addition</a:t>
          </a:r>
          <a:r>
            <a:rPr lang="de-DE" sz="1000">
              <a:solidFill>
                <a:schemeClr val="tx1"/>
              </a:solidFill>
              <a:effectLst/>
              <a:latin typeface="+mn-lt"/>
              <a:ea typeface="+mn-ea"/>
              <a:cs typeface="+mn-cs"/>
            </a:rPr>
            <a:t>, The Canary</a:t>
          </a:r>
          <a:r>
            <a:rPr lang="de-DE" sz="1000" baseline="0">
              <a:solidFill>
                <a:schemeClr val="tx1"/>
              </a:solidFill>
              <a:effectLst/>
              <a:latin typeface="+mn-lt"/>
              <a:ea typeface="+mn-ea"/>
              <a:cs typeface="+mn-cs"/>
            </a:rPr>
            <a:t> Islands (Gran Canaria, Lanzarote, and Fuerteventura) were</a:t>
          </a:r>
          <a:r>
            <a:rPr lang="de-DE" sz="1000">
              <a:solidFill>
                <a:schemeClr val="tx1"/>
              </a:solidFill>
              <a:effectLst/>
              <a:latin typeface="+mn-lt"/>
              <a:ea typeface="+mn-ea"/>
              <a:cs typeface="+mn-cs"/>
            </a:rPr>
            <a:t> added (from Oct-2022, 	October</a:t>
          </a:r>
          <a:r>
            <a:rPr lang="de-DE" sz="1000" baseline="0">
              <a:solidFill>
                <a:schemeClr val="tx1"/>
              </a:solidFill>
              <a:effectLst/>
              <a:latin typeface="+mn-lt"/>
              <a:ea typeface="+mn-ea"/>
              <a:cs typeface="+mn-cs"/>
            </a:rPr>
            <a:t> and November figures </a:t>
          </a:r>
          <a:r>
            <a:rPr lang="de-DE" sz="1100">
              <a:solidFill>
                <a:schemeClr val="tx1"/>
              </a:solidFill>
              <a:effectLst/>
              <a:latin typeface="+mn-lt"/>
              <a:ea typeface="+mn-ea"/>
              <a:cs typeface="+mn-cs"/>
            </a:rPr>
            <a:t>retrospectively corrected in Dec-2022</a:t>
          </a:r>
          <a:r>
            <a:rPr lang="de-DE" sz="1000">
              <a:solidFill>
                <a:schemeClr val="tx1"/>
              </a:solidFill>
              <a:effectLst/>
              <a:latin typeface="+mn-lt"/>
              <a:ea typeface="+mn-ea"/>
              <a:cs typeface="+mn-cs"/>
            </a:rPr>
            <a:t>).</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744071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44941</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72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3" t="s">
        <v>69</v>
      </c>
      <c r="G9" s="113"/>
      <c r="H9" s="113"/>
      <c r="I9" s="113"/>
      <c r="J9" s="113"/>
      <c r="K9" s="113"/>
      <c r="L9" s="114"/>
      <c r="M9" s="115" t="s">
        <v>71</v>
      </c>
      <c r="N9" s="113"/>
      <c r="O9" s="113"/>
      <c r="P9" s="113"/>
      <c r="Q9" s="113"/>
      <c r="R9" s="113"/>
      <c r="S9" s="114"/>
      <c r="T9" s="115" t="s">
        <v>57</v>
      </c>
      <c r="U9" s="113"/>
      <c r="V9" s="116"/>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4.4">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4.4">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4.4">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342146</v>
      </c>
      <c r="N20" s="69">
        <f>G20+'Jul-22'!N20</f>
        <v>0</v>
      </c>
      <c r="O20" s="69">
        <f>H20+'Jul-22'!O20</f>
        <v>1753</v>
      </c>
      <c r="P20" s="69">
        <f>I20+'Jul-22'!P20</f>
        <v>167542</v>
      </c>
      <c r="Q20" s="65" t="str">
        <f t="shared" si="9"/>
        <v>n/a</v>
      </c>
      <c r="R20" s="65">
        <f t="shared" si="10"/>
        <v>194.17741015402169</v>
      </c>
      <c r="S20" s="61">
        <f t="shared" si="11"/>
        <v>1.0421506249179311</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4.4">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4.4">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127</v>
      </c>
      <c r="U28" s="71">
        <v>37</v>
      </c>
      <c r="V28" s="79">
        <f>282+81</f>
        <v>363</v>
      </c>
    </row>
    <row r="29" spans="1:38" ht="14.4">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4378861</v>
      </c>
      <c r="N31" s="48">
        <f t="shared" si="26"/>
        <v>332144</v>
      </c>
      <c r="O31" s="48">
        <f t="shared" si="26"/>
        <v>1287137</v>
      </c>
      <c r="P31" s="48">
        <f t="shared" si="26"/>
        <v>6070338</v>
      </c>
      <c r="Q31" s="68">
        <f t="shared" si="22"/>
        <v>12.183622163880726</v>
      </c>
      <c r="R31" s="68">
        <f t="shared" si="23"/>
        <v>2.4020162577876327</v>
      </c>
      <c r="S31" s="64">
        <f t="shared" si="24"/>
        <v>-0.27864626318995744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3" t="str">
        <f>F9</f>
        <v>August</v>
      </c>
      <c r="G36" s="113"/>
      <c r="H36" s="113"/>
      <c r="I36" s="113"/>
      <c r="J36" s="113"/>
      <c r="K36" s="113"/>
      <c r="L36" s="114"/>
      <c r="M36" s="115" t="s">
        <v>70</v>
      </c>
      <c r="N36" s="113"/>
      <c r="O36" s="113"/>
      <c r="P36" s="113"/>
      <c r="Q36" s="113"/>
      <c r="R36" s="113"/>
      <c r="S36" s="114"/>
      <c r="T36" s="115" t="s">
        <v>58</v>
      </c>
      <c r="U36" s="113"/>
      <c r="V36" s="116"/>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340674</v>
      </c>
      <c r="N47" s="83">
        <f>+N20-'Mar-22'!N17</f>
        <v>0</v>
      </c>
      <c r="O47" s="83">
        <f>+O20-'Mar-22'!O17</f>
        <v>111</v>
      </c>
      <c r="P47" s="83">
        <f>+P20-'Mar-22'!P17</f>
        <v>162404</v>
      </c>
      <c r="Q47" s="65" t="str">
        <f>IFERROR(M47/N47-1,"n/a")</f>
        <v>n/a</v>
      </c>
      <c r="R47" s="65">
        <f>IFERROR(M47/O47-1,"n/a")</f>
        <v>3068.135135135135</v>
      </c>
      <c r="S47" s="61">
        <f t="shared" si="41"/>
        <v>1.0976946380631021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5"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7"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7"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3511156</v>
      </c>
      <c r="N58" s="48">
        <f t="shared" si="59"/>
        <v>322041</v>
      </c>
      <c r="O58" s="48">
        <f t="shared" si="59"/>
        <v>10946</v>
      </c>
      <c r="P58" s="48">
        <f t="shared" si="59"/>
        <v>4279812</v>
      </c>
      <c r="Q58" s="68">
        <f>IFERROR(M58/N58-1,"n/a")</f>
        <v>9.9028229324837529</v>
      </c>
      <c r="R58" s="68">
        <f>IFERROR(M58/O58-1,"n/a")</f>
        <v>319.77069249040744</v>
      </c>
      <c r="S58" s="64">
        <f t="shared" si="57"/>
        <v>-0.17960041235456137</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85" zoomScaleNormal="85"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3" t="s">
        <v>55</v>
      </c>
      <c r="G9" s="113"/>
      <c r="H9" s="113"/>
      <c r="I9" s="113"/>
      <c r="J9" s="113"/>
      <c r="K9" s="113"/>
      <c r="L9" s="114"/>
      <c r="M9" s="115" t="s">
        <v>60</v>
      </c>
      <c r="N9" s="113"/>
      <c r="O9" s="113"/>
      <c r="P9" s="113"/>
      <c r="Q9" s="113"/>
      <c r="R9" s="113"/>
      <c r="S9" s="114"/>
      <c r="T9" s="115" t="s">
        <v>57</v>
      </c>
      <c r="U9" s="113"/>
      <c r="V9" s="116"/>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4.4">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4.4">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4.4">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239590</v>
      </c>
      <c r="N20" s="69">
        <f>G20+'Jun-22'!N17</f>
        <v>0</v>
      </c>
      <c r="O20" s="69">
        <f>H20+'Jun-22'!O17</f>
        <v>1753</v>
      </c>
      <c r="P20" s="69">
        <f>I20+'Jun-22'!P17</f>
        <v>117191</v>
      </c>
      <c r="Q20" s="65" t="str">
        <f t="shared" si="9"/>
        <v>n/a</v>
      </c>
      <c r="R20" s="65">
        <f t="shared" si="10"/>
        <v>135.67427267541359</v>
      </c>
      <c r="S20" s="61">
        <f t="shared" si="11"/>
        <v>1.0444402727171882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4.4">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4.4">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127</v>
      </c>
      <c r="U28" s="71">
        <v>37</v>
      </c>
      <c r="V28" s="79">
        <f>282+81</f>
        <v>363</v>
      </c>
    </row>
    <row r="29" spans="1:38" ht="14.4">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3490047</v>
      </c>
      <c r="N31" s="48">
        <f t="shared" si="26"/>
        <v>166584</v>
      </c>
      <c r="O31" s="48">
        <f t="shared" si="26"/>
        <v>1284596</v>
      </c>
      <c r="P31" s="48">
        <f t="shared" si="26"/>
        <v>5144226</v>
      </c>
      <c r="Q31" s="68">
        <f t="shared" si="22"/>
        <v>19.950673534072902</v>
      </c>
      <c r="R31" s="68">
        <f t="shared" si="23"/>
        <v>1.7168440505808831</v>
      </c>
      <c r="S31" s="64">
        <f t="shared" si="24"/>
        <v>-0.32156032802602375</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3" t="str">
        <f>F9</f>
        <v>July</v>
      </c>
      <c r="G36" s="113"/>
      <c r="H36" s="113"/>
      <c r="I36" s="113"/>
      <c r="J36" s="113"/>
      <c r="K36" s="113"/>
      <c r="L36" s="114"/>
      <c r="M36" s="115" t="s">
        <v>61</v>
      </c>
      <c r="N36" s="113"/>
      <c r="O36" s="113"/>
      <c r="P36" s="113"/>
      <c r="Q36" s="113"/>
      <c r="R36" s="113"/>
      <c r="S36" s="114"/>
      <c r="T36" s="115" t="s">
        <v>58</v>
      </c>
      <c r="U36" s="113"/>
      <c r="V36" s="116"/>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200000000000003"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238118</v>
      </c>
      <c r="N47" s="83">
        <f>+N20-'Mar-22'!N17</f>
        <v>0</v>
      </c>
      <c r="O47" s="83">
        <f>+O20-'Mar-22'!O17</f>
        <v>111</v>
      </c>
      <c r="P47" s="83">
        <f>+P20-'Mar-22'!P17</f>
        <v>112053</v>
      </c>
      <c r="Q47" s="65" t="str">
        <f>IFERROR(M47/N47-1,"n/a")</f>
        <v>n/a</v>
      </c>
      <c r="R47" s="65">
        <f>IFERROR(M47/O47-1,"n/a")</f>
        <v>2144.2072072072074</v>
      </c>
      <c r="S47" s="61">
        <f t="shared" si="42"/>
        <v>1.1250479683721095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5"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7"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7"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2622342</v>
      </c>
      <c r="N58" s="48">
        <f t="shared" si="68"/>
        <v>156481</v>
      </c>
      <c r="O58" s="48">
        <f t="shared" si="68"/>
        <v>8405</v>
      </c>
      <c r="P58" s="48">
        <f t="shared" ref="P58" si="69">P41+P44+P47+P50+P53+P56</f>
        <v>3353700</v>
      </c>
      <c r="Q58" s="68">
        <f>IFERROR(M58/N58-1,"n/a")</f>
        <v>15.758213457224837</v>
      </c>
      <c r="R58" s="68">
        <f>IFERROR(M58/O58-1,"n/a")</f>
        <v>310.99785841760854</v>
      </c>
      <c r="S58" s="64">
        <f t="shared" si="61"/>
        <v>-0.21807496198228826</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85" zoomScaleNormal="85"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3" t="s">
        <v>51</v>
      </c>
      <c r="G6" s="113"/>
      <c r="H6" s="113"/>
      <c r="I6" s="113"/>
      <c r="J6" s="113"/>
      <c r="K6" s="113"/>
      <c r="L6" s="114"/>
      <c r="M6" s="115" t="s">
        <v>52</v>
      </c>
      <c r="N6" s="113"/>
      <c r="O6" s="113"/>
      <c r="P6" s="113"/>
      <c r="Q6" s="113"/>
      <c r="R6" s="113"/>
      <c r="S6" s="114"/>
      <c r="T6" s="115" t="s">
        <v>9</v>
      </c>
      <c r="U6" s="113"/>
      <c r="V6" s="113"/>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4.4">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4.4">
      <c r="A12" s="10"/>
      <c r="B12" s="13"/>
      <c r="C12" s="32" t="s">
        <v>74</v>
      </c>
      <c r="D12" s="27"/>
      <c r="E12" s="33"/>
      <c r="F12" s="27"/>
      <c r="G12" s="27"/>
      <c r="H12" s="27"/>
      <c r="I12" s="27"/>
      <c r="J12" s="65"/>
      <c r="K12" s="65"/>
      <c r="L12" s="62"/>
      <c r="M12" s="44"/>
      <c r="N12" s="44"/>
      <c r="O12" s="44"/>
      <c r="P12" s="44"/>
      <c r="Q12" s="65"/>
      <c r="R12" s="66"/>
      <c r="S12" s="62"/>
      <c r="T12" s="44"/>
      <c r="U12" s="45"/>
      <c r="V12" s="45"/>
    </row>
    <row r="13" spans="1:38" ht="14.4">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4.4">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4.4">
      <c r="A15" s="10"/>
      <c r="B15" s="13"/>
      <c r="C15" s="32" t="s">
        <v>15</v>
      </c>
      <c r="D15" s="27"/>
      <c r="E15" s="33"/>
      <c r="F15" s="73"/>
      <c r="G15" s="73"/>
      <c r="H15" s="73"/>
      <c r="I15" s="73"/>
      <c r="J15" s="65"/>
      <c r="K15" s="65"/>
      <c r="L15" s="61"/>
      <c r="M15" s="44"/>
      <c r="N15" s="44"/>
      <c r="O15" s="44"/>
      <c r="P15" s="44"/>
      <c r="Q15" s="65"/>
      <c r="R15" s="65"/>
      <c r="S15" s="61"/>
      <c r="T15" s="44"/>
      <c r="U15" s="45"/>
      <c r="V15" s="45"/>
    </row>
    <row r="16" spans="1:38" ht="14.4">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4.4">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158400</v>
      </c>
      <c r="N17" s="69">
        <f>G17+'May-22'!N17</f>
        <v>0</v>
      </c>
      <c r="O17" s="69">
        <f>H17+'May-22'!O17</f>
        <v>1642</v>
      </c>
      <c r="P17" s="69">
        <f>I17+'May-22'!P17</f>
        <v>76540</v>
      </c>
      <c r="Q17" s="65" t="str">
        <f t="shared" si="9"/>
        <v>n/a</v>
      </c>
      <c r="R17" s="65">
        <f t="shared" si="10"/>
        <v>95.467722289890375</v>
      </c>
      <c r="S17" s="61">
        <f t="shared" si="11"/>
        <v>1.069506140580089</v>
      </c>
      <c r="T17" s="69">
        <v>8611</v>
      </c>
      <c r="U17" s="71">
        <v>1753</v>
      </c>
      <c r="V17" s="71">
        <v>254421</v>
      </c>
    </row>
    <row r="18" spans="1:38" ht="14.4">
      <c r="A18" s="10"/>
      <c r="B18" s="13"/>
      <c r="C18" s="32" t="s">
        <v>10</v>
      </c>
      <c r="D18" s="27"/>
      <c r="E18" s="35"/>
      <c r="F18" s="73"/>
      <c r="G18" s="73"/>
      <c r="H18" s="73"/>
      <c r="I18" s="73"/>
      <c r="J18" s="65"/>
      <c r="K18" s="65"/>
      <c r="L18" s="61"/>
      <c r="M18" s="44"/>
      <c r="N18" s="44"/>
      <c r="O18" s="44"/>
      <c r="P18" s="44"/>
      <c r="Q18" s="65"/>
      <c r="R18" s="65"/>
      <c r="S18" s="61"/>
      <c r="T18" s="44"/>
      <c r="U18" s="45"/>
      <c r="V18" s="45"/>
    </row>
    <row r="19" spans="1:38" ht="14.4">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4.4">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4.4">
      <c r="A21" s="10"/>
      <c r="B21" s="13"/>
      <c r="C21" s="32" t="s">
        <v>16</v>
      </c>
      <c r="D21" s="27"/>
      <c r="E21" s="33"/>
      <c r="F21" s="73"/>
      <c r="G21" s="73"/>
      <c r="H21" s="73"/>
      <c r="I21" s="73"/>
      <c r="J21" s="65"/>
      <c r="K21" s="65"/>
      <c r="L21" s="61"/>
      <c r="M21" s="44"/>
      <c r="N21" s="44"/>
      <c r="O21" s="44"/>
      <c r="P21" s="44"/>
      <c r="Q21" s="65"/>
      <c r="R21" s="65"/>
      <c r="S21" s="61"/>
      <c r="T21" s="44"/>
      <c r="U21" s="45"/>
      <c r="V21" s="45"/>
    </row>
    <row r="22" spans="1:38" ht="14.4">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4.4">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4.4">
      <c r="A24" s="10"/>
      <c r="B24" s="13"/>
      <c r="C24" s="32" t="s">
        <v>17</v>
      </c>
      <c r="D24" s="27"/>
      <c r="E24" s="33"/>
      <c r="F24" s="73"/>
      <c r="G24" s="73"/>
      <c r="H24" s="73"/>
      <c r="I24" s="73"/>
      <c r="J24" s="65"/>
      <c r="K24" s="65"/>
      <c r="L24" s="61"/>
      <c r="M24" s="44"/>
      <c r="N24" s="44"/>
      <c r="O24" s="44"/>
      <c r="P24" s="44"/>
      <c r="Q24" s="65"/>
      <c r="R24" s="65"/>
      <c r="S24" s="61"/>
      <c r="T24" s="44"/>
      <c r="U24" s="45"/>
      <c r="V24" s="45"/>
    </row>
    <row r="25" spans="1:38" ht="14.4">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127</v>
      </c>
      <c r="U25" s="71">
        <v>37</v>
      </c>
      <c r="V25" s="71">
        <f>282+81</f>
        <v>363</v>
      </c>
    </row>
    <row r="26" spans="1:38" ht="14.4">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1062</v>
      </c>
      <c r="U27" s="47">
        <f t="shared" si="27"/>
        <v>667</v>
      </c>
      <c r="V27" s="47">
        <f t="shared" si="27"/>
        <v>3344</v>
      </c>
    </row>
    <row r="28" spans="1:38" s="23" customFormat="1" ht="15.6"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2632808</v>
      </c>
      <c r="N28" s="48">
        <f t="shared" si="26"/>
        <v>74087</v>
      </c>
      <c r="O28" s="48">
        <f t="shared" si="26"/>
        <v>1278404</v>
      </c>
      <c r="P28" s="48">
        <f t="shared" si="26"/>
        <v>4275202</v>
      </c>
      <c r="Q28" s="68">
        <f t="shared" si="22"/>
        <v>34.536706844655605</v>
      </c>
      <c r="R28" s="68">
        <f t="shared" si="23"/>
        <v>1.0594491256285181</v>
      </c>
      <c r="S28" s="64">
        <f t="shared" si="24"/>
        <v>-0.38416757851441874</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79" workbookViewId="0">
      <selection activeCell="F17" sqref="F17"/>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3" t="s">
        <v>47</v>
      </c>
      <c r="G6" s="113"/>
      <c r="H6" s="113"/>
      <c r="I6" s="113"/>
      <c r="J6" s="113"/>
      <c r="K6" s="113"/>
      <c r="L6" s="114"/>
      <c r="M6" s="115" t="s">
        <v>49</v>
      </c>
      <c r="N6" s="113"/>
      <c r="O6" s="113"/>
      <c r="P6" s="113"/>
      <c r="Q6" s="113"/>
      <c r="R6" s="113"/>
      <c r="S6" s="114"/>
      <c r="T6" s="115" t="s">
        <v>9</v>
      </c>
      <c r="U6" s="113"/>
      <c r="V6" s="113"/>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ht="14.4">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ht="14.4">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ht="14.4">
      <c r="A17" s="10"/>
      <c r="B17" s="13"/>
      <c r="C17" s="34"/>
      <c r="D17" s="27" t="s">
        <v>11</v>
      </c>
      <c r="E17" s="33"/>
      <c r="F17" s="69">
        <v>59794</v>
      </c>
      <c r="G17" s="69">
        <v>0</v>
      </c>
      <c r="H17" s="69">
        <v>0</v>
      </c>
      <c r="I17" s="69">
        <v>23341</v>
      </c>
      <c r="J17" s="65" t="str">
        <f t="shared" si="0"/>
        <v>n/a</v>
      </c>
      <c r="K17" s="65" t="str">
        <f t="shared" si="8"/>
        <v>n/a</v>
      </c>
      <c r="L17" s="61">
        <f t="shared" ref="L17:L28" si="12">IFERROR(F17/I17-1,"n/a")</f>
        <v>1.5617582794224756</v>
      </c>
      <c r="M17" s="69">
        <f>F17+'Apr-22'!M17</f>
        <v>82090</v>
      </c>
      <c r="N17" s="69">
        <f>G17+'Apr-22'!N17</f>
        <v>0</v>
      </c>
      <c r="O17" s="69">
        <f>H17+'Apr-22'!O17</f>
        <v>1642</v>
      </c>
      <c r="P17" s="69">
        <f>I17+'Apr-22'!P17</f>
        <v>42732</v>
      </c>
      <c r="Q17" s="65" t="str">
        <f t="shared" si="9"/>
        <v>n/a</v>
      </c>
      <c r="R17" s="65">
        <f t="shared" si="10"/>
        <v>48.993909866017056</v>
      </c>
      <c r="S17" s="61">
        <f t="shared" si="11"/>
        <v>0.92104277824581104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ht="14.4">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ht="14.4">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127</v>
      </c>
      <c r="U25" s="71">
        <v>37</v>
      </c>
      <c r="V25" s="71">
        <f>282+81</f>
        <v>363</v>
      </c>
    </row>
    <row r="26" spans="1:38" ht="14.4">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579587</v>
      </c>
      <c r="G28" s="48">
        <f t="shared" si="25"/>
        <v>24481</v>
      </c>
      <c r="H28" s="48">
        <f t="shared" si="25"/>
        <v>0</v>
      </c>
      <c r="I28" s="48">
        <f t="shared" si="25"/>
        <v>841049</v>
      </c>
      <c r="J28" s="68">
        <f t="shared" si="0"/>
        <v>22.674972427596913</v>
      </c>
      <c r="K28" s="68" t="str">
        <f t="shared" si="21"/>
        <v>n/a</v>
      </c>
      <c r="L28" s="64">
        <f t="shared" si="12"/>
        <v>-0.31087606072892304</v>
      </c>
      <c r="M28" s="48">
        <f t="shared" si="26"/>
        <v>1955070</v>
      </c>
      <c r="N28" s="48">
        <f t="shared" si="26"/>
        <v>40586</v>
      </c>
      <c r="O28" s="48">
        <f t="shared" si="26"/>
        <v>1276191</v>
      </c>
      <c r="P28" s="48">
        <f t="shared" si="26"/>
        <v>3422813</v>
      </c>
      <c r="Q28" s="68">
        <f t="shared" si="22"/>
        <v>47.171044202434338</v>
      </c>
      <c r="R28" s="68">
        <f t="shared" si="23"/>
        <v>0.53195720703248961</v>
      </c>
      <c r="S28" s="64">
        <f t="shared" si="24"/>
        <v>-0.42881191581310463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3" t="s">
        <v>45</v>
      </c>
      <c r="G6" s="113"/>
      <c r="H6" s="113"/>
      <c r="I6" s="113"/>
      <c r="J6" s="113"/>
      <c r="K6" s="113"/>
      <c r="L6" s="114"/>
      <c r="M6" s="115" t="s">
        <v>46</v>
      </c>
      <c r="N6" s="113"/>
      <c r="O6" s="113"/>
      <c r="P6" s="113"/>
      <c r="Q6" s="113"/>
      <c r="R6" s="113"/>
      <c r="S6" s="114"/>
      <c r="T6" s="115" t="s">
        <v>9</v>
      </c>
      <c r="U6" s="113"/>
      <c r="V6" s="113"/>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ht="14.4">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ht="14.4">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ht="14.4">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ht="14.4">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ht="14.4">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127</v>
      </c>
      <c r="U25" s="71">
        <v>37</v>
      </c>
      <c r="V25" s="71">
        <f>282+81</f>
        <v>363</v>
      </c>
    </row>
    <row r="26" spans="1:38" ht="14.4">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3" t="s">
        <v>41</v>
      </c>
      <c r="G6" s="113"/>
      <c r="H6" s="113"/>
      <c r="I6" s="113"/>
      <c r="J6" s="113"/>
      <c r="K6" s="113"/>
      <c r="L6" s="114"/>
      <c r="M6" s="115" t="s">
        <v>43</v>
      </c>
      <c r="N6" s="113"/>
      <c r="O6" s="113"/>
      <c r="P6" s="113"/>
      <c r="Q6" s="113"/>
      <c r="R6" s="113"/>
      <c r="S6" s="114"/>
      <c r="T6" s="115" t="s">
        <v>9</v>
      </c>
      <c r="U6" s="113"/>
      <c r="V6" s="113"/>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ht="14.4">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ht="14.4">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ht="14.4">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ht="14.4">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ht="14.4">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127</v>
      </c>
      <c r="U25" s="71">
        <v>37</v>
      </c>
      <c r="V25" s="71">
        <f>282+81</f>
        <v>363</v>
      </c>
    </row>
    <row r="26" spans="1:38" ht="14.4">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3" t="s">
        <v>39</v>
      </c>
      <c r="G6" s="113"/>
      <c r="H6" s="113"/>
      <c r="I6" s="113"/>
      <c r="J6" s="113"/>
      <c r="K6" s="113"/>
      <c r="L6" s="114"/>
      <c r="M6" s="115" t="s">
        <v>38</v>
      </c>
      <c r="N6" s="113"/>
      <c r="O6" s="113"/>
      <c r="P6" s="113"/>
      <c r="Q6" s="113"/>
      <c r="R6" s="113"/>
      <c r="S6" s="114"/>
      <c r="T6" s="115" t="s">
        <v>9</v>
      </c>
      <c r="U6" s="113"/>
      <c r="V6" s="113"/>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ht="14.4">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ht="14.4">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ht="14.4">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ht="14.4">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ht="14.4">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127</v>
      </c>
      <c r="U25" s="71">
        <v>37</v>
      </c>
      <c r="V25" s="71">
        <f>282+81</f>
        <v>363</v>
      </c>
    </row>
    <row r="26" spans="1:38" ht="14.4">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37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3" t="s">
        <v>33</v>
      </c>
      <c r="G6" s="113"/>
      <c r="H6" s="113"/>
      <c r="I6" s="113"/>
      <c r="J6" s="113"/>
      <c r="K6" s="113"/>
      <c r="L6" s="114"/>
      <c r="M6" s="115" t="s">
        <v>33</v>
      </c>
      <c r="N6" s="113"/>
      <c r="O6" s="113"/>
      <c r="P6" s="113"/>
      <c r="Q6" s="113"/>
      <c r="R6" s="113"/>
      <c r="S6" s="114"/>
      <c r="T6" s="115" t="s">
        <v>9</v>
      </c>
      <c r="U6" s="113"/>
      <c r="V6" s="113"/>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ht="14.4">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ht="14.4">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ht="14.4">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ht="14.4">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ht="14.4">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127</v>
      </c>
      <c r="U25" s="71">
        <v>37</v>
      </c>
      <c r="V25" s="71">
        <f>282+81</f>
        <v>363</v>
      </c>
    </row>
    <row r="26" spans="1:38" ht="14.4">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1062</v>
      </c>
      <c r="U27" s="47">
        <f t="shared" si="28"/>
        <v>667</v>
      </c>
      <c r="V27" s="47">
        <f t="shared" si="28"/>
        <v>3344</v>
      </c>
    </row>
    <row r="28" spans="1:38" s="23" customFormat="1" ht="15.6"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30</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15" t="s">
        <v>31</v>
      </c>
      <c r="G6" s="117"/>
      <c r="H6" s="117"/>
      <c r="I6" s="118"/>
      <c r="J6" s="119"/>
      <c r="K6" s="115" t="s">
        <v>32</v>
      </c>
      <c r="L6" s="117"/>
      <c r="M6" s="117"/>
      <c r="N6" s="118"/>
      <c r="O6" s="119"/>
      <c r="P6" s="113" t="s">
        <v>9</v>
      </c>
      <c r="Q6" s="117"/>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ht="14.4">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ht="14.4">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ht="14.4">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ht="14.4">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ht="14.4">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0</v>
      </c>
      <c r="G25" s="69">
        <f>L25-'Nov-21'!L25</f>
        <v>5</v>
      </c>
      <c r="H25" s="69">
        <f>M25-'Nov-21'!M25</f>
        <v>20</v>
      </c>
      <c r="I25" s="65">
        <f t="shared" si="0"/>
        <v>-1</v>
      </c>
      <c r="J25" s="61">
        <f>F25/H25-1</f>
        <v>-1</v>
      </c>
      <c r="K25" s="69">
        <v>127</v>
      </c>
      <c r="L25" s="69">
        <v>37</v>
      </c>
      <c r="M25" s="69">
        <f>282+81</f>
        <v>363</v>
      </c>
      <c r="N25" s="65">
        <f>K25/L25-1</f>
        <v>2.4324324324324325</v>
      </c>
      <c r="O25" s="61">
        <f>K25/M25-1</f>
        <v>-0.65013774104683197</v>
      </c>
      <c r="P25" s="71">
        <v>37</v>
      </c>
      <c r="Q25" s="71">
        <f>282+81</f>
        <v>363</v>
      </c>
    </row>
    <row r="26" spans="1:33" ht="14.4">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1062</v>
      </c>
      <c r="L27" s="47">
        <f t="shared" si="2"/>
        <v>667</v>
      </c>
      <c r="M27" s="47">
        <f>M10+M13+M16+M19+M22+M25</f>
        <v>3344</v>
      </c>
      <c r="N27" s="67">
        <f>K27/L27-1</f>
        <v>0.59220389805097451</v>
      </c>
      <c r="O27" s="63">
        <f>K27/M27-1</f>
        <v>-0.68241626794258381</v>
      </c>
      <c r="P27" s="47">
        <f>P10+P13+P16+P19+P22+P25</f>
        <v>667</v>
      </c>
      <c r="Q27" s="47">
        <f>Q10+Q13+Q16+Q19+Q22+Q25</f>
        <v>3344</v>
      </c>
    </row>
    <row r="28" spans="1:33" s="23" customFormat="1" ht="15.6"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6:8" s="10" customFormat="1" ht="14.4" hidden="1">
      <c r="F33" s="42"/>
      <c r="G33" s="42"/>
      <c r="H33" s="42"/>
    </row>
    <row r="34" spans="6:8" s="10" customFormat="1" ht="14.4" hidden="1">
      <c r="F34" s="42"/>
      <c r="G34" s="42"/>
      <c r="H34" s="42"/>
    </row>
    <row r="35" spans="6:8" s="10" customFormat="1" ht="14.4" hidden="1">
      <c r="F35" s="42"/>
      <c r="G35" s="42"/>
      <c r="H35" s="42"/>
    </row>
    <row r="36" spans="6:8" s="10" customFormat="1" ht="14.4" hidden="1">
      <c r="F36" s="42"/>
      <c r="G36" s="42"/>
      <c r="H36" s="42"/>
    </row>
    <row r="37" spans="6:8" s="10" customFormat="1" ht="14.4" hidden="1">
      <c r="F37" s="42"/>
      <c r="G37" s="42"/>
      <c r="H37" s="42"/>
    </row>
    <row r="38" spans="6:8" s="10" customFormat="1" ht="14.4" hidden="1">
      <c r="F38" s="42"/>
      <c r="G38" s="42"/>
      <c r="H38" s="42"/>
    </row>
    <row r="39" spans="6:8" s="10" customFormat="1" ht="14.4" hidden="1">
      <c r="F39" s="42"/>
      <c r="G39" s="42"/>
      <c r="H39" s="42"/>
    </row>
    <row r="40" spans="6:8" s="10" customFormat="1" ht="14.4" hidden="1">
      <c r="F40" s="42"/>
      <c r="G40" s="42"/>
      <c r="H40" s="42"/>
    </row>
    <row r="41" spans="6:8" s="10" customFormat="1" ht="14.4" hidden="1">
      <c r="F41" s="42"/>
      <c r="G41" s="42"/>
      <c r="H41" s="42"/>
    </row>
    <row r="42" spans="6:8" s="10" customFormat="1" ht="14.4" hidden="1">
      <c r="F42" s="42"/>
      <c r="G42" s="42"/>
      <c r="H42" s="42"/>
    </row>
    <row r="43" spans="6:8" s="10" customFormat="1" ht="14.4" hidden="1">
      <c r="F43" s="42"/>
      <c r="G43" s="42"/>
      <c r="H43" s="42"/>
    </row>
    <row r="44" spans="6:8" s="10" customFormat="1" ht="14.4" hidden="1">
      <c r="F44" s="42"/>
      <c r="G44" s="42"/>
      <c r="H44" s="42"/>
    </row>
    <row r="45" spans="6:8" s="10" customFormat="1" ht="14.4" hidden="1">
      <c r="F45" s="42"/>
      <c r="G45" s="42"/>
      <c r="H45" s="42"/>
    </row>
    <row r="46" spans="6:8" s="10" customFormat="1" ht="14.4" hidden="1">
      <c r="F46" s="42"/>
      <c r="G46" s="42"/>
      <c r="H46" s="42"/>
    </row>
    <row r="47" spans="6:8" s="10" customFormat="1" ht="14.4" hidden="1">
      <c r="F47" s="42"/>
      <c r="G47" s="42"/>
      <c r="H47" s="42"/>
    </row>
    <row r="48" spans="6:8" s="10"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26</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15" t="s">
        <v>27</v>
      </c>
      <c r="G6" s="117"/>
      <c r="H6" s="117"/>
      <c r="I6" s="118"/>
      <c r="J6" s="119"/>
      <c r="K6" s="115" t="s">
        <v>28</v>
      </c>
      <c r="L6" s="117"/>
      <c r="M6" s="117"/>
      <c r="N6" s="118"/>
      <c r="O6" s="119"/>
      <c r="P6" s="113" t="s">
        <v>9</v>
      </c>
      <c r="Q6" s="117"/>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ht="14.4">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ht="14.4">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ht="14.4">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ht="14.4">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ht="14.4">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20</v>
      </c>
      <c r="G25" s="69">
        <v>8</v>
      </c>
      <c r="H25" s="69">
        <v>17</v>
      </c>
      <c r="I25" s="65">
        <f t="shared" si="0"/>
        <v>1.5</v>
      </c>
      <c r="J25" s="61">
        <f>F25/H25-1</f>
        <v>0.17647058823529416</v>
      </c>
      <c r="K25" s="69">
        <v>127</v>
      </c>
      <c r="L25" s="69">
        <v>32</v>
      </c>
      <c r="M25" s="69">
        <v>343</v>
      </c>
      <c r="N25" s="65">
        <f>K25/L25-1</f>
        <v>2.96875</v>
      </c>
      <c r="O25" s="61">
        <f>K25/M25-1</f>
        <v>-0.629737609329446</v>
      </c>
      <c r="P25" s="71">
        <v>37</v>
      </c>
      <c r="Q25" s="71">
        <v>363</v>
      </c>
    </row>
    <row r="26" spans="1:33" ht="14.4">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855</v>
      </c>
      <c r="L27" s="47">
        <f t="shared" si="2"/>
        <v>659</v>
      </c>
      <c r="M27" s="47">
        <f t="shared" si="2"/>
        <v>3051</v>
      </c>
      <c r="N27" s="67">
        <f>K27/L27-1</f>
        <v>0.29742033383915012</v>
      </c>
      <c r="O27" s="63">
        <f>K27/M27-1</f>
        <v>-0.71976401179940996</v>
      </c>
      <c r="P27" s="47">
        <f>P10+P13+P16+P19+P22+P25</f>
        <v>667</v>
      </c>
      <c r="Q27" s="47">
        <f>Q10+Q13+Q16+Q19+Q22+Q25</f>
        <v>3344</v>
      </c>
    </row>
    <row r="28" spans="1:33" s="23" customFormat="1" ht="15.6"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6.2">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8">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6.2">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8">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25</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15" t="s">
        <v>24</v>
      </c>
      <c r="G6" s="117"/>
      <c r="H6" s="117"/>
      <c r="I6" s="118"/>
      <c r="J6" s="119"/>
      <c r="K6" s="115" t="s">
        <v>8</v>
      </c>
      <c r="L6" s="117"/>
      <c r="M6" s="117"/>
      <c r="N6" s="118"/>
      <c r="O6" s="119"/>
      <c r="P6" s="113" t="s">
        <v>9</v>
      </c>
      <c r="Q6" s="117"/>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ht="14.4">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ht="14.4">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ht="14.4">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ht="14.4">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ht="14.4">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28</v>
      </c>
      <c r="G25" s="69">
        <v>12</v>
      </c>
      <c r="H25" s="69">
        <v>71</v>
      </c>
      <c r="I25" s="65">
        <f t="shared" si="0"/>
        <v>1.3333333333333335</v>
      </c>
      <c r="J25" s="61">
        <f>F25/H25-1</f>
        <v>-0.60563380281690149</v>
      </c>
      <c r="K25" s="69">
        <v>107</v>
      </c>
      <c r="L25" s="69">
        <v>24</v>
      </c>
      <c r="M25" s="69">
        <v>326</v>
      </c>
      <c r="N25" s="65">
        <f>K25/L25-1</f>
        <v>3.458333333333333</v>
      </c>
      <c r="O25" s="61">
        <f>K25/M25-1</f>
        <v>-0.67177914110429449</v>
      </c>
      <c r="P25" s="71">
        <v>37</v>
      </c>
      <c r="Q25" s="71">
        <v>363</v>
      </c>
    </row>
    <row r="26" spans="1:33" ht="14.4">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631</v>
      </c>
      <c r="L27" s="47">
        <f t="shared" si="2"/>
        <v>646</v>
      </c>
      <c r="M27" s="47">
        <f t="shared" si="2"/>
        <v>2737</v>
      </c>
      <c r="N27" s="67">
        <f>K27/L27-1</f>
        <v>-2.3219814241486114E-2</v>
      </c>
      <c r="O27" s="63">
        <f>K27/M27-1</f>
        <v>-0.76945560833028859</v>
      </c>
      <c r="P27" s="47">
        <f>P10+P13+P16+P19+P22+P25</f>
        <v>667</v>
      </c>
      <c r="Q27" s="47">
        <f>Q10+Q13+Q16+Q19+Q22+Q25</f>
        <v>3344</v>
      </c>
    </row>
    <row r="28" spans="1:33" s="23" customFormat="1" ht="15.6"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21</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15" t="s">
        <v>22</v>
      </c>
      <c r="G6" s="117"/>
      <c r="H6" s="117"/>
      <c r="I6" s="118"/>
      <c r="J6" s="119"/>
      <c r="K6" s="115" t="s">
        <v>23</v>
      </c>
      <c r="L6" s="117"/>
      <c r="M6" s="117"/>
      <c r="N6" s="118"/>
      <c r="O6" s="119"/>
      <c r="P6" s="113" t="s">
        <v>9</v>
      </c>
      <c r="Q6" s="117"/>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ht="14.4">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ht="14.4">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ht="14.4">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ht="14.4">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ht="14.4">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23</v>
      </c>
      <c r="G25" s="69">
        <v>7</v>
      </c>
      <c r="H25" s="69">
        <v>41</v>
      </c>
      <c r="I25" s="65">
        <f t="shared" si="0"/>
        <v>2.2857142857142856</v>
      </c>
      <c r="J25" s="61">
        <f>F25/H25-1</f>
        <v>-0.43902439024390238</v>
      </c>
      <c r="K25" s="69">
        <v>79</v>
      </c>
      <c r="L25" s="69">
        <v>12</v>
      </c>
      <c r="M25" s="69">
        <v>255</v>
      </c>
      <c r="N25" s="65">
        <f>K25/L25-1</f>
        <v>5.583333333333333</v>
      </c>
      <c r="O25" s="61">
        <f>K25/M25-1</f>
        <v>-0.69019607843137254</v>
      </c>
      <c r="P25" s="71">
        <v>37</v>
      </c>
      <c r="Q25" s="71">
        <v>363</v>
      </c>
    </row>
    <row r="26" spans="1:33" ht="14.4">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382</v>
      </c>
      <c r="L27" s="47">
        <f t="shared" si="2"/>
        <v>626</v>
      </c>
      <c r="M27" s="47">
        <f t="shared" si="2"/>
        <v>2344</v>
      </c>
      <c r="N27" s="67">
        <f>K27/L27-1</f>
        <v>-0.38977635782747599</v>
      </c>
      <c r="O27" s="63">
        <f>K27/M27-1</f>
        <v>-0.83703071672354945</v>
      </c>
      <c r="P27" s="47">
        <f>P10+P13+P16+P19+P22+P25</f>
        <v>667</v>
      </c>
      <c r="Q27" s="47">
        <f>Q10+Q13+Q16+Q19+Q22+Q25</f>
        <v>3344</v>
      </c>
    </row>
    <row r="28" spans="1:33" s="23" customFormat="1" ht="15.6"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62"/>
  <sheetViews>
    <sheetView showGridLines="0" zoomScale="90" zoomScaleNormal="90" zoomScalePageLayoutView="40" workbookViewId="0">
      <selection activeCell="C2" sqref="C2"/>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95"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92"/>
      <c r="G1" s="92"/>
      <c r="H1" s="92"/>
      <c r="I1" s="92"/>
      <c r="J1" s="92"/>
      <c r="K1" s="92"/>
      <c r="L1" s="92"/>
      <c r="M1" s="92"/>
      <c r="N1" s="92"/>
      <c r="O1" s="92"/>
      <c r="P1" s="92"/>
      <c r="Q1" s="92"/>
      <c r="R1" s="10"/>
      <c r="S1" s="10"/>
    </row>
    <row r="2" spans="1:35" ht="18.600000000000001" thickBot="1">
      <c r="A2" s="10"/>
      <c r="B2" s="9" t="s">
        <v>86</v>
      </c>
      <c r="C2" s="24"/>
      <c r="D2" s="24"/>
      <c r="E2" s="24"/>
      <c r="F2" s="93"/>
      <c r="G2" s="93"/>
      <c r="H2" s="93"/>
      <c r="I2" s="93"/>
      <c r="J2" s="93"/>
      <c r="K2" s="93"/>
      <c r="L2" s="93"/>
      <c r="M2" s="93"/>
      <c r="N2" s="93"/>
      <c r="O2" s="93"/>
      <c r="P2" s="93"/>
      <c r="Q2" s="93"/>
      <c r="R2" s="24"/>
      <c r="S2" s="24"/>
    </row>
    <row r="3" spans="1:35" ht="14.4">
      <c r="A3" s="10"/>
      <c r="B3" s="11"/>
      <c r="C3" s="25"/>
      <c r="D3" s="25"/>
      <c r="E3" s="25"/>
      <c r="F3" s="94"/>
      <c r="G3" s="94"/>
      <c r="H3" s="94"/>
      <c r="I3" s="94"/>
      <c r="J3" s="94"/>
      <c r="K3" s="94"/>
      <c r="L3" s="94"/>
      <c r="M3" s="94"/>
      <c r="N3" s="94"/>
      <c r="O3" s="94"/>
      <c r="P3" s="94"/>
      <c r="Q3" s="94"/>
      <c r="R3" s="25"/>
      <c r="S3" s="26">
        <f>+' '!I17</f>
        <v>44941</v>
      </c>
    </row>
    <row r="4" spans="1:35" ht="16.2">
      <c r="A4" s="10"/>
      <c r="B4" s="12" t="s">
        <v>7</v>
      </c>
      <c r="C4" s="27"/>
      <c r="D4" s="25"/>
      <c r="E4" s="59" t="s">
        <v>93</v>
      </c>
      <c r="F4" s="94"/>
      <c r="G4" s="94"/>
      <c r="H4" s="94"/>
      <c r="I4" s="94"/>
      <c r="J4" s="94"/>
      <c r="K4" s="94"/>
      <c r="L4" s="94"/>
      <c r="M4" s="94"/>
      <c r="N4" s="94"/>
      <c r="O4" s="94"/>
      <c r="P4" s="94"/>
      <c r="Q4" s="94"/>
      <c r="R4" s="25"/>
      <c r="S4" s="25"/>
    </row>
    <row r="5" spans="1:35" ht="14.4">
      <c r="A5" s="10"/>
      <c r="B5" s="11"/>
      <c r="C5" s="25"/>
      <c r="D5" s="25"/>
      <c r="E5" s="25"/>
      <c r="F5" s="94"/>
      <c r="G5" s="94"/>
      <c r="H5" s="94"/>
      <c r="I5" s="94"/>
      <c r="J5" s="94"/>
      <c r="K5" s="94"/>
      <c r="L5" s="94"/>
      <c r="M5" s="94"/>
      <c r="N5" s="94"/>
      <c r="O5" s="94"/>
      <c r="P5" s="94"/>
      <c r="Q5" s="94"/>
      <c r="R5" s="25"/>
      <c r="S5" s="25"/>
    </row>
    <row r="6" spans="1:35" ht="14.4">
      <c r="A6" s="10"/>
      <c r="B6" s="87" t="s">
        <v>83</v>
      </c>
      <c r="D6" s="25"/>
      <c r="E6" s="25"/>
      <c r="F6" s="94"/>
      <c r="G6" s="94"/>
      <c r="H6" s="94"/>
      <c r="I6" s="94"/>
      <c r="J6" s="94"/>
      <c r="K6" s="94"/>
      <c r="L6" s="94"/>
      <c r="M6" s="94"/>
      <c r="N6" s="94"/>
      <c r="O6" s="94"/>
      <c r="P6" s="94"/>
      <c r="Q6" s="94"/>
      <c r="R6" s="25"/>
      <c r="S6" s="25"/>
    </row>
    <row r="7" spans="1:35" ht="14.4">
      <c r="A7" s="10"/>
      <c r="B7" s="11"/>
      <c r="C7" s="109" t="s">
        <v>99</v>
      </c>
      <c r="D7" s="110"/>
      <c r="E7" s="111"/>
      <c r="F7" s="94"/>
      <c r="G7" s="94"/>
      <c r="H7" s="94"/>
      <c r="I7" s="94"/>
      <c r="J7" s="94"/>
      <c r="K7" s="94"/>
      <c r="L7" s="94"/>
      <c r="M7" s="94"/>
      <c r="N7" s="94"/>
      <c r="O7" s="94"/>
      <c r="P7" s="94"/>
      <c r="Q7" s="94"/>
      <c r="R7" s="25"/>
      <c r="S7" s="25"/>
    </row>
    <row r="8" spans="1:35" s="21" customFormat="1" ht="14.4">
      <c r="A8" s="10"/>
      <c r="B8"/>
      <c r="C8" s="28" t="s">
        <v>7</v>
      </c>
      <c r="D8" s="29"/>
      <c r="E8" s="29"/>
      <c r="F8" s="103" t="s">
        <v>75</v>
      </c>
      <c r="G8" s="103" t="s">
        <v>76</v>
      </c>
      <c r="H8" s="103" t="s">
        <v>77</v>
      </c>
      <c r="I8" s="103" t="s">
        <v>45</v>
      </c>
      <c r="J8" s="103" t="s">
        <v>47</v>
      </c>
      <c r="K8" s="103" t="s">
        <v>51</v>
      </c>
      <c r="L8" s="103" t="s">
        <v>55</v>
      </c>
      <c r="M8" s="103" t="s">
        <v>78</v>
      </c>
      <c r="N8" s="103" t="s">
        <v>79</v>
      </c>
      <c r="O8" s="103" t="s">
        <v>80</v>
      </c>
      <c r="P8" s="103" t="s">
        <v>81</v>
      </c>
      <c r="Q8" s="103" t="s">
        <v>82</v>
      </c>
      <c r="R8"/>
      <c r="S8"/>
      <c r="T8" s="10"/>
      <c r="U8" s="20"/>
      <c r="V8" s="20"/>
      <c r="W8" s="20"/>
      <c r="X8" s="20"/>
      <c r="Y8" s="20"/>
      <c r="Z8" s="20"/>
      <c r="AA8" s="20"/>
      <c r="AB8" s="20"/>
      <c r="AC8" s="20"/>
      <c r="AD8" s="20"/>
      <c r="AE8" s="20"/>
      <c r="AF8" s="20"/>
      <c r="AG8" s="20"/>
      <c r="AH8" s="20"/>
      <c r="AI8" s="20"/>
    </row>
    <row r="9" spans="1:35" ht="20.25" customHeight="1">
      <c r="A9" s="10"/>
      <c r="B9" s="19"/>
      <c r="C9" s="101" t="s">
        <v>84</v>
      </c>
      <c r="D9" s="31"/>
      <c r="E9" s="31"/>
      <c r="F9" s="104">
        <v>0.438</v>
      </c>
      <c r="G9" s="105">
        <v>0.48799999999999999</v>
      </c>
      <c r="H9" s="105">
        <v>0.63400000000000001</v>
      </c>
      <c r="I9" s="105">
        <v>0.67100000000000004</v>
      </c>
      <c r="J9" s="105">
        <v>0.65500000000000003</v>
      </c>
      <c r="K9" s="105">
        <v>0.78100000000000003</v>
      </c>
      <c r="L9" s="105">
        <v>0.89800000000000002</v>
      </c>
      <c r="M9" s="105">
        <v>0.96599999999999997</v>
      </c>
      <c r="N9" s="105">
        <v>0.88600000000000001</v>
      </c>
      <c r="O9" s="105">
        <v>0.87811353241344148</v>
      </c>
      <c r="P9" s="105">
        <v>0.87302339390587125</v>
      </c>
      <c r="Q9" s="105"/>
    </row>
    <row r="10" spans="1:35" ht="20.25" customHeight="1">
      <c r="A10" s="10"/>
      <c r="B10" s="19"/>
      <c r="C10" s="106"/>
      <c r="D10" s="107"/>
      <c r="E10" s="107"/>
      <c r="F10" s="100"/>
      <c r="G10" s="100"/>
      <c r="H10" s="100"/>
      <c r="I10" s="100"/>
      <c r="J10" s="100"/>
      <c r="K10" s="100"/>
      <c r="L10" s="100"/>
      <c r="M10" s="100"/>
      <c r="N10" s="100"/>
      <c r="O10" s="100"/>
      <c r="P10" s="100"/>
      <c r="Q10" s="108"/>
      <c r="R10" s="10"/>
    </row>
    <row r="11" spans="1:35" ht="20.25" customHeight="1">
      <c r="A11" s="10"/>
      <c r="B11" s="19"/>
      <c r="C11" s="109" t="s">
        <v>100</v>
      </c>
      <c r="D11" s="110"/>
      <c r="E11" s="112"/>
      <c r="F11" s="108"/>
      <c r="G11" s="108"/>
      <c r="H11" s="108"/>
      <c r="I11" s="108"/>
      <c r="J11" s="108"/>
      <c r="K11" s="108"/>
      <c r="L11" s="108"/>
      <c r="M11" s="108"/>
      <c r="N11" s="108"/>
      <c r="O11" s="108"/>
      <c r="P11" s="108"/>
      <c r="Q11" s="108"/>
      <c r="R11" s="10"/>
    </row>
    <row r="12" spans="1:35" ht="20.25" customHeight="1">
      <c r="A12" s="10"/>
      <c r="B12" s="19"/>
      <c r="C12" s="28" t="s">
        <v>7</v>
      </c>
      <c r="D12" s="29"/>
      <c r="E12" s="29"/>
      <c r="F12" s="103" t="s">
        <v>75</v>
      </c>
      <c r="G12" s="103" t="s">
        <v>76</v>
      </c>
      <c r="H12" s="103" t="s">
        <v>77</v>
      </c>
      <c r="I12" s="103" t="s">
        <v>45</v>
      </c>
      <c r="J12" s="103" t="s">
        <v>47</v>
      </c>
      <c r="K12" s="103" t="s">
        <v>51</v>
      </c>
      <c r="L12" s="103" t="s">
        <v>55</v>
      </c>
      <c r="M12" s="103" t="s">
        <v>78</v>
      </c>
      <c r="N12" s="103" t="s">
        <v>79</v>
      </c>
      <c r="O12" s="103" t="s">
        <v>80</v>
      </c>
      <c r="P12" s="103" t="s">
        <v>81</v>
      </c>
      <c r="Q12" s="103" t="s">
        <v>82</v>
      </c>
      <c r="R12" s="10"/>
    </row>
    <row r="13" spans="1:35" ht="20.25" customHeight="1">
      <c r="A13" s="10"/>
      <c r="B13" s="19"/>
      <c r="C13" s="101" t="s">
        <v>84</v>
      </c>
      <c r="D13" s="31"/>
      <c r="E13" s="31"/>
      <c r="F13" s="104">
        <v>0.41823087434338119</v>
      </c>
      <c r="G13" s="105">
        <v>0.47083755198064259</v>
      </c>
      <c r="H13" s="105">
        <v>0.6233573525072601</v>
      </c>
      <c r="I13" s="105">
        <v>0.66777314044950997</v>
      </c>
      <c r="J13" s="105">
        <v>0.65681540466649779</v>
      </c>
      <c r="K13" s="105">
        <v>0.78080882831305709</v>
      </c>
      <c r="L13" s="105">
        <v>0.89027550740676809</v>
      </c>
      <c r="M13" s="105">
        <v>0.96622440101119256</v>
      </c>
      <c r="N13" s="105"/>
      <c r="O13" s="105"/>
      <c r="P13" s="105"/>
      <c r="Q13" s="105"/>
      <c r="R13" s="10"/>
    </row>
    <row r="14" spans="1:35" ht="20.25" customHeight="1">
      <c r="A14" s="10"/>
      <c r="B14" s="10"/>
      <c r="C14" s="10"/>
      <c r="D14" s="10"/>
      <c r="E14" s="10"/>
      <c r="F14"/>
      <c r="G14"/>
      <c r="H14"/>
      <c r="I14"/>
      <c r="J14"/>
      <c r="K14"/>
      <c r="L14"/>
      <c r="M14"/>
      <c r="N14"/>
      <c r="O14" s="92"/>
      <c r="P14" s="92"/>
      <c r="Q14" s="92"/>
      <c r="R14" s="10"/>
    </row>
    <row r="15" spans="1:35" ht="20.25" customHeight="1">
      <c r="A15" s="10"/>
      <c r="B15" s="10"/>
      <c r="C15" s="102" t="s">
        <v>101</v>
      </c>
      <c r="D15" s="10"/>
      <c r="E15" s="10"/>
      <c r="F15"/>
      <c r="G15"/>
      <c r="H15"/>
      <c r="I15"/>
      <c r="J15"/>
      <c r="K15"/>
      <c r="L15"/>
      <c r="M15"/>
      <c r="N15"/>
      <c r="O15" s="92"/>
      <c r="P15" s="92"/>
      <c r="Q15" s="92"/>
      <c r="R15" s="10"/>
    </row>
    <row r="16" spans="1:35" ht="20.25" customHeight="1">
      <c r="A16" s="10"/>
      <c r="B16" s="10"/>
      <c r="C16" s="102" t="s">
        <v>102</v>
      </c>
      <c r="D16" s="10"/>
      <c r="E16" s="10"/>
      <c r="F16"/>
      <c r="G16"/>
      <c r="H16"/>
      <c r="I16"/>
      <c r="J16"/>
      <c r="K16"/>
      <c r="L16"/>
      <c r="M16"/>
      <c r="N16"/>
      <c r="O16" s="92"/>
      <c r="P16" s="92"/>
      <c r="Q16" s="92"/>
      <c r="R16" s="10"/>
    </row>
    <row r="17" spans="3:3" ht="26.25" customHeight="1">
      <c r="C17" s="102" t="s">
        <v>103</v>
      </c>
    </row>
    <row r="18" spans="3:3" ht="26.7" hidden="1" customHeight="1"/>
    <row r="19" spans="3:3" ht="26.4" hidden="1" customHeight="1"/>
    <row r="20" spans="3:3" ht="26.4" hidden="1" customHeight="1"/>
    <row r="21" spans="3:3" ht="26.7" hidden="1" customHeight="1"/>
    <row r="22" spans="3:3" ht="26.7" hidden="1" customHeight="1"/>
    <row r="23" spans="3:3" ht="26.7" hidden="1" customHeight="1"/>
    <row r="24" spans="3:3" ht="26.7" hidden="1" customHeight="1"/>
    <row r="25" spans="3:3" ht="26.7" hidden="1" customHeight="1"/>
    <row r="26" spans="3:3" ht="26.7" hidden="1" customHeight="1"/>
    <row r="27" spans="3:3" ht="26.7" hidden="1" customHeight="1"/>
    <row r="28" spans="3:3" ht="26.7" hidden="1" customHeight="1"/>
    <row r="29" spans="3:3" ht="26.7" hidden="1" customHeight="1"/>
    <row r="30" spans="3:3" ht="26.7" hidden="1" customHeight="1"/>
    <row r="31" spans="3:3" ht="26.7" hidden="1" customHeight="1"/>
    <row r="32" spans="3:3" ht="26.7" hidden="1" customHeight="1"/>
    <row r="33" ht="26.7" hidden="1" customHeight="1"/>
    <row r="34" ht="26.7" hidden="1" customHeight="1"/>
    <row r="35" ht="26.7" hidden="1" customHeight="1"/>
    <row r="36" ht="26.7" hidden="1" customHeight="1"/>
    <row r="37" ht="26.7" hidden="1" customHeight="1"/>
    <row r="38" ht="26.7" hidden="1" customHeight="1"/>
    <row r="39" ht="26.7" hidden="1" customHeight="1"/>
    <row r="40" ht="26.7" hidden="1" customHeight="1"/>
    <row r="41" ht="26.7" hidden="1" customHeight="1"/>
    <row r="42" ht="26.7" hidden="1" customHeight="1"/>
    <row r="43" ht="11.4" hidden="1" customHeight="1"/>
    <row r="44" ht="9" hidden="1" customHeight="1"/>
    <row r="45" ht="17.399999999999999"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row r="59" ht="26.7" hidden="1" customHeight="1"/>
    <row r="60" ht="26.7" hidden="1" customHeight="1"/>
    <row r="61" ht="26.7" hidden="1" customHeight="1"/>
    <row r="62"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8.600000000000001"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abSelected="1"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44941</v>
      </c>
    </row>
    <row r="4" spans="1:38" ht="16.2">
      <c r="A4" s="10"/>
      <c r="B4" s="12" t="s">
        <v>7</v>
      </c>
      <c r="C4" s="27"/>
      <c r="D4" s="25"/>
      <c r="E4" s="59" t="s">
        <v>96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3" t="s">
        <v>31</v>
      </c>
      <c r="G9" s="113"/>
      <c r="H9" s="113"/>
      <c r="I9" s="113"/>
      <c r="J9" s="113"/>
      <c r="K9" s="113"/>
      <c r="L9" s="114"/>
      <c r="M9" s="115" t="s">
        <v>97</v>
      </c>
      <c r="N9" s="113"/>
      <c r="O9" s="113"/>
      <c r="P9" s="113"/>
      <c r="Q9" s="113"/>
      <c r="R9" s="113"/>
      <c r="S9" s="114"/>
      <c r="T9" s="115" t="s">
        <v>57</v>
      </c>
      <c r="U9" s="113"/>
      <c r="V9" s="116"/>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97">
        <v>73</v>
      </c>
      <c r="G13" s="97">
        <v>70</v>
      </c>
      <c r="H13" s="97">
        <v>0</v>
      </c>
      <c r="I13" s="97">
        <v>69</v>
      </c>
      <c r="J13" s="65">
        <f t="shared" ref="J13:J31" si="0">IFERROR(F13/G13-1,"n/a")</f>
        <v>4.2857142857142927E-2</v>
      </c>
      <c r="K13" s="65" t="str">
        <f>IFERROR(F13/H13-1,"n/a")</f>
        <v>n/a</v>
      </c>
      <c r="L13" s="61">
        <f t="shared" ref="L13:L14" si="1">IFERROR(F13/I13-1,"n/a")</f>
        <v>5.7971014492753659E-2</v>
      </c>
      <c r="M13" s="69">
        <f>F13+'Nov-22'!M13</f>
        <v>346</v>
      </c>
      <c r="N13" s="69">
        <f>G13+'Nov-22'!N13</f>
        <v>111</v>
      </c>
      <c r="O13" s="69">
        <f>H13+'Nov-22'!O13</f>
        <v>145</v>
      </c>
      <c r="P13" s="69">
        <f>I13+'Nov-22'!P13</f>
        <v>386</v>
      </c>
      <c r="Q13" s="65">
        <f>IFERROR(M13/N13-1,"n/a")</f>
        <v>2.1171171171171173</v>
      </c>
      <c r="R13" s="65">
        <f>IFERROR(M13/O13-1,"n/a")</f>
        <v>1.386206896551724</v>
      </c>
      <c r="S13" s="61">
        <f>IFERROR(M13/P13-1,"n/a")</f>
        <v>-0.10362694300518138</v>
      </c>
      <c r="T13" s="69">
        <v>111</v>
      </c>
      <c r="U13" s="71">
        <v>145</v>
      </c>
      <c r="V13" s="79">
        <v>386</v>
      </c>
    </row>
    <row r="14" spans="1:38" ht="14.4">
      <c r="A14" s="10"/>
      <c r="B14" s="13"/>
      <c r="C14" s="34"/>
      <c r="D14" s="27" t="s">
        <v>11</v>
      </c>
      <c r="E14" s="33"/>
      <c r="F14" s="97">
        <f>108803+415</f>
        <v>109218</v>
      </c>
      <c r="G14" s="97">
        <v>52767</v>
      </c>
      <c r="H14" s="97">
        <v>0</v>
      </c>
      <c r="I14" s="97">
        <v>120203</v>
      </c>
      <c r="J14" s="65">
        <f t="shared" si="0"/>
        <v>1.0698163624992891</v>
      </c>
      <c r="K14" s="65" t="str">
        <f t="shared" ref="K14" si="2">IFERROR(F14/H14-1,"n/a")</f>
        <v>n/a</v>
      </c>
      <c r="L14" s="61">
        <f t="shared" si="1"/>
        <v>-9.1387070206234489E-2</v>
      </c>
      <c r="M14" s="69">
        <f>F14+'Nov-22'!M14</f>
        <v>380182</v>
      </c>
      <c r="N14" s="69">
        <f>G14+'Nov-22'!N14</f>
        <v>80863</v>
      </c>
      <c r="O14" s="69">
        <f>H14+'Nov-22'!O14</f>
        <v>258885</v>
      </c>
      <c r="P14" s="69">
        <f>I14+'Nov-22'!P14</f>
        <v>733296</v>
      </c>
      <c r="Q14" s="65">
        <f>IFERROR(M14/N14-1,"n/a")</f>
        <v>3.7015569543548965</v>
      </c>
      <c r="R14" s="65">
        <f>IFERROR(M14/O14-1,"n/a")</f>
        <v>0.46853622264712125</v>
      </c>
      <c r="S14" s="61">
        <f>IFERROR(M14/P14-1,"n/a")</f>
        <v>-0.48154360585629818</v>
      </c>
      <c r="T14" s="69">
        <v>80863</v>
      </c>
      <c r="U14" s="71">
        <v>258885</v>
      </c>
      <c r="V14" s="79">
        <v>733296</v>
      </c>
    </row>
    <row r="15" spans="1:38" ht="14.4">
      <c r="A15" s="10"/>
      <c r="B15" s="13"/>
      <c r="C15" s="32" t="s">
        <v>74</v>
      </c>
      <c r="D15" s="27"/>
      <c r="E15" s="33"/>
      <c r="F15" s="98"/>
      <c r="G15" s="98"/>
      <c r="H15" s="98"/>
      <c r="I15" s="98"/>
      <c r="J15" s="65"/>
      <c r="K15" s="65"/>
      <c r="L15" s="62"/>
      <c r="M15" s="88"/>
      <c r="N15" s="88"/>
      <c r="O15" s="88"/>
      <c r="P15" s="88"/>
      <c r="Q15" s="65"/>
      <c r="R15" s="66"/>
      <c r="S15" s="62"/>
      <c r="T15" s="44"/>
      <c r="U15" s="45"/>
      <c r="V15" s="80"/>
    </row>
    <row r="16" spans="1:38" ht="14.4">
      <c r="A16" s="10"/>
      <c r="B16" s="13"/>
      <c r="C16" s="34"/>
      <c r="D16" s="27" t="s">
        <v>5</v>
      </c>
      <c r="E16" s="33"/>
      <c r="F16" s="97">
        <v>31</v>
      </c>
      <c r="G16" s="97">
        <v>25</v>
      </c>
      <c r="H16" s="97">
        <v>0</v>
      </c>
      <c r="I16" s="97">
        <v>20</v>
      </c>
      <c r="J16" s="65">
        <f t="shared" si="0"/>
        <v>0.24</v>
      </c>
      <c r="K16" s="65" t="str">
        <f t="shared" ref="K16:K17" si="3">IFERROR(F16/H16-1,"n/a")</f>
        <v>n/a</v>
      </c>
      <c r="L16" s="61">
        <f t="shared" ref="L16:L17" si="4">IFERROR(F16/I16-1,"n/a")</f>
        <v>0.55000000000000004</v>
      </c>
      <c r="M16" s="69">
        <f>F16+'Nov-22'!M16</f>
        <v>778</v>
      </c>
      <c r="N16" s="69">
        <f>G16+'Nov-22'!N16</f>
        <v>283</v>
      </c>
      <c r="O16" s="69">
        <f>H16+'Nov-22'!O16</f>
        <v>43</v>
      </c>
      <c r="P16" s="69">
        <f>I16+'Nov-22'!P16</f>
        <v>827</v>
      </c>
      <c r="Q16" s="65">
        <f t="shared" ref="Q16:Q17" si="5">IFERROR(M16/N16-1,"n/a")</f>
        <v>1.7491166077738516</v>
      </c>
      <c r="R16" s="65">
        <f t="shared" ref="R16:R17" si="6">IFERROR(M16/O16-1,"n/a")</f>
        <v>17.093023255813954</v>
      </c>
      <c r="S16" s="61">
        <f t="shared" ref="S16:S17" si="7">IFERROR(M16/P16-1,"n/a")</f>
        <v>-5.9250302297460755E-2</v>
      </c>
      <c r="T16" s="69">
        <v>283</v>
      </c>
      <c r="U16" s="71">
        <v>43</v>
      </c>
      <c r="V16" s="79">
        <v>827</v>
      </c>
    </row>
    <row r="17" spans="1:46" ht="14.4">
      <c r="A17" s="10"/>
      <c r="B17" s="13"/>
      <c r="C17" s="34"/>
      <c r="D17" s="27" t="s">
        <v>11</v>
      </c>
      <c r="E17" s="33"/>
      <c r="F17" s="97">
        <v>88390</v>
      </c>
      <c r="G17" s="97">
        <v>39214</v>
      </c>
      <c r="H17" s="97">
        <v>0</v>
      </c>
      <c r="I17" s="97">
        <v>58943</v>
      </c>
      <c r="J17" s="65">
        <f t="shared" si="0"/>
        <v>1.2540419238027236</v>
      </c>
      <c r="K17" s="65" t="str">
        <f t="shared" si="3"/>
        <v>n/a</v>
      </c>
      <c r="L17" s="61">
        <f t="shared" si="4"/>
        <v>0.49958434419693609</v>
      </c>
      <c r="M17" s="69">
        <f>F17+'Nov-22'!M17</f>
        <v>1843624</v>
      </c>
      <c r="N17" s="69">
        <f>G17+'Nov-22'!N17</f>
        <v>465109</v>
      </c>
      <c r="O17" s="69">
        <f>H17+'Nov-22'!O17</f>
        <v>140552</v>
      </c>
      <c r="P17" s="69">
        <f>I17+'Nov-22'!P17</f>
        <v>2552942</v>
      </c>
      <c r="Q17" s="65">
        <f t="shared" si="5"/>
        <v>2.9638536343093769</v>
      </c>
      <c r="R17" s="65">
        <f t="shared" si="6"/>
        <v>12.117024304172121</v>
      </c>
      <c r="S17" s="61">
        <f t="shared" si="7"/>
        <v>-0.27784336659430575</v>
      </c>
      <c r="T17" s="69">
        <v>465109</v>
      </c>
      <c r="U17" s="71">
        <v>140552</v>
      </c>
      <c r="V17" s="79">
        <v>2552942</v>
      </c>
    </row>
    <row r="18" spans="1:46" ht="14.4">
      <c r="A18" s="10"/>
      <c r="B18" s="13"/>
      <c r="C18" s="32" t="s">
        <v>15</v>
      </c>
      <c r="D18" s="27"/>
      <c r="E18" s="33"/>
      <c r="F18" s="73"/>
      <c r="G18" s="99"/>
      <c r="H18" s="99"/>
      <c r="I18" s="99"/>
      <c r="J18" s="65"/>
      <c r="K18" s="65"/>
      <c r="L18" s="61"/>
      <c r="M18" s="88"/>
      <c r="N18" s="88"/>
      <c r="O18" s="88"/>
      <c r="P18" s="88"/>
      <c r="Q18" s="65"/>
      <c r="R18" s="65"/>
      <c r="S18" s="61"/>
      <c r="T18" s="44"/>
      <c r="U18" s="45"/>
      <c r="V18" s="80"/>
    </row>
    <row r="19" spans="1:46" ht="14.4">
      <c r="A19" s="10"/>
      <c r="B19" s="13"/>
      <c r="C19" s="34"/>
      <c r="D19" s="27" t="s">
        <v>5</v>
      </c>
      <c r="E19" s="33"/>
      <c r="F19" s="75">
        <v>9</v>
      </c>
      <c r="G19" s="97">
        <v>3</v>
      </c>
      <c r="H19" s="97">
        <v>0</v>
      </c>
      <c r="I19" s="97">
        <v>9</v>
      </c>
      <c r="J19" s="65">
        <f t="shared" si="0"/>
        <v>2</v>
      </c>
      <c r="K19" s="65" t="str">
        <f t="shared" ref="K19:K20" si="8">IFERROR(F19/H19-1,"n/a")</f>
        <v>n/a</v>
      </c>
      <c r="L19" s="61">
        <f>IFERROR(F19/I19-1,"n/a")</f>
        <v>0</v>
      </c>
      <c r="M19" s="69">
        <f>F19+'Nov-22'!M19</f>
        <v>475</v>
      </c>
      <c r="N19" s="69">
        <f>G19+'Nov-22'!N19</f>
        <v>23</v>
      </c>
      <c r="O19" s="69">
        <f>H19+'Nov-22'!O19</f>
        <v>4</v>
      </c>
      <c r="P19" s="69">
        <f>I19+'Nov-22'!P19</f>
        <v>191</v>
      </c>
      <c r="Q19" s="65">
        <f t="shared" ref="Q19:Q20" si="9">IFERROR(M19/N19-1,"n/a")</f>
        <v>19.652173913043477</v>
      </c>
      <c r="R19" s="65">
        <f t="shared" ref="R19:R20" si="10">IFERROR(M19/O19-1,"n/a")</f>
        <v>117.75</v>
      </c>
      <c r="S19" s="61">
        <f t="shared" ref="S19:S20" si="11">IFERROR(M19/P19-1,"n/a")</f>
        <v>1.4869109947643979</v>
      </c>
      <c r="T19" s="69">
        <v>23</v>
      </c>
      <c r="U19" s="71">
        <v>4</v>
      </c>
      <c r="V19" s="79">
        <v>191</v>
      </c>
    </row>
    <row r="20" spans="1:46" ht="14.4">
      <c r="A20" s="10"/>
      <c r="B20" s="13"/>
      <c r="C20" s="34"/>
      <c r="D20" s="27" t="s">
        <v>11</v>
      </c>
      <c r="E20" s="33"/>
      <c r="F20" s="75">
        <v>6157</v>
      </c>
      <c r="G20" s="97">
        <v>864</v>
      </c>
      <c r="H20" s="97">
        <v>0</v>
      </c>
      <c r="I20" s="97">
        <v>9825</v>
      </c>
      <c r="J20" s="65">
        <f t="shared" si="0"/>
        <v>6.1261574074074074</v>
      </c>
      <c r="K20" s="65" t="str">
        <f t="shared" si="8"/>
        <v>n/a</v>
      </c>
      <c r="L20" s="61">
        <f t="shared" ref="L20:L31" si="12">IFERROR(F20/I20-1,"n/a")</f>
        <v>-0.37333333333333329</v>
      </c>
      <c r="M20" s="69">
        <f>F20+'Nov-22'!M20</f>
        <v>561984</v>
      </c>
      <c r="N20" s="69">
        <f>G20+'Nov-22'!N20</f>
        <v>8611</v>
      </c>
      <c r="O20" s="69">
        <f>H20+'Nov-22'!O20</f>
        <v>1753</v>
      </c>
      <c r="P20" s="69">
        <f>I20+'Nov-22'!P20</f>
        <v>254421</v>
      </c>
      <c r="Q20" s="65">
        <f t="shared" si="9"/>
        <v>64.263500174195798</v>
      </c>
      <c r="R20" s="65">
        <f t="shared" si="10"/>
        <v>319.58414147176268</v>
      </c>
      <c r="S20" s="61">
        <f t="shared" si="11"/>
        <v>1.2088742674543376</v>
      </c>
      <c r="T20" s="69">
        <v>8611</v>
      </c>
      <c r="U20" s="71">
        <v>1753</v>
      </c>
      <c r="V20" s="79">
        <v>254421</v>
      </c>
    </row>
    <row r="21" spans="1:46" ht="14.4">
      <c r="A21" s="10"/>
      <c r="B21" s="13"/>
      <c r="C21" s="32" t="s">
        <v>10</v>
      </c>
      <c r="D21" s="27"/>
      <c r="E21" s="35"/>
      <c r="F21" s="73"/>
      <c r="G21" s="99"/>
      <c r="H21" s="99"/>
      <c r="I21" s="99"/>
      <c r="J21" s="65"/>
      <c r="K21" s="65"/>
      <c r="L21" s="61"/>
      <c r="M21" s="88"/>
      <c r="N21" s="88"/>
      <c r="O21" s="88"/>
      <c r="P21" s="88"/>
      <c r="Q21" s="65"/>
      <c r="R21" s="65"/>
      <c r="S21" s="61"/>
      <c r="T21" s="44"/>
      <c r="U21" s="45"/>
      <c r="V21" s="80"/>
    </row>
    <row r="22" spans="1:46" ht="14.4">
      <c r="A22" s="10"/>
      <c r="B22" s="13"/>
      <c r="C22" s="34"/>
      <c r="D22" s="27" t="s">
        <v>5</v>
      </c>
      <c r="E22" s="35"/>
      <c r="F22" s="75">
        <v>118</v>
      </c>
      <c r="G22" s="97">
        <v>102</v>
      </c>
      <c r="H22" s="97">
        <v>0</v>
      </c>
      <c r="I22" s="97">
        <v>131</v>
      </c>
      <c r="J22" s="65">
        <f t="shared" si="0"/>
        <v>0.15686274509803932</v>
      </c>
      <c r="K22" s="65" t="str">
        <f t="shared" ref="K22:K23" si="13">IFERROR(F22/H22-1,"n/a")</f>
        <v>n/a</v>
      </c>
      <c r="L22" s="61">
        <f t="shared" si="12"/>
        <v>-9.92366412213741E-2</v>
      </c>
      <c r="M22" s="69">
        <f>F22+'Nov-22'!M22</f>
        <v>1140</v>
      </c>
      <c r="N22" s="69">
        <f>G22+'Nov-22'!N22</f>
        <v>411</v>
      </c>
      <c r="O22" s="69">
        <f>H22+'Nov-22'!O22</f>
        <v>406</v>
      </c>
      <c r="P22" s="69">
        <f>I22+'Nov-22'!P22</f>
        <v>1205</v>
      </c>
      <c r="Q22" s="65">
        <f t="shared" ref="Q22:Q23" si="14">IFERROR(M22/N22-1,"n/a")</f>
        <v>1.7737226277372264</v>
      </c>
      <c r="R22" s="65">
        <f t="shared" ref="R22:R23" si="15">IFERROR(M22/O22-1,"n/a")</f>
        <v>1.8078817733990147</v>
      </c>
      <c r="S22" s="61">
        <f t="shared" ref="S22:S23" si="16">IFERROR(M22/P22-1,"n/a")</f>
        <v>-5.3941908713692976E-2</v>
      </c>
      <c r="T22" s="69">
        <v>411</v>
      </c>
      <c r="U22" s="71">
        <v>406</v>
      </c>
      <c r="V22" s="79">
        <v>1205</v>
      </c>
    </row>
    <row r="23" spans="1:46" ht="14.4">
      <c r="A23" s="10"/>
      <c r="B23" s="13"/>
      <c r="C23" s="34"/>
      <c r="D23" s="27" t="s">
        <v>11</v>
      </c>
      <c r="E23" s="33"/>
      <c r="F23" s="75">
        <v>409516</v>
      </c>
      <c r="G23" s="97">
        <v>200450</v>
      </c>
      <c r="H23" s="97">
        <v>0</v>
      </c>
      <c r="I23" s="97">
        <v>386408</v>
      </c>
      <c r="J23" s="65">
        <f t="shared" si="0"/>
        <v>1.0429832876028935</v>
      </c>
      <c r="K23" s="65" t="str">
        <f t="shared" si="13"/>
        <v>n/a</v>
      </c>
      <c r="L23" s="61">
        <f t="shared" si="12"/>
        <v>5.9802074491211332E-2</v>
      </c>
      <c r="M23" s="69">
        <f>F23+'Nov-22'!M23</f>
        <v>3212646</v>
      </c>
      <c r="N23" s="69">
        <f>G23+'Nov-22'!N23</f>
        <v>687449</v>
      </c>
      <c r="O23" s="69">
        <f>H23+'Nov-22'!O23</f>
        <v>833999</v>
      </c>
      <c r="P23" s="69">
        <f>I23+'Nov-22'!P23</f>
        <v>3859183</v>
      </c>
      <c r="Q23" s="65">
        <f t="shared" si="14"/>
        <v>3.6732863092389403</v>
      </c>
      <c r="R23" s="65">
        <f t="shared" si="15"/>
        <v>2.8520981440025706</v>
      </c>
      <c r="S23" s="61">
        <f t="shared" si="16"/>
        <v>-0.16753209163701233</v>
      </c>
      <c r="T23" s="69">
        <v>687449</v>
      </c>
      <c r="U23" s="71">
        <v>833999</v>
      </c>
      <c r="V23" s="79">
        <v>3859183</v>
      </c>
    </row>
    <row r="24" spans="1:46" ht="14.4">
      <c r="A24" s="10"/>
      <c r="B24" s="13"/>
      <c r="C24" s="32" t="s">
        <v>16</v>
      </c>
      <c r="D24" s="27"/>
      <c r="E24" s="33"/>
      <c r="F24" s="73"/>
      <c r="G24" s="99"/>
      <c r="H24" s="99"/>
      <c r="I24" s="99"/>
      <c r="J24" s="65"/>
      <c r="K24" s="65"/>
      <c r="L24" s="61"/>
      <c r="M24" s="88"/>
      <c r="N24" s="88"/>
      <c r="O24" s="88"/>
      <c r="P24" s="88"/>
      <c r="Q24" s="65"/>
      <c r="R24" s="65"/>
      <c r="S24" s="61"/>
      <c r="T24" s="44"/>
      <c r="U24" s="45"/>
      <c r="V24" s="80"/>
    </row>
    <row r="25" spans="1:46" ht="14.4">
      <c r="A25" s="10"/>
      <c r="B25" s="13"/>
      <c r="C25" s="34"/>
      <c r="D25" s="27" t="s">
        <v>5</v>
      </c>
      <c r="E25" s="33"/>
      <c r="F25" s="75">
        <v>5</v>
      </c>
      <c r="G25" s="97">
        <v>7</v>
      </c>
      <c r="H25" s="97">
        <v>3</v>
      </c>
      <c r="I25" s="97">
        <v>44</v>
      </c>
      <c r="J25" s="65">
        <f t="shared" si="0"/>
        <v>-0.2857142857142857</v>
      </c>
      <c r="K25" s="65">
        <f t="shared" ref="K25:K26" si="17">IFERROR(F25/H25-1,"n/a")</f>
        <v>0.66666666666666674</v>
      </c>
      <c r="L25" s="61">
        <f t="shared" si="12"/>
        <v>-0.88636363636363635</v>
      </c>
      <c r="M25" s="69">
        <f>F25+'Nov-22'!M25</f>
        <v>283</v>
      </c>
      <c r="N25" s="69">
        <f>G25+'Nov-22'!N25</f>
        <v>107</v>
      </c>
      <c r="O25" s="69">
        <f>H25+'Nov-22'!O25</f>
        <v>32</v>
      </c>
      <c r="P25" s="69">
        <f>I25+'Nov-22'!P25</f>
        <v>372</v>
      </c>
      <c r="Q25" s="65">
        <f t="shared" ref="Q25:Q26" si="18">IFERROR(M25/N25-1,"n/a")</f>
        <v>1.6448598130841123</v>
      </c>
      <c r="R25" s="65">
        <f t="shared" ref="R25:R26" si="19">IFERROR(M25/O25-1,"n/a")</f>
        <v>7.84375</v>
      </c>
      <c r="S25" s="61">
        <f t="shared" ref="S25:S26" si="20">IFERROR(M25/P25-1,"n/a")</f>
        <v>-0.239247311827957</v>
      </c>
      <c r="T25" s="69">
        <v>107</v>
      </c>
      <c r="U25" s="71">
        <v>32</v>
      </c>
      <c r="V25" s="79">
        <v>372</v>
      </c>
    </row>
    <row r="26" spans="1:46" ht="14.4">
      <c r="A26" s="10"/>
      <c r="B26" s="13"/>
      <c r="C26" s="34"/>
      <c r="D26" s="27" t="s">
        <v>11</v>
      </c>
      <c r="E26" s="33"/>
      <c r="F26" s="75">
        <v>20252</v>
      </c>
      <c r="G26" s="97">
        <v>13748</v>
      </c>
      <c r="H26" s="97">
        <v>1045</v>
      </c>
      <c r="I26" s="97">
        <v>52611</v>
      </c>
      <c r="J26" s="65">
        <f t="shared" si="0"/>
        <v>0.47308699447192315</v>
      </c>
      <c r="K26" s="65">
        <f t="shared" si="17"/>
        <v>18.379904306220094</v>
      </c>
      <c r="L26" s="61">
        <f t="shared" si="12"/>
        <v>-0.61506148904221547</v>
      </c>
      <c r="M26" s="69">
        <f>F26+'Nov-22'!M26</f>
        <v>530405</v>
      </c>
      <c r="N26" s="69">
        <f>G26+'Nov-22'!N26</f>
        <v>147132</v>
      </c>
      <c r="O26" s="69">
        <f>H26+'Nov-22'!O26</f>
        <v>59180</v>
      </c>
      <c r="P26" s="69">
        <f>I26+'Nov-22'!P26</f>
        <v>902015</v>
      </c>
      <c r="Q26" s="65">
        <f t="shared" si="18"/>
        <v>2.6049601718185031</v>
      </c>
      <c r="R26" s="65">
        <f t="shared" si="19"/>
        <v>7.9625718148022973</v>
      </c>
      <c r="S26" s="61">
        <f t="shared" si="20"/>
        <v>-0.41197762786649894</v>
      </c>
      <c r="T26" s="69">
        <v>147132</v>
      </c>
      <c r="U26" s="71">
        <v>59180</v>
      </c>
      <c r="V26" s="79">
        <v>902015</v>
      </c>
    </row>
    <row r="27" spans="1:46" ht="14.4">
      <c r="A27" s="10"/>
      <c r="B27" s="13"/>
      <c r="C27" s="32" t="s">
        <v>17</v>
      </c>
      <c r="D27" s="27"/>
      <c r="E27" s="33"/>
      <c r="F27" s="73"/>
      <c r="G27" s="99"/>
      <c r="H27" s="99"/>
      <c r="I27" s="99"/>
      <c r="J27" s="65"/>
      <c r="K27" s="65"/>
      <c r="L27" s="61"/>
      <c r="M27" s="88"/>
      <c r="N27" s="88"/>
      <c r="O27" s="88"/>
      <c r="P27" s="88"/>
      <c r="Q27" s="65"/>
      <c r="R27" s="65"/>
      <c r="S27" s="61"/>
      <c r="T27" s="44"/>
      <c r="U27" s="45"/>
      <c r="V27" s="80"/>
    </row>
    <row r="28" spans="1:46" ht="14.4">
      <c r="B28" s="13"/>
      <c r="C28" s="34"/>
      <c r="D28" s="27" t="s">
        <v>5</v>
      </c>
      <c r="E28" s="33"/>
      <c r="F28" s="75">
        <f>1+36</f>
        <v>37</v>
      </c>
      <c r="G28" s="97">
        <v>0</v>
      </c>
      <c r="H28" s="97">
        <v>5</v>
      </c>
      <c r="I28" s="97">
        <v>18</v>
      </c>
      <c r="J28" s="65" t="str">
        <f t="shared" si="0"/>
        <v>n/a</v>
      </c>
      <c r="K28" s="65">
        <f t="shared" ref="K28:K31" si="21">IFERROR(F28/H28-1,"n/a")</f>
        <v>6.4</v>
      </c>
      <c r="L28" s="61">
        <f t="shared" si="12"/>
        <v>1.0555555555555554</v>
      </c>
      <c r="M28" s="69">
        <f>F28+'Nov-22'!M28</f>
        <v>605</v>
      </c>
      <c r="N28" s="69">
        <f>G28+'Nov-22'!N28</f>
        <v>127</v>
      </c>
      <c r="O28" s="69">
        <f>H28+'Nov-22'!O28</f>
        <v>37</v>
      </c>
      <c r="P28" s="69">
        <f>I28+'Nov-22'!P28</f>
        <v>363</v>
      </c>
      <c r="Q28" s="65">
        <f t="shared" ref="Q28:Q31" si="22">IFERROR(M28/N28-1,"n/a")</f>
        <v>3.7637795275590555</v>
      </c>
      <c r="R28" s="65">
        <f t="shared" ref="R28:R31" si="23">IFERROR(M28/O28-1,"n/a")</f>
        <v>15.351351351351351</v>
      </c>
      <c r="S28" s="61">
        <f t="shared" ref="S28:S31" si="24">IFERROR(M28/P28-1,"n/a")</f>
        <v>0.66666666666666674</v>
      </c>
      <c r="T28" s="69">
        <v>127</v>
      </c>
      <c r="U28" s="71">
        <v>37</v>
      </c>
      <c r="V28" s="79">
        <f>282+81</f>
        <v>363</v>
      </c>
    </row>
    <row r="29" spans="1:46" ht="14.4">
      <c r="A29" s="10"/>
      <c r="B29" s="13"/>
      <c r="C29" s="34"/>
      <c r="D29" s="27" t="s">
        <v>11</v>
      </c>
      <c r="E29" s="33"/>
      <c r="F29" s="75">
        <f>2108+606+127100</f>
        <v>129814</v>
      </c>
      <c r="G29" s="97">
        <v>0</v>
      </c>
      <c r="H29" s="97">
        <v>10369</v>
      </c>
      <c r="I29" s="97">
        <v>10666</v>
      </c>
      <c r="J29" s="65" t="str">
        <f t="shared" si="0"/>
        <v>n/a</v>
      </c>
      <c r="K29" s="65">
        <f t="shared" si="21"/>
        <v>11.519432925065098</v>
      </c>
      <c r="L29" s="61">
        <f t="shared" si="12"/>
        <v>11.170823176448527</v>
      </c>
      <c r="M29" s="69">
        <f>F29+'Nov-22'!M29</f>
        <v>1098243</v>
      </c>
      <c r="N29" s="69">
        <f>G29+'Nov-22'!N29</f>
        <v>165083</v>
      </c>
      <c r="O29" s="69">
        <f>H29+'Nov-22'!O29</f>
        <v>29062</v>
      </c>
      <c r="P29" s="69">
        <f>I29+'Nov-22'!P29</f>
        <v>867164</v>
      </c>
      <c r="Q29" s="65">
        <f t="shared" si="22"/>
        <v>5.6526716863638287</v>
      </c>
      <c r="R29" s="65">
        <f t="shared" si="23"/>
        <v>36.789656596242516</v>
      </c>
      <c r="S29" s="61">
        <f t="shared" si="24"/>
        <v>0.2664766987559446</v>
      </c>
      <c r="T29" s="69">
        <v>165083</v>
      </c>
      <c r="U29" s="71">
        <f>20768+8294</f>
        <v>29062</v>
      </c>
      <c r="V29" s="79">
        <f>659951+168729+38484</f>
        <v>867164</v>
      </c>
    </row>
    <row r="30" spans="1:46" ht="15" customHeight="1" thickBot="1">
      <c r="A30" s="10"/>
      <c r="B30" s="13"/>
      <c r="C30" s="36" t="s">
        <v>12</v>
      </c>
      <c r="D30" s="37"/>
      <c r="E30" s="38"/>
      <c r="F30" s="76">
        <f t="shared" ref="F30:I31" si="25">F13+F16+F19+F22+F25+F28</f>
        <v>273</v>
      </c>
      <c r="G30" s="76">
        <f>G13+G16+G19+G22+G25+G28</f>
        <v>207</v>
      </c>
      <c r="H30" s="76">
        <f t="shared" si="25"/>
        <v>8</v>
      </c>
      <c r="I30" s="76">
        <f t="shared" si="25"/>
        <v>291</v>
      </c>
      <c r="J30" s="67">
        <f t="shared" si="0"/>
        <v>0.31884057971014501</v>
      </c>
      <c r="K30" s="67">
        <f t="shared" si="21"/>
        <v>33.125</v>
      </c>
      <c r="L30" s="63">
        <f t="shared" si="12"/>
        <v>-6.1855670103092786E-2</v>
      </c>
      <c r="M30" s="47">
        <f t="shared" ref="M30:P31" si="26">M13+M16+M19+M22+M25+M28</f>
        <v>3627</v>
      </c>
      <c r="N30" s="47">
        <f t="shared" si="26"/>
        <v>1062</v>
      </c>
      <c r="O30" s="47">
        <f t="shared" si="26"/>
        <v>667</v>
      </c>
      <c r="P30" s="47">
        <f t="shared" si="26"/>
        <v>3344</v>
      </c>
      <c r="Q30" s="67">
        <f t="shared" si="22"/>
        <v>2.4152542372881354</v>
      </c>
      <c r="R30" s="67">
        <f t="shared" si="23"/>
        <v>4.437781109445277</v>
      </c>
      <c r="S30" s="63">
        <f t="shared" si="24"/>
        <v>8.4629186602870776E-2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763347</v>
      </c>
      <c r="G31" s="77">
        <f t="shared" si="25"/>
        <v>307043</v>
      </c>
      <c r="H31" s="77">
        <f t="shared" si="25"/>
        <v>11414</v>
      </c>
      <c r="I31" s="77">
        <f t="shared" si="25"/>
        <v>638656</v>
      </c>
      <c r="J31" s="68">
        <f t="shared" si="0"/>
        <v>1.48612409336803</v>
      </c>
      <c r="K31" s="68">
        <f t="shared" si="21"/>
        <v>65.87813211845102</v>
      </c>
      <c r="L31" s="64">
        <f t="shared" si="12"/>
        <v>0.19523969085078674</v>
      </c>
      <c r="M31" s="48">
        <f t="shared" si="26"/>
        <v>7627084</v>
      </c>
      <c r="N31" s="48">
        <f t="shared" si="26"/>
        <v>1554247</v>
      </c>
      <c r="O31" s="48">
        <f t="shared" si="26"/>
        <v>1323431</v>
      </c>
      <c r="P31" s="48">
        <f t="shared" si="26"/>
        <v>9169021</v>
      </c>
      <c r="Q31" s="68">
        <f t="shared" si="22"/>
        <v>3.9072534803026802</v>
      </c>
      <c r="R31" s="68">
        <f t="shared" si="23"/>
        <v>4.7631142084475879</v>
      </c>
      <c r="S31" s="64">
        <f t="shared" si="24"/>
        <v>-0.16816811740315574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5" customHeight="1">
      <c r="F33" s="42"/>
      <c r="G33" s="42"/>
      <c r="H33" s="42"/>
      <c r="I33" s="42"/>
      <c r="J33" s="42"/>
      <c r="K33" s="42"/>
      <c r="AM33"/>
      <c r="AN33"/>
      <c r="AO33"/>
      <c r="AP33"/>
      <c r="AQ33"/>
      <c r="AR33"/>
      <c r="AS33"/>
      <c r="AT33"/>
    </row>
    <row r="34" spans="2:46" s="10" customFormat="1" ht="14.4">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4.4">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13" t="str">
        <f>F9</f>
        <v>December</v>
      </c>
      <c r="G36" s="113"/>
      <c r="H36" s="113"/>
      <c r="I36" s="113"/>
      <c r="J36" s="113"/>
      <c r="K36" s="113"/>
      <c r="L36" s="114"/>
      <c r="M36" s="115" t="s">
        <v>98</v>
      </c>
      <c r="N36" s="113"/>
      <c r="O36" s="113"/>
      <c r="P36" s="113"/>
      <c r="Q36" s="113"/>
      <c r="R36" s="113"/>
      <c r="S36" s="114"/>
      <c r="T36" s="115" t="s">
        <v>58</v>
      </c>
      <c r="U36" s="113"/>
      <c r="V36" s="116"/>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73</v>
      </c>
      <c r="G40" s="75">
        <f t="shared" si="28"/>
        <v>70</v>
      </c>
      <c r="H40" s="75">
        <f t="shared" si="28"/>
        <v>0</v>
      </c>
      <c r="I40" s="75">
        <f t="shared" si="28"/>
        <v>69</v>
      </c>
      <c r="J40" s="65">
        <f t="shared" ref="J40:J41" si="29">IFERROR(F40/G40-1,"n/a")</f>
        <v>4.2857142857142927E-2</v>
      </c>
      <c r="K40" s="65" t="str">
        <f>IFERROR(F40/H40-1,"n/a")</f>
        <v>n/a</v>
      </c>
      <c r="L40" s="61">
        <f t="shared" ref="L40:L41" si="30">IFERROR(F40/I40-1,"n/a")</f>
        <v>5.7971014492753659E-2</v>
      </c>
      <c r="M40" s="71">
        <f>+M13-'Mar-22'!M10</f>
        <v>149</v>
      </c>
      <c r="N40" s="71">
        <f>+N13-'Mar-22'!N10</f>
        <v>111</v>
      </c>
      <c r="O40" s="83">
        <f>+O13-'Mar-22'!O10</f>
        <v>0</v>
      </c>
      <c r="P40" s="71">
        <f>+P13-'Mar-22'!P10</f>
        <v>186</v>
      </c>
      <c r="Q40" s="65">
        <f>IFERROR(M40/N40-1,"n/a")</f>
        <v>0.3423423423423424</v>
      </c>
      <c r="R40" s="65" t="str">
        <f>IFERROR(M40/O40-1,"n/a")</f>
        <v>n/a</v>
      </c>
      <c r="S40" s="61">
        <f>IFERROR(M40/P40-1,"n/a")</f>
        <v>-0.19892473118279574</v>
      </c>
      <c r="T40" s="90">
        <v>308</v>
      </c>
      <c r="U40" s="71">
        <v>145</v>
      </c>
      <c r="V40" s="79">
        <v>331</v>
      </c>
    </row>
    <row r="41" spans="2:46" s="10" customFormat="1" ht="15" customHeight="1">
      <c r="C41" s="34"/>
      <c r="D41" s="27" t="s">
        <v>11</v>
      </c>
      <c r="E41" s="33"/>
      <c r="F41" s="75">
        <f t="shared" si="28"/>
        <v>109218</v>
      </c>
      <c r="G41" s="75">
        <f t="shared" si="28"/>
        <v>52767</v>
      </c>
      <c r="H41" s="75">
        <f t="shared" si="28"/>
        <v>0</v>
      </c>
      <c r="I41" s="75">
        <f t="shared" si="28"/>
        <v>120203</v>
      </c>
      <c r="J41" s="65">
        <f t="shared" si="29"/>
        <v>1.0698163624992891</v>
      </c>
      <c r="K41" s="65" t="str">
        <f t="shared" ref="K41" si="31">IFERROR(F41/H41-1,"n/a")</f>
        <v>n/a</v>
      </c>
      <c r="L41" s="61">
        <f t="shared" si="30"/>
        <v>-9.1387070206234489E-2</v>
      </c>
      <c r="M41" s="83">
        <f>+M14-'Mar-22'!M11</f>
        <v>223854</v>
      </c>
      <c r="N41" s="83">
        <f>+N14-'Mar-22'!N11</f>
        <v>80863</v>
      </c>
      <c r="O41" s="83">
        <f>+O14-'Mar-22'!O11</f>
        <v>0</v>
      </c>
      <c r="P41" s="83">
        <f>+P14-'Mar-22'!P11</f>
        <v>347916</v>
      </c>
      <c r="Q41" s="65">
        <f>IFERROR(M41/N41-1,"n/a")</f>
        <v>1.768311836068412</v>
      </c>
      <c r="R41" s="65" t="str">
        <f>IFERROR(M41/O41-1,"n/a")</f>
        <v>n/a</v>
      </c>
      <c r="S41" s="61">
        <f>IFERROR(M41/P41-1,"n/a")</f>
        <v>-0.35658607250025864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31</v>
      </c>
      <c r="G43" s="75">
        <f t="shared" si="32"/>
        <v>25</v>
      </c>
      <c r="H43" s="75">
        <f t="shared" si="32"/>
        <v>0</v>
      </c>
      <c r="I43" s="75">
        <f t="shared" si="32"/>
        <v>20</v>
      </c>
      <c r="J43" s="65">
        <f t="shared" ref="J43:J44" si="33">IFERROR(F43/G43-1,"n/a")</f>
        <v>0.24</v>
      </c>
      <c r="K43" s="65" t="str">
        <f t="shared" ref="K43:K44" si="34">IFERROR(F43/H43-1,"n/a")</f>
        <v>n/a</v>
      </c>
      <c r="L43" s="61">
        <f t="shared" ref="L43:L44" si="35">IFERROR(F43/I43-1,"n/a")</f>
        <v>0.55000000000000004</v>
      </c>
      <c r="M43" s="71">
        <f>+M16-'Mar-22'!M13</f>
        <v>725</v>
      </c>
      <c r="N43" s="71">
        <f>+N16-'Mar-22'!N13</f>
        <v>283</v>
      </c>
      <c r="O43" s="83">
        <f>+O16-'Mar-22'!O13</f>
        <v>0</v>
      </c>
      <c r="P43" s="71">
        <f>+P16-'Mar-22'!P13</f>
        <v>738</v>
      </c>
      <c r="Q43" s="65">
        <f>IFERROR(M43/N43-1,"n/a")</f>
        <v>1.5618374558303887</v>
      </c>
      <c r="R43" s="65" t="str">
        <f>IFERROR(M43/O43-1,"n/a")</f>
        <v>n/a</v>
      </c>
      <c r="S43" s="61">
        <f t="shared" ref="S43:S44" si="36">IFERROR(M43/P43-1,"n/a")</f>
        <v>-1.7615176151761558E-2</v>
      </c>
      <c r="T43" s="90">
        <v>336</v>
      </c>
      <c r="U43" s="71">
        <v>43</v>
      </c>
      <c r="V43" s="79">
        <v>781</v>
      </c>
    </row>
    <row r="44" spans="2:46" s="10" customFormat="1" ht="15" customHeight="1">
      <c r="C44" s="34"/>
      <c r="D44" s="27" t="s">
        <v>11</v>
      </c>
      <c r="E44" s="33"/>
      <c r="F44" s="75">
        <f t="shared" si="32"/>
        <v>88390</v>
      </c>
      <c r="G44" s="75">
        <f t="shared" si="32"/>
        <v>39214</v>
      </c>
      <c r="H44" s="75">
        <f t="shared" si="32"/>
        <v>0</v>
      </c>
      <c r="I44" s="75">
        <f t="shared" si="32"/>
        <v>58943</v>
      </c>
      <c r="J44" s="65">
        <f t="shared" si="33"/>
        <v>1.2540419238027236</v>
      </c>
      <c r="K44" s="65" t="str">
        <f t="shared" si="34"/>
        <v>n/a</v>
      </c>
      <c r="L44" s="61">
        <f t="shared" si="35"/>
        <v>0.49958434419693609</v>
      </c>
      <c r="M44" s="83">
        <f>+M17-'Mar-22'!M14</f>
        <v>1775170</v>
      </c>
      <c r="N44" s="83">
        <f>+N17-'Mar-22'!N14</f>
        <v>465109</v>
      </c>
      <c r="O44" s="83">
        <f>+O17-'Mar-22'!O14</f>
        <v>0</v>
      </c>
      <c r="P44" s="83">
        <f>+P17-'Mar-22'!P14</f>
        <v>2301042</v>
      </c>
      <c r="Q44" s="65">
        <f>IFERROR(M44/N44-1,"n/a")</f>
        <v>2.8166752309673648</v>
      </c>
      <c r="R44" s="65" t="str">
        <f>IFERROR(M44/O44-1,"n/a")</f>
        <v>n/a</v>
      </c>
      <c r="S44" s="61">
        <f t="shared" si="36"/>
        <v>-0.22853646304587227</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9</v>
      </c>
      <c r="G46" s="75">
        <f t="shared" si="37"/>
        <v>3</v>
      </c>
      <c r="H46" s="75">
        <f t="shared" si="37"/>
        <v>0</v>
      </c>
      <c r="I46" s="75">
        <f t="shared" si="37"/>
        <v>9</v>
      </c>
      <c r="J46" s="65">
        <f t="shared" ref="J46:J47" si="38">IFERROR(F46/G46-1,"n/a")</f>
        <v>2</v>
      </c>
      <c r="K46" s="65" t="str">
        <f t="shared" ref="K46:K47" si="39">IFERROR(F46/H46-1,"n/a")</f>
        <v>n/a</v>
      </c>
      <c r="L46" s="61">
        <f>IFERROR(F46/I46-1,"n/a")</f>
        <v>0</v>
      </c>
      <c r="M46" s="71">
        <f>+M19-'Mar-22'!M16</f>
        <v>465</v>
      </c>
      <c r="N46" s="83">
        <f>+N19-'Mar-22'!N16</f>
        <v>23</v>
      </c>
      <c r="O46" s="83">
        <f>+O19-'Mar-22'!O16</f>
        <v>1</v>
      </c>
      <c r="P46" s="83">
        <f>+P19-'Mar-22'!P16</f>
        <v>185</v>
      </c>
      <c r="Q46" s="65">
        <f>IFERROR(M46/N46-1,"n/a")</f>
        <v>19.217391304347824</v>
      </c>
      <c r="R46" s="65">
        <f>IFERROR(M46/O46-1,"n/a")</f>
        <v>464</v>
      </c>
      <c r="S46" s="61">
        <f t="shared" ref="S46:S47" si="40">IFERROR(M46/P46-1,"n/a")</f>
        <v>1.5135135135135136</v>
      </c>
      <c r="T46" s="90">
        <v>33</v>
      </c>
      <c r="U46" s="71">
        <v>4</v>
      </c>
      <c r="V46" s="79">
        <v>188</v>
      </c>
    </row>
    <row r="47" spans="2:46" s="10" customFormat="1" ht="15" customHeight="1">
      <c r="C47" s="34"/>
      <c r="D47" s="27" t="s">
        <v>11</v>
      </c>
      <c r="E47" s="33"/>
      <c r="F47" s="75">
        <f t="shared" si="37"/>
        <v>6157</v>
      </c>
      <c r="G47" s="75">
        <f t="shared" si="37"/>
        <v>864</v>
      </c>
      <c r="H47" s="75">
        <f t="shared" si="37"/>
        <v>0</v>
      </c>
      <c r="I47" s="75">
        <f t="shared" si="37"/>
        <v>9825</v>
      </c>
      <c r="J47" s="65">
        <f t="shared" si="38"/>
        <v>6.1261574074074074</v>
      </c>
      <c r="K47" s="65" t="str">
        <f t="shared" si="39"/>
        <v>n/a</v>
      </c>
      <c r="L47" s="61">
        <f t="shared" ref="L47" si="41">IFERROR(F47/I47-1,"n/a")</f>
        <v>-0.37333333333333329</v>
      </c>
      <c r="M47" s="83">
        <f>+M20-'Mar-22'!M17</f>
        <v>560512</v>
      </c>
      <c r="N47" s="83">
        <f>+N20-'Mar-22'!N17</f>
        <v>8611</v>
      </c>
      <c r="O47" s="83">
        <f>+O20-'Mar-22'!O17</f>
        <v>111</v>
      </c>
      <c r="P47" s="83">
        <f>+P20-'Mar-22'!P17</f>
        <v>249283</v>
      </c>
      <c r="Q47" s="65">
        <f>IFERROR(M47/N47-1,"n/a")</f>
        <v>64.092556032981065</v>
      </c>
      <c r="R47" s="65">
        <f>IFERROR(M47/O47-1,"n/a")</f>
        <v>5048.6576576576581</v>
      </c>
      <c r="S47" s="61">
        <f t="shared" si="40"/>
        <v>1.2484966885026254</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118</v>
      </c>
      <c r="G49" s="75">
        <f t="shared" si="42"/>
        <v>102</v>
      </c>
      <c r="H49" s="75">
        <f t="shared" si="42"/>
        <v>0</v>
      </c>
      <c r="I49" s="75">
        <f t="shared" si="42"/>
        <v>131</v>
      </c>
      <c r="J49" s="65">
        <f t="shared" ref="J49:J50" si="43">IFERROR(F49/G49-1,"n/a")</f>
        <v>0.15686274509803932</v>
      </c>
      <c r="K49" s="65" t="str">
        <f t="shared" ref="K49:K50" si="44">IFERROR(F49/H49-1,"n/a")</f>
        <v>n/a</v>
      </c>
      <c r="L49" s="61">
        <f t="shared" ref="L49:L50" si="45">IFERROR(F49/I49-1,"n/a")</f>
        <v>-9.92366412213741E-2</v>
      </c>
      <c r="M49" s="71">
        <f>+M22-'Mar-22'!M19</f>
        <v>807</v>
      </c>
      <c r="N49" s="71">
        <f>+N22-'Mar-22'!N19</f>
        <v>411</v>
      </c>
      <c r="O49" s="71">
        <f>+O22-'Mar-22'!O19</f>
        <v>42</v>
      </c>
      <c r="P49" s="71">
        <f>+P22-'Mar-22'!P19</f>
        <v>889</v>
      </c>
      <c r="Q49" s="65">
        <f>IFERROR(M49/N49-1,"n/a")</f>
        <v>0.96350364963503643</v>
      </c>
      <c r="R49" s="65">
        <f>IFERROR(M49/O49-1,"n/a")</f>
        <v>18.214285714285715</v>
      </c>
      <c r="S49" s="61">
        <f>IFERROR(M49/P49-1,"n/a")</f>
        <v>-9.2238470191226107E-2</v>
      </c>
      <c r="T49" s="90">
        <v>744</v>
      </c>
      <c r="U49" s="85">
        <v>406</v>
      </c>
      <c r="V49" s="79">
        <v>1253</v>
      </c>
    </row>
    <row r="50" spans="1:46" s="10" customFormat="1" ht="15" customHeight="1">
      <c r="C50" s="34"/>
      <c r="D50" s="27" t="s">
        <v>11</v>
      </c>
      <c r="E50" s="33"/>
      <c r="F50" s="75">
        <f t="shared" si="42"/>
        <v>409516</v>
      </c>
      <c r="G50" s="75">
        <f t="shared" si="42"/>
        <v>200450</v>
      </c>
      <c r="H50" s="75">
        <f t="shared" si="42"/>
        <v>0</v>
      </c>
      <c r="I50" s="75">
        <f t="shared" si="42"/>
        <v>386408</v>
      </c>
      <c r="J50" s="65">
        <f t="shared" si="43"/>
        <v>1.0429832876028935</v>
      </c>
      <c r="K50" s="65" t="str">
        <f t="shared" si="44"/>
        <v>n/a</v>
      </c>
      <c r="L50" s="61">
        <f t="shared" si="45"/>
        <v>5.9802074491211332E-2</v>
      </c>
      <c r="M50" s="83">
        <f>+M23-'Mar-22'!M20</f>
        <v>2609316</v>
      </c>
      <c r="N50" s="83">
        <f>+N23-'Mar-22'!N20</f>
        <v>687449</v>
      </c>
      <c r="O50" s="83">
        <f>+O23-'Mar-22'!O20</f>
        <v>0</v>
      </c>
      <c r="P50" s="83">
        <f>+P23-'Mar-22'!P20</f>
        <v>2793459</v>
      </c>
      <c r="Q50" s="65">
        <f>IFERROR(M50/N50-1,"n/a")</f>
        <v>2.7956502955128308</v>
      </c>
      <c r="R50" s="65" t="str">
        <f>IFERROR(M50/O50-1,"n/a")</f>
        <v>n/a</v>
      </c>
      <c r="S50" s="61">
        <f t="shared" ref="S50" si="46">IFERROR(M50/P50-1,"n/a")</f>
        <v>-6.5919349451701303E-2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5</v>
      </c>
      <c r="G52" s="75">
        <f t="shared" si="47"/>
        <v>7</v>
      </c>
      <c r="H52" s="75">
        <f t="shared" si="47"/>
        <v>3</v>
      </c>
      <c r="I52" s="75">
        <f t="shared" si="47"/>
        <v>44</v>
      </c>
      <c r="J52" s="65">
        <f t="shared" ref="J52:J53" si="48">IFERROR(F52/G52-1,"n/a")</f>
        <v>-0.2857142857142857</v>
      </c>
      <c r="K52" s="65">
        <f t="shared" ref="K52:K53" si="49">IFERROR(F52/H52-1,"n/a")</f>
        <v>0.66666666666666674</v>
      </c>
      <c r="L52" s="61">
        <f t="shared" ref="L52:L53" si="50">IFERROR(F52/I52-1,"n/a")</f>
        <v>-0.88636363636363635</v>
      </c>
      <c r="M52" s="71">
        <f>+M25-'Mar-22'!M22</f>
        <v>260</v>
      </c>
      <c r="N52" s="71">
        <f>+N25-'Mar-22'!N22</f>
        <v>98</v>
      </c>
      <c r="O52" s="83">
        <f>+O25-'Mar-22'!O22</f>
        <v>23</v>
      </c>
      <c r="P52" s="71">
        <f>+P25-'Mar-22'!P22</f>
        <v>352</v>
      </c>
      <c r="Q52" s="65">
        <f>IFERROR(M52/N52-1,"n/a")</f>
        <v>1.6530612244897958</v>
      </c>
      <c r="R52" s="65">
        <f>IFERROR(M52/O52-1,"n/a")</f>
        <v>10.304347826086957</v>
      </c>
      <c r="S52" s="61">
        <f t="shared" ref="S52:S53" si="51">IFERROR(M52/P52-1,"n/a")</f>
        <v>-0.26136363636363635</v>
      </c>
      <c r="T52" s="90">
        <v>121</v>
      </c>
      <c r="U52" s="71">
        <v>41</v>
      </c>
      <c r="V52" s="79">
        <v>361</v>
      </c>
    </row>
    <row r="53" spans="1:46" s="10" customFormat="1" ht="15" customHeight="1">
      <c r="C53" s="34"/>
      <c r="D53" s="27" t="s">
        <v>11</v>
      </c>
      <c r="E53" s="33"/>
      <c r="F53" s="75">
        <f t="shared" si="47"/>
        <v>20252</v>
      </c>
      <c r="G53" s="75">
        <f t="shared" si="47"/>
        <v>13748</v>
      </c>
      <c r="H53" s="75">
        <f t="shared" si="47"/>
        <v>1045</v>
      </c>
      <c r="I53" s="75">
        <f t="shared" si="47"/>
        <v>52611</v>
      </c>
      <c r="J53" s="65">
        <f t="shared" si="48"/>
        <v>0.47308699447192315</v>
      </c>
      <c r="K53" s="65">
        <f t="shared" si="49"/>
        <v>18.379904306220094</v>
      </c>
      <c r="L53" s="61">
        <f t="shared" si="50"/>
        <v>-0.61506148904221547</v>
      </c>
      <c r="M53" s="83">
        <f>+M26-'Mar-22'!M23</f>
        <v>503884</v>
      </c>
      <c r="N53" s="83">
        <f>+N26-'Mar-22'!N23</f>
        <v>139168</v>
      </c>
      <c r="O53" s="83">
        <f>+O26-'Mar-22'!O23</f>
        <v>18959</v>
      </c>
      <c r="P53" s="83">
        <f>+P26-'Mar-22'!P23</f>
        <v>825740</v>
      </c>
      <c r="Q53" s="65">
        <f>IFERROR(M53/N53-1,"n/a")</f>
        <v>2.6206886640607037</v>
      </c>
      <c r="R53" s="65">
        <f>IFERROR(M53/O53-1,"n/a")</f>
        <v>25.577562107706104</v>
      </c>
      <c r="S53" s="61">
        <f t="shared" si="51"/>
        <v>-0.38977886501804437</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5" customHeight="1">
      <c r="A55"/>
      <c r="B55"/>
      <c r="C55" s="34"/>
      <c r="D55" s="27" t="s">
        <v>5</v>
      </c>
      <c r="E55" s="33"/>
      <c r="F55" s="75">
        <f t="shared" ref="F55:I56" si="52">F28</f>
        <v>37</v>
      </c>
      <c r="G55" s="75">
        <f t="shared" si="52"/>
        <v>0</v>
      </c>
      <c r="H55" s="75">
        <f t="shared" si="52"/>
        <v>5</v>
      </c>
      <c r="I55" s="75">
        <f t="shared" si="52"/>
        <v>18</v>
      </c>
      <c r="J55" s="65" t="str">
        <f t="shared" ref="J55:J58" si="53">IFERROR(F55/G55-1,"n/a")</f>
        <v>n/a</v>
      </c>
      <c r="K55" s="65">
        <f t="shared" ref="K55:K58" si="54">IFERROR(F55/H55-1,"n/a")</f>
        <v>6.4</v>
      </c>
      <c r="L55" s="61">
        <f t="shared" ref="L55:L58" si="55">IFERROR(F55/I55-1,"n/a")</f>
        <v>1.0555555555555554</v>
      </c>
      <c r="M55" s="71">
        <f>+M28-'Mar-22'!M25</f>
        <v>589</v>
      </c>
      <c r="N55" s="71">
        <f>+N28-'Mar-22'!N25</f>
        <v>124</v>
      </c>
      <c r="O55" s="71">
        <f>+O28-'Mar-22'!O25</f>
        <v>36</v>
      </c>
      <c r="P55" s="71">
        <f>+P28-'Mar-22'!P25</f>
        <v>359</v>
      </c>
      <c r="Q55" s="65">
        <f>IFERROR(M55/N55-1,"n/a")</f>
        <v>3.75</v>
      </c>
      <c r="R55" s="65">
        <f>IFERROR(M55/O55-1,"n/a")</f>
        <v>15.361111111111111</v>
      </c>
      <c r="S55" s="61">
        <f t="shared" ref="S55:S58" si="56">IFERROR(M55/P55-1,"n/a")</f>
        <v>0.64066852367688032</v>
      </c>
      <c r="T55" s="90">
        <v>140</v>
      </c>
      <c r="U55" s="71">
        <v>40</v>
      </c>
      <c r="V55" s="79">
        <v>360</v>
      </c>
      <c r="AM55"/>
      <c r="AN55"/>
      <c r="AO55"/>
      <c r="AP55"/>
      <c r="AQ55"/>
      <c r="AR55"/>
      <c r="AS55"/>
      <c r="AT55"/>
    </row>
    <row r="56" spans="1:46" s="10" customFormat="1" ht="15.45" customHeight="1">
      <c r="A56"/>
      <c r="B56"/>
      <c r="C56" s="34"/>
      <c r="D56" s="27" t="s">
        <v>11</v>
      </c>
      <c r="E56" s="33"/>
      <c r="F56" s="75">
        <f t="shared" si="52"/>
        <v>129814</v>
      </c>
      <c r="G56" s="75">
        <f t="shared" si="52"/>
        <v>0</v>
      </c>
      <c r="H56" s="75">
        <f t="shared" si="52"/>
        <v>10369</v>
      </c>
      <c r="I56" s="75">
        <f t="shared" si="52"/>
        <v>10666</v>
      </c>
      <c r="J56" s="65" t="str">
        <f t="shared" si="53"/>
        <v>n/a</v>
      </c>
      <c r="K56" s="65">
        <f t="shared" si="54"/>
        <v>11.519432925065098</v>
      </c>
      <c r="L56" s="61">
        <f t="shared" si="55"/>
        <v>11.170823176448527</v>
      </c>
      <c r="M56" s="83">
        <f>+M29-'Mar-22'!M26</f>
        <v>1086643</v>
      </c>
      <c r="N56" s="83">
        <f>+N29-'Mar-22'!N26</f>
        <v>162944</v>
      </c>
      <c r="O56" s="83">
        <f>+O29-'Mar-22'!O26</f>
        <v>28170</v>
      </c>
      <c r="P56" s="83">
        <f>+P29-'Mar-22'!P26</f>
        <v>861055</v>
      </c>
      <c r="Q56" s="65">
        <f>IFERROR(M56/N56-1,"n/a")</f>
        <v>5.6688125981932442</v>
      </c>
      <c r="R56" s="65">
        <f>IFERROR(M56/O56-1,"n/a")</f>
        <v>37.574476393326236</v>
      </c>
      <c r="S56" s="61">
        <f t="shared" si="56"/>
        <v>0.261990232911951</v>
      </c>
      <c r="T56" s="83">
        <v>174336</v>
      </c>
      <c r="U56" s="85">
        <v>21928</v>
      </c>
      <c r="V56" s="79">
        <f>706948+155011</f>
        <v>861959</v>
      </c>
      <c r="AM56"/>
      <c r="AN56"/>
      <c r="AO56"/>
      <c r="AP56"/>
      <c r="AQ56"/>
      <c r="AR56"/>
      <c r="AS56"/>
      <c r="AT56"/>
    </row>
    <row r="57" spans="1:46" s="10" customFormat="1" ht="26.7" customHeight="1" thickBot="1">
      <c r="A57"/>
      <c r="B57"/>
      <c r="C57" s="36" t="s">
        <v>12</v>
      </c>
      <c r="D57" s="37"/>
      <c r="E57" s="38"/>
      <c r="F57" s="76">
        <f t="shared" ref="F57:I58" si="57">F40+F43+F46+F49+F52+F55</f>
        <v>273</v>
      </c>
      <c r="G57" s="76">
        <f t="shared" si="57"/>
        <v>207</v>
      </c>
      <c r="H57" s="76">
        <f t="shared" si="57"/>
        <v>8</v>
      </c>
      <c r="I57" s="76">
        <f t="shared" si="57"/>
        <v>291</v>
      </c>
      <c r="J57" s="67">
        <f t="shared" si="53"/>
        <v>0.31884057971014501</v>
      </c>
      <c r="K57" s="67">
        <f t="shared" si="54"/>
        <v>33.125</v>
      </c>
      <c r="L57" s="63">
        <f t="shared" si="55"/>
        <v>-6.1855670103092786E-2</v>
      </c>
      <c r="M57" s="47">
        <f t="shared" ref="M57:P58" si="58">M40+M43+M46+M49+M52+M55</f>
        <v>2995</v>
      </c>
      <c r="N57" s="47">
        <f t="shared" si="58"/>
        <v>1050</v>
      </c>
      <c r="O57" s="47">
        <f t="shared" si="58"/>
        <v>102</v>
      </c>
      <c r="P57" s="47">
        <f t="shared" si="58"/>
        <v>2709</v>
      </c>
      <c r="Q57" s="67">
        <f>IFERROR(M57/N57-1,"n/a")</f>
        <v>1.8523809523809525</v>
      </c>
      <c r="R57" s="67">
        <f>IFERROR(M57/O57-1,"n/a")</f>
        <v>28.362745098039216</v>
      </c>
      <c r="S57" s="63">
        <f t="shared" si="56"/>
        <v>0.10557401255075671</v>
      </c>
      <c r="T57" s="47">
        <f t="shared" ref="T57:V58" si="59">T40+T43+T46+T49+T52+T55</f>
        <v>1682</v>
      </c>
      <c r="U57" s="47">
        <f t="shared" si="59"/>
        <v>679</v>
      </c>
      <c r="V57" s="81">
        <f t="shared" si="59"/>
        <v>3274</v>
      </c>
      <c r="AM57"/>
      <c r="AN57"/>
      <c r="AO57"/>
      <c r="AP57"/>
      <c r="AQ57"/>
      <c r="AR57"/>
      <c r="AS57"/>
      <c r="AT57"/>
    </row>
    <row r="58" spans="1:46" s="10" customFormat="1" ht="26.7" customHeight="1" thickTop="1" thickBot="1">
      <c r="A58"/>
      <c r="B58"/>
      <c r="C58" s="39" t="s">
        <v>13</v>
      </c>
      <c r="D58" s="40"/>
      <c r="E58" s="41"/>
      <c r="F58" s="77">
        <f t="shared" si="57"/>
        <v>763347</v>
      </c>
      <c r="G58" s="77">
        <f t="shared" si="57"/>
        <v>307043</v>
      </c>
      <c r="H58" s="77">
        <f t="shared" si="57"/>
        <v>11414</v>
      </c>
      <c r="I58" s="77">
        <f t="shared" si="57"/>
        <v>638656</v>
      </c>
      <c r="J58" s="68">
        <f t="shared" si="53"/>
        <v>1.48612409336803</v>
      </c>
      <c r="K58" s="68">
        <f t="shared" si="54"/>
        <v>65.87813211845102</v>
      </c>
      <c r="L58" s="64">
        <f t="shared" si="55"/>
        <v>0.19523969085078674</v>
      </c>
      <c r="M58" s="48">
        <f t="shared" si="58"/>
        <v>6759379</v>
      </c>
      <c r="N58" s="48">
        <f t="shared" si="58"/>
        <v>1544144</v>
      </c>
      <c r="O58" s="48">
        <f t="shared" si="58"/>
        <v>47240</v>
      </c>
      <c r="P58" s="48">
        <f t="shared" si="58"/>
        <v>7378495</v>
      </c>
      <c r="Q58" s="68">
        <f>IFERROR(M58/N58-1,"n/a")</f>
        <v>3.3774278823736648</v>
      </c>
      <c r="R58" s="68">
        <f>IFERROR(M58/O58-1,"n/a")</f>
        <v>142.08592294665539</v>
      </c>
      <c r="S58" s="64">
        <f t="shared" si="56"/>
        <v>-8.3908168264666405E-2</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44910</v>
      </c>
    </row>
    <row r="4" spans="1:38" ht="16.2">
      <c r="A4" s="10"/>
      <c r="B4" s="12" t="s">
        <v>7</v>
      </c>
      <c r="C4" s="27"/>
      <c r="D4" s="25"/>
      <c r="E4" s="59" t="s">
        <v>93</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3" t="s">
        <v>27</v>
      </c>
      <c r="G9" s="113"/>
      <c r="H9" s="113"/>
      <c r="I9" s="113"/>
      <c r="J9" s="113"/>
      <c r="K9" s="113"/>
      <c r="L9" s="114"/>
      <c r="M9" s="115" t="s">
        <v>94</v>
      </c>
      <c r="N9" s="113"/>
      <c r="O9" s="113"/>
      <c r="P9" s="113"/>
      <c r="Q9" s="113"/>
      <c r="R9" s="113"/>
      <c r="S9" s="114"/>
      <c r="T9" s="115" t="s">
        <v>57</v>
      </c>
      <c r="U9" s="113"/>
      <c r="V9" s="116"/>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4.4">
      <c r="A14" s="10"/>
      <c r="B14" s="13"/>
      <c r="C14" s="34"/>
      <c r="D14" s="27" t="s">
        <v>11</v>
      </c>
      <c r="E14" s="33"/>
      <c r="F14" s="74">
        <v>64272</v>
      </c>
      <c r="G14" s="72">
        <v>23175</v>
      </c>
      <c r="H14" s="72">
        <v>0</v>
      </c>
      <c r="I14" s="72">
        <v>89764</v>
      </c>
      <c r="J14" s="65">
        <f t="shared" si="0"/>
        <v>1.7733333333333334</v>
      </c>
      <c r="K14" s="65" t="str">
        <f t="shared" ref="K14" si="2">IFERROR(F14/H14-1,"n/a")</f>
        <v>n/a</v>
      </c>
      <c r="L14" s="61">
        <f t="shared" si="1"/>
        <v>-0.28398912704424939</v>
      </c>
      <c r="M14" s="69">
        <f>F14+'Oct-22'!M14</f>
        <v>270964</v>
      </c>
      <c r="N14" s="69">
        <f>G14+'Oct-22'!N14</f>
        <v>28096</v>
      </c>
      <c r="O14" s="69">
        <f>H14+'Oct-22'!O14</f>
        <v>258885</v>
      </c>
      <c r="P14" s="69">
        <f>I14+'Oct-22'!P14</f>
        <v>613093</v>
      </c>
      <c r="Q14" s="65">
        <f>IFERROR(M14/N14-1,"n/a")</f>
        <v>8.6442198177676541</v>
      </c>
      <c r="R14" s="65">
        <f>IFERROR(M14/O14-1,"n/a")</f>
        <v>4.6657782413040527E-2</v>
      </c>
      <c r="S14" s="61">
        <f>IFERROR(M14/P14-1,"n/a")</f>
        <v>-0.55803768759388861</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4.4">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4.4">
      <c r="A18" s="10"/>
      <c r="B18" s="13"/>
      <c r="C18" s="32" t="s">
        <v>15</v>
      </c>
      <c r="D18" s="27"/>
      <c r="E18" s="33"/>
      <c r="F18" s="73"/>
      <c r="G18" s="73"/>
      <c r="H18" s="73"/>
      <c r="I18" s="73"/>
      <c r="J18" s="65"/>
      <c r="K18" s="65"/>
      <c r="L18" s="61"/>
      <c r="M18" s="88"/>
      <c r="N18" s="88"/>
      <c r="O18" s="88"/>
      <c r="P18" s="88"/>
      <c r="Q18" s="65"/>
      <c r="R18" s="65"/>
      <c r="S18" s="61"/>
      <c r="T18" s="44"/>
      <c r="U18" s="45"/>
      <c r="V18" s="80"/>
    </row>
    <row r="19" spans="1:46" ht="14.4">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4.4">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555827</v>
      </c>
      <c r="N20" s="69">
        <f>G20+'Oct-22'!N20</f>
        <v>7747</v>
      </c>
      <c r="O20" s="69">
        <f>H20+'Oct-22'!O20</f>
        <v>1753</v>
      </c>
      <c r="P20" s="69">
        <f>I20+'Oct-22'!P20</f>
        <v>244596</v>
      </c>
      <c r="Q20" s="65">
        <f t="shared" si="9"/>
        <v>70.74738608493611</v>
      </c>
      <c r="R20" s="65">
        <f t="shared" si="10"/>
        <v>316.07187678265831</v>
      </c>
      <c r="S20" s="61">
        <f t="shared" si="11"/>
        <v>1.2724288214034569</v>
      </c>
      <c r="T20" s="69">
        <v>8611</v>
      </c>
      <c r="U20" s="71">
        <v>1753</v>
      </c>
      <c r="V20" s="79">
        <v>254421</v>
      </c>
    </row>
    <row r="21" spans="1:46" ht="14.4">
      <c r="A21" s="10"/>
      <c r="B21" s="13"/>
      <c r="C21" s="32" t="s">
        <v>10</v>
      </c>
      <c r="D21" s="27"/>
      <c r="E21" s="35"/>
      <c r="F21" s="73"/>
      <c r="G21" s="73"/>
      <c r="H21" s="73"/>
      <c r="I21" s="73"/>
      <c r="J21" s="65"/>
      <c r="K21" s="65"/>
      <c r="L21" s="61"/>
      <c r="M21" s="88"/>
      <c r="N21" s="88"/>
      <c r="O21" s="88"/>
      <c r="P21" s="88"/>
      <c r="Q21" s="65"/>
      <c r="R21" s="65"/>
      <c r="S21" s="61"/>
      <c r="T21" s="44"/>
      <c r="U21" s="45"/>
      <c r="V21" s="80"/>
    </row>
    <row r="22" spans="1:46" ht="14.4">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4.4">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4.4">
      <c r="A24" s="10"/>
      <c r="B24" s="13"/>
      <c r="C24" s="32" t="s">
        <v>16</v>
      </c>
      <c r="D24" s="27"/>
      <c r="E24" s="33"/>
      <c r="F24" s="73"/>
      <c r="G24" s="73"/>
      <c r="H24" s="73"/>
      <c r="I24" s="73"/>
      <c r="J24" s="65"/>
      <c r="K24" s="65"/>
      <c r="L24" s="61"/>
      <c r="M24" s="88"/>
      <c r="N24" s="88"/>
      <c r="O24" s="88"/>
      <c r="P24" s="88"/>
      <c r="Q24" s="65"/>
      <c r="R24" s="65"/>
      <c r="S24" s="61"/>
      <c r="T24" s="44"/>
      <c r="U24" s="45"/>
      <c r="V24" s="80"/>
    </row>
    <row r="25" spans="1:46" ht="14.4">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4.4">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4.4">
      <c r="A27" s="10"/>
      <c r="B27" s="13"/>
      <c r="C27" s="32" t="s">
        <v>17</v>
      </c>
      <c r="D27" s="27"/>
      <c r="E27" s="33"/>
      <c r="F27" s="73"/>
      <c r="G27" s="73"/>
      <c r="H27" s="73"/>
      <c r="I27" s="73"/>
      <c r="J27" s="65"/>
      <c r="K27" s="65"/>
      <c r="L27" s="61"/>
      <c r="M27" s="88"/>
      <c r="N27" s="88"/>
      <c r="O27" s="88"/>
      <c r="P27" s="88"/>
      <c r="Q27" s="65"/>
      <c r="R27" s="65"/>
      <c r="S27" s="61"/>
      <c r="T27" s="44"/>
      <c r="U27" s="45"/>
      <c r="V27" s="80"/>
    </row>
    <row r="28" spans="1:46" ht="14.4">
      <c r="B28" s="13"/>
      <c r="C28" s="34"/>
      <c r="D28" s="27" t="s">
        <v>5</v>
      </c>
      <c r="E28" s="33"/>
      <c r="F28" s="75">
        <f>24+38</f>
        <v>62</v>
      </c>
      <c r="G28" s="72">
        <v>20</v>
      </c>
      <c r="H28" s="72">
        <v>8</v>
      </c>
      <c r="I28" s="72">
        <v>17</v>
      </c>
      <c r="J28" s="65">
        <f t="shared" si="0"/>
        <v>2.1</v>
      </c>
      <c r="K28" s="65">
        <f t="shared" ref="K28:K31" si="21">IFERROR(F28/H28-1,"n/a")</f>
        <v>6.75</v>
      </c>
      <c r="L28" s="61">
        <f t="shared" si="12"/>
        <v>2.6470588235294117</v>
      </c>
      <c r="M28" s="69">
        <f>F28+'Oct-22'!M28</f>
        <v>568</v>
      </c>
      <c r="N28" s="69">
        <f>G28+'Oct-22'!N28</f>
        <v>127</v>
      </c>
      <c r="O28" s="69">
        <f>H28+'Oct-22'!O28</f>
        <v>32</v>
      </c>
      <c r="P28" s="69">
        <f>I28+'Oct-22'!P28</f>
        <v>345</v>
      </c>
      <c r="Q28" s="65">
        <f t="shared" ref="Q28:Q31" si="22">IFERROR(M28/N28-1,"n/a")</f>
        <v>3.4724409448818898</v>
      </c>
      <c r="R28" s="65">
        <f t="shared" ref="R28:R31" si="23">IFERROR(M28/O28-1,"n/a")</f>
        <v>16.75</v>
      </c>
      <c r="S28" s="61">
        <f t="shared" ref="S28:S31" si="24">IFERROR(M28/P28-1,"n/a")</f>
        <v>0.64637681159420279</v>
      </c>
      <c r="T28" s="69">
        <v>127</v>
      </c>
      <c r="U28" s="71">
        <v>37</v>
      </c>
      <c r="V28" s="79">
        <f>282+81</f>
        <v>363</v>
      </c>
    </row>
    <row r="29" spans="1:46" ht="14.4">
      <c r="A29" s="10"/>
      <c r="B29" s="13"/>
      <c r="C29" s="34"/>
      <c r="D29" s="27" t="s">
        <v>11</v>
      </c>
      <c r="E29" s="33"/>
      <c r="F29" s="75">
        <f>35743+775+99553</f>
        <v>136071</v>
      </c>
      <c r="G29" s="72">
        <v>14810</v>
      </c>
      <c r="H29" s="72">
        <v>2381</v>
      </c>
      <c r="I29" s="72">
        <v>16811</v>
      </c>
      <c r="J29" s="65">
        <f t="shared" si="0"/>
        <v>8.1877785280216067</v>
      </c>
      <c r="K29" s="65">
        <f t="shared" si="21"/>
        <v>56.148677026459474</v>
      </c>
      <c r="L29" s="61">
        <f t="shared" si="12"/>
        <v>7.0941645351258114</v>
      </c>
      <c r="M29" s="69">
        <f>F29+'Oct-22'!M29</f>
        <v>968429</v>
      </c>
      <c r="N29" s="69">
        <f>G29+'Oct-22'!N29</f>
        <v>165083</v>
      </c>
      <c r="O29" s="69">
        <f>H29+'Oct-22'!O29</f>
        <v>18693</v>
      </c>
      <c r="P29" s="69">
        <f>I29+'Oct-22'!P29</f>
        <v>856498</v>
      </c>
      <c r="Q29" s="65">
        <f t="shared" si="22"/>
        <v>4.8663157320862842</v>
      </c>
      <c r="R29" s="65">
        <f t="shared" si="23"/>
        <v>50.807040068474834</v>
      </c>
      <c r="S29" s="61">
        <f t="shared" si="24"/>
        <v>0.13068448496085217</v>
      </c>
      <c r="T29" s="69">
        <v>165083</v>
      </c>
      <c r="U29" s="71">
        <f>20768+8294</f>
        <v>29062</v>
      </c>
      <c r="V29" s="79">
        <f>659951+168729+38484</f>
        <v>867164</v>
      </c>
    </row>
    <row r="30" spans="1:46" ht="15" customHeight="1" thickBot="1">
      <c r="A30" s="10"/>
      <c r="B30" s="13"/>
      <c r="C30" s="36" t="s">
        <v>12</v>
      </c>
      <c r="D30" s="37"/>
      <c r="E30" s="38"/>
      <c r="F30" s="76">
        <f t="shared" ref="F30:I31" si="25">F13+F16+F19+F22+F25+F28</f>
        <v>340</v>
      </c>
      <c r="G30" s="76">
        <f>G13+G16+G19+G22+G25+G28</f>
        <v>224</v>
      </c>
      <c r="H30" s="76">
        <f t="shared" si="25"/>
        <v>13</v>
      </c>
      <c r="I30" s="76">
        <f t="shared" si="25"/>
        <v>314</v>
      </c>
      <c r="J30" s="67">
        <f t="shared" si="0"/>
        <v>0.51785714285714279</v>
      </c>
      <c r="K30" s="67">
        <f t="shared" si="21"/>
        <v>25.153846153846153</v>
      </c>
      <c r="L30" s="63">
        <f t="shared" si="12"/>
        <v>8.2802547770700619E-2</v>
      </c>
      <c r="M30" s="47">
        <f t="shared" ref="M30:P31" si="26">M13+M16+M19+M22+M25+M28</f>
        <v>3354</v>
      </c>
      <c r="N30" s="47">
        <f t="shared" si="26"/>
        <v>855</v>
      </c>
      <c r="O30" s="47">
        <f t="shared" si="26"/>
        <v>659</v>
      </c>
      <c r="P30" s="47">
        <f t="shared" si="26"/>
        <v>3053</v>
      </c>
      <c r="Q30" s="67">
        <f t="shared" si="22"/>
        <v>2.9228070175438599</v>
      </c>
      <c r="R30" s="67">
        <f t="shared" si="23"/>
        <v>4.0895295902883158</v>
      </c>
      <c r="S30" s="63">
        <f t="shared" si="24"/>
        <v>9.8591549295774739E-2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779647</v>
      </c>
      <c r="G31" s="77">
        <f t="shared" si="25"/>
        <v>304659</v>
      </c>
      <c r="H31" s="77">
        <f t="shared" si="25"/>
        <v>4854</v>
      </c>
      <c r="I31" s="77">
        <f t="shared" si="25"/>
        <v>745517</v>
      </c>
      <c r="J31" s="68">
        <f t="shared" si="0"/>
        <v>1.5590808083792043</v>
      </c>
      <c r="K31" s="68">
        <f t="shared" si="21"/>
        <v>159.61948908117017</v>
      </c>
      <c r="L31" s="64">
        <f t="shared" si="12"/>
        <v>4.5780310844689032E-2</v>
      </c>
      <c r="M31" s="48">
        <f t="shared" si="26"/>
        <v>6863737</v>
      </c>
      <c r="N31" s="48">
        <f t="shared" si="26"/>
        <v>1247204</v>
      </c>
      <c r="O31" s="48">
        <f t="shared" si="26"/>
        <v>1312017</v>
      </c>
      <c r="P31" s="48">
        <f t="shared" si="26"/>
        <v>8530365</v>
      </c>
      <c r="Q31" s="68">
        <f t="shared" si="22"/>
        <v>4.5032993800533037</v>
      </c>
      <c r="R31" s="68">
        <f t="shared" si="23"/>
        <v>4.231439074341262</v>
      </c>
      <c r="S31" s="64">
        <f t="shared" si="24"/>
        <v>-0.19537593057272462</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5" customHeight="1">
      <c r="F33" s="42"/>
      <c r="G33" s="42"/>
      <c r="H33" s="42"/>
      <c r="I33" s="42"/>
      <c r="J33" s="42"/>
      <c r="K33" s="42"/>
      <c r="AM33"/>
      <c r="AN33"/>
      <c r="AO33"/>
      <c r="AP33"/>
      <c r="AQ33"/>
      <c r="AR33"/>
      <c r="AS33"/>
      <c r="AT33"/>
    </row>
    <row r="34" spans="2:46" s="10" customFormat="1" ht="14.4">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4.4">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13" t="str">
        <f>F9</f>
        <v>November</v>
      </c>
      <c r="G36" s="113"/>
      <c r="H36" s="113"/>
      <c r="I36" s="113"/>
      <c r="J36" s="113"/>
      <c r="K36" s="113"/>
      <c r="L36" s="114"/>
      <c r="M36" s="115" t="s">
        <v>95</v>
      </c>
      <c r="N36" s="113"/>
      <c r="O36" s="113"/>
      <c r="P36" s="113"/>
      <c r="Q36" s="113"/>
      <c r="R36" s="113"/>
      <c r="S36" s="114"/>
      <c r="T36" s="115" t="s">
        <v>58</v>
      </c>
      <c r="U36" s="113"/>
      <c r="V36" s="116"/>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64272</v>
      </c>
      <c r="G41" s="75">
        <f t="shared" si="28"/>
        <v>23175</v>
      </c>
      <c r="H41" s="75">
        <f t="shared" si="28"/>
        <v>0</v>
      </c>
      <c r="I41" s="75">
        <f t="shared" si="28"/>
        <v>89764</v>
      </c>
      <c r="J41" s="65">
        <f t="shared" si="29"/>
        <v>1.7733333333333334</v>
      </c>
      <c r="K41" s="65" t="str">
        <f t="shared" ref="K41" si="31">IFERROR(F41/H41-1,"n/a")</f>
        <v>n/a</v>
      </c>
      <c r="L41" s="61">
        <f t="shared" si="30"/>
        <v>-0.28398912704424939</v>
      </c>
      <c r="M41" s="83">
        <f>+M14-'Mar-22'!M11</f>
        <v>114636</v>
      </c>
      <c r="N41" s="83">
        <f>+N14-'Mar-22'!N11</f>
        <v>28096</v>
      </c>
      <c r="O41" s="83">
        <f>+O14-'Mar-22'!O11</f>
        <v>0</v>
      </c>
      <c r="P41" s="83">
        <f>+P14-'Mar-22'!P11</f>
        <v>227713</v>
      </c>
      <c r="Q41" s="65">
        <f>IFERROR(M41/N41-1,"n/a")</f>
        <v>3.0801537585421412</v>
      </c>
      <c r="R41" s="65" t="str">
        <f>IFERROR(M41/O41-1,"n/a")</f>
        <v>n/a</v>
      </c>
      <c r="S41" s="61">
        <f>IFERROR(M41/P41-1,"n/a")</f>
        <v>-0.49657683136228503</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554355</v>
      </c>
      <c r="N47" s="83">
        <f>+N20-'Mar-22'!N17</f>
        <v>7747</v>
      </c>
      <c r="O47" s="83">
        <f>+O20-'Mar-22'!O17</f>
        <v>111</v>
      </c>
      <c r="P47" s="83">
        <f>+P20-'Mar-22'!P17</f>
        <v>239458</v>
      </c>
      <c r="Q47" s="65">
        <f>IFERROR(M47/N47-1,"n/a")</f>
        <v>70.557377049180332</v>
      </c>
      <c r="R47" s="65">
        <f>IFERROR(M47/O47-1,"n/a")</f>
        <v>4993.1891891891892</v>
      </c>
      <c r="S47" s="61">
        <f t="shared" si="40"/>
        <v>1.3150406334304972</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5" customHeight="1">
      <c r="A55"/>
      <c r="B55"/>
      <c r="C55" s="34"/>
      <c r="D55" s="27" t="s">
        <v>5</v>
      </c>
      <c r="E55" s="33"/>
      <c r="F55" s="75">
        <f t="shared" ref="F55:I56" si="52">F28</f>
        <v>62</v>
      </c>
      <c r="G55" s="75">
        <f t="shared" si="52"/>
        <v>20</v>
      </c>
      <c r="H55" s="75">
        <f t="shared" si="52"/>
        <v>8</v>
      </c>
      <c r="I55" s="75">
        <f t="shared" si="52"/>
        <v>17</v>
      </c>
      <c r="J55" s="65">
        <f t="shared" ref="J55:J58" si="53">IFERROR(F55/G55-1,"n/a")</f>
        <v>2.1</v>
      </c>
      <c r="K55" s="65">
        <f t="shared" ref="K55:K58" si="54">IFERROR(F55/H55-1,"n/a")</f>
        <v>6.75</v>
      </c>
      <c r="L55" s="61">
        <f t="shared" ref="L55:L58" si="55">IFERROR(F55/I55-1,"n/a")</f>
        <v>2.6470588235294117</v>
      </c>
      <c r="M55" s="71">
        <f>+M28-'Mar-22'!M25</f>
        <v>552</v>
      </c>
      <c r="N55" s="71">
        <f>+N28-'Mar-22'!N25</f>
        <v>124</v>
      </c>
      <c r="O55" s="71">
        <f>+O28-'Mar-22'!O25</f>
        <v>31</v>
      </c>
      <c r="P55" s="71">
        <f>+P28-'Mar-22'!P25</f>
        <v>341</v>
      </c>
      <c r="Q55" s="65">
        <f>IFERROR(M55/N55-1,"n/a")</f>
        <v>3.4516129032258061</v>
      </c>
      <c r="R55" s="65">
        <f>IFERROR(M55/O55-1,"n/a")</f>
        <v>16.806451612903224</v>
      </c>
      <c r="S55" s="61">
        <f t="shared" ref="S55:S58" si="56">IFERROR(M55/P55-1,"n/a")</f>
        <v>0.6187683284457477</v>
      </c>
      <c r="T55" s="90">
        <v>140</v>
      </c>
      <c r="U55" s="71">
        <v>40</v>
      </c>
      <c r="V55" s="79">
        <v>360</v>
      </c>
      <c r="AM55"/>
      <c r="AN55"/>
      <c r="AO55"/>
      <c r="AP55"/>
      <c r="AQ55"/>
      <c r="AR55"/>
      <c r="AS55"/>
      <c r="AT55"/>
    </row>
    <row r="56" spans="1:46" s="10" customFormat="1" ht="15.45" customHeight="1">
      <c r="A56"/>
      <c r="B56"/>
      <c r="C56" s="34"/>
      <c r="D56" s="27" t="s">
        <v>11</v>
      </c>
      <c r="E56" s="33"/>
      <c r="F56" s="75">
        <f t="shared" si="52"/>
        <v>136071</v>
      </c>
      <c r="G56" s="75">
        <f t="shared" si="52"/>
        <v>14810</v>
      </c>
      <c r="H56" s="75">
        <f t="shared" si="52"/>
        <v>2381</v>
      </c>
      <c r="I56" s="75">
        <f t="shared" si="52"/>
        <v>16811</v>
      </c>
      <c r="J56" s="65">
        <f t="shared" si="53"/>
        <v>8.1877785280216067</v>
      </c>
      <c r="K56" s="65">
        <f t="shared" si="54"/>
        <v>56.148677026459474</v>
      </c>
      <c r="L56" s="61">
        <f t="shared" si="55"/>
        <v>7.0941645351258114</v>
      </c>
      <c r="M56" s="83">
        <f>+M29-'Mar-22'!M26</f>
        <v>956829</v>
      </c>
      <c r="N56" s="83">
        <f>+N29-'Mar-22'!N26</f>
        <v>162944</v>
      </c>
      <c r="O56" s="83">
        <f>+O29-'Mar-22'!O26</f>
        <v>17801</v>
      </c>
      <c r="P56" s="83">
        <f>+P29-'Mar-22'!P26</f>
        <v>850389</v>
      </c>
      <c r="Q56" s="65">
        <f>IFERROR(M56/N56-1,"n/a")</f>
        <v>4.8721339846818541</v>
      </c>
      <c r="R56" s="65">
        <f>IFERROR(M56/O56-1,"n/a")</f>
        <v>52.751418459637101</v>
      </c>
      <c r="S56" s="61">
        <f t="shared" si="56"/>
        <v>0.12516624744675675</v>
      </c>
      <c r="T56" s="83">
        <v>174336</v>
      </c>
      <c r="U56" s="85">
        <v>21928</v>
      </c>
      <c r="V56" s="79">
        <f>706948+155011</f>
        <v>861959</v>
      </c>
      <c r="AM56"/>
      <c r="AN56"/>
      <c r="AO56"/>
      <c r="AP56"/>
      <c r="AQ56"/>
      <c r="AR56"/>
      <c r="AS56"/>
      <c r="AT56"/>
    </row>
    <row r="57" spans="1:46" s="10" customFormat="1" ht="26.7" customHeight="1" thickBot="1">
      <c r="A57"/>
      <c r="B57"/>
      <c r="C57" s="36" t="s">
        <v>12</v>
      </c>
      <c r="D57" s="37"/>
      <c r="E57" s="38"/>
      <c r="F57" s="76">
        <f t="shared" ref="F57:I58" si="57">F40+F43+F46+F49+F52+F55</f>
        <v>340</v>
      </c>
      <c r="G57" s="76">
        <f t="shared" si="57"/>
        <v>224</v>
      </c>
      <c r="H57" s="76">
        <f t="shared" si="57"/>
        <v>13</v>
      </c>
      <c r="I57" s="76">
        <f t="shared" si="57"/>
        <v>314</v>
      </c>
      <c r="J57" s="67">
        <f t="shared" si="53"/>
        <v>0.51785714285714279</v>
      </c>
      <c r="K57" s="67">
        <f t="shared" si="54"/>
        <v>25.153846153846153</v>
      </c>
      <c r="L57" s="63">
        <f t="shared" si="55"/>
        <v>8.2802547770700619E-2</v>
      </c>
      <c r="M57" s="47">
        <f t="shared" ref="M57:P58" si="58">M40+M43+M46+M49+M52+M55</f>
        <v>2722</v>
      </c>
      <c r="N57" s="47">
        <f t="shared" si="58"/>
        <v>843</v>
      </c>
      <c r="O57" s="47">
        <f t="shared" si="58"/>
        <v>94</v>
      </c>
      <c r="P57" s="47">
        <f t="shared" si="58"/>
        <v>2418</v>
      </c>
      <c r="Q57" s="67">
        <f>IFERROR(M57/N57-1,"n/a")</f>
        <v>2.2289442467378411</v>
      </c>
      <c r="R57" s="67">
        <f>IFERROR(M57/O57-1,"n/a")</f>
        <v>27.957446808510639</v>
      </c>
      <c r="S57" s="63">
        <f t="shared" si="56"/>
        <v>0.12572373862696451</v>
      </c>
      <c r="T57" s="47">
        <f t="shared" ref="T57:V58" si="59">T40+T43+T46+T49+T52+T55</f>
        <v>1682</v>
      </c>
      <c r="U57" s="47">
        <f t="shared" si="59"/>
        <v>679</v>
      </c>
      <c r="V57" s="81">
        <f t="shared" si="59"/>
        <v>3274</v>
      </c>
      <c r="AM57"/>
      <c r="AN57"/>
      <c r="AO57"/>
      <c r="AP57"/>
      <c r="AQ57"/>
      <c r="AR57"/>
      <c r="AS57"/>
      <c r="AT57"/>
    </row>
    <row r="58" spans="1:46" s="10" customFormat="1" ht="26.7" customHeight="1" thickTop="1" thickBot="1">
      <c r="A58"/>
      <c r="B58"/>
      <c r="C58" s="39" t="s">
        <v>13</v>
      </c>
      <c r="D58" s="40"/>
      <c r="E58" s="41"/>
      <c r="F58" s="77">
        <f t="shared" si="57"/>
        <v>779647</v>
      </c>
      <c r="G58" s="77">
        <f t="shared" si="57"/>
        <v>304659</v>
      </c>
      <c r="H58" s="77">
        <f t="shared" si="57"/>
        <v>4854</v>
      </c>
      <c r="I58" s="77">
        <f t="shared" si="57"/>
        <v>745517</v>
      </c>
      <c r="J58" s="68">
        <f t="shared" si="53"/>
        <v>1.5590808083792043</v>
      </c>
      <c r="K58" s="68">
        <f t="shared" si="54"/>
        <v>159.61948908117017</v>
      </c>
      <c r="L58" s="64">
        <f t="shared" si="55"/>
        <v>4.5780310844689032E-2</v>
      </c>
      <c r="M58" s="48">
        <f t="shared" si="58"/>
        <v>5996032</v>
      </c>
      <c r="N58" s="48">
        <f t="shared" si="58"/>
        <v>1237101</v>
      </c>
      <c r="O58" s="48">
        <f t="shared" si="58"/>
        <v>35826</v>
      </c>
      <c r="P58" s="48">
        <f t="shared" si="58"/>
        <v>6739839</v>
      </c>
      <c r="Q58" s="68">
        <f>IFERROR(M58/N58-1,"n/a")</f>
        <v>3.846841122915591</v>
      </c>
      <c r="R58" s="68">
        <f>IFERROR(M58/O58-1,"n/a")</f>
        <v>166.36537710042987</v>
      </c>
      <c r="S58" s="64">
        <f t="shared" si="56"/>
        <v>-0.11035975785178254</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5"/>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44880</v>
      </c>
    </row>
    <row r="4" spans="1:38" ht="16.2">
      <c r="A4" s="10"/>
      <c r="B4" s="12" t="s">
        <v>7</v>
      </c>
      <c r="C4" s="27"/>
      <c r="D4" s="25"/>
      <c r="E4" s="59" t="s">
        <v>90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3" t="s">
        <v>24</v>
      </c>
      <c r="G9" s="113"/>
      <c r="H9" s="113"/>
      <c r="I9" s="113"/>
      <c r="J9" s="113"/>
      <c r="K9" s="113"/>
      <c r="L9" s="114"/>
      <c r="M9" s="115" t="s">
        <v>91</v>
      </c>
      <c r="N9" s="113"/>
      <c r="O9" s="113"/>
      <c r="P9" s="113"/>
      <c r="Q9" s="113"/>
      <c r="R9" s="113"/>
      <c r="S9" s="114"/>
      <c r="T9" s="115" t="s">
        <v>57</v>
      </c>
      <c r="U9" s="113"/>
      <c r="V9" s="116"/>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4.4">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4.4">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4.4">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524520</v>
      </c>
      <c r="N20" s="69">
        <f>G20+'Sep-22'!N20</f>
        <v>3535</v>
      </c>
      <c r="O20" s="69">
        <f>H20+'Sep-22'!O20</f>
        <v>1753</v>
      </c>
      <c r="P20" s="69">
        <f>I20+'Sep-22'!P20</f>
        <v>231541</v>
      </c>
      <c r="Q20" s="65">
        <f t="shared" si="9"/>
        <v>147.37906647807637</v>
      </c>
      <c r="R20" s="65">
        <f t="shared" si="10"/>
        <v>298.21277809469478</v>
      </c>
      <c r="S20" s="61">
        <f t="shared" si="11"/>
        <v>1.2653439347674924</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4.4">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4.4">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f>79+6</f>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127</v>
      </c>
      <c r="U28" s="71">
        <v>37</v>
      </c>
      <c r="V28" s="79">
        <f>282+81</f>
        <v>363</v>
      </c>
    </row>
    <row r="29" spans="1:38" ht="14.4">
      <c r="A29" s="10"/>
      <c r="B29" s="13"/>
      <c r="C29" s="34"/>
      <c r="D29" s="27" t="s">
        <v>11</v>
      </c>
      <c r="E29" s="33"/>
      <c r="F29" s="75">
        <f>111830+10869+16371</f>
        <v>139070</v>
      </c>
      <c r="G29" s="72">
        <v>32614</v>
      </c>
      <c r="H29" s="72">
        <v>5592</v>
      </c>
      <c r="I29" s="72">
        <v>138907</v>
      </c>
      <c r="J29" s="65">
        <f t="shared" si="0"/>
        <v>3.2641197031949467</v>
      </c>
      <c r="K29" s="65">
        <f t="shared" si="21"/>
        <v>23.869456366237483</v>
      </c>
      <c r="L29" s="61">
        <f t="shared" si="12"/>
        <v>1.1734469825135374E-3</v>
      </c>
      <c r="M29" s="69">
        <f>F29+'Sep-22'!M29</f>
        <v>832358</v>
      </c>
      <c r="N29" s="69">
        <f>G29+'Sep-22'!N29</f>
        <v>150273</v>
      </c>
      <c r="O29" s="69">
        <f>H29+'Sep-22'!O29</f>
        <v>16312</v>
      </c>
      <c r="P29" s="69">
        <f>I29+'Sep-22'!P29</f>
        <v>839687</v>
      </c>
      <c r="Q29" s="65">
        <f t="shared" si="22"/>
        <v>4.5389724035588559</v>
      </c>
      <c r="R29" s="65">
        <f t="shared" si="23"/>
        <v>50.027341834232466</v>
      </c>
      <c r="S29" s="61">
        <f t="shared" si="24"/>
        <v>-8.7282523130642886E-3</v>
      </c>
      <c r="T29" s="69">
        <v>165083</v>
      </c>
      <c r="U29" s="71">
        <f>20768+8294</f>
        <v>29062</v>
      </c>
      <c r="V29" s="79">
        <f>659951+168729+38484</f>
        <v>867164</v>
      </c>
    </row>
    <row r="30" spans="1:38" ht="15" customHeight="1" thickBot="1">
      <c r="A30" s="10"/>
      <c r="B30" s="13"/>
      <c r="C30" s="36" t="s">
        <v>12</v>
      </c>
      <c r="D30" s="37"/>
      <c r="E30" s="38"/>
      <c r="F30" s="76">
        <f t="shared" ref="F30:I31" si="25">F13+F16+F19+F22+F25+F28</f>
        <v>412</v>
      </c>
      <c r="G30" s="76">
        <f t="shared" si="25"/>
        <v>249</v>
      </c>
      <c r="H30" s="76">
        <f t="shared" si="25"/>
        <v>20</v>
      </c>
      <c r="I30" s="76">
        <f t="shared" si="25"/>
        <v>393</v>
      </c>
      <c r="J30" s="67">
        <f t="shared" si="0"/>
        <v>0.65461847389558225</v>
      </c>
      <c r="K30" s="67">
        <f t="shared" si="21"/>
        <v>19.600000000000001</v>
      </c>
      <c r="L30" s="63">
        <f t="shared" si="12"/>
        <v>4.8346055979643809E-2</v>
      </c>
      <c r="M30" s="47">
        <f t="shared" ref="M30:P31" si="26">M13+M16+M19+M22+M25+M28</f>
        <v>3014</v>
      </c>
      <c r="N30" s="47">
        <f t="shared" si="26"/>
        <v>631</v>
      </c>
      <c r="O30" s="47">
        <f t="shared" si="26"/>
        <v>646</v>
      </c>
      <c r="P30" s="47">
        <f t="shared" si="26"/>
        <v>2739</v>
      </c>
      <c r="Q30" s="67">
        <f t="shared" si="22"/>
        <v>3.7765451664025358</v>
      </c>
      <c r="R30" s="67">
        <f t="shared" si="23"/>
        <v>3.6656346749226003</v>
      </c>
      <c r="S30" s="63">
        <f t="shared" si="24"/>
        <v>0.10040160642570273</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867362</v>
      </c>
      <c r="G31" s="77">
        <f t="shared" si="25"/>
        <v>369553</v>
      </c>
      <c r="H31" s="77">
        <f t="shared" si="25"/>
        <v>13954</v>
      </c>
      <c r="I31" s="77">
        <f t="shared" si="25"/>
        <v>930242</v>
      </c>
      <c r="J31" s="68">
        <f t="shared" si="0"/>
        <v>1.3470571203589201</v>
      </c>
      <c r="K31" s="68">
        <f t="shared" si="21"/>
        <v>61.158664182313316</v>
      </c>
      <c r="L31" s="64">
        <f t="shared" si="12"/>
        <v>-6.7595313907563792E-2</v>
      </c>
      <c r="M31" s="48">
        <f t="shared" si="26"/>
        <v>6084090</v>
      </c>
      <c r="N31" s="48">
        <f t="shared" si="26"/>
        <v>942545</v>
      </c>
      <c r="O31" s="48">
        <f t="shared" si="26"/>
        <v>1307163</v>
      </c>
      <c r="P31" s="48">
        <f t="shared" si="26"/>
        <v>7784848</v>
      </c>
      <c r="Q31" s="68">
        <f t="shared" si="22"/>
        <v>5.4549597101464649</v>
      </c>
      <c r="R31" s="68">
        <f t="shared" si="23"/>
        <v>3.6544233580662855</v>
      </c>
      <c r="S31" s="64">
        <f t="shared" si="24"/>
        <v>-0.21847028997868678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96"/>
      <c r="J34" s="96"/>
      <c r="K34" s="96"/>
      <c r="L34" s="25"/>
      <c r="M34" s="25"/>
      <c r="N34" s="25"/>
      <c r="O34" s="25"/>
      <c r="P34" s="25"/>
      <c r="Q34" s="25"/>
      <c r="R34" s="25"/>
      <c r="S34" s="25"/>
      <c r="T34" s="25"/>
      <c r="U34" s="25"/>
      <c r="V34" s="25"/>
    </row>
    <row r="35" spans="1:22" ht="14.4">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13" t="str">
        <f>F9</f>
        <v>October</v>
      </c>
      <c r="G36" s="113"/>
      <c r="H36" s="113"/>
      <c r="I36" s="113"/>
      <c r="J36" s="113"/>
      <c r="K36" s="113"/>
      <c r="L36" s="114"/>
      <c r="M36" s="115" t="s">
        <v>92</v>
      </c>
      <c r="N36" s="113"/>
      <c r="O36" s="113"/>
      <c r="P36" s="113"/>
      <c r="Q36" s="113"/>
      <c r="R36" s="113"/>
      <c r="S36" s="114"/>
      <c r="T36" s="115" t="s">
        <v>58</v>
      </c>
      <c r="U36" s="113"/>
      <c r="V36" s="116"/>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523048</v>
      </c>
      <c r="N47" s="83">
        <f>+N20-'Mar-22'!N17</f>
        <v>3535</v>
      </c>
      <c r="O47" s="83">
        <f>+O20-'Mar-22'!O17</f>
        <v>111</v>
      </c>
      <c r="P47" s="83">
        <f>+P20-'Mar-22'!P17</f>
        <v>226403</v>
      </c>
      <c r="Q47" s="65">
        <f>IFERROR(M47/N47-1,"n/a")</f>
        <v>146.96265912305518</v>
      </c>
      <c r="R47" s="65">
        <f>IFERROR(M47/O47-1,"n/a")</f>
        <v>4711.1441441441439</v>
      </c>
      <c r="S47" s="61">
        <f t="shared" si="37"/>
        <v>1.3102520726315463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48">F28</f>
        <v>85</v>
      </c>
      <c r="G55" s="75">
        <f t="shared" si="48"/>
        <v>28</v>
      </c>
      <c r="H55" s="72">
        <f t="shared" si="48"/>
        <v>12</v>
      </c>
      <c r="I55" s="75">
        <f t="shared" si="48"/>
        <v>71</v>
      </c>
      <c r="J55" s="65">
        <f t="shared" ref="J55:J58" si="49">IFERROR(F55/G55-1,"n/a")</f>
        <v>2.0357142857142856</v>
      </c>
      <c r="K55" s="65">
        <f t="shared" ref="K55:K58" si="50">IFERROR(F55/H55-1,"n/a")</f>
        <v>6.083333333333333</v>
      </c>
      <c r="L55" s="61">
        <f t="shared" ref="L55:L58" si="51">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2">IFERROR(M55/P55-1,"n/a")</f>
        <v>0.51234567901234573</v>
      </c>
      <c r="T55" s="90">
        <v>140</v>
      </c>
      <c r="U55" s="71">
        <v>40</v>
      </c>
      <c r="V55" s="79">
        <v>360</v>
      </c>
    </row>
    <row r="56" spans="3:22" ht="15.45" customHeight="1">
      <c r="C56" s="34"/>
      <c r="D56" s="27" t="s">
        <v>11</v>
      </c>
      <c r="E56" s="33"/>
      <c r="F56" s="75">
        <f t="shared" si="48"/>
        <v>139070</v>
      </c>
      <c r="G56" s="75">
        <f t="shared" si="48"/>
        <v>32614</v>
      </c>
      <c r="H56" s="72">
        <f t="shared" si="48"/>
        <v>5592</v>
      </c>
      <c r="I56" s="75">
        <f t="shared" si="48"/>
        <v>138907</v>
      </c>
      <c r="J56" s="65">
        <f t="shared" si="49"/>
        <v>3.2641197031949467</v>
      </c>
      <c r="K56" s="65">
        <f t="shared" si="50"/>
        <v>23.869456366237483</v>
      </c>
      <c r="L56" s="61">
        <f t="shared" si="51"/>
        <v>1.1734469825135374E-3</v>
      </c>
      <c r="M56" s="83">
        <f>+M29-'Mar-22'!M26</f>
        <v>820758</v>
      </c>
      <c r="N56" s="83">
        <f>+N29-'Mar-22'!N26</f>
        <v>148134</v>
      </c>
      <c r="O56" s="83">
        <f>+O29-'Mar-22'!O26</f>
        <v>15420</v>
      </c>
      <c r="P56" s="83">
        <f>+P29-'Mar-22'!P26</f>
        <v>833578</v>
      </c>
      <c r="Q56" s="65">
        <f>IFERROR(M56/N56-1,"n/a")</f>
        <v>4.5406456316578234</v>
      </c>
      <c r="R56" s="65">
        <f>IFERROR(M56/O56-1,"n/a")</f>
        <v>52.226848249027235</v>
      </c>
      <c r="S56" s="61">
        <f t="shared" si="52"/>
        <v>-1.5379484583326386E-2</v>
      </c>
      <c r="T56" s="83">
        <v>174336</v>
      </c>
      <c r="U56" s="85">
        <v>21928</v>
      </c>
      <c r="V56" s="79">
        <f>706948+155011</f>
        <v>861959</v>
      </c>
    </row>
    <row r="57" spans="3:22" ht="26.7" customHeight="1" thickBot="1">
      <c r="C57" s="36" t="s">
        <v>12</v>
      </c>
      <c r="D57" s="37"/>
      <c r="E57" s="38"/>
      <c r="F57" s="76">
        <f t="shared" ref="F57:I58" si="53">F40+F43+F46+F49+F52+F55</f>
        <v>412</v>
      </c>
      <c r="G57" s="76">
        <f t="shared" si="53"/>
        <v>249</v>
      </c>
      <c r="H57" s="76">
        <f t="shared" si="53"/>
        <v>20</v>
      </c>
      <c r="I57" s="76">
        <f t="shared" si="53"/>
        <v>393</v>
      </c>
      <c r="J57" s="67">
        <f t="shared" si="49"/>
        <v>0.65461847389558225</v>
      </c>
      <c r="K57" s="67">
        <f t="shared" si="50"/>
        <v>19.600000000000001</v>
      </c>
      <c r="L57" s="63">
        <f t="shared" si="51"/>
        <v>4.8346055979643809E-2</v>
      </c>
      <c r="M57" s="47">
        <f t="shared" ref="M57:P58" si="54">M40+M43+M46+M49+M52+M55</f>
        <v>2382</v>
      </c>
      <c r="N57" s="47">
        <f t="shared" si="54"/>
        <v>619</v>
      </c>
      <c r="O57" s="47">
        <f t="shared" si="54"/>
        <v>81</v>
      </c>
      <c r="P57" s="47">
        <f t="shared" si="54"/>
        <v>2104</v>
      </c>
      <c r="Q57" s="67">
        <f>IFERROR(M57/N57-1,"n/a")</f>
        <v>2.8481421647819065</v>
      </c>
      <c r="R57" s="67">
        <f>IFERROR(M57/O57-1,"n/a")</f>
        <v>28.407407407407408</v>
      </c>
      <c r="S57" s="63">
        <f t="shared" si="52"/>
        <v>0.13212927756653992</v>
      </c>
      <c r="T57" s="47">
        <f t="shared" ref="T57:V58" si="55">T40+T43+T46+T49+T52+T55</f>
        <v>1682</v>
      </c>
      <c r="U57" s="47">
        <f t="shared" si="55"/>
        <v>679</v>
      </c>
      <c r="V57" s="81">
        <f t="shared" si="55"/>
        <v>3274</v>
      </c>
    </row>
    <row r="58" spans="3:22" ht="26.7" customHeight="1" thickTop="1" thickBot="1">
      <c r="C58" s="39" t="s">
        <v>13</v>
      </c>
      <c r="D58" s="40"/>
      <c r="E58" s="41"/>
      <c r="F58" s="77">
        <f t="shared" si="53"/>
        <v>867362</v>
      </c>
      <c r="G58" s="77">
        <f t="shared" si="53"/>
        <v>369553</v>
      </c>
      <c r="H58" s="77">
        <f t="shared" si="53"/>
        <v>13954</v>
      </c>
      <c r="I58" s="77">
        <f t="shared" si="53"/>
        <v>930242</v>
      </c>
      <c r="J58" s="68">
        <f t="shared" si="49"/>
        <v>1.3470571203589201</v>
      </c>
      <c r="K58" s="68">
        <f t="shared" si="50"/>
        <v>61.158664182313316</v>
      </c>
      <c r="L58" s="64">
        <f t="shared" si="51"/>
        <v>-6.7595313907563792E-2</v>
      </c>
      <c r="M58" s="48">
        <f t="shared" si="54"/>
        <v>5216385</v>
      </c>
      <c r="N58" s="48">
        <f t="shared" si="54"/>
        <v>932442</v>
      </c>
      <c r="O58" s="48">
        <f t="shared" si="54"/>
        <v>30972</v>
      </c>
      <c r="P58" s="48">
        <f t="shared" si="54"/>
        <v>5994322</v>
      </c>
      <c r="Q58" s="68">
        <f>IFERROR(M58/N58-1,"n/a")</f>
        <v>4.59432651038885</v>
      </c>
      <c r="R58" s="68">
        <f>IFERROR(M58/O58-1,"n/a")</f>
        <v>167.42260751646648</v>
      </c>
      <c r="S58" s="64">
        <f t="shared" si="52"/>
        <v>-0.12977898084220363</v>
      </c>
      <c r="T58" s="48">
        <f t="shared" si="55"/>
        <v>2411641</v>
      </c>
      <c r="U58" s="48">
        <f t="shared" si="55"/>
        <v>1324261</v>
      </c>
      <c r="V58" s="82">
        <f t="shared" si="55"/>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5" zoomScale="110" zoomScaleNormal="110" zoomScalePageLayoutView="40" workbookViewId="0">
      <selection activeCell="G25" sqref="G25"/>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87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3" t="s">
        <v>22</v>
      </c>
      <c r="G9" s="113"/>
      <c r="H9" s="113"/>
      <c r="I9" s="113"/>
      <c r="J9" s="113"/>
      <c r="K9" s="113"/>
      <c r="L9" s="114"/>
      <c r="M9" s="115" t="s">
        <v>88</v>
      </c>
      <c r="N9" s="113"/>
      <c r="O9" s="113"/>
      <c r="P9" s="113"/>
      <c r="Q9" s="113"/>
      <c r="R9" s="113"/>
      <c r="S9" s="114"/>
      <c r="T9" s="115" t="s">
        <v>57</v>
      </c>
      <c r="U9" s="113"/>
      <c r="V9" s="116"/>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4.4">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4.4">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4.4">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422392</v>
      </c>
      <c r="N20" s="69">
        <f>G20+'Aug-22'!N20</f>
        <v>424</v>
      </c>
      <c r="O20" s="69">
        <f>H20+'Aug-22'!O20</f>
        <v>1753</v>
      </c>
      <c r="P20" s="69">
        <f>I20+'Aug-22'!P20</f>
        <v>203378</v>
      </c>
      <c r="Q20" s="65">
        <f t="shared" si="9"/>
        <v>995.20754716981128</v>
      </c>
      <c r="R20" s="65">
        <f t="shared" si="10"/>
        <v>239.95379349686252</v>
      </c>
      <c r="S20" s="61">
        <f t="shared" si="11"/>
        <v>1.0768814719389512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4.4">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4.4">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127</v>
      </c>
      <c r="U28" s="71">
        <v>37</v>
      </c>
      <c r="V28" s="79">
        <f>282+81</f>
        <v>363</v>
      </c>
    </row>
    <row r="29" spans="1:38" ht="14.4">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5216728</v>
      </c>
      <c r="N31" s="48">
        <f t="shared" si="26"/>
        <v>572992</v>
      </c>
      <c r="O31" s="48">
        <f t="shared" si="26"/>
        <v>1293209</v>
      </c>
      <c r="P31" s="48">
        <f t="shared" si="26"/>
        <v>6854606</v>
      </c>
      <c r="Q31" s="68">
        <f t="shared" si="22"/>
        <v>8.1043644588406121</v>
      </c>
      <c r="R31" s="68">
        <f t="shared" si="23"/>
        <v>3.0339403762268899</v>
      </c>
      <c r="S31" s="64">
        <f t="shared" si="24"/>
        <v>-0.2389456082523197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96"/>
      <c r="J34" s="96"/>
      <c r="K34" s="96"/>
      <c r="L34" s="25"/>
      <c r="M34" s="25"/>
      <c r="N34" s="25"/>
      <c r="O34" s="25"/>
      <c r="P34" s="25"/>
      <c r="Q34" s="25"/>
      <c r="R34" s="25"/>
      <c r="S34" s="25"/>
      <c r="T34" s="25"/>
      <c r="U34" s="25"/>
      <c r="V34" s="25"/>
    </row>
    <row r="35" spans="1:22" ht="14.4">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13" t="str">
        <f>F9</f>
        <v>September</v>
      </c>
      <c r="G36" s="113"/>
      <c r="H36" s="113"/>
      <c r="I36" s="113"/>
      <c r="J36" s="113"/>
      <c r="K36" s="113"/>
      <c r="L36" s="114"/>
      <c r="M36" s="115" t="s">
        <v>89</v>
      </c>
      <c r="N36" s="113"/>
      <c r="O36" s="113"/>
      <c r="P36" s="113"/>
      <c r="Q36" s="113"/>
      <c r="R36" s="113"/>
      <c r="S36" s="114"/>
      <c r="T36" s="115" t="s">
        <v>58</v>
      </c>
      <c r="U36" s="113"/>
      <c r="V36" s="116"/>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420920</v>
      </c>
      <c r="N47" s="83">
        <f>+N20-'Mar-22'!N17</f>
        <v>424</v>
      </c>
      <c r="O47" s="83">
        <f>+O20-'Mar-22'!O17</f>
        <v>111</v>
      </c>
      <c r="P47" s="83">
        <f>+P20-'Mar-22'!P17</f>
        <v>198240</v>
      </c>
      <c r="Q47" s="65">
        <f>IFERROR(M47/N47-1,"n/a")</f>
        <v>991.7358490566038</v>
      </c>
      <c r="R47" s="65">
        <f>IFERROR(M47/O47-1,"n/a")</f>
        <v>3791.0720720720719</v>
      </c>
      <c r="S47" s="61">
        <f t="shared" si="41"/>
        <v>1.1232849071832121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5"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7"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7"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4349023</v>
      </c>
      <c r="N58" s="48">
        <f t="shared" si="59"/>
        <v>562889</v>
      </c>
      <c r="O58" s="48">
        <f t="shared" si="59"/>
        <v>17018</v>
      </c>
      <c r="P58" s="48">
        <f t="shared" si="59"/>
        <v>5064080</v>
      </c>
      <c r="Q58" s="68">
        <f>IFERROR(M58/N58-1,"n/a")</f>
        <v>6.7262533110435632</v>
      </c>
      <c r="R58" s="68">
        <f>IFERROR(M58/O58-1,"n/a")</f>
        <v>254.55429545187448</v>
      </c>
      <c r="S58" s="64">
        <f t="shared" si="57"/>
        <v>-0.14120175826606218</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638A44-3D37-4050-8C68-24E6256B5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schemas.microsoft.com/office/infopath/2007/PartnerControls"/>
    <ds:schemaRef ds:uri="50acc271-0769-44fa-a07c-5c2dfce6e462"/>
    <ds:schemaRef ds:uri="http://www.w3.org/XML/1998/namespace"/>
    <ds:schemaRef ds:uri="http://purl.org/dc/elements/1.1/"/>
    <ds:schemaRef ds:uri="http://schemas.openxmlformats.org/package/2006/metadata/core-properties"/>
    <ds:schemaRef ds:uri="8cd7474e-1d48-42f1-a929-9fa835c241d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 </vt:lpstr>
      <vt:lpstr>Disclaimer</vt:lpstr>
      <vt:lpstr>Notes</vt:lpstr>
      <vt:lpstr>Occupancy_2022</vt:lpstr>
      <vt:lpstr>Traffic&gt;</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2023-01-16T13:28:37Z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