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1.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ist_kaanc\Documents\"/>
    </mc:Choice>
  </mc:AlternateContent>
  <bookViews>
    <workbookView xWindow="0" yWindow="0" windowWidth="23040" windowHeight="8616" activeTab="5"/>
  </bookViews>
  <sheets>
    <sheet name=" " sheetId="3" r:id="rId1"/>
    <sheet name="Disclaimer" sheetId="13" r:id="rId2"/>
    <sheet name="Notes" sheetId="11" r:id="rId3"/>
    <sheet name="Occupancy_2023" sheetId="24" r:id="rId4"/>
    <sheet name="Traffic&gt;" sheetId="25" r:id="rId5"/>
    <sheet name="May-23" sheetId="35" r:id="rId6"/>
    <sheet name="Apr-23" sheetId="34" r:id="rId7"/>
    <sheet name="Mar-23" sheetId="33" r:id="rId8"/>
    <sheet name="Mar-23_old structure" sheetId="32" r:id="rId9"/>
    <sheet name="Feb-23" sheetId="31" r:id="rId10"/>
    <sheet name="Jan-23" sheetId="30" r:id="rId11"/>
    <sheet name="Dec-22" sheetId="29" r:id="rId12"/>
    <sheet name="Nov-22" sheetId="28" r:id="rId13"/>
    <sheet name="Oct-22" sheetId="27" r:id="rId14"/>
    <sheet name="Sep-22" sheetId="26" r:id="rId15"/>
    <sheet name="Aug-22" sheetId="22" r:id="rId16"/>
    <sheet name="Jul-22" sheetId="21" r:id="rId17"/>
    <sheet name="Jun-22" sheetId="20" r:id="rId18"/>
    <sheet name="May-22" sheetId="19" r:id="rId19"/>
    <sheet name="Apr-22" sheetId="18" r:id="rId20"/>
    <sheet name="Mar-22" sheetId="17" r:id="rId21"/>
    <sheet name="Feb-22" sheetId="16" r:id="rId22"/>
    <sheet name="Jan-22" sheetId="15" r:id="rId23"/>
    <sheet name="Dec-21" sheetId="14" r:id="rId24"/>
    <sheet name="Nov-21" sheetId="10" r:id="rId25"/>
    <sheet name="Oct-21" sheetId="9" r:id="rId26"/>
    <sheet name="Sept-21" sheetId="1" r:id="rId27"/>
  </sheets>
  <externalReferences>
    <externalReference r:id="rId28"/>
    <externalReference r:id="rId29"/>
    <externalReference r:id="rId30"/>
  </externalReferences>
  <definedNames>
    <definedName name="_Order1" hidden="1">255</definedName>
    <definedName name="_Order2" hidden="1">255</definedName>
    <definedName name="AcqOppSwitch">[1]Inputs!$E$44</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42704.5898263889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KalundborgSwitch">[1]Inputs!$E$49</definedName>
    <definedName name="LasPalmasSwitch" localSheetId="1">[1]Inputs!#REF!</definedName>
    <definedName name="LasPalmasSwitch" localSheetId="2">[1]Inputs!#REF!</definedName>
    <definedName name="LasPalmasSwitch" localSheetId="4">[1]Inputs!#REF!</definedName>
    <definedName name="LasPalmasSwitch">[1]Inputs!#REF!</definedName>
    <definedName name="_xlnm.Print_Area" localSheetId="1">Disclaimer!$A$1:$CA$35</definedName>
    <definedName name="_xlnm.Print_Area" localSheetId="2">Notes!$A$1:$CA$35</definedName>
    <definedName name="_xlnm.Print_Area" localSheetId="4">'Traffic&gt;'!$A$1:$CA$35</definedName>
    <definedName name="ProjectionsSwitch">[1]Inputs!$E$13</definedName>
    <definedName name="SanJuanSwitch">[1]Inputs!$E$51</definedName>
    <definedName name="ScenarioSwitch">[1]Inputs!$E$14</definedName>
    <definedName name="TortolaSwitch">[1]Inputs!$E$50</definedName>
    <definedName name="ValenciaSwitch">[1]Inputs!$E$48</definedName>
    <definedName name="z" localSheetId="1">[1]Inputs!#REF!</definedName>
    <definedName name="z" localSheetId="2">[1]Inputs!#REF!</definedName>
    <definedName name="z" localSheetId="4">[1]Inputs!#REF!</definedName>
    <definedName name="z">[1]Inputs!#REF!</definedName>
    <definedName name="Z_5F6D01E3_9E6F_4D7F_980F_63899AF95899_.wvu.Cols" localSheetId="0" hidden="1">' '!$M:$XFD</definedName>
    <definedName name="Z_5F6D01E3_9E6F_4D7F_980F_63899AF95899_.wvu.Cols" localSheetId="19" hidden="1">'Apr-22'!$X:$XFD</definedName>
    <definedName name="Z_5F6D01E3_9E6F_4D7F_980F_63899AF95899_.wvu.Cols" localSheetId="15" hidden="1">'Aug-22'!$X:$XFD</definedName>
    <definedName name="Z_5F6D01E3_9E6F_4D7F_980F_63899AF95899_.wvu.Cols" localSheetId="23" hidden="1">'Dec-21'!$S:$XFD</definedName>
    <definedName name="Z_5F6D01E3_9E6F_4D7F_980F_63899AF95899_.wvu.Cols" localSheetId="11" hidden="1">'Dec-22'!$X:$XFD</definedName>
    <definedName name="Z_5F6D01E3_9E6F_4D7F_980F_63899AF95899_.wvu.Cols" localSheetId="1" hidden="1">Disclaimer!$X:$XFD</definedName>
    <definedName name="Z_5F6D01E3_9E6F_4D7F_980F_63899AF95899_.wvu.Cols" localSheetId="21" hidden="1">'Feb-22'!$X:$XFD</definedName>
    <definedName name="Z_5F6D01E3_9E6F_4D7F_980F_63899AF95899_.wvu.Cols" localSheetId="22" hidden="1">'Jan-22'!$X:$XFD</definedName>
    <definedName name="Z_5F6D01E3_9E6F_4D7F_980F_63899AF95899_.wvu.Cols" localSheetId="10" hidden="1">'Jan-23'!$AC:$XFD</definedName>
    <definedName name="Z_5F6D01E3_9E6F_4D7F_980F_63899AF95899_.wvu.Cols" localSheetId="16" hidden="1">'Jul-22'!$X:$XFD</definedName>
    <definedName name="Z_5F6D01E3_9E6F_4D7F_980F_63899AF95899_.wvu.Cols" localSheetId="17" hidden="1">'Jun-22'!$X:$XFD</definedName>
    <definedName name="Z_5F6D01E3_9E6F_4D7F_980F_63899AF95899_.wvu.Cols" localSheetId="20" hidden="1">'Mar-22'!$X:$XFD</definedName>
    <definedName name="Z_5F6D01E3_9E6F_4D7F_980F_63899AF95899_.wvu.Cols" localSheetId="18" hidden="1">'May-22'!$X:$XFD</definedName>
    <definedName name="Z_5F6D01E3_9E6F_4D7F_980F_63899AF95899_.wvu.Cols" localSheetId="2" hidden="1">Notes!$S:$XFD</definedName>
    <definedName name="Z_5F6D01E3_9E6F_4D7F_980F_63899AF95899_.wvu.Cols" localSheetId="24" hidden="1">'Nov-21'!$S:$XFD</definedName>
    <definedName name="Z_5F6D01E3_9E6F_4D7F_980F_63899AF95899_.wvu.Cols" localSheetId="12" hidden="1">'Nov-22'!$X:$XFD</definedName>
    <definedName name="Z_5F6D01E3_9E6F_4D7F_980F_63899AF95899_.wvu.Cols" localSheetId="3" hidden="1">Occupancy_2023!$W:$XFD</definedName>
    <definedName name="Z_5F6D01E3_9E6F_4D7F_980F_63899AF95899_.wvu.Cols" localSheetId="25" hidden="1">'Oct-21'!$S:$XFD</definedName>
    <definedName name="Z_5F6D01E3_9E6F_4D7F_980F_63899AF95899_.wvu.Cols" localSheetId="13" hidden="1">'Oct-22'!$X:$XFD</definedName>
    <definedName name="Z_5F6D01E3_9E6F_4D7F_980F_63899AF95899_.wvu.Cols" localSheetId="14" hidden="1">'Sep-22'!$X:$XFD</definedName>
    <definedName name="Z_5F6D01E3_9E6F_4D7F_980F_63899AF95899_.wvu.Cols" localSheetId="26" hidden="1">'Sept-21'!$S:$XFD</definedName>
    <definedName name="Z_5F6D01E3_9E6F_4D7F_980F_63899AF95899_.wvu.Cols" localSheetId="4" hidden="1">'Traffic&gt;'!$S:$XFD</definedName>
    <definedName name="Z_5F6D01E3_9E6F_4D7F_980F_63899AF95899_.wvu.PrintArea" localSheetId="1" hidden="1">Disclaimer!$A$1:$CA$35</definedName>
    <definedName name="Z_5F6D01E3_9E6F_4D7F_980F_63899AF95899_.wvu.PrintArea" localSheetId="2" hidden="1">Notes!$A$1:$CA$35</definedName>
    <definedName name="Z_5F6D01E3_9E6F_4D7F_980F_63899AF95899_.wvu.PrintArea" localSheetId="4" hidden="1">'Traffic&gt;'!$A$1:$CA$35</definedName>
    <definedName name="Z_5F6D01E3_9E6F_4D7F_980F_63899AF95899_.wvu.Rows" localSheetId="0" hidden="1">' '!$44:$1048576,' '!$29:$43</definedName>
    <definedName name="Z_5F6D01E3_9E6F_4D7F_980F_63899AF95899_.wvu.Rows" localSheetId="19" hidden="1">'Apr-22'!$49:$1048576,'Apr-22'!$30:$48</definedName>
    <definedName name="Z_5F6D01E3_9E6F_4D7F_980F_63899AF95899_.wvu.Rows" localSheetId="23" hidden="1">'Dec-21'!$49:$1048576,'Dec-21'!$30:$48</definedName>
    <definedName name="Z_5F6D01E3_9E6F_4D7F_980F_63899AF95899_.wvu.Rows" localSheetId="1" hidden="1">Disclaimer!$45:$1048576,Disclaimer!$30:$44</definedName>
    <definedName name="Z_5F6D01E3_9E6F_4D7F_980F_63899AF95899_.wvu.Rows" localSheetId="21" hidden="1">'Feb-22'!$49:$1048576,'Feb-22'!$30:$48</definedName>
    <definedName name="Z_5F6D01E3_9E6F_4D7F_980F_63899AF95899_.wvu.Rows" localSheetId="22" hidden="1">'Jan-22'!$49:$1048576,'Jan-22'!$30:$48</definedName>
    <definedName name="Z_5F6D01E3_9E6F_4D7F_980F_63899AF95899_.wvu.Rows" localSheetId="17" hidden="1">'Jun-22'!$49:$1048576,'Jun-22'!$30:$48</definedName>
    <definedName name="Z_5F6D01E3_9E6F_4D7F_980F_63899AF95899_.wvu.Rows" localSheetId="20" hidden="1">'Mar-22'!$49:$1048576,'Mar-22'!$30:$48</definedName>
    <definedName name="Z_5F6D01E3_9E6F_4D7F_980F_63899AF95899_.wvu.Rows" localSheetId="18" hidden="1">'May-22'!$49:$1048576,'May-22'!$30:$48</definedName>
    <definedName name="Z_5F6D01E3_9E6F_4D7F_980F_63899AF95899_.wvu.Rows" localSheetId="2" hidden="1">Notes!$45:$1048576,Notes!$27:$44</definedName>
    <definedName name="Z_5F6D01E3_9E6F_4D7F_980F_63899AF95899_.wvu.Rows" localSheetId="24" hidden="1">'Nov-21'!$49:$1048576,'Nov-21'!$30:$48</definedName>
    <definedName name="Z_5F6D01E3_9E6F_4D7F_980F_63899AF95899_.wvu.Rows" localSheetId="25" hidden="1">'Oct-21'!$49:$1048576,'Oct-21'!$30:$48</definedName>
    <definedName name="Z_5F6D01E3_9E6F_4D7F_980F_63899AF95899_.wvu.Rows" localSheetId="26" hidden="1">'Sept-21'!$49:$1048576,'Sept-21'!$30:$48</definedName>
    <definedName name="Z_5F6D01E3_9E6F_4D7F_980F_63899AF95899_.wvu.Rows" localSheetId="4" hidden="1">'Traffic&gt;'!$45:$1048576,'Traffic&gt;'!$27:$44</definedName>
  </definedNames>
  <calcPr calcId="191029"/>
  <customWorkbookViews>
    <customWorkbookView name="custom" guid="{5F6D01E3-9E6F-4D7F-980F-63899AF95899}" maximized="1" xWindow="1912" yWindow="-8" windowWidth="1936" windowHeight="1066" activeSheetId="2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3" i="34" l="1"/>
  <c r="F22" i="34"/>
  <c r="S50" i="35" l="1"/>
  <c r="R50" i="35"/>
  <c r="Q50" i="35"/>
  <c r="P50" i="35"/>
  <c r="O50" i="35"/>
  <c r="W50" i="35" s="1"/>
  <c r="S49" i="35"/>
  <c r="R49" i="35"/>
  <c r="Q49" i="35"/>
  <c r="P49" i="35"/>
  <c r="O49" i="35"/>
  <c r="U49" i="35" s="1"/>
  <c r="S47" i="35"/>
  <c r="R47" i="35"/>
  <c r="Q47" i="35"/>
  <c r="P47" i="35"/>
  <c r="P52" i="35" s="1"/>
  <c r="O47" i="35"/>
  <c r="W47" i="35" s="1"/>
  <c r="S46" i="35"/>
  <c r="W46" i="35" s="1"/>
  <c r="R46" i="35"/>
  <c r="Q46" i="35"/>
  <c r="U46" i="35" s="1"/>
  <c r="P46" i="35"/>
  <c r="O46" i="35"/>
  <c r="S44" i="35"/>
  <c r="W44" i="35" s="1"/>
  <c r="R44" i="35"/>
  <c r="V44" i="35" s="1"/>
  <c r="Q44" i="35"/>
  <c r="Q52" i="35" s="1"/>
  <c r="P44" i="35"/>
  <c r="O44" i="35"/>
  <c r="S43" i="35"/>
  <c r="R43" i="35"/>
  <c r="Q43" i="35"/>
  <c r="P43" i="35"/>
  <c r="O43" i="35"/>
  <c r="S41" i="35"/>
  <c r="R41" i="35"/>
  <c r="Q41" i="35"/>
  <c r="P41" i="35"/>
  <c r="O41" i="35"/>
  <c r="T41" i="35" s="1"/>
  <c r="S40" i="35"/>
  <c r="R40" i="35"/>
  <c r="Q40" i="35"/>
  <c r="U40" i="35" s="1"/>
  <c r="P40" i="35"/>
  <c r="O40" i="35"/>
  <c r="S38" i="35"/>
  <c r="R38" i="35"/>
  <c r="Q38" i="35"/>
  <c r="P38" i="35"/>
  <c r="S37" i="35"/>
  <c r="S51" i="35" s="1"/>
  <c r="R37" i="35"/>
  <c r="Q37" i="35"/>
  <c r="P37" i="35"/>
  <c r="J20" i="35"/>
  <c r="J28" i="35" s="1"/>
  <c r="G20" i="35"/>
  <c r="F20" i="35"/>
  <c r="S26" i="35"/>
  <c r="R26" i="35"/>
  <c r="V26" i="35" s="1"/>
  <c r="Q26" i="35"/>
  <c r="P26" i="35"/>
  <c r="S25" i="35"/>
  <c r="R25" i="35"/>
  <c r="Q25" i="35"/>
  <c r="P25" i="35"/>
  <c r="O25" i="35"/>
  <c r="S23" i="35"/>
  <c r="R23" i="35"/>
  <c r="Q23" i="35"/>
  <c r="P23" i="35"/>
  <c r="S22" i="35"/>
  <c r="R22" i="35"/>
  <c r="Q22" i="35"/>
  <c r="P22" i="35"/>
  <c r="S20" i="35"/>
  <c r="R20" i="35"/>
  <c r="Q20" i="35"/>
  <c r="P20" i="35"/>
  <c r="O20" i="35"/>
  <c r="U20" i="35" s="1"/>
  <c r="S19" i="35"/>
  <c r="R19" i="35"/>
  <c r="Q19" i="35"/>
  <c r="P19" i="35"/>
  <c r="O19" i="35"/>
  <c r="U19" i="35" s="1"/>
  <c r="S17" i="35"/>
  <c r="R17" i="35"/>
  <c r="Q17" i="35"/>
  <c r="P17" i="35"/>
  <c r="T17" i="35" s="1"/>
  <c r="O17" i="35"/>
  <c r="S16" i="35"/>
  <c r="R16" i="35"/>
  <c r="Q16" i="35"/>
  <c r="P16" i="35"/>
  <c r="O16" i="35"/>
  <c r="U16" i="35" s="1"/>
  <c r="S14" i="35"/>
  <c r="R14" i="35"/>
  <c r="Q14" i="35"/>
  <c r="P14" i="35"/>
  <c r="O14" i="35"/>
  <c r="V14" i="35" s="1"/>
  <c r="S13" i="35"/>
  <c r="R13" i="35"/>
  <c r="Q13" i="35"/>
  <c r="P13" i="35"/>
  <c r="O13" i="35"/>
  <c r="AA52" i="35"/>
  <c r="X52" i="35"/>
  <c r="AA51" i="35"/>
  <c r="Z51" i="35"/>
  <c r="Y51" i="35"/>
  <c r="X51" i="35"/>
  <c r="U50" i="35"/>
  <c r="T50" i="35"/>
  <c r="K50" i="35"/>
  <c r="J50" i="35"/>
  <c r="I50" i="35"/>
  <c r="H50" i="35"/>
  <c r="L50" i="35" s="1"/>
  <c r="G50" i="35"/>
  <c r="F50" i="35"/>
  <c r="V49" i="35"/>
  <c r="M49" i="35"/>
  <c r="J49" i="35"/>
  <c r="I49" i="35"/>
  <c r="H49" i="35"/>
  <c r="G49" i="35"/>
  <c r="K49" i="35" s="1"/>
  <c r="F49" i="35"/>
  <c r="N49" i="35" s="1"/>
  <c r="U47" i="35"/>
  <c r="T47" i="35"/>
  <c r="J47" i="35"/>
  <c r="I47" i="35"/>
  <c r="H47" i="35"/>
  <c r="G47" i="35"/>
  <c r="F47" i="35"/>
  <c r="L47" i="35" s="1"/>
  <c r="V46" i="35"/>
  <c r="T46" i="35"/>
  <c r="J46" i="35"/>
  <c r="I46" i="35"/>
  <c r="M46" i="35" s="1"/>
  <c r="H46" i="35"/>
  <c r="L46" i="35" s="1"/>
  <c r="G46" i="35"/>
  <c r="F46" i="35"/>
  <c r="N46" i="35" s="1"/>
  <c r="Z44" i="35"/>
  <c r="Z52" i="35" s="1"/>
  <c r="Y44" i="35"/>
  <c r="Y52" i="35" s="1"/>
  <c r="X44" i="35"/>
  <c r="T44" i="35"/>
  <c r="I44" i="35"/>
  <c r="H44" i="35"/>
  <c r="G44" i="35"/>
  <c r="J43" i="35"/>
  <c r="I43" i="35"/>
  <c r="H43" i="35"/>
  <c r="G43" i="35"/>
  <c r="F43" i="35"/>
  <c r="M43" i="35" s="1"/>
  <c r="W41" i="35"/>
  <c r="V41" i="35"/>
  <c r="U41" i="35"/>
  <c r="J41" i="35"/>
  <c r="I41" i="35"/>
  <c r="H41" i="35"/>
  <c r="G41" i="35"/>
  <c r="F41" i="35"/>
  <c r="N41" i="35" s="1"/>
  <c r="W40" i="35"/>
  <c r="V40" i="35"/>
  <c r="T40" i="35"/>
  <c r="J40" i="35"/>
  <c r="I40" i="35"/>
  <c r="H40" i="35"/>
  <c r="G40" i="35"/>
  <c r="F40" i="35"/>
  <c r="J38" i="35"/>
  <c r="I38" i="35"/>
  <c r="I52" i="35" s="1"/>
  <c r="H38" i="35"/>
  <c r="G38" i="35"/>
  <c r="F38" i="35"/>
  <c r="O38" i="35" s="1"/>
  <c r="J37" i="35"/>
  <c r="J51" i="35" s="1"/>
  <c r="I37" i="35"/>
  <c r="I51" i="35" s="1"/>
  <c r="H37" i="35"/>
  <c r="G37" i="35"/>
  <c r="F37" i="35"/>
  <c r="O37" i="35" s="1"/>
  <c r="U37" i="35" s="1"/>
  <c r="F33" i="35"/>
  <c r="Z28" i="35"/>
  <c r="Y28" i="35"/>
  <c r="X28" i="35"/>
  <c r="I28" i="35"/>
  <c r="H28" i="35"/>
  <c r="G28" i="35"/>
  <c r="Z27" i="35"/>
  <c r="Y27" i="35"/>
  <c r="X27" i="35"/>
  <c r="J27" i="35"/>
  <c r="I27" i="35"/>
  <c r="G27" i="35"/>
  <c r="F27" i="35"/>
  <c r="AA26" i="35"/>
  <c r="AA28" i="35" s="1"/>
  <c r="Z26" i="35"/>
  <c r="T26" i="35"/>
  <c r="W26" i="35"/>
  <c r="U26" i="35"/>
  <c r="N26" i="35"/>
  <c r="M26" i="35"/>
  <c r="L26" i="35"/>
  <c r="K26" i="35"/>
  <c r="AA25" i="35"/>
  <c r="AA27" i="35" s="1"/>
  <c r="V25" i="35"/>
  <c r="N25" i="35"/>
  <c r="M25" i="35"/>
  <c r="L25" i="35"/>
  <c r="K25" i="35"/>
  <c r="N23" i="35"/>
  <c r="M23" i="35"/>
  <c r="L23" i="35"/>
  <c r="K23" i="35"/>
  <c r="N22" i="35"/>
  <c r="M22" i="35"/>
  <c r="L22" i="35"/>
  <c r="K22" i="35"/>
  <c r="N20" i="35"/>
  <c r="M20" i="35"/>
  <c r="F44" i="35"/>
  <c r="N19" i="35"/>
  <c r="M19" i="35"/>
  <c r="L19" i="35"/>
  <c r="K19" i="35"/>
  <c r="N17" i="35"/>
  <c r="M17" i="35"/>
  <c r="L17" i="35"/>
  <c r="K17" i="35"/>
  <c r="N16" i="35"/>
  <c r="M16" i="35"/>
  <c r="K16" i="35"/>
  <c r="L16" i="35"/>
  <c r="N14" i="35"/>
  <c r="M14" i="35"/>
  <c r="L14" i="35"/>
  <c r="K14" i="35"/>
  <c r="N13" i="35"/>
  <c r="M13" i="35"/>
  <c r="L13" i="35"/>
  <c r="K13" i="35"/>
  <c r="W50" i="34"/>
  <c r="W49" i="34"/>
  <c r="W47" i="34"/>
  <c r="W46" i="34"/>
  <c r="W44" i="34"/>
  <c r="W43" i="34"/>
  <c r="W41" i="34"/>
  <c r="W40" i="34"/>
  <c r="W38" i="34"/>
  <c r="W37" i="34"/>
  <c r="V50" i="34"/>
  <c r="V49" i="34"/>
  <c r="V47" i="34"/>
  <c r="V46" i="34"/>
  <c r="V44" i="34"/>
  <c r="V43" i="34"/>
  <c r="V41" i="34"/>
  <c r="V40" i="34"/>
  <c r="V38" i="34"/>
  <c r="V37" i="34"/>
  <c r="U50" i="34"/>
  <c r="U49" i="34"/>
  <c r="U47" i="34"/>
  <c r="U46" i="34"/>
  <c r="U44" i="34"/>
  <c r="U43" i="34"/>
  <c r="U41" i="34"/>
  <c r="U40" i="34"/>
  <c r="U38" i="34"/>
  <c r="U37" i="34"/>
  <c r="V50" i="35" l="1"/>
  <c r="O51" i="35"/>
  <c r="T49" i="35"/>
  <c r="W49" i="35"/>
  <c r="V47" i="35"/>
  <c r="U44" i="35"/>
  <c r="V43" i="35"/>
  <c r="T43" i="35"/>
  <c r="U43" i="35"/>
  <c r="W43" i="35"/>
  <c r="P51" i="35"/>
  <c r="T51" i="35" s="1"/>
  <c r="S52" i="35"/>
  <c r="R52" i="35"/>
  <c r="Q51" i="35"/>
  <c r="U51" i="35" s="1"/>
  <c r="R51" i="35"/>
  <c r="V51" i="35" s="1"/>
  <c r="V38" i="35"/>
  <c r="T38" i="35"/>
  <c r="U38" i="35"/>
  <c r="W38" i="35"/>
  <c r="O52" i="35"/>
  <c r="W52" i="35" s="1"/>
  <c r="V37" i="35"/>
  <c r="W37" i="35"/>
  <c r="W51" i="35"/>
  <c r="T37" i="35"/>
  <c r="M47" i="35"/>
  <c r="J44" i="35"/>
  <c r="M37" i="35"/>
  <c r="R28" i="35"/>
  <c r="N38" i="35"/>
  <c r="W13" i="35"/>
  <c r="W17" i="35"/>
  <c r="W19" i="35"/>
  <c r="N47" i="35"/>
  <c r="N50" i="35"/>
  <c r="J52" i="35"/>
  <c r="W25" i="35"/>
  <c r="S27" i="35"/>
  <c r="N27" i="35"/>
  <c r="Q27" i="35"/>
  <c r="H51" i="35"/>
  <c r="K37" i="35"/>
  <c r="K38" i="35"/>
  <c r="T13" i="35"/>
  <c r="U13" i="35"/>
  <c r="M38" i="35"/>
  <c r="V13" i="35"/>
  <c r="U14" i="35"/>
  <c r="K40" i="35"/>
  <c r="G51" i="35"/>
  <c r="P28" i="35"/>
  <c r="G52" i="35"/>
  <c r="P27" i="35"/>
  <c r="K46" i="35"/>
  <c r="M27" i="35"/>
  <c r="L43" i="35"/>
  <c r="N43" i="35"/>
  <c r="M41" i="35"/>
  <c r="K41" i="35"/>
  <c r="L41" i="35"/>
  <c r="U17" i="35"/>
  <c r="S28" i="35"/>
  <c r="M44" i="35"/>
  <c r="L44" i="35"/>
  <c r="K44" i="35"/>
  <c r="N44" i="35"/>
  <c r="W20" i="35"/>
  <c r="W14" i="35"/>
  <c r="F51" i="35"/>
  <c r="H52" i="35"/>
  <c r="K20" i="35"/>
  <c r="T25" i="35"/>
  <c r="K27" i="35"/>
  <c r="N37" i="35"/>
  <c r="L40" i="35"/>
  <c r="T14" i="35"/>
  <c r="V16" i="35"/>
  <c r="T19" i="35"/>
  <c r="L20" i="35"/>
  <c r="T20" i="35"/>
  <c r="U25" i="35"/>
  <c r="F28" i="35"/>
  <c r="M40" i="35"/>
  <c r="K43" i="35"/>
  <c r="L49" i="35"/>
  <c r="V19" i="35"/>
  <c r="V20" i="35"/>
  <c r="L38" i="35"/>
  <c r="K47" i="35"/>
  <c r="F52" i="35"/>
  <c r="V17" i="35"/>
  <c r="L37" i="35"/>
  <c r="N40" i="35"/>
  <c r="T16" i="35"/>
  <c r="R27" i="35"/>
  <c r="M50" i="35"/>
  <c r="W16" i="35"/>
  <c r="Q28" i="35"/>
  <c r="H27" i="35"/>
  <c r="L27" i="35" s="1"/>
  <c r="T50" i="34"/>
  <c r="T49" i="34"/>
  <c r="T47" i="34"/>
  <c r="T46" i="34"/>
  <c r="T44" i="34"/>
  <c r="T43" i="34"/>
  <c r="T41" i="34"/>
  <c r="T40" i="34"/>
  <c r="T38" i="34"/>
  <c r="T37" i="34"/>
  <c r="O52" i="34"/>
  <c r="O51" i="34"/>
  <c r="X52" i="34"/>
  <c r="X51" i="34"/>
  <c r="Z44" i="34"/>
  <c r="X44" i="34"/>
  <c r="Y44" i="34"/>
  <c r="J20" i="34"/>
  <c r="G20" i="34"/>
  <c r="F20" i="34"/>
  <c r="S26" i="34"/>
  <c r="S25" i="34"/>
  <c r="R26" i="34"/>
  <c r="R25" i="34"/>
  <c r="Q26" i="34"/>
  <c r="Q25" i="34"/>
  <c r="Q23" i="34"/>
  <c r="Q22" i="34"/>
  <c r="P26" i="34"/>
  <c r="P25" i="34"/>
  <c r="O25" i="34"/>
  <c r="T52" i="35" l="1"/>
  <c r="V52" i="35"/>
  <c r="U52" i="35"/>
  <c r="L28" i="35"/>
  <c r="K28" i="35"/>
  <c r="N28" i="35"/>
  <c r="M28" i="35"/>
  <c r="K52" i="35"/>
  <c r="N52" i="35"/>
  <c r="M52" i="35"/>
  <c r="L52" i="35"/>
  <c r="N51" i="35"/>
  <c r="L51" i="35"/>
  <c r="K51" i="35"/>
  <c r="M51" i="35"/>
  <c r="Z52" i="34"/>
  <c r="Y52" i="34"/>
  <c r="AA51" i="34"/>
  <c r="Z51" i="34"/>
  <c r="Y51" i="34"/>
  <c r="J50" i="34"/>
  <c r="I50" i="34"/>
  <c r="H50" i="34"/>
  <c r="G50" i="34"/>
  <c r="F50" i="34"/>
  <c r="J49" i="34"/>
  <c r="I49" i="34"/>
  <c r="H49" i="34"/>
  <c r="G49" i="34"/>
  <c r="F49" i="34"/>
  <c r="G47" i="34"/>
  <c r="F33" i="34"/>
  <c r="Y28" i="34"/>
  <c r="X28" i="34"/>
  <c r="Z27" i="34"/>
  <c r="Y27" i="34"/>
  <c r="X27" i="34"/>
  <c r="AA26" i="34"/>
  <c r="AA28" i="34" s="1"/>
  <c r="Z26" i="34"/>
  <c r="Z28" i="34" s="1"/>
  <c r="W26" i="34"/>
  <c r="V26" i="34"/>
  <c r="U26" i="34"/>
  <c r="T26" i="34"/>
  <c r="N26" i="34"/>
  <c r="M26" i="34"/>
  <c r="L26" i="34"/>
  <c r="K26" i="34"/>
  <c r="AA25" i="34"/>
  <c r="AA27" i="34" s="1"/>
  <c r="W25" i="34"/>
  <c r="V25" i="34"/>
  <c r="U25" i="34"/>
  <c r="T25" i="34"/>
  <c r="N25" i="34"/>
  <c r="M25" i="34"/>
  <c r="L25" i="34"/>
  <c r="K25" i="34"/>
  <c r="J47" i="34"/>
  <c r="I47" i="34"/>
  <c r="H47" i="34"/>
  <c r="J46" i="34"/>
  <c r="I46" i="34"/>
  <c r="H46" i="34"/>
  <c r="G46" i="34"/>
  <c r="J44" i="34"/>
  <c r="I44" i="34"/>
  <c r="H44" i="34"/>
  <c r="G44" i="34"/>
  <c r="K20" i="34"/>
  <c r="J43" i="34"/>
  <c r="I43" i="34"/>
  <c r="H43" i="34"/>
  <c r="G43" i="34"/>
  <c r="N19" i="34"/>
  <c r="L17" i="34"/>
  <c r="J41" i="34"/>
  <c r="I41" i="34"/>
  <c r="H41" i="34"/>
  <c r="J40" i="34"/>
  <c r="I40" i="34"/>
  <c r="H16" i="34"/>
  <c r="H40" i="34" s="1"/>
  <c r="G40" i="34"/>
  <c r="L14" i="34"/>
  <c r="G38" i="34"/>
  <c r="N14" i="34"/>
  <c r="M13" i="34"/>
  <c r="J37" i="34"/>
  <c r="I37" i="34"/>
  <c r="G37" i="34"/>
  <c r="J13" i="33"/>
  <c r="J14" i="33"/>
  <c r="I17" i="33"/>
  <c r="I16" i="33"/>
  <c r="S50" i="33"/>
  <c r="S49" i="33"/>
  <c r="R50" i="33"/>
  <c r="R49" i="33"/>
  <c r="Q50" i="33"/>
  <c r="Q49" i="33"/>
  <c r="P50" i="33"/>
  <c r="P49" i="33"/>
  <c r="R47" i="33"/>
  <c r="Q47" i="33"/>
  <c r="P47" i="33"/>
  <c r="R46" i="33"/>
  <c r="Q46" i="33"/>
  <c r="P46" i="33"/>
  <c r="R44" i="33"/>
  <c r="Q44" i="33"/>
  <c r="S43" i="33"/>
  <c r="R43" i="33"/>
  <c r="Q43" i="33"/>
  <c r="P44" i="33"/>
  <c r="P43" i="33"/>
  <c r="P38" i="33"/>
  <c r="S41" i="33"/>
  <c r="S40" i="33"/>
  <c r="R41" i="33"/>
  <c r="R40" i="33"/>
  <c r="Q41" i="33"/>
  <c r="Q40" i="33"/>
  <c r="P41" i="33"/>
  <c r="P40" i="33"/>
  <c r="S38" i="33"/>
  <c r="S37" i="33"/>
  <c r="R38" i="33"/>
  <c r="R37" i="33"/>
  <c r="Q38" i="33"/>
  <c r="Q37" i="33"/>
  <c r="P37" i="33"/>
  <c r="AA52" i="33"/>
  <c r="Z52" i="33"/>
  <c r="Y52" i="33"/>
  <c r="AA51" i="33"/>
  <c r="Z51" i="33"/>
  <c r="Y51" i="33"/>
  <c r="H23" i="33"/>
  <c r="H22" i="33"/>
  <c r="R20" i="33"/>
  <c r="R20" i="34" s="1"/>
  <c r="R19" i="33"/>
  <c r="R19" i="34" s="1"/>
  <c r="I20" i="33"/>
  <c r="I19" i="33"/>
  <c r="R17" i="33"/>
  <c r="R17" i="34" s="1"/>
  <c r="R16" i="33"/>
  <c r="R16" i="34" s="1"/>
  <c r="R14" i="33"/>
  <c r="R14" i="34" s="1"/>
  <c r="R13" i="33"/>
  <c r="R13" i="34" s="1"/>
  <c r="F14" i="33"/>
  <c r="F13" i="33"/>
  <c r="I14" i="33"/>
  <c r="I13" i="33"/>
  <c r="H13" i="33"/>
  <c r="H14" i="33"/>
  <c r="G14" i="33"/>
  <c r="G13" i="33"/>
  <c r="K50" i="34" l="1"/>
  <c r="M49" i="34"/>
  <c r="H27" i="34"/>
  <c r="L23" i="34"/>
  <c r="L49" i="34"/>
  <c r="M50" i="34"/>
  <c r="Q52" i="34"/>
  <c r="U52" i="34" s="1"/>
  <c r="M16" i="34"/>
  <c r="R52" i="34"/>
  <c r="V52" i="34" s="1"/>
  <c r="M23" i="34"/>
  <c r="AA52" i="34"/>
  <c r="M22" i="34"/>
  <c r="G51" i="34"/>
  <c r="G27" i="34"/>
  <c r="K14" i="34"/>
  <c r="M17" i="34"/>
  <c r="H37" i="34"/>
  <c r="H51" i="34" s="1"/>
  <c r="I28" i="34"/>
  <c r="J28" i="34"/>
  <c r="S52" i="34"/>
  <c r="W52" i="34" s="1"/>
  <c r="F27" i="34"/>
  <c r="I51" i="34"/>
  <c r="K17" i="34"/>
  <c r="N20" i="34"/>
  <c r="F28" i="34"/>
  <c r="Q51" i="34"/>
  <c r="U51" i="34" s="1"/>
  <c r="G28" i="34"/>
  <c r="M19" i="34"/>
  <c r="R51" i="34"/>
  <c r="V51" i="34" s="1"/>
  <c r="K49" i="34"/>
  <c r="S51" i="34"/>
  <c r="W51" i="34" s="1"/>
  <c r="L50" i="34"/>
  <c r="J51" i="34"/>
  <c r="N16" i="34"/>
  <c r="N22" i="34"/>
  <c r="K13" i="34"/>
  <c r="I27" i="34"/>
  <c r="K19" i="34"/>
  <c r="N23" i="34"/>
  <c r="J27" i="34"/>
  <c r="L13" i="34"/>
  <c r="N17" i="34"/>
  <c r="L19" i="34"/>
  <c r="F37" i="34"/>
  <c r="F38" i="34"/>
  <c r="F40" i="34"/>
  <c r="F41" i="34"/>
  <c r="F43" i="34"/>
  <c r="F44" i="34"/>
  <c r="F46" i="34"/>
  <c r="F47" i="34"/>
  <c r="N49" i="34"/>
  <c r="N50" i="34"/>
  <c r="G41" i="34"/>
  <c r="G52" i="34" s="1"/>
  <c r="N13" i="34"/>
  <c r="L20" i="34"/>
  <c r="M14" i="34"/>
  <c r="K16" i="34"/>
  <c r="M20" i="34"/>
  <c r="K22" i="34"/>
  <c r="H28" i="34"/>
  <c r="I38" i="34"/>
  <c r="I52" i="34" s="1"/>
  <c r="H38" i="34"/>
  <c r="H52" i="34" s="1"/>
  <c r="P51" i="34"/>
  <c r="T51" i="34" s="1"/>
  <c r="L16" i="34"/>
  <c r="L22" i="34"/>
  <c r="K23" i="34"/>
  <c r="J38" i="34"/>
  <c r="J52" i="34" s="1"/>
  <c r="P52" i="34"/>
  <c r="T52" i="34" s="1"/>
  <c r="Y28" i="33"/>
  <c r="Z27" i="33"/>
  <c r="Y27" i="33"/>
  <c r="X28" i="33"/>
  <c r="X27" i="33"/>
  <c r="I38" i="33"/>
  <c r="G38" i="33"/>
  <c r="G37" i="33"/>
  <c r="F33" i="33"/>
  <c r="AA26" i="33"/>
  <c r="AA28" i="33" s="1"/>
  <c r="Z26" i="33"/>
  <c r="Z28" i="33" s="1"/>
  <c r="I50" i="33"/>
  <c r="AA25" i="33"/>
  <c r="AA27" i="33" s="1"/>
  <c r="H47" i="33"/>
  <c r="I43" i="33"/>
  <c r="I41" i="33"/>
  <c r="I40" i="33"/>
  <c r="M28" i="34" l="1"/>
  <c r="L27" i="34"/>
  <c r="M27" i="34"/>
  <c r="N27" i="34"/>
  <c r="K28" i="34"/>
  <c r="N28" i="34"/>
  <c r="L28" i="34"/>
  <c r="K27" i="34"/>
  <c r="L43" i="34"/>
  <c r="K43" i="34"/>
  <c r="N43" i="34"/>
  <c r="M43" i="34"/>
  <c r="L41" i="34"/>
  <c r="K41" i="34"/>
  <c r="N41" i="34"/>
  <c r="M41" i="34"/>
  <c r="L40" i="34"/>
  <c r="K40" i="34"/>
  <c r="N40" i="34"/>
  <c r="M40" i="34"/>
  <c r="L38" i="34"/>
  <c r="K38" i="34"/>
  <c r="F52" i="34"/>
  <c r="N38" i="34"/>
  <c r="M38" i="34"/>
  <c r="L37" i="34"/>
  <c r="K37" i="34"/>
  <c r="N37" i="34"/>
  <c r="M37" i="34"/>
  <c r="F51" i="34"/>
  <c r="L47" i="34"/>
  <c r="K47" i="34"/>
  <c r="N47" i="34"/>
  <c r="M47" i="34"/>
  <c r="L46" i="34"/>
  <c r="K46" i="34"/>
  <c r="N46" i="34"/>
  <c r="M46" i="34"/>
  <c r="L44" i="34"/>
  <c r="K44" i="34"/>
  <c r="N44" i="34"/>
  <c r="M44" i="34"/>
  <c r="H46" i="33"/>
  <c r="I37" i="33"/>
  <c r="I44" i="33"/>
  <c r="I49" i="33"/>
  <c r="H37" i="33"/>
  <c r="H38" i="33"/>
  <c r="K51" i="34" l="1"/>
  <c r="L51" i="34"/>
  <c r="M51" i="34"/>
  <c r="N51" i="34"/>
  <c r="N52" i="34"/>
  <c r="L52" i="34"/>
  <c r="M52" i="34"/>
  <c r="K52" i="34"/>
  <c r="J28" i="32"/>
  <c r="J29" i="32"/>
  <c r="I29" i="32"/>
  <c r="I28" i="32"/>
  <c r="H28" i="32"/>
  <c r="G28" i="32"/>
  <c r="H29" i="32"/>
  <c r="G29" i="32"/>
  <c r="J26" i="32" l="1"/>
  <c r="J25" i="32"/>
  <c r="H26" i="32"/>
  <c r="H25" i="32"/>
  <c r="G26" i="32"/>
  <c r="G53" i="32" s="1"/>
  <c r="G25" i="32"/>
  <c r="I26" i="32"/>
  <c r="I53" i="32" s="1"/>
  <c r="I25" i="32"/>
  <c r="M25" i="32" s="1"/>
  <c r="F26" i="32"/>
  <c r="F25" i="32"/>
  <c r="F52" i="32" s="1"/>
  <c r="I23" i="32"/>
  <c r="I22" i="32"/>
  <c r="I49" i="32" s="1"/>
  <c r="J23" i="32"/>
  <c r="J22" i="32"/>
  <c r="H23" i="32"/>
  <c r="H22" i="32"/>
  <c r="G23" i="32"/>
  <c r="G22" i="32"/>
  <c r="F23" i="32"/>
  <c r="F22" i="32"/>
  <c r="M22" i="32" s="1"/>
  <c r="J20" i="32"/>
  <c r="J19" i="32"/>
  <c r="I20" i="32"/>
  <c r="I47" i="32" s="1"/>
  <c r="I19" i="32"/>
  <c r="H20" i="32"/>
  <c r="H19" i="32"/>
  <c r="G20" i="32"/>
  <c r="G19" i="32"/>
  <c r="G46" i="32" s="1"/>
  <c r="F20" i="32"/>
  <c r="F19" i="32"/>
  <c r="J17" i="32"/>
  <c r="H14" i="32"/>
  <c r="H41" i="32" s="1"/>
  <c r="H13" i="32"/>
  <c r="H16" i="32"/>
  <c r="J16" i="32"/>
  <c r="I17" i="32"/>
  <c r="I16" i="32"/>
  <c r="I43" i="32" s="1"/>
  <c r="G17" i="32"/>
  <c r="G44" i="32" s="1"/>
  <c r="G16" i="32"/>
  <c r="G43" i="32" s="1"/>
  <c r="F17" i="32"/>
  <c r="F16" i="32"/>
  <c r="J14" i="32"/>
  <c r="I14" i="32"/>
  <c r="J13" i="32"/>
  <c r="I13" i="32"/>
  <c r="G14" i="32"/>
  <c r="G13" i="32"/>
  <c r="F14" i="32"/>
  <c r="F41" i="32" s="1"/>
  <c r="F13" i="32"/>
  <c r="F40" i="32" s="1"/>
  <c r="Z58" i="32"/>
  <c r="Y58" i="32"/>
  <c r="AA57" i="32"/>
  <c r="Z57" i="32"/>
  <c r="Y57" i="32"/>
  <c r="AA56" i="32"/>
  <c r="J56" i="32"/>
  <c r="I56" i="32"/>
  <c r="H56" i="32"/>
  <c r="G56" i="32"/>
  <c r="J55" i="32"/>
  <c r="I55" i="32"/>
  <c r="H55" i="32"/>
  <c r="G55" i="32"/>
  <c r="J53" i="32"/>
  <c r="H53" i="32"/>
  <c r="J52" i="32"/>
  <c r="G50" i="32"/>
  <c r="F50" i="32"/>
  <c r="G49" i="32"/>
  <c r="AA47" i="32"/>
  <c r="AA58" i="32" s="1"/>
  <c r="J47" i="32"/>
  <c r="H47" i="32"/>
  <c r="G47" i="32"/>
  <c r="H46" i="32"/>
  <c r="H44" i="32"/>
  <c r="H40" i="32"/>
  <c r="F36" i="32"/>
  <c r="Y31" i="32"/>
  <c r="X31" i="32"/>
  <c r="Z30" i="32"/>
  <c r="Y30" i="32"/>
  <c r="X30" i="32"/>
  <c r="AA29" i="32"/>
  <c r="AA31" i="32" s="1"/>
  <c r="Z29" i="32"/>
  <c r="Z31" i="32" s="1"/>
  <c r="AA28" i="32"/>
  <c r="AA30" i="32" s="1"/>
  <c r="L25" i="32"/>
  <c r="M23" i="32"/>
  <c r="K23" i="32"/>
  <c r="N20" i="32"/>
  <c r="F29" i="31"/>
  <c r="F20" i="31"/>
  <c r="Y58" i="30"/>
  <c r="Y57" i="30"/>
  <c r="N25" i="32" l="1"/>
  <c r="H52" i="32"/>
  <c r="K22" i="32"/>
  <c r="F49" i="32"/>
  <c r="M49" i="32" s="1"/>
  <c r="K19" i="32"/>
  <c r="F46" i="32"/>
  <c r="K46" i="32" s="1"/>
  <c r="K25" i="32"/>
  <c r="M19" i="32"/>
  <c r="G52" i="32"/>
  <c r="N19" i="32"/>
  <c r="H50" i="32"/>
  <c r="L50" i="32" s="1"/>
  <c r="L19" i="32"/>
  <c r="J49" i="32"/>
  <c r="J46" i="32"/>
  <c r="N46" i="32" s="1"/>
  <c r="N22" i="32"/>
  <c r="G30" i="32"/>
  <c r="N23" i="32"/>
  <c r="I30" i="32"/>
  <c r="J30" i="32"/>
  <c r="J40" i="32"/>
  <c r="N40" i="32" s="1"/>
  <c r="I41" i="32"/>
  <c r="J50" i="32"/>
  <c r="N50" i="32" s="1"/>
  <c r="H43" i="32"/>
  <c r="H49" i="32"/>
  <c r="M13" i="32"/>
  <c r="I46" i="32"/>
  <c r="L23" i="32"/>
  <c r="F47" i="32"/>
  <c r="M47" i="32" s="1"/>
  <c r="J44" i="32"/>
  <c r="J41" i="32"/>
  <c r="N41" i="32" s="1"/>
  <c r="M14" i="32"/>
  <c r="N13" i="32"/>
  <c r="N14" i="32"/>
  <c r="H30" i="32"/>
  <c r="I40" i="32"/>
  <c r="L13" i="32"/>
  <c r="K26" i="32"/>
  <c r="L52" i="32"/>
  <c r="I52" i="32"/>
  <c r="N26" i="32"/>
  <c r="L26" i="32"/>
  <c r="F53" i="32"/>
  <c r="M53" i="32" s="1"/>
  <c r="M26" i="32"/>
  <c r="I50" i="32"/>
  <c r="M50" i="32" s="1"/>
  <c r="L22" i="32"/>
  <c r="I31" i="32"/>
  <c r="J31" i="32"/>
  <c r="L14" i="32"/>
  <c r="H31" i="32"/>
  <c r="J43" i="32"/>
  <c r="I44" i="32"/>
  <c r="L17" i="32"/>
  <c r="K17" i="32"/>
  <c r="M17" i="32"/>
  <c r="F44" i="32"/>
  <c r="K44" i="32" s="1"/>
  <c r="N17" i="32"/>
  <c r="K16" i="32"/>
  <c r="F43" i="32"/>
  <c r="M43" i="32" s="1"/>
  <c r="N16" i="32"/>
  <c r="L16" i="32"/>
  <c r="M16" i="32"/>
  <c r="M41" i="32"/>
  <c r="M40" i="32"/>
  <c r="G41" i="32"/>
  <c r="G58" i="32" s="1"/>
  <c r="G31" i="32"/>
  <c r="K14" i="32"/>
  <c r="G40" i="32"/>
  <c r="G57" i="32" s="1"/>
  <c r="K13" i="32"/>
  <c r="M52" i="32"/>
  <c r="K20" i="32"/>
  <c r="L20" i="32"/>
  <c r="K43" i="32"/>
  <c r="K47" i="32"/>
  <c r="M20" i="32"/>
  <c r="L40" i="32"/>
  <c r="L41" i="32"/>
  <c r="K50" i="32"/>
  <c r="K52" i="32"/>
  <c r="N49" i="32"/>
  <c r="N52" i="32"/>
  <c r="F29" i="30"/>
  <c r="L49" i="32" l="1"/>
  <c r="K49" i="32"/>
  <c r="L46" i="32"/>
  <c r="H58" i="32"/>
  <c r="K53" i="32"/>
  <c r="J57" i="32"/>
  <c r="N47" i="32"/>
  <c r="L47" i="32"/>
  <c r="H57" i="32"/>
  <c r="K41" i="32"/>
  <c r="I57" i="32"/>
  <c r="K40" i="32"/>
  <c r="J58" i="32"/>
  <c r="M46" i="32"/>
  <c r="N43" i="32"/>
  <c r="L43" i="32"/>
  <c r="I58" i="32"/>
  <c r="L53" i="32"/>
  <c r="N53" i="32"/>
  <c r="M44" i="32"/>
  <c r="L44" i="32"/>
  <c r="N44" i="32"/>
  <c r="F28" i="30"/>
  <c r="Y58" i="31"/>
  <c r="Y57" i="31"/>
  <c r="Z58" i="31"/>
  <c r="AA57" i="31"/>
  <c r="Z57" i="31"/>
  <c r="AA56" i="31"/>
  <c r="J56" i="31"/>
  <c r="I56" i="31"/>
  <c r="H56" i="31"/>
  <c r="G56" i="31"/>
  <c r="J55" i="31"/>
  <c r="I55" i="31"/>
  <c r="H55" i="31"/>
  <c r="G55" i="31"/>
  <c r="J53" i="31"/>
  <c r="I53" i="31"/>
  <c r="H53" i="31"/>
  <c r="G53" i="31"/>
  <c r="F53" i="31"/>
  <c r="M53" i="31" s="1"/>
  <c r="J52" i="31"/>
  <c r="I52" i="31"/>
  <c r="M52" i="31" s="1"/>
  <c r="H52" i="31"/>
  <c r="G52" i="31"/>
  <c r="F52" i="31"/>
  <c r="J50" i="31"/>
  <c r="I50" i="31"/>
  <c r="H50" i="31"/>
  <c r="G50" i="31"/>
  <c r="F50" i="31"/>
  <c r="L50" i="31" s="1"/>
  <c r="J49" i="31"/>
  <c r="I49" i="31"/>
  <c r="H49" i="31"/>
  <c r="G49" i="31"/>
  <c r="F49" i="31"/>
  <c r="M49" i="31" s="1"/>
  <c r="AA47" i="31"/>
  <c r="AA58" i="31" s="1"/>
  <c r="J47" i="31"/>
  <c r="I47" i="31"/>
  <c r="H47" i="31"/>
  <c r="G47" i="31"/>
  <c r="F47" i="31"/>
  <c r="J46" i="31"/>
  <c r="I46" i="31"/>
  <c r="H46" i="31"/>
  <c r="G46" i="31"/>
  <c r="F46" i="31"/>
  <c r="J44" i="31"/>
  <c r="I44" i="31"/>
  <c r="H44" i="31"/>
  <c r="G44" i="31"/>
  <c r="F44" i="31"/>
  <c r="J43" i="31"/>
  <c r="I43" i="31"/>
  <c r="H43" i="31"/>
  <c r="G43" i="31"/>
  <c r="F43" i="31"/>
  <c r="J41" i="31"/>
  <c r="I41" i="31"/>
  <c r="H41" i="31"/>
  <c r="G41" i="31"/>
  <c r="F41" i="31"/>
  <c r="J40" i="31"/>
  <c r="I40" i="31"/>
  <c r="H40" i="31"/>
  <c r="G40" i="31"/>
  <c r="F40" i="31"/>
  <c r="F36" i="31"/>
  <c r="Y31" i="31"/>
  <c r="X31" i="31"/>
  <c r="J31" i="31"/>
  <c r="I31" i="31"/>
  <c r="H31" i="31"/>
  <c r="G31" i="31"/>
  <c r="Z30" i="31"/>
  <c r="Y30" i="31"/>
  <c r="X30" i="31"/>
  <c r="J30" i="31"/>
  <c r="I30" i="31"/>
  <c r="H30" i="31"/>
  <c r="G30" i="31"/>
  <c r="AA29" i="31"/>
  <c r="AA31" i="31" s="1"/>
  <c r="Z29" i="31"/>
  <c r="Z31" i="31" s="1"/>
  <c r="N29" i="31"/>
  <c r="L29" i="31"/>
  <c r="M29" i="31"/>
  <c r="AA28" i="31"/>
  <c r="AA30" i="31" s="1"/>
  <c r="N28" i="31"/>
  <c r="M28" i="31"/>
  <c r="K28" i="31"/>
  <c r="L28" i="31"/>
  <c r="N26" i="31"/>
  <c r="M26" i="31"/>
  <c r="L26" i="31"/>
  <c r="K26" i="31"/>
  <c r="N25" i="31"/>
  <c r="M25" i="31"/>
  <c r="L25" i="31"/>
  <c r="K25" i="31"/>
  <c r="N23" i="31"/>
  <c r="M23" i="31"/>
  <c r="L23" i="31"/>
  <c r="K23" i="31"/>
  <c r="N22" i="31"/>
  <c r="M22" i="31"/>
  <c r="L22" i="31"/>
  <c r="K22" i="31"/>
  <c r="N20" i="31"/>
  <c r="M20" i="31"/>
  <c r="L20" i="31"/>
  <c r="K20" i="31"/>
  <c r="N19" i="31"/>
  <c r="M19" i="31"/>
  <c r="L19" i="31"/>
  <c r="K19" i="31"/>
  <c r="N17" i="31"/>
  <c r="M17" i="31"/>
  <c r="L17" i="31"/>
  <c r="K17" i="31"/>
  <c r="N16" i="31"/>
  <c r="M16" i="31"/>
  <c r="L16" i="31"/>
  <c r="K16" i="31"/>
  <c r="N14" i="31"/>
  <c r="M14" i="31"/>
  <c r="L14" i="31"/>
  <c r="K14" i="31"/>
  <c r="N13" i="31"/>
  <c r="M13" i="31"/>
  <c r="L13" i="31"/>
  <c r="K13" i="31"/>
  <c r="L41" i="31" l="1"/>
  <c r="L53" i="31"/>
  <c r="L52" i="31"/>
  <c r="M50" i="31"/>
  <c r="L49" i="31"/>
  <c r="K40" i="31"/>
  <c r="M40" i="31"/>
  <c r="L44" i="31"/>
  <c r="K52" i="31"/>
  <c r="I57" i="31"/>
  <c r="L43" i="31"/>
  <c r="L47" i="31"/>
  <c r="L40" i="31"/>
  <c r="L46" i="31"/>
  <c r="H58" i="31"/>
  <c r="G58" i="31"/>
  <c r="K49" i="31"/>
  <c r="K50" i="31"/>
  <c r="G57" i="31"/>
  <c r="H57" i="31"/>
  <c r="I58" i="31"/>
  <c r="K53" i="31"/>
  <c r="J58" i="31"/>
  <c r="J57" i="31"/>
  <c r="K41" i="31"/>
  <c r="K43" i="31"/>
  <c r="K44" i="31"/>
  <c r="K46" i="31"/>
  <c r="K47" i="31"/>
  <c r="S30" i="31"/>
  <c r="M41" i="31"/>
  <c r="M43" i="31"/>
  <c r="M44" i="31"/>
  <c r="M46" i="31"/>
  <c r="M47" i="31"/>
  <c r="N40" i="31"/>
  <c r="N41" i="31"/>
  <c r="N43" i="31"/>
  <c r="N44" i="31"/>
  <c r="N46" i="31"/>
  <c r="N47" i="31"/>
  <c r="F31" i="31"/>
  <c r="N49" i="31"/>
  <c r="N50" i="31"/>
  <c r="N52" i="31"/>
  <c r="N53" i="31"/>
  <c r="F55" i="31"/>
  <c r="F56" i="31"/>
  <c r="F30" i="31"/>
  <c r="K29" i="31"/>
  <c r="O28" i="30"/>
  <c r="O28" i="31" s="1"/>
  <c r="O29" i="30"/>
  <c r="S29" i="30"/>
  <c r="S29" i="31" s="1"/>
  <c r="S29" i="32" s="1"/>
  <c r="R29" i="30"/>
  <c r="Q29" i="30"/>
  <c r="Q29" i="31" s="1"/>
  <c r="P29" i="30"/>
  <c r="S28" i="30"/>
  <c r="S28" i="31" s="1"/>
  <c r="S28" i="32" s="1"/>
  <c r="R28" i="30"/>
  <c r="R28" i="31" s="1"/>
  <c r="Q28" i="30"/>
  <c r="Q28" i="31" s="1"/>
  <c r="P28" i="30"/>
  <c r="S26" i="30"/>
  <c r="S26" i="31" s="1"/>
  <c r="S26" i="32" s="1"/>
  <c r="R26" i="30"/>
  <c r="Q26" i="30"/>
  <c r="Q26" i="31" s="1"/>
  <c r="P26" i="30"/>
  <c r="P26" i="31" s="1"/>
  <c r="S25" i="30"/>
  <c r="S25" i="31" s="1"/>
  <c r="S25" i="32" s="1"/>
  <c r="R25" i="30"/>
  <c r="R25" i="31" s="1"/>
  <c r="Q25" i="30"/>
  <c r="Q25" i="31" s="1"/>
  <c r="P25" i="30"/>
  <c r="S23" i="30"/>
  <c r="S23" i="31" s="1"/>
  <c r="S23" i="32" s="1"/>
  <c r="R23" i="30"/>
  <c r="Q23" i="30"/>
  <c r="P23" i="30"/>
  <c r="S22" i="30"/>
  <c r="S22" i="31" s="1"/>
  <c r="S22" i="32" s="1"/>
  <c r="R22" i="30"/>
  <c r="R22" i="31" s="1"/>
  <c r="Q22" i="30"/>
  <c r="Q22" i="31" s="1"/>
  <c r="P22" i="30"/>
  <c r="P22" i="31" s="1"/>
  <c r="P22" i="32" s="1"/>
  <c r="S20" i="30"/>
  <c r="S20" i="31" s="1"/>
  <c r="S20" i="32" s="1"/>
  <c r="R20" i="30"/>
  <c r="Q20" i="30"/>
  <c r="Q20" i="31" s="1"/>
  <c r="P20" i="30"/>
  <c r="S19" i="30"/>
  <c r="S19" i="31" s="1"/>
  <c r="S19" i="32" s="1"/>
  <c r="R19" i="30"/>
  <c r="R19" i="31" s="1"/>
  <c r="Q19" i="30"/>
  <c r="Q19" i="31" s="1"/>
  <c r="P19" i="30"/>
  <c r="S17" i="30"/>
  <c r="S17" i="31" s="1"/>
  <c r="S17" i="32" s="1"/>
  <c r="R17" i="30"/>
  <c r="R17" i="31" s="1"/>
  <c r="Q17" i="30"/>
  <c r="Q17" i="31" s="1"/>
  <c r="P17" i="30"/>
  <c r="S16" i="30"/>
  <c r="S16" i="31" s="1"/>
  <c r="S16" i="32" s="1"/>
  <c r="R16" i="30"/>
  <c r="R16" i="31" s="1"/>
  <c r="Q16" i="30"/>
  <c r="Q16" i="31" s="1"/>
  <c r="Q16" i="32" s="1"/>
  <c r="P16" i="30"/>
  <c r="P16" i="31" s="1"/>
  <c r="S14" i="30"/>
  <c r="S14" i="31" s="1"/>
  <c r="R14" i="30"/>
  <c r="Q14" i="30"/>
  <c r="Q14" i="31" s="1"/>
  <c r="Q14" i="32" s="1"/>
  <c r="P14" i="30"/>
  <c r="S13" i="30"/>
  <c r="S13" i="31" s="1"/>
  <c r="S13" i="32" s="1"/>
  <c r="S30" i="32" s="1"/>
  <c r="R13" i="30"/>
  <c r="R13" i="31" s="1"/>
  <c r="Q13" i="30"/>
  <c r="Q13" i="31" s="1"/>
  <c r="Q13" i="32" s="1"/>
  <c r="P13" i="30"/>
  <c r="P13" i="31" s="1"/>
  <c r="O26" i="30"/>
  <c r="O26" i="31" s="1"/>
  <c r="T26" i="31" s="1"/>
  <c r="O25" i="30"/>
  <c r="O23" i="30"/>
  <c r="O23" i="31" s="1"/>
  <c r="O22" i="30"/>
  <c r="O20" i="30"/>
  <c r="O19" i="30"/>
  <c r="O17" i="30"/>
  <c r="O16" i="30"/>
  <c r="O14" i="30"/>
  <c r="O13" i="30"/>
  <c r="K28" i="30"/>
  <c r="K26" i="30"/>
  <c r="K25" i="30"/>
  <c r="K23" i="30"/>
  <c r="K22" i="30"/>
  <c r="K20" i="30"/>
  <c r="K19" i="30"/>
  <c r="K17" i="30"/>
  <c r="K16" i="30"/>
  <c r="K14" i="30"/>
  <c r="K13" i="30"/>
  <c r="Y31" i="30"/>
  <c r="Y30" i="30"/>
  <c r="G56" i="30"/>
  <c r="G55" i="30"/>
  <c r="G53" i="30"/>
  <c r="G52" i="30"/>
  <c r="G50" i="30"/>
  <c r="G49" i="30"/>
  <c r="G47" i="30"/>
  <c r="G46" i="30"/>
  <c r="G44" i="30"/>
  <c r="G43" i="30"/>
  <c r="G41" i="30"/>
  <c r="G40" i="30"/>
  <c r="G31" i="30"/>
  <c r="G30" i="30"/>
  <c r="Z58" i="30"/>
  <c r="AA57" i="30"/>
  <c r="Z57" i="30"/>
  <c r="AA56" i="30"/>
  <c r="J56" i="30"/>
  <c r="I56" i="30"/>
  <c r="H56" i="30"/>
  <c r="J55" i="30"/>
  <c r="I55" i="30"/>
  <c r="H55" i="30"/>
  <c r="J53" i="30"/>
  <c r="I53" i="30"/>
  <c r="H53" i="30"/>
  <c r="F53" i="30"/>
  <c r="J52" i="30"/>
  <c r="I52" i="30"/>
  <c r="H52" i="30"/>
  <c r="F52" i="30"/>
  <c r="J50" i="30"/>
  <c r="I50" i="30"/>
  <c r="H50" i="30"/>
  <c r="F50" i="30"/>
  <c r="J49" i="30"/>
  <c r="I49" i="30"/>
  <c r="H49" i="30"/>
  <c r="F49" i="30"/>
  <c r="K49" i="30" s="1"/>
  <c r="AA47" i="30"/>
  <c r="J47" i="30"/>
  <c r="I47" i="30"/>
  <c r="H47" i="30"/>
  <c r="F47" i="30"/>
  <c r="J46" i="30"/>
  <c r="I46" i="30"/>
  <c r="H46" i="30"/>
  <c r="F46" i="30"/>
  <c r="K46" i="30" s="1"/>
  <c r="J44" i="30"/>
  <c r="I44" i="30"/>
  <c r="H44" i="30"/>
  <c r="F44" i="30"/>
  <c r="J43" i="30"/>
  <c r="I43" i="30"/>
  <c r="H43" i="30"/>
  <c r="F43" i="30"/>
  <c r="J41" i="30"/>
  <c r="I41" i="30"/>
  <c r="H41" i="30"/>
  <c r="J40" i="30"/>
  <c r="I40" i="30"/>
  <c r="H40" i="30"/>
  <c r="F40" i="30"/>
  <c r="M40" i="30" s="1"/>
  <c r="F36" i="30"/>
  <c r="X31" i="30"/>
  <c r="J31" i="30"/>
  <c r="I31" i="30"/>
  <c r="H31" i="30"/>
  <c r="Z30" i="30"/>
  <c r="X30" i="30"/>
  <c r="J30" i="30"/>
  <c r="I30" i="30"/>
  <c r="H30" i="30"/>
  <c r="AA29" i="30"/>
  <c r="AA31" i="30" s="1"/>
  <c r="Z29" i="30"/>
  <c r="Z31" i="30" s="1"/>
  <c r="AA28" i="30"/>
  <c r="AA30" i="30" s="1"/>
  <c r="N26" i="30"/>
  <c r="M26" i="30"/>
  <c r="L26" i="30"/>
  <c r="N25" i="30"/>
  <c r="M25" i="30"/>
  <c r="L25" i="30"/>
  <c r="N23" i="30"/>
  <c r="M23" i="30"/>
  <c r="L23" i="30"/>
  <c r="N22" i="30"/>
  <c r="M22" i="30"/>
  <c r="L22" i="30"/>
  <c r="N20" i="30"/>
  <c r="M20" i="30"/>
  <c r="L20" i="30"/>
  <c r="N19" i="30"/>
  <c r="M19" i="30"/>
  <c r="L19" i="30"/>
  <c r="N17" i="30"/>
  <c r="M17" i="30"/>
  <c r="L17" i="30"/>
  <c r="N16" i="30"/>
  <c r="M16" i="30"/>
  <c r="L16" i="30"/>
  <c r="L14" i="30"/>
  <c r="N13" i="30"/>
  <c r="M13" i="30"/>
  <c r="L13" i="30"/>
  <c r="F29" i="27"/>
  <c r="F14" i="29"/>
  <c r="O16" i="31" l="1"/>
  <c r="P28" i="31"/>
  <c r="K53" i="30"/>
  <c r="O17" i="31"/>
  <c r="Q19" i="32"/>
  <c r="Q22" i="32"/>
  <c r="Q25" i="32"/>
  <c r="Q28" i="32"/>
  <c r="O29" i="31"/>
  <c r="U26" i="31"/>
  <c r="W26" i="31"/>
  <c r="P16" i="32"/>
  <c r="O19" i="31"/>
  <c r="R13" i="32"/>
  <c r="R16" i="32"/>
  <c r="R19" i="32"/>
  <c r="R22" i="32"/>
  <c r="R25" i="32"/>
  <c r="R28" i="32"/>
  <c r="W23" i="31"/>
  <c r="O20" i="31"/>
  <c r="P19" i="31"/>
  <c r="O22" i="31"/>
  <c r="P14" i="31"/>
  <c r="P17" i="31"/>
  <c r="P20" i="31"/>
  <c r="P23" i="31"/>
  <c r="P26" i="32"/>
  <c r="P29" i="31"/>
  <c r="P25" i="31"/>
  <c r="O23" i="32"/>
  <c r="T23" i="31"/>
  <c r="Q17" i="32"/>
  <c r="Q20" i="32"/>
  <c r="Q23" i="31"/>
  <c r="Q26" i="32"/>
  <c r="Q29" i="32"/>
  <c r="T13" i="30"/>
  <c r="O13" i="31"/>
  <c r="O25" i="31"/>
  <c r="R14" i="31"/>
  <c r="R17" i="32"/>
  <c r="R20" i="31"/>
  <c r="R23" i="31"/>
  <c r="R26" i="31"/>
  <c r="R29" i="31"/>
  <c r="V23" i="31"/>
  <c r="P13" i="32"/>
  <c r="O14" i="31"/>
  <c r="O26" i="32"/>
  <c r="V26" i="31"/>
  <c r="S14" i="32"/>
  <c r="S31" i="32" s="1"/>
  <c r="S31" i="31"/>
  <c r="R30" i="31"/>
  <c r="Q30" i="31"/>
  <c r="N30" i="31"/>
  <c r="M30" i="31"/>
  <c r="L30" i="31"/>
  <c r="K30" i="31"/>
  <c r="K55" i="31"/>
  <c r="F57" i="31"/>
  <c r="N55" i="31"/>
  <c r="L55" i="31"/>
  <c r="M55" i="31"/>
  <c r="K31" i="31"/>
  <c r="N31" i="31"/>
  <c r="L31" i="31"/>
  <c r="M31" i="31"/>
  <c r="W28" i="31"/>
  <c r="U28" i="31"/>
  <c r="V28" i="31"/>
  <c r="O30" i="31"/>
  <c r="K56" i="31"/>
  <c r="F58" i="31"/>
  <c r="N56" i="31"/>
  <c r="L56" i="31"/>
  <c r="M56" i="31"/>
  <c r="F56" i="30"/>
  <c r="L56" i="30" s="1"/>
  <c r="K29" i="30"/>
  <c r="T28" i="30"/>
  <c r="K52" i="30"/>
  <c r="K50" i="30"/>
  <c r="K47" i="30"/>
  <c r="K44" i="30"/>
  <c r="K43" i="30"/>
  <c r="K40" i="30"/>
  <c r="P31" i="30"/>
  <c r="V23" i="30"/>
  <c r="T20" i="30"/>
  <c r="W26" i="30"/>
  <c r="T29" i="30"/>
  <c r="T25" i="30"/>
  <c r="T23" i="30"/>
  <c r="T19" i="30"/>
  <c r="T14" i="30"/>
  <c r="T26" i="30"/>
  <c r="T22" i="30"/>
  <c r="P30" i="30"/>
  <c r="T16" i="30"/>
  <c r="T17" i="30"/>
  <c r="G57" i="30"/>
  <c r="G58" i="30"/>
  <c r="L53" i="30"/>
  <c r="H58" i="30"/>
  <c r="L44" i="30"/>
  <c r="M46" i="30"/>
  <c r="N52" i="30"/>
  <c r="L50" i="30"/>
  <c r="M44" i="30"/>
  <c r="N29" i="30"/>
  <c r="N47" i="30"/>
  <c r="U23" i="30"/>
  <c r="L52" i="30"/>
  <c r="W23" i="30"/>
  <c r="AA58" i="30"/>
  <c r="U17" i="30"/>
  <c r="J57" i="30"/>
  <c r="V26" i="30"/>
  <c r="N46" i="30"/>
  <c r="W13" i="30"/>
  <c r="W25" i="30"/>
  <c r="V20" i="30"/>
  <c r="N43" i="30"/>
  <c r="L40" i="30"/>
  <c r="M47" i="30"/>
  <c r="V13" i="30"/>
  <c r="W17" i="30"/>
  <c r="U19" i="30"/>
  <c r="W20" i="30"/>
  <c r="U25" i="30"/>
  <c r="N40" i="30"/>
  <c r="M14" i="30"/>
  <c r="N28" i="30"/>
  <c r="S30" i="30"/>
  <c r="N14" i="30"/>
  <c r="H57" i="30"/>
  <c r="I58" i="30"/>
  <c r="L46" i="30"/>
  <c r="M50" i="30"/>
  <c r="M52" i="30"/>
  <c r="O31" i="30"/>
  <c r="U22" i="30"/>
  <c r="I57" i="30"/>
  <c r="J58" i="30"/>
  <c r="N44" i="30"/>
  <c r="N49" i="30"/>
  <c r="N50" i="30"/>
  <c r="W28" i="30"/>
  <c r="V28" i="30"/>
  <c r="U28" i="30"/>
  <c r="R31" i="30"/>
  <c r="U16" i="30"/>
  <c r="V16" i="30"/>
  <c r="V22" i="30"/>
  <c r="O30" i="30"/>
  <c r="T30" i="30" s="1"/>
  <c r="M53" i="30"/>
  <c r="W16" i="30"/>
  <c r="W22" i="30"/>
  <c r="L28" i="30"/>
  <c r="F30" i="30"/>
  <c r="K30" i="30" s="1"/>
  <c r="Q30" i="30"/>
  <c r="N53" i="30"/>
  <c r="F55" i="30"/>
  <c r="F57" i="30" s="1"/>
  <c r="U13" i="30"/>
  <c r="V17" i="30"/>
  <c r="M28" i="30"/>
  <c r="R30" i="30"/>
  <c r="F31" i="30"/>
  <c r="K31" i="30" s="1"/>
  <c r="Q31" i="30"/>
  <c r="F41" i="30"/>
  <c r="K41" i="30" s="1"/>
  <c r="V19" i="30"/>
  <c r="V25" i="30"/>
  <c r="U29" i="30"/>
  <c r="S31" i="30"/>
  <c r="L43" i="30"/>
  <c r="W19" i="30"/>
  <c r="U20" i="30"/>
  <c r="U26" i="30"/>
  <c r="L29" i="30"/>
  <c r="V29" i="30"/>
  <c r="M43" i="30"/>
  <c r="L49" i="30"/>
  <c r="M29" i="30"/>
  <c r="W29" i="30"/>
  <c r="L47" i="30"/>
  <c r="M49" i="30"/>
  <c r="F28" i="27"/>
  <c r="F29" i="28"/>
  <c r="F28" i="28"/>
  <c r="R20" i="32" l="1"/>
  <c r="O13" i="32"/>
  <c r="V13" i="31"/>
  <c r="W13" i="31"/>
  <c r="T13" i="31"/>
  <c r="U13" i="31"/>
  <c r="Q23" i="32"/>
  <c r="P29" i="32"/>
  <c r="P17" i="32"/>
  <c r="U29" i="31"/>
  <c r="V29" i="31"/>
  <c r="T29" i="31"/>
  <c r="W29" i="31"/>
  <c r="P28" i="32"/>
  <c r="T28" i="31"/>
  <c r="T26" i="32"/>
  <c r="W26" i="32"/>
  <c r="U26" i="32"/>
  <c r="V26" i="32"/>
  <c r="R29" i="32"/>
  <c r="P14" i="32"/>
  <c r="P31" i="31"/>
  <c r="O20" i="32"/>
  <c r="U20" i="31"/>
  <c r="V20" i="31"/>
  <c r="W20" i="31"/>
  <c r="T20" i="31"/>
  <c r="R30" i="32"/>
  <c r="U23" i="32"/>
  <c r="O14" i="32"/>
  <c r="V14" i="31"/>
  <c r="T14" i="31"/>
  <c r="U14" i="31"/>
  <c r="O31" i="31"/>
  <c r="W14" i="31"/>
  <c r="O19" i="32"/>
  <c r="W19" i="31"/>
  <c r="V19" i="31"/>
  <c r="U19" i="31"/>
  <c r="T19" i="31"/>
  <c r="O16" i="32"/>
  <c r="U16" i="31"/>
  <c r="V16" i="31"/>
  <c r="W16" i="31"/>
  <c r="T16" i="31"/>
  <c r="P19" i="32"/>
  <c r="Q31" i="31"/>
  <c r="R26" i="32"/>
  <c r="R14" i="32"/>
  <c r="R31" i="31"/>
  <c r="P25" i="32"/>
  <c r="P23" i="32"/>
  <c r="O22" i="32"/>
  <c r="W22" i="31"/>
  <c r="U22" i="31"/>
  <c r="T22" i="31"/>
  <c r="V22" i="31"/>
  <c r="Q30" i="32"/>
  <c r="U23" i="31"/>
  <c r="P30" i="31"/>
  <c r="W23" i="32"/>
  <c r="R23" i="32"/>
  <c r="O25" i="32"/>
  <c r="V25" i="31"/>
  <c r="U25" i="31"/>
  <c r="W25" i="31"/>
  <c r="T25" i="31"/>
  <c r="P20" i="32"/>
  <c r="O17" i="32"/>
  <c r="W17" i="31"/>
  <c r="V17" i="31"/>
  <c r="U17" i="31"/>
  <c r="T17" i="31"/>
  <c r="N58" i="31"/>
  <c r="M58" i="31"/>
  <c r="K58" i="31"/>
  <c r="L58" i="31"/>
  <c r="W30" i="31"/>
  <c r="V30" i="31"/>
  <c r="U30" i="31"/>
  <c r="T30" i="31"/>
  <c r="N57" i="31"/>
  <c r="M57" i="31"/>
  <c r="K57" i="31"/>
  <c r="L57" i="31"/>
  <c r="N56" i="30"/>
  <c r="M56" i="30"/>
  <c r="K56" i="30"/>
  <c r="K55" i="30"/>
  <c r="T31" i="30"/>
  <c r="K57" i="30"/>
  <c r="U14" i="30"/>
  <c r="V14" i="30"/>
  <c r="W14" i="30"/>
  <c r="N57" i="30"/>
  <c r="M57" i="30"/>
  <c r="L57" i="30"/>
  <c r="W30" i="30"/>
  <c r="V30" i="30"/>
  <c r="U30" i="30"/>
  <c r="N30" i="30"/>
  <c r="M30" i="30"/>
  <c r="L30" i="30"/>
  <c r="F58" i="30"/>
  <c r="K58" i="30" s="1"/>
  <c r="M41" i="30"/>
  <c r="L41" i="30"/>
  <c r="N41" i="30"/>
  <c r="W31" i="30"/>
  <c r="V31" i="30"/>
  <c r="U31" i="30"/>
  <c r="N55" i="30"/>
  <c r="M55" i="30"/>
  <c r="L55" i="30"/>
  <c r="M31" i="30"/>
  <c r="L31" i="30"/>
  <c r="N31" i="30"/>
  <c r="F29" i="29"/>
  <c r="F28" i="29"/>
  <c r="R31" i="32" l="1"/>
  <c r="T19" i="32"/>
  <c r="U19" i="32"/>
  <c r="W19" i="32"/>
  <c r="V19" i="32"/>
  <c r="W20" i="32"/>
  <c r="T20" i="32"/>
  <c r="U20" i="32"/>
  <c r="V20" i="32"/>
  <c r="V22" i="32"/>
  <c r="W22" i="32"/>
  <c r="U22" i="32"/>
  <c r="T22" i="32"/>
  <c r="W25" i="32"/>
  <c r="U25" i="32"/>
  <c r="T25" i="32"/>
  <c r="V25" i="32"/>
  <c r="U16" i="32"/>
  <c r="W16" i="32"/>
  <c r="V16" i="32"/>
  <c r="T16" i="32"/>
  <c r="W14" i="32"/>
  <c r="T14" i="32"/>
  <c r="U14" i="32"/>
  <c r="V14" i="32"/>
  <c r="T23" i="32"/>
  <c r="P31" i="32"/>
  <c r="V23" i="32"/>
  <c r="P30" i="32"/>
  <c r="W13" i="32"/>
  <c r="U13" i="32"/>
  <c r="V13" i="32"/>
  <c r="T13" i="32"/>
  <c r="W17" i="32"/>
  <c r="U17" i="32"/>
  <c r="V17" i="32"/>
  <c r="T17" i="32"/>
  <c r="W31" i="31"/>
  <c r="V31" i="31"/>
  <c r="T31" i="31"/>
  <c r="U31" i="31"/>
  <c r="Q31" i="32"/>
  <c r="N58" i="30"/>
  <c r="M58" i="30"/>
  <c r="L58" i="30"/>
  <c r="I56" i="29"/>
  <c r="F56" i="29" l="1"/>
  <c r="U58" i="29"/>
  <c r="T58" i="29"/>
  <c r="V57" i="29"/>
  <c r="U57" i="29"/>
  <c r="T57" i="29"/>
  <c r="V56" i="29"/>
  <c r="H56" i="29"/>
  <c r="G56" i="29"/>
  <c r="I55" i="29"/>
  <c r="H55" i="29"/>
  <c r="G55" i="29"/>
  <c r="F55" i="29"/>
  <c r="I53" i="29"/>
  <c r="H53" i="29"/>
  <c r="G53" i="29"/>
  <c r="F53" i="29"/>
  <c r="I52" i="29"/>
  <c r="H52" i="29"/>
  <c r="G52" i="29"/>
  <c r="F52" i="29"/>
  <c r="I50" i="29"/>
  <c r="H50" i="29"/>
  <c r="G50" i="29"/>
  <c r="F50" i="29"/>
  <c r="K50" i="29" s="1"/>
  <c r="I49" i="29"/>
  <c r="H49" i="29"/>
  <c r="G49" i="29"/>
  <c r="F49" i="29"/>
  <c r="V47" i="29"/>
  <c r="V58" i="29" s="1"/>
  <c r="I47" i="29"/>
  <c r="H47" i="29"/>
  <c r="G47" i="29"/>
  <c r="F47" i="29"/>
  <c r="I46" i="29"/>
  <c r="L46" i="29" s="1"/>
  <c r="H46" i="29"/>
  <c r="G46" i="29"/>
  <c r="F46" i="29"/>
  <c r="I44" i="29"/>
  <c r="H44" i="29"/>
  <c r="G44" i="29"/>
  <c r="F44" i="29"/>
  <c r="K44" i="29" s="1"/>
  <c r="I43" i="29"/>
  <c r="H43" i="29"/>
  <c r="G43" i="29"/>
  <c r="F43" i="29"/>
  <c r="I41" i="29"/>
  <c r="H41" i="29"/>
  <c r="G41" i="29"/>
  <c r="F41" i="29"/>
  <c r="H40" i="29"/>
  <c r="G40" i="29"/>
  <c r="F40" i="29"/>
  <c r="F36" i="29"/>
  <c r="T31" i="29"/>
  <c r="I31" i="29"/>
  <c r="H31" i="29"/>
  <c r="G31" i="29"/>
  <c r="F31" i="29"/>
  <c r="U30" i="29"/>
  <c r="T30" i="29"/>
  <c r="H30" i="29"/>
  <c r="G30" i="29"/>
  <c r="F30" i="29"/>
  <c r="K30" i="29" s="1"/>
  <c r="V29" i="29"/>
  <c r="V31" i="29" s="1"/>
  <c r="U29" i="29"/>
  <c r="U31" i="29" s="1"/>
  <c r="V28" i="29"/>
  <c r="V30" i="29" s="1"/>
  <c r="L28" i="29"/>
  <c r="K28" i="29"/>
  <c r="J28" i="29"/>
  <c r="L26" i="29"/>
  <c r="K26" i="29"/>
  <c r="J26" i="29"/>
  <c r="L25" i="29"/>
  <c r="K25" i="29"/>
  <c r="J25" i="29"/>
  <c r="L23" i="29"/>
  <c r="K23" i="29"/>
  <c r="J23" i="29"/>
  <c r="L22" i="29"/>
  <c r="K22" i="29"/>
  <c r="J22" i="29"/>
  <c r="K20" i="29"/>
  <c r="J20" i="29"/>
  <c r="L19" i="29"/>
  <c r="K19" i="29"/>
  <c r="J19" i="29"/>
  <c r="L17" i="29"/>
  <c r="K17" i="29"/>
  <c r="J17" i="29"/>
  <c r="L16" i="29"/>
  <c r="K16" i="29"/>
  <c r="J16" i="29"/>
  <c r="L14" i="29"/>
  <c r="K14" i="29"/>
  <c r="J14" i="29"/>
  <c r="K13" i="29"/>
  <c r="J13" i="29"/>
  <c r="G30" i="28"/>
  <c r="J52" i="29" l="1"/>
  <c r="K52" i="29"/>
  <c r="L52" i="29"/>
  <c r="L44" i="29"/>
  <c r="K55" i="29"/>
  <c r="L55" i="29"/>
  <c r="J40" i="29"/>
  <c r="K53" i="29"/>
  <c r="J46" i="29"/>
  <c r="J44" i="29"/>
  <c r="F57" i="29"/>
  <c r="J53" i="29"/>
  <c r="K49" i="29"/>
  <c r="L49" i="29"/>
  <c r="J30" i="29"/>
  <c r="I58" i="29"/>
  <c r="K47" i="29"/>
  <c r="J55" i="29"/>
  <c r="K46" i="29"/>
  <c r="H58" i="29"/>
  <c r="L50" i="29"/>
  <c r="G57" i="29"/>
  <c r="G58" i="29"/>
  <c r="K31" i="29"/>
  <c r="L43" i="29"/>
  <c r="J49" i="29"/>
  <c r="L53" i="29"/>
  <c r="H57" i="29"/>
  <c r="L56" i="29"/>
  <c r="K56" i="29"/>
  <c r="J56" i="29"/>
  <c r="F58" i="29"/>
  <c r="L31" i="29"/>
  <c r="L41" i="29"/>
  <c r="L47" i="29"/>
  <c r="L20" i="29"/>
  <c r="K40" i="29"/>
  <c r="J50" i="29"/>
  <c r="J43" i="29"/>
  <c r="J29" i="29"/>
  <c r="K43" i="29"/>
  <c r="J31" i="29"/>
  <c r="J41" i="29"/>
  <c r="J47" i="29"/>
  <c r="K29" i="29"/>
  <c r="L29" i="29"/>
  <c r="K41" i="29"/>
  <c r="F20" i="28"/>
  <c r="U58" i="28"/>
  <c r="T58" i="28"/>
  <c r="V57" i="28"/>
  <c r="U57" i="28"/>
  <c r="T57" i="28"/>
  <c r="T31" i="28"/>
  <c r="I31" i="28"/>
  <c r="H31" i="28"/>
  <c r="G31" i="28"/>
  <c r="F31" i="28"/>
  <c r="U30" i="28"/>
  <c r="T30" i="28"/>
  <c r="I30" i="28"/>
  <c r="H30" i="28"/>
  <c r="F30" i="28"/>
  <c r="U58" i="27"/>
  <c r="T58" i="27"/>
  <c r="V57" i="27"/>
  <c r="U57" i="27"/>
  <c r="T57" i="27"/>
  <c r="T31" i="27"/>
  <c r="I31" i="27"/>
  <c r="H31" i="27"/>
  <c r="G31" i="27"/>
  <c r="U30" i="27"/>
  <c r="T30" i="27"/>
  <c r="I30" i="27"/>
  <c r="H30" i="27"/>
  <c r="G30" i="27"/>
  <c r="F30" i="27"/>
  <c r="K57" i="29" l="1"/>
  <c r="J57" i="29"/>
  <c r="L58" i="29"/>
  <c r="K58" i="29"/>
  <c r="J58" i="29"/>
  <c r="V56" i="28"/>
  <c r="I56" i="28"/>
  <c r="H56" i="28"/>
  <c r="G56" i="28"/>
  <c r="F56" i="28"/>
  <c r="I55" i="28"/>
  <c r="H55" i="28"/>
  <c r="G55" i="28"/>
  <c r="F55" i="28"/>
  <c r="I53" i="28"/>
  <c r="H53" i="28"/>
  <c r="G53" i="28"/>
  <c r="F53" i="28"/>
  <c r="I52" i="28"/>
  <c r="H52" i="28"/>
  <c r="G52" i="28"/>
  <c r="F52" i="28"/>
  <c r="I50" i="28"/>
  <c r="H50" i="28"/>
  <c r="G50" i="28"/>
  <c r="F50" i="28"/>
  <c r="I49" i="28"/>
  <c r="H49" i="28"/>
  <c r="G49" i="28"/>
  <c r="F49" i="28"/>
  <c r="V47" i="28"/>
  <c r="V58" i="28" s="1"/>
  <c r="I47" i="28"/>
  <c r="H47" i="28"/>
  <c r="G47" i="28"/>
  <c r="I46" i="28"/>
  <c r="H46" i="28"/>
  <c r="G46" i="28"/>
  <c r="F46" i="28"/>
  <c r="I44" i="28"/>
  <c r="H44" i="28"/>
  <c r="G44" i="28"/>
  <c r="F44" i="28"/>
  <c r="I43" i="28"/>
  <c r="H43" i="28"/>
  <c r="G43" i="28"/>
  <c r="F43" i="28"/>
  <c r="I41" i="28"/>
  <c r="I58" i="28" s="1"/>
  <c r="H41" i="28"/>
  <c r="G41" i="28"/>
  <c r="F41" i="28"/>
  <c r="I40" i="28"/>
  <c r="I57" i="28" s="1"/>
  <c r="H40" i="28"/>
  <c r="H57" i="28" s="1"/>
  <c r="G40" i="28"/>
  <c r="F40" i="28"/>
  <c r="F57" i="28" s="1"/>
  <c r="F36" i="28"/>
  <c r="V29" i="28"/>
  <c r="V31" i="28" s="1"/>
  <c r="U29" i="28"/>
  <c r="U31" i="28" s="1"/>
  <c r="L29" i="28"/>
  <c r="K29" i="28"/>
  <c r="V28" i="28"/>
  <c r="V30" i="28" s="1"/>
  <c r="L28" i="28"/>
  <c r="K28" i="28"/>
  <c r="J28" i="28"/>
  <c r="L26" i="28"/>
  <c r="K26" i="28"/>
  <c r="J26" i="28"/>
  <c r="L25" i="28"/>
  <c r="K25" i="28"/>
  <c r="J25" i="28"/>
  <c r="L23" i="28"/>
  <c r="K23" i="28"/>
  <c r="J23" i="28"/>
  <c r="L22" i="28"/>
  <c r="K22" i="28"/>
  <c r="J22" i="28"/>
  <c r="L20" i="28"/>
  <c r="K20" i="28"/>
  <c r="J20" i="28"/>
  <c r="F47" i="28"/>
  <c r="L19" i="28"/>
  <c r="K19" i="28"/>
  <c r="J19" i="28"/>
  <c r="L17" i="28"/>
  <c r="K17" i="28"/>
  <c r="J17" i="28"/>
  <c r="L16" i="28"/>
  <c r="K16" i="28"/>
  <c r="J16" i="28"/>
  <c r="L14" i="28"/>
  <c r="K14" i="28"/>
  <c r="J14" i="28"/>
  <c r="L13" i="28"/>
  <c r="K13" i="28"/>
  <c r="J13" i="28"/>
  <c r="F56" i="27"/>
  <c r="F26" i="19"/>
  <c r="F26" i="20"/>
  <c r="F29" i="22"/>
  <c r="F20" i="22"/>
  <c r="F20" i="27"/>
  <c r="F31" i="27" s="1"/>
  <c r="V56" i="27"/>
  <c r="I56" i="27"/>
  <c r="H56" i="27"/>
  <c r="G56" i="27"/>
  <c r="I55" i="27"/>
  <c r="H55" i="27"/>
  <c r="G55" i="27"/>
  <c r="F55" i="27"/>
  <c r="I53" i="27"/>
  <c r="H53" i="27"/>
  <c r="H58" i="27" s="1"/>
  <c r="G53" i="27"/>
  <c r="F53" i="27"/>
  <c r="I52" i="27"/>
  <c r="H52" i="27"/>
  <c r="H57" i="27" s="1"/>
  <c r="G52" i="27"/>
  <c r="F52" i="27"/>
  <c r="I50" i="27"/>
  <c r="G50" i="27"/>
  <c r="F50" i="27"/>
  <c r="L50" i="27" s="1"/>
  <c r="I49" i="27"/>
  <c r="G49" i="27"/>
  <c r="F49" i="27"/>
  <c r="V47" i="27"/>
  <c r="V58" i="27" s="1"/>
  <c r="I47" i="27"/>
  <c r="G47" i="27"/>
  <c r="I46" i="27"/>
  <c r="G46" i="27"/>
  <c r="F46" i="27"/>
  <c r="I44" i="27"/>
  <c r="G44" i="27"/>
  <c r="F44" i="27"/>
  <c r="I43" i="27"/>
  <c r="G43" i="27"/>
  <c r="F43" i="27"/>
  <c r="I41" i="27"/>
  <c r="G41" i="27"/>
  <c r="F41" i="27"/>
  <c r="I40" i="27"/>
  <c r="G40" i="27"/>
  <c r="G57" i="27" s="1"/>
  <c r="F40" i="27"/>
  <c r="F36" i="27"/>
  <c r="V29" i="27"/>
  <c r="V31" i="27" s="1"/>
  <c r="U29" i="27"/>
  <c r="U31" i="27" s="1"/>
  <c r="V28" i="27"/>
  <c r="V30" i="27" s="1"/>
  <c r="L28" i="27"/>
  <c r="K28" i="27"/>
  <c r="J28" i="27"/>
  <c r="L26" i="27"/>
  <c r="K26" i="27"/>
  <c r="J26" i="27"/>
  <c r="L25" i="27"/>
  <c r="K25" i="27"/>
  <c r="J25" i="27"/>
  <c r="L23" i="27"/>
  <c r="K23" i="27"/>
  <c r="J23" i="27"/>
  <c r="L22" i="27"/>
  <c r="K22" i="27"/>
  <c r="J22" i="27"/>
  <c r="L19" i="27"/>
  <c r="K19" i="27"/>
  <c r="J19" i="27"/>
  <c r="L17" i="27"/>
  <c r="K17" i="27"/>
  <c r="J17" i="27"/>
  <c r="L16" i="27"/>
  <c r="K16" i="27"/>
  <c r="J16" i="27"/>
  <c r="L14" i="27"/>
  <c r="K14" i="27"/>
  <c r="J14" i="27"/>
  <c r="L13" i="27"/>
  <c r="K13" i="27"/>
  <c r="J13" i="27"/>
  <c r="F20" i="26"/>
  <c r="F29" i="26"/>
  <c r="I57" i="27" l="1"/>
  <c r="G58" i="27"/>
  <c r="I58" i="27"/>
  <c r="L46" i="27"/>
  <c r="F57" i="27"/>
  <c r="L57" i="27" s="1"/>
  <c r="F58" i="28"/>
  <c r="G57" i="28"/>
  <c r="G58" i="28"/>
  <c r="H58" i="28"/>
  <c r="L43" i="28"/>
  <c r="K46" i="28"/>
  <c r="K49" i="28"/>
  <c r="K52" i="28"/>
  <c r="J49" i="27"/>
  <c r="J44" i="27"/>
  <c r="J20" i="27"/>
  <c r="J55" i="27"/>
  <c r="K53" i="27"/>
  <c r="K44" i="27"/>
  <c r="L43" i="27"/>
  <c r="L52" i="27"/>
  <c r="K30" i="27"/>
  <c r="K41" i="27"/>
  <c r="L55" i="28"/>
  <c r="L53" i="28"/>
  <c r="L56" i="28"/>
  <c r="L30" i="28"/>
  <c r="J40" i="28"/>
  <c r="J41" i="28"/>
  <c r="L44" i="28"/>
  <c r="J46" i="28"/>
  <c r="J53" i="28"/>
  <c r="K53" i="28"/>
  <c r="L46" i="28"/>
  <c r="K41" i="28"/>
  <c r="K44" i="28"/>
  <c r="L49" i="28"/>
  <c r="L52" i="28"/>
  <c r="K55" i="28"/>
  <c r="L41" i="28"/>
  <c r="L50" i="28"/>
  <c r="K30" i="28"/>
  <c r="K40" i="28"/>
  <c r="J47" i="28"/>
  <c r="L47" i="28"/>
  <c r="K47" i="28"/>
  <c r="J52" i="28"/>
  <c r="L40" i="28"/>
  <c r="J44" i="28"/>
  <c r="J50" i="28"/>
  <c r="J56" i="28"/>
  <c r="J43" i="28"/>
  <c r="K50" i="28"/>
  <c r="K56" i="28"/>
  <c r="J29" i="28"/>
  <c r="J30" i="28"/>
  <c r="K43" i="28"/>
  <c r="J49" i="28"/>
  <c r="J55" i="28"/>
  <c r="K29" i="27"/>
  <c r="L56" i="27"/>
  <c r="J29" i="27"/>
  <c r="L29" i="27"/>
  <c r="J53" i="27"/>
  <c r="J30" i="27"/>
  <c r="L30" i="27"/>
  <c r="L44" i="27"/>
  <c r="L55" i="27"/>
  <c r="K40" i="27"/>
  <c r="K46" i="27"/>
  <c r="L53" i="27"/>
  <c r="J46" i="27"/>
  <c r="L49" i="27"/>
  <c r="J40" i="27"/>
  <c r="K56" i="27"/>
  <c r="K50" i="27"/>
  <c r="K55" i="27"/>
  <c r="L41" i="27"/>
  <c r="J41" i="27"/>
  <c r="K49" i="27"/>
  <c r="K20" i="27"/>
  <c r="J52" i="27"/>
  <c r="L20" i="27"/>
  <c r="L40" i="27"/>
  <c r="F47" i="27"/>
  <c r="F58" i="27" s="1"/>
  <c r="K52" i="27"/>
  <c r="J50" i="27"/>
  <c r="J56" i="27"/>
  <c r="J43" i="27"/>
  <c r="K43" i="27"/>
  <c r="U58" i="26"/>
  <c r="T58" i="26"/>
  <c r="V57" i="26"/>
  <c r="U57" i="26"/>
  <c r="T57" i="26"/>
  <c r="V56" i="26"/>
  <c r="H56" i="26"/>
  <c r="G56" i="26"/>
  <c r="I55" i="26"/>
  <c r="H55" i="26"/>
  <c r="G55" i="26"/>
  <c r="F55" i="26"/>
  <c r="I53" i="26"/>
  <c r="H53" i="26"/>
  <c r="G53" i="26"/>
  <c r="F53" i="26"/>
  <c r="I52" i="26"/>
  <c r="H52" i="26"/>
  <c r="G52" i="26"/>
  <c r="F52" i="26"/>
  <c r="I50" i="26"/>
  <c r="H50" i="26"/>
  <c r="G50" i="26"/>
  <c r="F50" i="26"/>
  <c r="I49" i="26"/>
  <c r="H49" i="26"/>
  <c r="G49" i="26"/>
  <c r="F49" i="26"/>
  <c r="V47" i="26"/>
  <c r="V58" i="26" s="1"/>
  <c r="H47" i="26"/>
  <c r="G47" i="26"/>
  <c r="I46" i="26"/>
  <c r="H46" i="26"/>
  <c r="G46" i="26"/>
  <c r="F46" i="26"/>
  <c r="I44" i="26"/>
  <c r="H44" i="26"/>
  <c r="G44" i="26"/>
  <c r="F44" i="26"/>
  <c r="I43" i="26"/>
  <c r="H43" i="26"/>
  <c r="G43" i="26"/>
  <c r="F43" i="26"/>
  <c r="I41" i="26"/>
  <c r="H41" i="26"/>
  <c r="G41" i="26"/>
  <c r="F41" i="26"/>
  <c r="I40" i="26"/>
  <c r="H40" i="26"/>
  <c r="G40" i="26"/>
  <c r="F40" i="26"/>
  <c r="F36" i="26"/>
  <c r="T31" i="26"/>
  <c r="H31" i="26"/>
  <c r="G31" i="26"/>
  <c r="U30" i="26"/>
  <c r="T30" i="26"/>
  <c r="I30" i="26"/>
  <c r="H30" i="26"/>
  <c r="G30" i="26"/>
  <c r="F30" i="26"/>
  <c r="V29" i="26"/>
  <c r="V31" i="26" s="1"/>
  <c r="U29" i="26"/>
  <c r="U31" i="26" s="1"/>
  <c r="K29" i="26"/>
  <c r="J29" i="26"/>
  <c r="I56" i="26"/>
  <c r="F56" i="26"/>
  <c r="V28" i="26"/>
  <c r="V30" i="26" s="1"/>
  <c r="L28" i="26"/>
  <c r="K28" i="26"/>
  <c r="J28" i="26"/>
  <c r="L26" i="26"/>
  <c r="K26" i="26"/>
  <c r="J26" i="26"/>
  <c r="L25" i="26"/>
  <c r="K25" i="26"/>
  <c r="J25" i="26"/>
  <c r="L23" i="26"/>
  <c r="K23" i="26"/>
  <c r="J23" i="26"/>
  <c r="L22" i="26"/>
  <c r="K22" i="26"/>
  <c r="J22" i="26"/>
  <c r="L20" i="26"/>
  <c r="J20" i="26"/>
  <c r="I47" i="26"/>
  <c r="K20" i="26"/>
  <c r="L19" i="26"/>
  <c r="K19" i="26"/>
  <c r="J19" i="26"/>
  <c r="L17" i="26"/>
  <c r="K17" i="26"/>
  <c r="J17" i="26"/>
  <c r="L16" i="26"/>
  <c r="K16" i="26"/>
  <c r="J16" i="26"/>
  <c r="L14" i="26"/>
  <c r="K14" i="26"/>
  <c r="J14" i="26"/>
  <c r="L13" i="26"/>
  <c r="K13" i="26"/>
  <c r="J13" i="26"/>
  <c r="U3" i="24"/>
  <c r="G57" i="26" l="1"/>
  <c r="L46" i="26"/>
  <c r="J57" i="28"/>
  <c r="L57" i="28"/>
  <c r="K57" i="28"/>
  <c r="L58" i="28"/>
  <c r="K58" i="28"/>
  <c r="J58" i="28"/>
  <c r="J31" i="28"/>
  <c r="L31" i="28"/>
  <c r="K31" i="28"/>
  <c r="J57" i="27"/>
  <c r="K57" i="27"/>
  <c r="K31" i="27"/>
  <c r="J31" i="27"/>
  <c r="L31" i="27"/>
  <c r="K47" i="27"/>
  <c r="J47" i="27"/>
  <c r="L47" i="27"/>
  <c r="L50" i="26"/>
  <c r="J50" i="26"/>
  <c r="L49" i="26"/>
  <c r="L41" i="26"/>
  <c r="L44" i="26"/>
  <c r="J53" i="26"/>
  <c r="L53" i="26"/>
  <c r="K53" i="26"/>
  <c r="J49" i="26"/>
  <c r="K49" i="26"/>
  <c r="J30" i="26"/>
  <c r="H57" i="26"/>
  <c r="H58" i="26"/>
  <c r="L40" i="26"/>
  <c r="L55" i="26"/>
  <c r="K40" i="26"/>
  <c r="I58" i="26"/>
  <c r="K46" i="26"/>
  <c r="K50" i="26"/>
  <c r="L30" i="26"/>
  <c r="I57" i="26"/>
  <c r="J41" i="26"/>
  <c r="J40" i="26"/>
  <c r="J46" i="26"/>
  <c r="F57" i="26"/>
  <c r="J55" i="26"/>
  <c r="L52" i="26"/>
  <c r="K55" i="26"/>
  <c r="K30" i="26"/>
  <c r="L56" i="26"/>
  <c r="K56" i="26"/>
  <c r="J56" i="26"/>
  <c r="G58" i="26"/>
  <c r="J52" i="26"/>
  <c r="F31" i="26"/>
  <c r="J44" i="26"/>
  <c r="F47" i="26"/>
  <c r="K52" i="26"/>
  <c r="K44" i="26"/>
  <c r="J43" i="26"/>
  <c r="I31" i="26"/>
  <c r="K43" i="26"/>
  <c r="L43" i="26"/>
  <c r="L29" i="26"/>
  <c r="K41" i="26"/>
  <c r="F36" i="22"/>
  <c r="I29" i="22"/>
  <c r="K29" i="22"/>
  <c r="F47" i="22"/>
  <c r="I20" i="22"/>
  <c r="F29" i="21"/>
  <c r="F20" i="21"/>
  <c r="I20" i="21"/>
  <c r="I29" i="21"/>
  <c r="F36" i="21"/>
  <c r="U58" i="22"/>
  <c r="T58" i="22"/>
  <c r="V57" i="22"/>
  <c r="U57" i="22"/>
  <c r="T57" i="22"/>
  <c r="V56" i="22"/>
  <c r="V58" i="22" s="1"/>
  <c r="H56" i="22"/>
  <c r="G56" i="22"/>
  <c r="I55" i="22"/>
  <c r="H55" i="22"/>
  <c r="G55" i="22"/>
  <c r="F55" i="22"/>
  <c r="I53" i="22"/>
  <c r="H53" i="22"/>
  <c r="G53" i="22"/>
  <c r="F53" i="22"/>
  <c r="I52" i="22"/>
  <c r="H52" i="22"/>
  <c r="G52" i="22"/>
  <c r="F52" i="22"/>
  <c r="I50" i="22"/>
  <c r="H50" i="22"/>
  <c r="G50" i="22"/>
  <c r="F50" i="22"/>
  <c r="I49" i="22"/>
  <c r="H49" i="22"/>
  <c r="G49" i="22"/>
  <c r="F49" i="22"/>
  <c r="V47" i="22"/>
  <c r="H47" i="22"/>
  <c r="G47" i="22"/>
  <c r="I46" i="22"/>
  <c r="H46" i="22"/>
  <c r="G46" i="22"/>
  <c r="F46" i="22"/>
  <c r="I44" i="22"/>
  <c r="H44" i="22"/>
  <c r="G44" i="22"/>
  <c r="F44" i="22"/>
  <c r="I43" i="22"/>
  <c r="H43" i="22"/>
  <c r="G43" i="22"/>
  <c r="F43" i="22"/>
  <c r="I41" i="22"/>
  <c r="H41" i="22"/>
  <c r="G41" i="22"/>
  <c r="F41" i="22"/>
  <c r="I40" i="22"/>
  <c r="H40" i="22"/>
  <c r="G40" i="22"/>
  <c r="F40" i="22"/>
  <c r="T31" i="22"/>
  <c r="H31" i="22"/>
  <c r="G31" i="22"/>
  <c r="U30" i="22"/>
  <c r="T30" i="22"/>
  <c r="I30" i="22"/>
  <c r="H30" i="22"/>
  <c r="G30" i="22"/>
  <c r="F30" i="22"/>
  <c r="V29" i="22"/>
  <c r="V31" i="22" s="1"/>
  <c r="U29" i="22"/>
  <c r="U31" i="22" s="1"/>
  <c r="V28" i="22"/>
  <c r="V30" i="22" s="1"/>
  <c r="L28" i="22"/>
  <c r="K28" i="22"/>
  <c r="J28" i="22"/>
  <c r="L26" i="22"/>
  <c r="K26" i="22"/>
  <c r="J26" i="22"/>
  <c r="L25" i="22"/>
  <c r="K25" i="22"/>
  <c r="J25" i="22"/>
  <c r="L23" i="22"/>
  <c r="K23" i="22"/>
  <c r="J23" i="22"/>
  <c r="L22" i="22"/>
  <c r="K22" i="22"/>
  <c r="J22" i="22"/>
  <c r="L19" i="22"/>
  <c r="K19" i="22"/>
  <c r="J19" i="22"/>
  <c r="L17" i="22"/>
  <c r="K17" i="22"/>
  <c r="J17" i="22"/>
  <c r="L16" i="22"/>
  <c r="K16" i="22"/>
  <c r="J16" i="22"/>
  <c r="L14" i="22"/>
  <c r="K14" i="22"/>
  <c r="J14" i="22"/>
  <c r="L13" i="22"/>
  <c r="K13" i="22"/>
  <c r="J13" i="22"/>
  <c r="K49" i="22" l="1"/>
  <c r="K40" i="22"/>
  <c r="L58" i="27"/>
  <c r="K58" i="27"/>
  <c r="J58" i="27"/>
  <c r="L57" i="26"/>
  <c r="J57" i="26"/>
  <c r="K57" i="26"/>
  <c r="K47" i="26"/>
  <c r="J47" i="26"/>
  <c r="L47" i="26"/>
  <c r="K31" i="26"/>
  <c r="J31" i="26"/>
  <c r="L31" i="26"/>
  <c r="F58" i="26"/>
  <c r="K43" i="22"/>
  <c r="J41" i="22"/>
  <c r="L49" i="22"/>
  <c r="F56" i="22"/>
  <c r="K56" i="22" s="1"/>
  <c r="I31" i="22"/>
  <c r="L55" i="22"/>
  <c r="J29" i="22"/>
  <c r="K55" i="22"/>
  <c r="K53" i="22"/>
  <c r="J53" i="22"/>
  <c r="L50" i="22"/>
  <c r="J49" i="22"/>
  <c r="L46" i="22"/>
  <c r="J46" i="22"/>
  <c r="K46" i="22"/>
  <c r="L43" i="22"/>
  <c r="H58" i="22"/>
  <c r="L30" i="22"/>
  <c r="K30" i="22"/>
  <c r="I47" i="22"/>
  <c r="L47" i="22" s="1"/>
  <c r="G57" i="22"/>
  <c r="H57" i="22"/>
  <c r="K52" i="22"/>
  <c r="J55" i="22"/>
  <c r="L53" i="22"/>
  <c r="L40" i="22"/>
  <c r="K41" i="22"/>
  <c r="J43" i="22"/>
  <c r="L44" i="22"/>
  <c r="K50" i="22"/>
  <c r="G58" i="22"/>
  <c r="J30" i="22"/>
  <c r="K47" i="22"/>
  <c r="J47" i="22"/>
  <c r="F58" i="22"/>
  <c r="K20" i="22"/>
  <c r="L29" i="22"/>
  <c r="J40" i="22"/>
  <c r="L41" i="22"/>
  <c r="L20" i="22"/>
  <c r="J52" i="22"/>
  <c r="I57" i="22"/>
  <c r="J20" i="22"/>
  <c r="J44" i="22"/>
  <c r="F57" i="22"/>
  <c r="F31" i="22"/>
  <c r="K44" i="22"/>
  <c r="J50" i="22"/>
  <c r="L52" i="22"/>
  <c r="I56" i="22"/>
  <c r="L56" i="22" s="1"/>
  <c r="V56" i="21"/>
  <c r="V47" i="21"/>
  <c r="J56" i="22" l="1"/>
  <c r="L58" i="26"/>
  <c r="K58" i="26"/>
  <c r="J58" i="26"/>
  <c r="I58" i="22"/>
  <c r="L58" i="22" s="1"/>
  <c r="J31" i="22"/>
  <c r="L31" i="22"/>
  <c r="K31" i="22"/>
  <c r="L57" i="22"/>
  <c r="J57" i="22"/>
  <c r="K57" i="22"/>
  <c r="K58" i="22"/>
  <c r="J58" i="22"/>
  <c r="H56" i="21"/>
  <c r="G56" i="21"/>
  <c r="I55" i="21"/>
  <c r="H55" i="21"/>
  <c r="G55" i="21"/>
  <c r="F55" i="21"/>
  <c r="I53" i="21"/>
  <c r="H53" i="21"/>
  <c r="G53" i="21"/>
  <c r="F53" i="21"/>
  <c r="I52" i="21"/>
  <c r="H52" i="21"/>
  <c r="G52" i="21"/>
  <c r="F52" i="21"/>
  <c r="I50" i="21"/>
  <c r="H50" i="21"/>
  <c r="G50" i="21"/>
  <c r="F50" i="21"/>
  <c r="L50" i="21" s="1"/>
  <c r="I49" i="21"/>
  <c r="H49" i="21"/>
  <c r="G49" i="21"/>
  <c r="F49" i="21"/>
  <c r="H47" i="21"/>
  <c r="G47" i="21"/>
  <c r="I46" i="21"/>
  <c r="H46" i="21"/>
  <c r="G46" i="21"/>
  <c r="F46" i="21"/>
  <c r="L46" i="21" s="1"/>
  <c r="I44" i="21"/>
  <c r="H44" i="21"/>
  <c r="G44" i="21"/>
  <c r="F44" i="21"/>
  <c r="I43" i="21"/>
  <c r="H43" i="21"/>
  <c r="G43" i="21"/>
  <c r="F43" i="21"/>
  <c r="I41" i="21"/>
  <c r="H41" i="21"/>
  <c r="G41" i="21"/>
  <c r="F41" i="21"/>
  <c r="I40" i="21"/>
  <c r="H40" i="21"/>
  <c r="G40" i="21"/>
  <c r="F40" i="21"/>
  <c r="U58" i="21"/>
  <c r="T58" i="21"/>
  <c r="U57" i="21"/>
  <c r="T57" i="21"/>
  <c r="V58" i="21"/>
  <c r="V57" i="21"/>
  <c r="I56" i="21"/>
  <c r="I47" i="21"/>
  <c r="F56" i="21"/>
  <c r="F47" i="21"/>
  <c r="J52" i="21" l="1"/>
  <c r="K49" i="21"/>
  <c r="H58" i="21"/>
  <c r="J49" i="21"/>
  <c r="J55" i="21"/>
  <c r="K55" i="21"/>
  <c r="L52" i="21"/>
  <c r="K46" i="21"/>
  <c r="L43" i="21"/>
  <c r="L56" i="21"/>
  <c r="G57" i="21"/>
  <c r="F57" i="21"/>
  <c r="J57" i="21" s="1"/>
  <c r="K52" i="21"/>
  <c r="L55" i="21"/>
  <c r="L41" i="21"/>
  <c r="I57" i="21"/>
  <c r="K43" i="21"/>
  <c r="J46" i="21"/>
  <c r="J50" i="21"/>
  <c r="J44" i="21"/>
  <c r="J53" i="21"/>
  <c r="J41" i="21"/>
  <c r="K50" i="21"/>
  <c r="K44" i="21"/>
  <c r="K53" i="21"/>
  <c r="K41" i="21"/>
  <c r="L44" i="21"/>
  <c r="L53" i="21"/>
  <c r="H57" i="21"/>
  <c r="L49" i="21"/>
  <c r="J43" i="21"/>
  <c r="G58" i="21"/>
  <c r="I58" i="21"/>
  <c r="K40" i="21"/>
  <c r="J40" i="21"/>
  <c r="L40" i="21"/>
  <c r="L47" i="21"/>
  <c r="J56" i="21"/>
  <c r="K56" i="21"/>
  <c r="F58" i="21"/>
  <c r="J47" i="21"/>
  <c r="K47" i="21"/>
  <c r="L57" i="21" l="1"/>
  <c r="K57" i="21"/>
  <c r="L58" i="21"/>
  <c r="K58" i="21"/>
  <c r="J58" i="21"/>
  <c r="T30" i="21" l="1"/>
  <c r="T31" i="21"/>
  <c r="H31" i="21"/>
  <c r="G31" i="21"/>
  <c r="U30" i="21"/>
  <c r="I30" i="21"/>
  <c r="H30" i="21"/>
  <c r="G30" i="21"/>
  <c r="F30" i="21"/>
  <c r="V29" i="21"/>
  <c r="V31" i="21" s="1"/>
  <c r="U29" i="21"/>
  <c r="U31" i="21" s="1"/>
  <c r="V28" i="21"/>
  <c r="V30" i="21" s="1"/>
  <c r="L28" i="21"/>
  <c r="K28" i="21"/>
  <c r="J28" i="21"/>
  <c r="L26" i="21"/>
  <c r="K26" i="21"/>
  <c r="J26" i="21"/>
  <c r="L25" i="21"/>
  <c r="K25" i="21"/>
  <c r="J25" i="21"/>
  <c r="L23" i="21"/>
  <c r="K23" i="21"/>
  <c r="J23" i="21"/>
  <c r="L22" i="21"/>
  <c r="K22" i="21"/>
  <c r="J22" i="21"/>
  <c r="I31" i="21"/>
  <c r="F31" i="21"/>
  <c r="L19" i="21"/>
  <c r="K19" i="21"/>
  <c r="J19" i="21"/>
  <c r="L17" i="21"/>
  <c r="K17" i="21"/>
  <c r="J17" i="21"/>
  <c r="L16" i="21"/>
  <c r="K16" i="21"/>
  <c r="J16" i="21"/>
  <c r="L14" i="21"/>
  <c r="K14" i="21"/>
  <c r="J14" i="21"/>
  <c r="L13" i="21"/>
  <c r="K13" i="21"/>
  <c r="J13" i="21"/>
  <c r="I26" i="20"/>
  <c r="I17" i="20"/>
  <c r="F17" i="20"/>
  <c r="K31" i="21" l="1"/>
  <c r="L29" i="21"/>
  <c r="K30" i="21"/>
  <c r="J20" i="21"/>
  <c r="K20" i="21"/>
  <c r="L30" i="21"/>
  <c r="L20" i="21"/>
  <c r="L31" i="21"/>
  <c r="J29" i="21"/>
  <c r="J30" i="21"/>
  <c r="K29" i="21"/>
  <c r="J31" i="21"/>
  <c r="T28" i="20"/>
  <c r="I28" i="20"/>
  <c r="H28" i="20"/>
  <c r="G28" i="20"/>
  <c r="F28" i="20"/>
  <c r="U27" i="20"/>
  <c r="T27" i="20"/>
  <c r="I27" i="20"/>
  <c r="H27" i="20"/>
  <c r="G27" i="20"/>
  <c r="F27" i="20"/>
  <c r="V26" i="20"/>
  <c r="V28" i="20" s="1"/>
  <c r="U26" i="20"/>
  <c r="U28" i="20" s="1"/>
  <c r="L26" i="20"/>
  <c r="K26" i="20"/>
  <c r="J26" i="20"/>
  <c r="V25" i="20"/>
  <c r="V27" i="20" s="1"/>
  <c r="L25" i="20"/>
  <c r="K25" i="20"/>
  <c r="J25" i="20"/>
  <c r="L23" i="20"/>
  <c r="K23" i="20"/>
  <c r="J23" i="20"/>
  <c r="L22" i="20"/>
  <c r="K22" i="20"/>
  <c r="J22" i="20"/>
  <c r="L20" i="20"/>
  <c r="K20" i="20"/>
  <c r="J20" i="20"/>
  <c r="L19" i="20"/>
  <c r="K19" i="20"/>
  <c r="J19" i="20"/>
  <c r="L17" i="20"/>
  <c r="K17" i="20"/>
  <c r="J17" i="20"/>
  <c r="L16" i="20"/>
  <c r="K16" i="20"/>
  <c r="J16" i="20"/>
  <c r="L14" i="20"/>
  <c r="K14" i="20"/>
  <c r="J14" i="20"/>
  <c r="L13" i="20"/>
  <c r="K13" i="20"/>
  <c r="J13" i="20"/>
  <c r="L11" i="20"/>
  <c r="K11" i="20"/>
  <c r="J11" i="20"/>
  <c r="L10" i="20"/>
  <c r="K10" i="20"/>
  <c r="J10" i="20"/>
  <c r="K28" i="14"/>
  <c r="L27" i="14"/>
  <c r="K27" i="14"/>
  <c r="F26" i="18"/>
  <c r="M26" i="17"/>
  <c r="F26" i="17"/>
  <c r="J27" i="20" l="1"/>
  <c r="L27" i="20"/>
  <c r="J28" i="20"/>
  <c r="L28" i="20"/>
  <c r="K27" i="20"/>
  <c r="K28" i="20"/>
  <c r="J26" i="19"/>
  <c r="T28" i="19"/>
  <c r="H28" i="19"/>
  <c r="G28" i="19"/>
  <c r="U27" i="19"/>
  <c r="T27" i="19"/>
  <c r="I27" i="19"/>
  <c r="H27" i="19"/>
  <c r="G27" i="19"/>
  <c r="F27" i="19"/>
  <c r="V26" i="19"/>
  <c r="V28" i="19" s="1"/>
  <c r="U26" i="19"/>
  <c r="U28" i="19" s="1"/>
  <c r="V25" i="19"/>
  <c r="V27" i="19" s="1"/>
  <c r="L25" i="19"/>
  <c r="K25" i="19"/>
  <c r="J25" i="19"/>
  <c r="L23" i="19"/>
  <c r="K23" i="19"/>
  <c r="J23" i="19"/>
  <c r="L22" i="19"/>
  <c r="K22" i="19"/>
  <c r="J22" i="19"/>
  <c r="L20" i="19"/>
  <c r="K20" i="19"/>
  <c r="J20" i="19"/>
  <c r="L19" i="19"/>
  <c r="K19" i="19"/>
  <c r="J19" i="19"/>
  <c r="L17" i="19"/>
  <c r="K17" i="19"/>
  <c r="L16" i="19"/>
  <c r="K16" i="19"/>
  <c r="J16" i="19"/>
  <c r="L14" i="19"/>
  <c r="K14" i="19"/>
  <c r="J14" i="19"/>
  <c r="L13" i="19"/>
  <c r="K13" i="19"/>
  <c r="J13" i="19"/>
  <c r="L11" i="19"/>
  <c r="K11" i="19"/>
  <c r="J11" i="19"/>
  <c r="L10" i="19"/>
  <c r="K10" i="19"/>
  <c r="J10" i="19"/>
  <c r="P26" i="18"/>
  <c r="P26" i="19" s="1"/>
  <c r="P26" i="20" s="1"/>
  <c r="P29" i="21" s="1"/>
  <c r="O26" i="18"/>
  <c r="O26" i="19" s="1"/>
  <c r="O26" i="20" s="1"/>
  <c r="O29" i="21" s="1"/>
  <c r="N26" i="18"/>
  <c r="N26" i="19" s="1"/>
  <c r="N26" i="20" s="1"/>
  <c r="N29" i="21" s="1"/>
  <c r="M26" i="18"/>
  <c r="P25" i="18"/>
  <c r="P25" i="19" s="1"/>
  <c r="P25" i="20" s="1"/>
  <c r="P28" i="21" s="1"/>
  <c r="O25" i="18"/>
  <c r="O25" i="19" s="1"/>
  <c r="O25" i="20" s="1"/>
  <c r="O28" i="21" s="1"/>
  <c r="N25" i="18"/>
  <c r="N25" i="19" s="1"/>
  <c r="N25" i="20" s="1"/>
  <c r="N28" i="21" s="1"/>
  <c r="M25" i="18"/>
  <c r="P23" i="18"/>
  <c r="P23" i="19" s="1"/>
  <c r="O23" i="18"/>
  <c r="O23" i="19" s="1"/>
  <c r="O23" i="20" s="1"/>
  <c r="O26" i="21" s="1"/>
  <c r="N23" i="18"/>
  <c r="N23" i="19" s="1"/>
  <c r="M23" i="18"/>
  <c r="M23" i="19" s="1"/>
  <c r="M23" i="20" s="1"/>
  <c r="P22" i="18"/>
  <c r="P22" i="19" s="1"/>
  <c r="P22" i="20" s="1"/>
  <c r="P25" i="21" s="1"/>
  <c r="O22" i="18"/>
  <c r="O22" i="19" s="1"/>
  <c r="O22" i="20" s="1"/>
  <c r="O25" i="21" s="1"/>
  <c r="N22" i="18"/>
  <c r="N22" i="19" s="1"/>
  <c r="N22" i="20" s="1"/>
  <c r="N25" i="21" s="1"/>
  <c r="M22" i="18"/>
  <c r="P20" i="18"/>
  <c r="P20" i="19" s="1"/>
  <c r="P20" i="20" s="1"/>
  <c r="P23" i="21" s="1"/>
  <c r="O20" i="18"/>
  <c r="O20" i="19" s="1"/>
  <c r="O20" i="20" s="1"/>
  <c r="O23" i="21" s="1"/>
  <c r="N20" i="18"/>
  <c r="N20" i="19" s="1"/>
  <c r="N20" i="20" s="1"/>
  <c r="N23" i="21" s="1"/>
  <c r="M20" i="18"/>
  <c r="M20" i="19" s="1"/>
  <c r="M20" i="20" s="1"/>
  <c r="P19" i="18"/>
  <c r="P19" i="19" s="1"/>
  <c r="P19" i="20" s="1"/>
  <c r="P22" i="21" s="1"/>
  <c r="O19" i="18"/>
  <c r="O19" i="19" s="1"/>
  <c r="O19" i="20" s="1"/>
  <c r="O22" i="21" s="1"/>
  <c r="N19" i="18"/>
  <c r="N19" i="19" s="1"/>
  <c r="N19" i="20" s="1"/>
  <c r="N22" i="21" s="1"/>
  <c r="M19" i="18"/>
  <c r="P17" i="18"/>
  <c r="P17" i="19" s="1"/>
  <c r="P17" i="20" s="1"/>
  <c r="P20" i="21" s="1"/>
  <c r="O17" i="18"/>
  <c r="O17" i="19" s="1"/>
  <c r="O17" i="20" s="1"/>
  <c r="O20" i="21" s="1"/>
  <c r="N17" i="18"/>
  <c r="N17" i="19" s="1"/>
  <c r="N17" i="20" s="1"/>
  <c r="N20" i="21" s="1"/>
  <c r="M17" i="18"/>
  <c r="M17" i="19" s="1"/>
  <c r="M17" i="20" s="1"/>
  <c r="M20" i="21" s="1"/>
  <c r="P16" i="18"/>
  <c r="P16" i="19" s="1"/>
  <c r="P16" i="20" s="1"/>
  <c r="P19" i="21" s="1"/>
  <c r="O16" i="18"/>
  <c r="O16" i="19" s="1"/>
  <c r="O16" i="20" s="1"/>
  <c r="O19" i="21" s="1"/>
  <c r="N16" i="18"/>
  <c r="N16" i="19" s="1"/>
  <c r="N16" i="20" s="1"/>
  <c r="N19" i="21" s="1"/>
  <c r="M16" i="18"/>
  <c r="S16" i="18" s="1"/>
  <c r="P14" i="18"/>
  <c r="P14" i="19" s="1"/>
  <c r="P14" i="20" s="1"/>
  <c r="P17" i="21" s="1"/>
  <c r="O14" i="18"/>
  <c r="O14" i="19" s="1"/>
  <c r="O14" i="20" s="1"/>
  <c r="O17" i="21" s="1"/>
  <c r="N14" i="18"/>
  <c r="N14" i="19" s="1"/>
  <c r="N14" i="20" s="1"/>
  <c r="M14" i="18"/>
  <c r="M14" i="19" s="1"/>
  <c r="M14" i="20" s="1"/>
  <c r="M17" i="21" s="1"/>
  <c r="P13" i="18"/>
  <c r="P13" i="19" s="1"/>
  <c r="P13" i="20" s="1"/>
  <c r="P16" i="21" s="1"/>
  <c r="O13" i="18"/>
  <c r="O13" i="19" s="1"/>
  <c r="O13" i="20" s="1"/>
  <c r="O16" i="21" s="1"/>
  <c r="N13" i="18"/>
  <c r="N13" i="19" s="1"/>
  <c r="N13" i="20" s="1"/>
  <c r="N16" i="21" s="1"/>
  <c r="M13" i="18"/>
  <c r="S13" i="18" s="1"/>
  <c r="P11" i="18"/>
  <c r="P11" i="19" s="1"/>
  <c r="P11" i="20" s="1"/>
  <c r="O11" i="18"/>
  <c r="O11" i="19" s="1"/>
  <c r="O11" i="20" s="1"/>
  <c r="O14" i="21" s="1"/>
  <c r="N11" i="18"/>
  <c r="N11" i="19" s="1"/>
  <c r="N11" i="20" s="1"/>
  <c r="N14" i="21" s="1"/>
  <c r="M11" i="18"/>
  <c r="M11" i="19" s="1"/>
  <c r="M11" i="20" s="1"/>
  <c r="M14" i="21" s="1"/>
  <c r="P10" i="18"/>
  <c r="P10" i="19" s="1"/>
  <c r="P10" i="20" s="1"/>
  <c r="P13" i="21" s="1"/>
  <c r="O10" i="18"/>
  <c r="O10" i="19" s="1"/>
  <c r="O10" i="20" s="1"/>
  <c r="O13" i="21" s="1"/>
  <c r="N10" i="18"/>
  <c r="N27" i="18" s="1"/>
  <c r="M10" i="18"/>
  <c r="M10" i="19" s="1"/>
  <c r="M10" i="20" s="1"/>
  <c r="T28" i="18"/>
  <c r="I28" i="18"/>
  <c r="H28" i="18"/>
  <c r="G28" i="18"/>
  <c r="F28" i="18"/>
  <c r="U27" i="18"/>
  <c r="T27" i="18"/>
  <c r="I27" i="18"/>
  <c r="H27" i="18"/>
  <c r="G27" i="18"/>
  <c r="F27" i="18"/>
  <c r="V26" i="18"/>
  <c r="V28" i="18" s="1"/>
  <c r="U26" i="18"/>
  <c r="U28" i="18" s="1"/>
  <c r="L26" i="18"/>
  <c r="K26" i="18"/>
  <c r="J26" i="18"/>
  <c r="V25" i="18"/>
  <c r="V27" i="18" s="1"/>
  <c r="L25" i="18"/>
  <c r="K25" i="18"/>
  <c r="J25" i="18"/>
  <c r="L23" i="18"/>
  <c r="K23" i="18"/>
  <c r="J23" i="18"/>
  <c r="L22" i="18"/>
  <c r="K22" i="18"/>
  <c r="J22" i="18"/>
  <c r="L20" i="18"/>
  <c r="K20" i="18"/>
  <c r="J20" i="18"/>
  <c r="L19" i="18"/>
  <c r="K19" i="18"/>
  <c r="J19" i="18"/>
  <c r="L17" i="18"/>
  <c r="K17" i="18"/>
  <c r="J17" i="18"/>
  <c r="L16" i="18"/>
  <c r="K16" i="18"/>
  <c r="J16" i="18"/>
  <c r="L14" i="18"/>
  <c r="K14" i="18"/>
  <c r="J14" i="18"/>
  <c r="L13" i="18"/>
  <c r="K13" i="18"/>
  <c r="J13" i="18"/>
  <c r="L11" i="18"/>
  <c r="K11" i="18"/>
  <c r="J11" i="18"/>
  <c r="L10" i="18"/>
  <c r="K10" i="18"/>
  <c r="J10" i="18"/>
  <c r="T28" i="17"/>
  <c r="H28" i="17"/>
  <c r="U27" i="17"/>
  <c r="T27" i="17"/>
  <c r="H27" i="17"/>
  <c r="V26" i="17"/>
  <c r="V28" i="17" s="1"/>
  <c r="U26" i="17"/>
  <c r="U28" i="17" s="1"/>
  <c r="V25" i="17"/>
  <c r="V27" i="17" s="1"/>
  <c r="T28" i="16"/>
  <c r="H28" i="16"/>
  <c r="U27" i="16"/>
  <c r="T27" i="16"/>
  <c r="H27" i="16"/>
  <c r="V26" i="16"/>
  <c r="V28" i="16" s="1"/>
  <c r="U26" i="16"/>
  <c r="U28" i="16" s="1"/>
  <c r="V25" i="16"/>
  <c r="V27" i="16" s="1"/>
  <c r="T28" i="15"/>
  <c r="T27" i="15"/>
  <c r="U27" i="15"/>
  <c r="V26" i="15"/>
  <c r="V28" i="15" s="1"/>
  <c r="U26" i="15"/>
  <c r="U28" i="15" s="1"/>
  <c r="V25" i="15"/>
  <c r="V27" i="15" s="1"/>
  <c r="P26" i="14"/>
  <c r="L26" i="14"/>
  <c r="L28" i="14" s="1"/>
  <c r="M26" i="14"/>
  <c r="M28" i="14" s="1"/>
  <c r="Q26" i="14"/>
  <c r="Q25" i="14"/>
  <c r="M25" i="14"/>
  <c r="H23" i="14"/>
  <c r="H22" i="14"/>
  <c r="H20" i="14"/>
  <c r="H19" i="14"/>
  <c r="H17" i="14"/>
  <c r="H16" i="14"/>
  <c r="H14" i="14"/>
  <c r="H13" i="14"/>
  <c r="R19" i="18" l="1"/>
  <c r="J27" i="18"/>
  <c r="S17" i="20"/>
  <c r="M13" i="21"/>
  <c r="S10" i="20"/>
  <c r="R10" i="20"/>
  <c r="N16" i="22"/>
  <c r="N43" i="21"/>
  <c r="N19" i="22"/>
  <c r="N46" i="21"/>
  <c r="P14" i="21"/>
  <c r="S11" i="20"/>
  <c r="O19" i="22"/>
  <c r="O46" i="21"/>
  <c r="O22" i="22"/>
  <c r="O49" i="21"/>
  <c r="O25" i="22"/>
  <c r="O52" i="21"/>
  <c r="O28" i="22"/>
  <c r="O55" i="21"/>
  <c r="P22" i="22"/>
  <c r="P49" i="21"/>
  <c r="P28" i="22"/>
  <c r="P55" i="21"/>
  <c r="M23" i="21"/>
  <c r="Q20" i="20"/>
  <c r="S20" i="20"/>
  <c r="R20" i="20"/>
  <c r="M26" i="21"/>
  <c r="R23" i="20"/>
  <c r="S23" i="20"/>
  <c r="N25" i="22"/>
  <c r="N52" i="21"/>
  <c r="P17" i="22"/>
  <c r="P44" i="21"/>
  <c r="P20" i="22"/>
  <c r="P47" i="21"/>
  <c r="P23" i="22"/>
  <c r="P50" i="21"/>
  <c r="S23" i="19"/>
  <c r="P23" i="20"/>
  <c r="P26" i="21" s="1"/>
  <c r="P29" i="22"/>
  <c r="P56" i="21"/>
  <c r="Q17" i="20"/>
  <c r="N22" i="22"/>
  <c r="N49" i="21"/>
  <c r="Q22" i="18"/>
  <c r="Q25" i="18"/>
  <c r="M13" i="19"/>
  <c r="M13" i="20" s="1"/>
  <c r="Q11" i="20"/>
  <c r="R14" i="20"/>
  <c r="H25" i="14"/>
  <c r="M27" i="14"/>
  <c r="O13" i="22"/>
  <c r="O13" i="26" s="1"/>
  <c r="O40" i="21"/>
  <c r="O30" i="21"/>
  <c r="O16" i="22"/>
  <c r="O43" i="21"/>
  <c r="M16" i="19"/>
  <c r="M16" i="20" s="1"/>
  <c r="O27" i="20"/>
  <c r="N28" i="22"/>
  <c r="N55" i="21"/>
  <c r="P13" i="22"/>
  <c r="P13" i="26" s="1"/>
  <c r="P40" i="21"/>
  <c r="P30" i="21"/>
  <c r="P16" i="22"/>
  <c r="P43" i="21"/>
  <c r="P19" i="22"/>
  <c r="P46" i="21"/>
  <c r="R17" i="20"/>
  <c r="O28" i="20"/>
  <c r="M14" i="22"/>
  <c r="M14" i="26" s="1"/>
  <c r="M41" i="21"/>
  <c r="Q14" i="21"/>
  <c r="R14" i="21"/>
  <c r="S14" i="21"/>
  <c r="M17" i="22"/>
  <c r="M17" i="26" s="1"/>
  <c r="M44" i="21"/>
  <c r="R17" i="21"/>
  <c r="S17" i="21"/>
  <c r="M20" i="22"/>
  <c r="M20" i="26" s="1"/>
  <c r="M47" i="21"/>
  <c r="R20" i="21"/>
  <c r="R11" i="20"/>
  <c r="S14" i="20"/>
  <c r="Q20" i="21"/>
  <c r="N14" i="22"/>
  <c r="N14" i="26" s="1"/>
  <c r="N41" i="21"/>
  <c r="Q14" i="20"/>
  <c r="N17" i="21"/>
  <c r="N20" i="22"/>
  <c r="N47" i="21"/>
  <c r="N23" i="22"/>
  <c r="N50" i="21"/>
  <c r="Q23" i="19"/>
  <c r="N23" i="20"/>
  <c r="N26" i="21" s="1"/>
  <c r="N29" i="22"/>
  <c r="N56" i="21"/>
  <c r="P27" i="20"/>
  <c r="S20" i="21"/>
  <c r="P25" i="22"/>
  <c r="P52" i="21"/>
  <c r="O14" i="22"/>
  <c r="O14" i="26" s="1"/>
  <c r="O41" i="21"/>
  <c r="O31" i="21"/>
  <c r="O17" i="22"/>
  <c r="O44" i="21"/>
  <c r="O20" i="22"/>
  <c r="O47" i="21"/>
  <c r="O23" i="22"/>
  <c r="O50" i="21"/>
  <c r="O26" i="22"/>
  <c r="O53" i="21"/>
  <c r="O29" i="22"/>
  <c r="O56" i="21"/>
  <c r="N10" i="19"/>
  <c r="N10" i="20" s="1"/>
  <c r="Q10" i="20" s="1"/>
  <c r="Q16" i="20"/>
  <c r="R16" i="20"/>
  <c r="S16" i="20"/>
  <c r="S11" i="19"/>
  <c r="M19" i="19"/>
  <c r="M19" i="20" s="1"/>
  <c r="M22" i="19"/>
  <c r="M27" i="19" s="1"/>
  <c r="M25" i="19"/>
  <c r="M25" i="20" s="1"/>
  <c r="R23" i="19"/>
  <c r="M26" i="19"/>
  <c r="L26" i="19"/>
  <c r="K26" i="19"/>
  <c r="I28" i="19"/>
  <c r="F28" i="19"/>
  <c r="J17" i="19"/>
  <c r="R25" i="19"/>
  <c r="S25" i="19"/>
  <c r="Q25" i="19"/>
  <c r="Q20" i="19"/>
  <c r="R20" i="19"/>
  <c r="S20" i="19"/>
  <c r="Q17" i="19"/>
  <c r="R17" i="19"/>
  <c r="S17" i="19"/>
  <c r="S16" i="19"/>
  <c r="P27" i="19"/>
  <c r="Q14" i="19"/>
  <c r="R14" i="19"/>
  <c r="S14" i="19"/>
  <c r="R13" i="19"/>
  <c r="S10" i="19"/>
  <c r="R19" i="19"/>
  <c r="O27" i="19"/>
  <c r="P28" i="19"/>
  <c r="Q13" i="19"/>
  <c r="L27" i="19"/>
  <c r="R11" i="19"/>
  <c r="Q11" i="19"/>
  <c r="O28" i="19"/>
  <c r="N28" i="19"/>
  <c r="S13" i="19"/>
  <c r="R10" i="19"/>
  <c r="R16" i="19"/>
  <c r="R22" i="19"/>
  <c r="K27" i="19"/>
  <c r="Q16" i="19"/>
  <c r="Q22" i="19"/>
  <c r="J27" i="19"/>
  <c r="O28" i="18"/>
  <c r="M28" i="18"/>
  <c r="Q28" i="18" s="1"/>
  <c r="L28" i="18"/>
  <c r="Q26" i="18"/>
  <c r="R25" i="18"/>
  <c r="R26" i="18"/>
  <c r="S26" i="18"/>
  <c r="Q14" i="18"/>
  <c r="Q17" i="18"/>
  <c r="Q20" i="18"/>
  <c r="Q23" i="18"/>
  <c r="R14" i="18"/>
  <c r="R17" i="18"/>
  <c r="R20" i="18"/>
  <c r="R23" i="18"/>
  <c r="S14" i="18"/>
  <c r="S17" i="18"/>
  <c r="S20" i="18"/>
  <c r="S23" i="18"/>
  <c r="R11" i="18"/>
  <c r="S25" i="18"/>
  <c r="N28" i="18"/>
  <c r="L27" i="18"/>
  <c r="P27" i="18"/>
  <c r="R22" i="18"/>
  <c r="S22" i="18"/>
  <c r="O27" i="18"/>
  <c r="S19" i="18"/>
  <c r="Q19" i="18"/>
  <c r="M27" i="18"/>
  <c r="Q16" i="18"/>
  <c r="P28" i="18"/>
  <c r="R16" i="18"/>
  <c r="Q13" i="18"/>
  <c r="R13" i="18"/>
  <c r="Q11" i="18"/>
  <c r="S11" i="18"/>
  <c r="Q10" i="18"/>
  <c r="R10" i="18"/>
  <c r="S10" i="18"/>
  <c r="K27" i="18"/>
  <c r="J28" i="18"/>
  <c r="K28" i="18"/>
  <c r="R22" i="17"/>
  <c r="R23" i="17"/>
  <c r="K16" i="17"/>
  <c r="S16" i="17"/>
  <c r="O27" i="17"/>
  <c r="O28" i="17"/>
  <c r="J13" i="17"/>
  <c r="K20" i="17"/>
  <c r="K11" i="17"/>
  <c r="K23" i="17"/>
  <c r="L10" i="17"/>
  <c r="K17" i="17"/>
  <c r="L20" i="17"/>
  <c r="L17" i="17"/>
  <c r="L22" i="17"/>
  <c r="S11" i="17"/>
  <c r="J20" i="17"/>
  <c r="Q10" i="17"/>
  <c r="R13" i="17"/>
  <c r="R11" i="17"/>
  <c r="R20" i="17"/>
  <c r="K13" i="17"/>
  <c r="S20" i="17"/>
  <c r="L13" i="17"/>
  <c r="J16" i="17"/>
  <c r="Q20" i="17"/>
  <c r="Q11" i="17"/>
  <c r="S14" i="17"/>
  <c r="R14" i="17"/>
  <c r="Q14" i="17"/>
  <c r="S17" i="17"/>
  <c r="J11" i="17"/>
  <c r="L16" i="17"/>
  <c r="J19" i="17"/>
  <c r="L11" i="17"/>
  <c r="J14" i="17"/>
  <c r="K19" i="17"/>
  <c r="L23" i="17"/>
  <c r="J23" i="17"/>
  <c r="J10" i="17"/>
  <c r="L19" i="17"/>
  <c r="K10" i="17"/>
  <c r="J17" i="17"/>
  <c r="R17" i="17"/>
  <c r="K22" i="17"/>
  <c r="K14" i="17"/>
  <c r="Q17" i="17"/>
  <c r="J22" i="17"/>
  <c r="L14" i="17"/>
  <c r="O28" i="16"/>
  <c r="O27" i="16"/>
  <c r="O27" i="15"/>
  <c r="O28" i="15"/>
  <c r="H27" i="15"/>
  <c r="H28" i="15"/>
  <c r="H26" i="14"/>
  <c r="G11" i="14"/>
  <c r="G10" i="14"/>
  <c r="G14" i="14"/>
  <c r="G13" i="14"/>
  <c r="G17" i="14"/>
  <c r="G16" i="14"/>
  <c r="G20" i="14"/>
  <c r="G19" i="14"/>
  <c r="G26" i="14"/>
  <c r="G25" i="14"/>
  <c r="G23" i="14"/>
  <c r="G22" i="14"/>
  <c r="Q28" i="14"/>
  <c r="P28" i="14"/>
  <c r="Q27" i="14"/>
  <c r="P27" i="14"/>
  <c r="F17" i="1"/>
  <c r="O41" i="26" l="1"/>
  <c r="O14" i="27"/>
  <c r="N14" i="27"/>
  <c r="N41" i="26"/>
  <c r="P13" i="27"/>
  <c r="P40" i="26"/>
  <c r="O57" i="21"/>
  <c r="P55" i="22"/>
  <c r="P28" i="26"/>
  <c r="O49" i="22"/>
  <c r="O22" i="26"/>
  <c r="N43" i="22"/>
  <c r="N16" i="26"/>
  <c r="O53" i="22"/>
  <c r="O26" i="26"/>
  <c r="N52" i="22"/>
  <c r="N25" i="26"/>
  <c r="O50" i="22"/>
  <c r="O23" i="26"/>
  <c r="O13" i="27"/>
  <c r="O30" i="26"/>
  <c r="O40" i="26"/>
  <c r="P50" i="22"/>
  <c r="P23" i="26"/>
  <c r="P52" i="22"/>
  <c r="P25" i="26"/>
  <c r="N50" i="22"/>
  <c r="N23" i="26"/>
  <c r="M44" i="26"/>
  <c r="M17" i="27"/>
  <c r="R17" i="26"/>
  <c r="N55" i="22"/>
  <c r="N28" i="26"/>
  <c r="N49" i="22"/>
  <c r="N22" i="26"/>
  <c r="P49" i="22"/>
  <c r="P22" i="26"/>
  <c r="O46" i="22"/>
  <c r="O19" i="26"/>
  <c r="O47" i="22"/>
  <c r="O20" i="26"/>
  <c r="P46" i="22"/>
  <c r="P19" i="26"/>
  <c r="P47" i="22"/>
  <c r="P20" i="26"/>
  <c r="N47" i="22"/>
  <c r="N20" i="26"/>
  <c r="O55" i="22"/>
  <c r="O28" i="26"/>
  <c r="O56" i="22"/>
  <c r="O29" i="26"/>
  <c r="O44" i="22"/>
  <c r="O17" i="26"/>
  <c r="P43" i="22"/>
  <c r="P16" i="26"/>
  <c r="P56" i="22"/>
  <c r="P29" i="26"/>
  <c r="P44" i="22"/>
  <c r="P17" i="26"/>
  <c r="S17" i="26" s="1"/>
  <c r="M14" i="27"/>
  <c r="Q14" i="26"/>
  <c r="R14" i="26"/>
  <c r="M41" i="26"/>
  <c r="N56" i="22"/>
  <c r="N29" i="26"/>
  <c r="O43" i="22"/>
  <c r="O16" i="26"/>
  <c r="O52" i="22"/>
  <c r="O25" i="26"/>
  <c r="N46" i="22"/>
  <c r="N19" i="26"/>
  <c r="M20" i="27"/>
  <c r="M20" i="28" s="1"/>
  <c r="M20" i="29" s="1"/>
  <c r="Q20" i="26"/>
  <c r="R20" i="26"/>
  <c r="M47" i="26"/>
  <c r="S19" i="19"/>
  <c r="S17" i="22"/>
  <c r="R17" i="22"/>
  <c r="M44" i="22"/>
  <c r="O40" i="22"/>
  <c r="O57" i="22" s="1"/>
  <c r="O30" i="22"/>
  <c r="P30" i="22"/>
  <c r="P40" i="22"/>
  <c r="N27" i="19"/>
  <c r="R26" i="19"/>
  <c r="M26" i="20"/>
  <c r="N17" i="22"/>
  <c r="N44" i="21"/>
  <c r="Q23" i="20"/>
  <c r="S47" i="21"/>
  <c r="R47" i="21"/>
  <c r="Q47" i="21"/>
  <c r="M26" i="22"/>
  <c r="M26" i="26" s="1"/>
  <c r="M53" i="21"/>
  <c r="S26" i="21"/>
  <c r="R26" i="21"/>
  <c r="Q26" i="21"/>
  <c r="M28" i="21"/>
  <c r="Q25" i="20"/>
  <c r="R25" i="20"/>
  <c r="S25" i="20"/>
  <c r="O58" i="21"/>
  <c r="N26" i="22"/>
  <c r="N53" i="21"/>
  <c r="Q53" i="21" s="1"/>
  <c r="N31" i="21"/>
  <c r="Q20" i="22"/>
  <c r="M47" i="22"/>
  <c r="R20" i="22"/>
  <c r="S20" i="22"/>
  <c r="M19" i="21"/>
  <c r="Q19" i="19"/>
  <c r="S22" i="19"/>
  <c r="M22" i="20"/>
  <c r="O41" i="22"/>
  <c r="O31" i="22"/>
  <c r="Q41" i="21"/>
  <c r="R41" i="21"/>
  <c r="Q10" i="19"/>
  <c r="M22" i="21"/>
  <c r="R19" i="20"/>
  <c r="S19" i="20"/>
  <c r="Q19" i="20"/>
  <c r="N41" i="22"/>
  <c r="Q17" i="21"/>
  <c r="Q14" i="22"/>
  <c r="R14" i="22"/>
  <c r="M41" i="22"/>
  <c r="M16" i="21"/>
  <c r="R13" i="20"/>
  <c r="Q13" i="20"/>
  <c r="S13" i="20"/>
  <c r="P26" i="22"/>
  <c r="P53" i="21"/>
  <c r="P28" i="20"/>
  <c r="N13" i="21"/>
  <c r="N27" i="20"/>
  <c r="Q44" i="21"/>
  <c r="S44" i="21"/>
  <c r="R44" i="21"/>
  <c r="N28" i="20"/>
  <c r="P57" i="21"/>
  <c r="M23" i="22"/>
  <c r="M23" i="26" s="1"/>
  <c r="M50" i="21"/>
  <c r="S23" i="21"/>
  <c r="R23" i="21"/>
  <c r="Q23" i="21"/>
  <c r="P14" i="22"/>
  <c r="P41" i="21"/>
  <c r="S41" i="21" s="1"/>
  <c r="P31" i="21"/>
  <c r="M13" i="22"/>
  <c r="M13" i="26" s="1"/>
  <c r="M40" i="21"/>
  <c r="S13" i="21"/>
  <c r="Q13" i="21"/>
  <c r="R13" i="21"/>
  <c r="S28" i="18"/>
  <c r="L28" i="19"/>
  <c r="Q26" i="19"/>
  <c r="S26" i="19"/>
  <c r="M28" i="19"/>
  <c r="Q28" i="19" s="1"/>
  <c r="K28" i="19"/>
  <c r="J28" i="19"/>
  <c r="S27" i="19"/>
  <c r="R27" i="19"/>
  <c r="Q27" i="19"/>
  <c r="R28" i="18"/>
  <c r="S27" i="18"/>
  <c r="Q27" i="18"/>
  <c r="R27" i="18"/>
  <c r="N28" i="17"/>
  <c r="S23" i="17"/>
  <c r="Q23" i="17"/>
  <c r="N27" i="17"/>
  <c r="S22" i="17"/>
  <c r="Q22" i="17"/>
  <c r="S13" i="17"/>
  <c r="Q16" i="17"/>
  <c r="P28" i="17"/>
  <c r="P27" i="17"/>
  <c r="F28" i="17"/>
  <c r="K28" i="17" s="1"/>
  <c r="R10" i="17"/>
  <c r="S10" i="17"/>
  <c r="Q13" i="17"/>
  <c r="G27" i="17"/>
  <c r="R16" i="17"/>
  <c r="I27" i="17"/>
  <c r="I28" i="17"/>
  <c r="J25" i="17"/>
  <c r="K25" i="17"/>
  <c r="L25" i="17"/>
  <c r="L26" i="17"/>
  <c r="J26" i="17"/>
  <c r="K26" i="17"/>
  <c r="Q19" i="17"/>
  <c r="S19" i="17"/>
  <c r="R19" i="17"/>
  <c r="G28" i="17"/>
  <c r="F27" i="17"/>
  <c r="G27" i="14"/>
  <c r="G28" i="14"/>
  <c r="I25" i="1"/>
  <c r="I23" i="1"/>
  <c r="I22" i="1"/>
  <c r="I20" i="1"/>
  <c r="I19" i="1"/>
  <c r="I16" i="1"/>
  <c r="I14" i="1"/>
  <c r="I13" i="1"/>
  <c r="I11" i="1"/>
  <c r="I10" i="1"/>
  <c r="I26" i="9"/>
  <c r="I25" i="9"/>
  <c r="I23" i="9"/>
  <c r="I22" i="9"/>
  <c r="I20" i="9"/>
  <c r="I19" i="9"/>
  <c r="I17" i="9"/>
  <c r="I16" i="9"/>
  <c r="I14" i="9"/>
  <c r="I13" i="9"/>
  <c r="I11" i="9"/>
  <c r="I10" i="9"/>
  <c r="I25" i="10"/>
  <c r="I23" i="10"/>
  <c r="I22" i="10"/>
  <c r="I20" i="10"/>
  <c r="I19" i="10"/>
  <c r="I16" i="10"/>
  <c r="I14" i="10"/>
  <c r="I13" i="10"/>
  <c r="I11" i="10"/>
  <c r="I10" i="10"/>
  <c r="O56" i="26" l="1"/>
  <c r="O29" i="27"/>
  <c r="N58" i="21"/>
  <c r="N56" i="26"/>
  <c r="N29" i="27"/>
  <c r="N50" i="26"/>
  <c r="N23" i="27"/>
  <c r="O30" i="27"/>
  <c r="O40" i="27"/>
  <c r="O13" i="28"/>
  <c r="P40" i="27"/>
  <c r="P13" i="28"/>
  <c r="P53" i="22"/>
  <c r="P26" i="26"/>
  <c r="N53" i="22"/>
  <c r="N58" i="22" s="1"/>
  <c r="N26" i="26"/>
  <c r="N44" i="22"/>
  <c r="N17" i="26"/>
  <c r="P47" i="30"/>
  <c r="P47" i="31"/>
  <c r="P47" i="32"/>
  <c r="P29" i="27"/>
  <c r="P56" i="26"/>
  <c r="O28" i="27"/>
  <c r="O55" i="26"/>
  <c r="O47" i="26"/>
  <c r="O20" i="27"/>
  <c r="N55" i="26"/>
  <c r="N28" i="27"/>
  <c r="O50" i="26"/>
  <c r="O23" i="27"/>
  <c r="O31" i="27" s="1"/>
  <c r="O22" i="27"/>
  <c r="O49" i="26"/>
  <c r="S14" i="22"/>
  <c r="P14" i="26"/>
  <c r="N46" i="26"/>
  <c r="N19" i="27"/>
  <c r="R41" i="26"/>
  <c r="Q41" i="26"/>
  <c r="P25" i="27"/>
  <c r="P52" i="26"/>
  <c r="M40" i="26"/>
  <c r="M13" i="27"/>
  <c r="R13" i="26"/>
  <c r="S13" i="26"/>
  <c r="N31" i="22"/>
  <c r="M26" i="27"/>
  <c r="S26" i="26"/>
  <c r="M53" i="26"/>
  <c r="R26" i="26"/>
  <c r="Q26" i="26"/>
  <c r="P16" i="27"/>
  <c r="P43" i="26"/>
  <c r="P57" i="26" s="1"/>
  <c r="N20" i="27"/>
  <c r="N47" i="26"/>
  <c r="Q47" i="26" s="1"/>
  <c r="O19" i="27"/>
  <c r="O46" i="26"/>
  <c r="N25" i="27"/>
  <c r="N52" i="26"/>
  <c r="P28" i="27"/>
  <c r="P55" i="26"/>
  <c r="N41" i="27"/>
  <c r="N14" i="28"/>
  <c r="P19" i="27"/>
  <c r="P46" i="26"/>
  <c r="O52" i="26"/>
  <c r="O25" i="27"/>
  <c r="P23" i="27"/>
  <c r="P50" i="26"/>
  <c r="O31" i="26"/>
  <c r="M50" i="26"/>
  <c r="M23" i="27"/>
  <c r="R23" i="26"/>
  <c r="Q23" i="26"/>
  <c r="S23" i="26"/>
  <c r="P17" i="27"/>
  <c r="P44" i="26"/>
  <c r="S44" i="26" s="1"/>
  <c r="N43" i="26"/>
  <c r="N16" i="27"/>
  <c r="P57" i="22"/>
  <c r="O44" i="26"/>
  <c r="R44" i="26" s="1"/>
  <c r="O17" i="27"/>
  <c r="P20" i="27"/>
  <c r="P47" i="26"/>
  <c r="P22" i="27"/>
  <c r="P49" i="26"/>
  <c r="O53" i="26"/>
  <c r="O26" i="27"/>
  <c r="O14" i="28"/>
  <c r="O41" i="27"/>
  <c r="N49" i="26"/>
  <c r="N22" i="27"/>
  <c r="O58" i="22"/>
  <c r="S20" i="26"/>
  <c r="O16" i="27"/>
  <c r="O43" i="26"/>
  <c r="Q14" i="27"/>
  <c r="M41" i="27"/>
  <c r="M14" i="28"/>
  <c r="R14" i="27"/>
  <c r="M17" i="28"/>
  <c r="R17" i="27"/>
  <c r="M44" i="27"/>
  <c r="O57" i="26"/>
  <c r="P30" i="26"/>
  <c r="O58" i="26"/>
  <c r="M47" i="29"/>
  <c r="M47" i="28"/>
  <c r="R47" i="26"/>
  <c r="S20" i="27"/>
  <c r="R20" i="27"/>
  <c r="M47" i="27"/>
  <c r="M16" i="22"/>
  <c r="M16" i="26" s="1"/>
  <c r="S16" i="21"/>
  <c r="M43" i="21"/>
  <c r="R16" i="21"/>
  <c r="Q16" i="21"/>
  <c r="M19" i="22"/>
  <c r="M19" i="26" s="1"/>
  <c r="S19" i="21"/>
  <c r="Q19" i="21"/>
  <c r="R19" i="21"/>
  <c r="Q17" i="22"/>
  <c r="S40" i="21"/>
  <c r="R40" i="21"/>
  <c r="S50" i="21"/>
  <c r="R50" i="21"/>
  <c r="Q50" i="21"/>
  <c r="N13" i="22"/>
  <c r="N13" i="26" s="1"/>
  <c r="N40" i="21"/>
  <c r="N57" i="21" s="1"/>
  <c r="N30" i="21"/>
  <c r="M46" i="21"/>
  <c r="S53" i="21"/>
  <c r="R53" i="21"/>
  <c r="M29" i="21"/>
  <c r="Q26" i="20"/>
  <c r="S26" i="20"/>
  <c r="R26" i="20"/>
  <c r="M28" i="20"/>
  <c r="R44" i="22"/>
  <c r="S44" i="22"/>
  <c r="Q44" i="22"/>
  <c r="R13" i="22"/>
  <c r="S13" i="22"/>
  <c r="Q13" i="22"/>
  <c r="M40" i="22"/>
  <c r="M50" i="22"/>
  <c r="R23" i="22"/>
  <c r="Q23" i="22"/>
  <c r="S23" i="22"/>
  <c r="R41" i="22"/>
  <c r="Q41" i="22"/>
  <c r="M53" i="22"/>
  <c r="S26" i="22"/>
  <c r="Q26" i="22"/>
  <c r="R26" i="22"/>
  <c r="P58" i="21"/>
  <c r="M22" i="22"/>
  <c r="M22" i="26" s="1"/>
  <c r="M49" i="21"/>
  <c r="S22" i="21"/>
  <c r="Q22" i="21"/>
  <c r="R22" i="21"/>
  <c r="S47" i="22"/>
  <c r="Q47" i="22"/>
  <c r="R47" i="22"/>
  <c r="P31" i="22"/>
  <c r="P41" i="22"/>
  <c r="P58" i="22" s="1"/>
  <c r="M25" i="21"/>
  <c r="M30" i="21" s="1"/>
  <c r="R22" i="20"/>
  <c r="Q22" i="20"/>
  <c r="S22" i="20"/>
  <c r="M28" i="22"/>
  <c r="M28" i="26" s="1"/>
  <c r="M55" i="21"/>
  <c r="R28" i="21"/>
  <c r="S28" i="21"/>
  <c r="Q28" i="21"/>
  <c r="M27" i="20"/>
  <c r="S28" i="19"/>
  <c r="R28" i="19"/>
  <c r="L28" i="17"/>
  <c r="J28" i="17"/>
  <c r="R26" i="17"/>
  <c r="S26" i="17"/>
  <c r="Q26" i="17"/>
  <c r="M28" i="17"/>
  <c r="L27" i="17"/>
  <c r="K27" i="17"/>
  <c r="J27" i="17"/>
  <c r="R25" i="17"/>
  <c r="Q25" i="17"/>
  <c r="S25" i="17"/>
  <c r="M27" i="17"/>
  <c r="P27" i="1"/>
  <c r="P28" i="1"/>
  <c r="N40" i="26" l="1"/>
  <c r="N57" i="26" s="1"/>
  <c r="N13" i="27"/>
  <c r="N30" i="26"/>
  <c r="M14" i="29"/>
  <c r="M41" i="28"/>
  <c r="Q14" i="28"/>
  <c r="R14" i="28"/>
  <c r="N22" i="28"/>
  <c r="N49" i="27"/>
  <c r="P22" i="28"/>
  <c r="P49" i="27"/>
  <c r="M53" i="27"/>
  <c r="M26" i="28"/>
  <c r="R26" i="27"/>
  <c r="P29" i="28"/>
  <c r="P56" i="27"/>
  <c r="P26" i="27"/>
  <c r="P53" i="26"/>
  <c r="S53" i="26" s="1"/>
  <c r="N23" i="28"/>
  <c r="N50" i="27"/>
  <c r="O46" i="27"/>
  <c r="O19" i="28"/>
  <c r="Q41" i="27"/>
  <c r="R41" i="27"/>
  <c r="P17" i="28"/>
  <c r="P44" i="27"/>
  <c r="S44" i="27" s="1"/>
  <c r="P23" i="28"/>
  <c r="P50" i="27"/>
  <c r="N20" i="28"/>
  <c r="N47" i="27"/>
  <c r="P25" i="28"/>
  <c r="P52" i="27"/>
  <c r="N28" i="28"/>
  <c r="N55" i="27"/>
  <c r="P20" i="28"/>
  <c r="P47" i="27"/>
  <c r="S47" i="27" s="1"/>
  <c r="O52" i="27"/>
  <c r="O25" i="28"/>
  <c r="P40" i="28"/>
  <c r="N29" i="28"/>
  <c r="N56" i="27"/>
  <c r="M43" i="26"/>
  <c r="M16" i="27"/>
  <c r="S16" i="26"/>
  <c r="Q16" i="26"/>
  <c r="R16" i="26"/>
  <c r="P14" i="27"/>
  <c r="P41" i="26"/>
  <c r="S41" i="26" s="1"/>
  <c r="P31" i="26"/>
  <c r="S14" i="26"/>
  <c r="M49" i="26"/>
  <c r="M22" i="27"/>
  <c r="R22" i="26"/>
  <c r="S22" i="26"/>
  <c r="Q22" i="26"/>
  <c r="Q20" i="27"/>
  <c r="S17" i="27"/>
  <c r="O14" i="29"/>
  <c r="O41" i="28"/>
  <c r="O44" i="27"/>
  <c r="R44" i="27" s="1"/>
  <c r="O17" i="28"/>
  <c r="P28" i="28"/>
  <c r="P55" i="27"/>
  <c r="P16" i="28"/>
  <c r="P43" i="27"/>
  <c r="O47" i="27"/>
  <c r="O20" i="28"/>
  <c r="P57" i="27"/>
  <c r="S40" i="26"/>
  <c r="R40" i="26"/>
  <c r="Q40" i="26"/>
  <c r="N44" i="26"/>
  <c r="N17" i="27"/>
  <c r="Q17" i="26"/>
  <c r="N31" i="26"/>
  <c r="P30" i="27"/>
  <c r="N14" i="29"/>
  <c r="N41" i="28"/>
  <c r="O50" i="27"/>
  <c r="O58" i="27" s="1"/>
  <c r="O23" i="28"/>
  <c r="Q28" i="26"/>
  <c r="M28" i="27"/>
  <c r="R28" i="26"/>
  <c r="M55" i="26"/>
  <c r="S28" i="26"/>
  <c r="O16" i="28"/>
  <c r="O43" i="27"/>
  <c r="O53" i="27"/>
  <c r="O26" i="28"/>
  <c r="M50" i="27"/>
  <c r="S23" i="27"/>
  <c r="M23" i="28"/>
  <c r="Q23" i="27"/>
  <c r="R23" i="27"/>
  <c r="N52" i="27"/>
  <c r="N25" i="28"/>
  <c r="Q13" i="26"/>
  <c r="N19" i="28"/>
  <c r="N46" i="27"/>
  <c r="O13" i="29"/>
  <c r="O40" i="28"/>
  <c r="O29" i="28"/>
  <c r="O56" i="27"/>
  <c r="S47" i="26"/>
  <c r="M44" i="28"/>
  <c r="M17" i="29"/>
  <c r="S17" i="28"/>
  <c r="N43" i="27"/>
  <c r="N16" i="28"/>
  <c r="S50" i="26"/>
  <c r="R50" i="26"/>
  <c r="Q50" i="26"/>
  <c r="P19" i="28"/>
  <c r="P46" i="27"/>
  <c r="R53" i="26"/>
  <c r="S13" i="27"/>
  <c r="R13" i="27"/>
  <c r="Q13" i="27"/>
  <c r="M13" i="28"/>
  <c r="M40" i="27"/>
  <c r="O49" i="27"/>
  <c r="O22" i="28"/>
  <c r="O55" i="27"/>
  <c r="O28" i="28"/>
  <c r="N26" i="27"/>
  <c r="Q26" i="27" s="1"/>
  <c r="N53" i="26"/>
  <c r="Q53" i="26" s="1"/>
  <c r="O57" i="27"/>
  <c r="Q47" i="27"/>
  <c r="R47" i="27"/>
  <c r="M46" i="26"/>
  <c r="M19" i="27"/>
  <c r="R19" i="26"/>
  <c r="S19" i="26"/>
  <c r="M30" i="26"/>
  <c r="Q19" i="26"/>
  <c r="Q30" i="21"/>
  <c r="S30" i="21"/>
  <c r="R30" i="21"/>
  <c r="S46" i="21"/>
  <c r="R46" i="21"/>
  <c r="Q46" i="21"/>
  <c r="R27" i="20"/>
  <c r="S27" i="20"/>
  <c r="Q27" i="20"/>
  <c r="R53" i="22"/>
  <c r="Q53" i="22"/>
  <c r="S53" i="22"/>
  <c r="S40" i="22"/>
  <c r="R40" i="22"/>
  <c r="Q40" i="22"/>
  <c r="S28" i="20"/>
  <c r="Q28" i="20"/>
  <c r="R28" i="20"/>
  <c r="S41" i="22"/>
  <c r="Q40" i="21"/>
  <c r="S50" i="22"/>
  <c r="Q50" i="22"/>
  <c r="R50" i="22"/>
  <c r="Q49" i="21"/>
  <c r="S49" i="21"/>
  <c r="R49" i="21"/>
  <c r="N40" i="22"/>
  <c r="N57" i="22" s="1"/>
  <c r="N30" i="22"/>
  <c r="S43" i="21"/>
  <c r="R43" i="21"/>
  <c r="Q43" i="21"/>
  <c r="Q19" i="22"/>
  <c r="R19" i="22"/>
  <c r="M46" i="22"/>
  <c r="S19" i="22"/>
  <c r="M25" i="22"/>
  <c r="M25" i="26" s="1"/>
  <c r="M52" i="21"/>
  <c r="R25" i="21"/>
  <c r="Q25" i="21"/>
  <c r="S25" i="21"/>
  <c r="R55" i="21"/>
  <c r="Q55" i="21"/>
  <c r="S55" i="21"/>
  <c r="M49" i="22"/>
  <c r="R22" i="22"/>
  <c r="S22" i="22"/>
  <c r="Q22" i="22"/>
  <c r="M55" i="22"/>
  <c r="S28" i="22"/>
  <c r="R28" i="22"/>
  <c r="Q28" i="22"/>
  <c r="M30" i="22"/>
  <c r="M29" i="22"/>
  <c r="M29" i="26" s="1"/>
  <c r="M56" i="21"/>
  <c r="S29" i="21"/>
  <c r="R29" i="21"/>
  <c r="Q29" i="21"/>
  <c r="M31" i="21"/>
  <c r="M43" i="22"/>
  <c r="S16" i="22"/>
  <c r="R16" i="22"/>
  <c r="Q16" i="22"/>
  <c r="S28" i="17"/>
  <c r="Q28" i="17"/>
  <c r="R28" i="17"/>
  <c r="R27" i="17"/>
  <c r="S27" i="17"/>
  <c r="Q27" i="17"/>
  <c r="O10" i="9"/>
  <c r="J10" i="9"/>
  <c r="O26" i="10"/>
  <c r="M28" i="10"/>
  <c r="H28" i="10"/>
  <c r="I17" i="10"/>
  <c r="P28" i="10"/>
  <c r="L28" i="10"/>
  <c r="G28" i="10"/>
  <c r="Q27" i="10"/>
  <c r="P27" i="10"/>
  <c r="M27" i="10"/>
  <c r="L27" i="10"/>
  <c r="K27" i="10"/>
  <c r="H27" i="10"/>
  <c r="G27" i="10"/>
  <c r="F27" i="10"/>
  <c r="N26" i="10"/>
  <c r="O25" i="10"/>
  <c r="N25" i="10"/>
  <c r="J25" i="10"/>
  <c r="O23" i="10"/>
  <c r="N23" i="10"/>
  <c r="J23" i="10"/>
  <c r="O22" i="10"/>
  <c r="N22" i="10"/>
  <c r="J22" i="10"/>
  <c r="O20" i="10"/>
  <c r="N20" i="10"/>
  <c r="J20" i="10"/>
  <c r="O19" i="10"/>
  <c r="N19" i="10"/>
  <c r="J19" i="10"/>
  <c r="Q28" i="10"/>
  <c r="J17" i="10"/>
  <c r="O16" i="10"/>
  <c r="N16" i="10"/>
  <c r="J16" i="10"/>
  <c r="O14" i="10"/>
  <c r="N14" i="10"/>
  <c r="J14" i="10"/>
  <c r="O13" i="10"/>
  <c r="N13" i="10"/>
  <c r="J13" i="10"/>
  <c r="O11" i="10"/>
  <c r="N11" i="10"/>
  <c r="J11" i="10"/>
  <c r="O10" i="10"/>
  <c r="N10" i="10"/>
  <c r="J10" i="10"/>
  <c r="P43" i="28" l="1"/>
  <c r="P16" i="29"/>
  <c r="P44" i="30"/>
  <c r="P44" i="31"/>
  <c r="P44" i="32"/>
  <c r="M44" i="29"/>
  <c r="R17" i="29"/>
  <c r="N56" i="28"/>
  <c r="N29" i="29"/>
  <c r="N55" i="28"/>
  <c r="N28" i="29"/>
  <c r="P17" i="29"/>
  <c r="P44" i="28"/>
  <c r="S44" i="28" s="1"/>
  <c r="N50" i="28"/>
  <c r="N23" i="29"/>
  <c r="M40" i="28"/>
  <c r="M13" i="29"/>
  <c r="R13" i="28"/>
  <c r="S13" i="28"/>
  <c r="Q13" i="28"/>
  <c r="N26" i="28"/>
  <c r="N53" i="27"/>
  <c r="Q53" i="27" s="1"/>
  <c r="N46" i="28"/>
  <c r="N19" i="29"/>
  <c r="S50" i="27"/>
  <c r="R50" i="27"/>
  <c r="Q50" i="27"/>
  <c r="Q28" i="27"/>
  <c r="R28" i="27"/>
  <c r="M55" i="27"/>
  <c r="S28" i="27"/>
  <c r="M28" i="28"/>
  <c r="P55" i="28"/>
  <c r="P28" i="29"/>
  <c r="P31" i="27"/>
  <c r="P14" i="28"/>
  <c r="P41" i="27"/>
  <c r="S14" i="27"/>
  <c r="P47" i="28"/>
  <c r="S47" i="28" s="1"/>
  <c r="P20" i="29"/>
  <c r="S20" i="28"/>
  <c r="P58" i="26"/>
  <c r="R53" i="27"/>
  <c r="O40" i="29"/>
  <c r="R40" i="32"/>
  <c r="R40" i="30"/>
  <c r="R40" i="31"/>
  <c r="Q26" i="28"/>
  <c r="M26" i="29"/>
  <c r="R26" i="28"/>
  <c r="M53" i="28"/>
  <c r="O55" i="28"/>
  <c r="O28" i="29"/>
  <c r="O53" i="28"/>
  <c r="O26" i="29"/>
  <c r="O44" i="28"/>
  <c r="R44" i="28" s="1"/>
  <c r="O17" i="29"/>
  <c r="P30" i="28"/>
  <c r="P52" i="28"/>
  <c r="P25" i="29"/>
  <c r="P26" i="28"/>
  <c r="P53" i="27"/>
  <c r="S53" i="27" s="1"/>
  <c r="R41" i="28"/>
  <c r="Q41" i="28"/>
  <c r="M50" i="28"/>
  <c r="M23" i="29"/>
  <c r="Q23" i="28"/>
  <c r="S23" i="28"/>
  <c r="R23" i="28"/>
  <c r="N43" i="28"/>
  <c r="N16" i="29"/>
  <c r="N52" i="28"/>
  <c r="N25" i="29"/>
  <c r="O50" i="28"/>
  <c r="O23" i="29"/>
  <c r="N17" i="28"/>
  <c r="N44" i="27"/>
  <c r="Q17" i="27"/>
  <c r="N31" i="27"/>
  <c r="P41" i="30"/>
  <c r="P41" i="31"/>
  <c r="P41" i="32"/>
  <c r="R14" i="29"/>
  <c r="Q14" i="29"/>
  <c r="M41" i="29"/>
  <c r="M52" i="26"/>
  <c r="M25" i="27"/>
  <c r="S25" i="26"/>
  <c r="Q25" i="26"/>
  <c r="R25" i="26"/>
  <c r="M30" i="27"/>
  <c r="O49" i="28"/>
  <c r="O22" i="29"/>
  <c r="O56" i="28"/>
  <c r="O29" i="29"/>
  <c r="N58" i="26"/>
  <c r="Q44" i="26"/>
  <c r="O47" i="28"/>
  <c r="R47" i="28" s="1"/>
  <c r="O20" i="29"/>
  <c r="R20" i="28"/>
  <c r="O58" i="28"/>
  <c r="M49" i="27"/>
  <c r="Q22" i="27"/>
  <c r="M22" i="28"/>
  <c r="S22" i="27"/>
  <c r="R22" i="27"/>
  <c r="N47" i="28"/>
  <c r="Q47" i="28" s="1"/>
  <c r="N20" i="29"/>
  <c r="Q20" i="28"/>
  <c r="P56" i="28"/>
  <c r="P29" i="29"/>
  <c r="P49" i="28"/>
  <c r="P22" i="29"/>
  <c r="P46" i="28"/>
  <c r="P57" i="28" s="1"/>
  <c r="P19" i="29"/>
  <c r="R17" i="28"/>
  <c r="O30" i="28"/>
  <c r="O43" i="28"/>
  <c r="O16" i="29"/>
  <c r="O31" i="28"/>
  <c r="Q49" i="26"/>
  <c r="R49" i="26"/>
  <c r="S49" i="26"/>
  <c r="Q16" i="27"/>
  <c r="R16" i="27"/>
  <c r="M16" i="28"/>
  <c r="M43" i="27"/>
  <c r="S16" i="27"/>
  <c r="O46" i="28"/>
  <c r="O19" i="29"/>
  <c r="O30" i="29" s="1"/>
  <c r="N30" i="27"/>
  <c r="N40" i="27"/>
  <c r="N57" i="27" s="1"/>
  <c r="N13" i="28"/>
  <c r="S55" i="26"/>
  <c r="R55" i="26"/>
  <c r="Q55" i="26"/>
  <c r="R40" i="27"/>
  <c r="S40" i="27"/>
  <c r="O57" i="28"/>
  <c r="Q41" i="30"/>
  <c r="Q41" i="31"/>
  <c r="Q41" i="32"/>
  <c r="N41" i="29"/>
  <c r="R41" i="30"/>
  <c r="R41" i="32"/>
  <c r="R41" i="31"/>
  <c r="O41" i="29"/>
  <c r="S43" i="26"/>
  <c r="R43" i="26"/>
  <c r="Q43" i="26"/>
  <c r="O52" i="28"/>
  <c r="O25" i="29"/>
  <c r="P50" i="28"/>
  <c r="P23" i="29"/>
  <c r="S26" i="27"/>
  <c r="N49" i="28"/>
  <c r="N22" i="29"/>
  <c r="M19" i="28"/>
  <c r="M56" i="26"/>
  <c r="M29" i="27"/>
  <c r="M31" i="27" s="1"/>
  <c r="R29" i="26"/>
  <c r="Q29" i="26"/>
  <c r="S29" i="26"/>
  <c r="M31" i="26"/>
  <c r="R30" i="26"/>
  <c r="S30" i="26"/>
  <c r="Q30" i="26"/>
  <c r="S19" i="27"/>
  <c r="R19" i="27"/>
  <c r="Q19" i="27"/>
  <c r="M46" i="27"/>
  <c r="Q46" i="26"/>
  <c r="S46" i="26"/>
  <c r="R46" i="26"/>
  <c r="M57" i="26"/>
  <c r="S56" i="21"/>
  <c r="R56" i="21"/>
  <c r="Q56" i="21"/>
  <c r="M58" i="21"/>
  <c r="M31" i="22"/>
  <c r="Q29" i="22"/>
  <c r="M56" i="22"/>
  <c r="S29" i="22"/>
  <c r="R29" i="22"/>
  <c r="S52" i="21"/>
  <c r="R52" i="21"/>
  <c r="Q52" i="21"/>
  <c r="M57" i="21"/>
  <c r="Q30" i="22"/>
  <c r="S30" i="22"/>
  <c r="R30" i="22"/>
  <c r="Q49" i="22"/>
  <c r="S49" i="22"/>
  <c r="R49" i="22"/>
  <c r="M52" i="22"/>
  <c r="S25" i="22"/>
  <c r="Q25" i="22"/>
  <c r="R25" i="22"/>
  <c r="Q43" i="22"/>
  <c r="S43" i="22"/>
  <c r="R43" i="22"/>
  <c r="R31" i="21"/>
  <c r="Q31" i="21"/>
  <c r="S31" i="21"/>
  <c r="S46" i="22"/>
  <c r="R46" i="22"/>
  <c r="Q46" i="22"/>
  <c r="S55" i="22"/>
  <c r="R55" i="22"/>
  <c r="Q55" i="22"/>
  <c r="J26" i="10"/>
  <c r="I26" i="10"/>
  <c r="O17" i="10"/>
  <c r="N27" i="10"/>
  <c r="F28" i="10"/>
  <c r="I28" i="10" s="1"/>
  <c r="O27" i="10"/>
  <c r="I27" i="10"/>
  <c r="J27" i="10"/>
  <c r="K28" i="10"/>
  <c r="N17" i="10"/>
  <c r="R52" i="30" l="1"/>
  <c r="R52" i="31"/>
  <c r="R52" i="32"/>
  <c r="O52" i="29"/>
  <c r="N47" i="29"/>
  <c r="Q47" i="29" s="1"/>
  <c r="Q47" i="30"/>
  <c r="U47" i="30" s="1"/>
  <c r="Q47" i="31"/>
  <c r="U47" i="31" s="1"/>
  <c r="Q47" i="32"/>
  <c r="U47" i="32" s="1"/>
  <c r="Q20" i="29"/>
  <c r="Q44" i="27"/>
  <c r="N58" i="27"/>
  <c r="N53" i="28"/>
  <c r="N26" i="29"/>
  <c r="O53" i="29"/>
  <c r="R53" i="30"/>
  <c r="R53" i="31"/>
  <c r="R53" i="32"/>
  <c r="O46" i="29"/>
  <c r="R46" i="30"/>
  <c r="R46" i="31"/>
  <c r="R46" i="32"/>
  <c r="P46" i="29"/>
  <c r="S46" i="30"/>
  <c r="S46" i="31"/>
  <c r="S46" i="32"/>
  <c r="R47" i="30"/>
  <c r="V47" i="30" s="1"/>
  <c r="R47" i="31"/>
  <c r="V47" i="31" s="1"/>
  <c r="R47" i="32"/>
  <c r="V47" i="32" s="1"/>
  <c r="O47" i="29"/>
  <c r="R47" i="29" s="1"/>
  <c r="R20" i="29"/>
  <c r="N17" i="29"/>
  <c r="N44" i="28"/>
  <c r="Q17" i="28"/>
  <c r="N31" i="28"/>
  <c r="P53" i="28"/>
  <c r="P26" i="29"/>
  <c r="O55" i="29"/>
  <c r="R55" i="30"/>
  <c r="R55" i="31"/>
  <c r="R55" i="32"/>
  <c r="S55" i="31"/>
  <c r="S55" i="30"/>
  <c r="S55" i="32"/>
  <c r="P55" i="29"/>
  <c r="S44" i="30"/>
  <c r="W44" i="30" s="1"/>
  <c r="S44" i="31"/>
  <c r="S44" i="32"/>
  <c r="P44" i="29"/>
  <c r="S44" i="29"/>
  <c r="R41" i="29"/>
  <c r="Q41" i="29"/>
  <c r="M19" i="29"/>
  <c r="Q40" i="27"/>
  <c r="O50" i="29"/>
  <c r="R50" i="30"/>
  <c r="R50" i="31"/>
  <c r="R50" i="32"/>
  <c r="S52" i="30"/>
  <c r="S52" i="31"/>
  <c r="S52" i="32"/>
  <c r="P52" i="29"/>
  <c r="P47" i="29"/>
  <c r="S47" i="29" s="1"/>
  <c r="S47" i="30"/>
  <c r="W47" i="30" s="1"/>
  <c r="S47" i="31"/>
  <c r="W47" i="31" s="1"/>
  <c r="S47" i="32"/>
  <c r="W47" i="32" s="1"/>
  <c r="S20" i="29"/>
  <c r="Q55" i="30"/>
  <c r="Q55" i="31"/>
  <c r="Q55" i="32"/>
  <c r="N55" i="29"/>
  <c r="V44" i="32"/>
  <c r="W44" i="32"/>
  <c r="R49" i="30"/>
  <c r="R49" i="31"/>
  <c r="R49" i="32"/>
  <c r="O49" i="29"/>
  <c r="S49" i="30"/>
  <c r="S49" i="31"/>
  <c r="S49" i="32"/>
  <c r="P49" i="29"/>
  <c r="V41" i="32"/>
  <c r="U41" i="32"/>
  <c r="M50" i="29"/>
  <c r="P50" i="31"/>
  <c r="P50" i="30"/>
  <c r="P50" i="32"/>
  <c r="R23" i="29"/>
  <c r="Q23" i="29"/>
  <c r="Q53" i="28"/>
  <c r="R53" i="28"/>
  <c r="S53" i="28"/>
  <c r="R57" i="32"/>
  <c r="M28" i="29"/>
  <c r="Q28" i="28"/>
  <c r="S28" i="28"/>
  <c r="R28" i="28"/>
  <c r="M55" i="28"/>
  <c r="N46" i="29"/>
  <c r="Q46" i="30"/>
  <c r="Q46" i="31"/>
  <c r="Q46" i="32"/>
  <c r="V44" i="31"/>
  <c r="W44" i="31"/>
  <c r="Q43" i="27"/>
  <c r="R43" i="27"/>
  <c r="S43" i="27"/>
  <c r="S22" i="28"/>
  <c r="M22" i="29"/>
  <c r="Q22" i="28"/>
  <c r="R22" i="28"/>
  <c r="M49" i="28"/>
  <c r="V41" i="31"/>
  <c r="U41" i="31"/>
  <c r="Q52" i="30"/>
  <c r="Q52" i="31"/>
  <c r="Q52" i="32"/>
  <c r="N52" i="29"/>
  <c r="S50" i="28"/>
  <c r="R50" i="28"/>
  <c r="Q50" i="28"/>
  <c r="O57" i="29"/>
  <c r="R13" i="29"/>
  <c r="P40" i="30"/>
  <c r="P40" i="31"/>
  <c r="P40" i="32"/>
  <c r="M40" i="29"/>
  <c r="Q56" i="30"/>
  <c r="Q56" i="31"/>
  <c r="Q56" i="32"/>
  <c r="N56" i="29"/>
  <c r="P31" i="28"/>
  <c r="P14" i="29"/>
  <c r="P41" i="28"/>
  <c r="S14" i="28"/>
  <c r="M43" i="28"/>
  <c r="M16" i="29"/>
  <c r="S16" i="28"/>
  <c r="R16" i="28"/>
  <c r="Q16" i="28"/>
  <c r="O43" i="29"/>
  <c r="R43" i="30"/>
  <c r="R57" i="30" s="1"/>
  <c r="R43" i="32"/>
  <c r="R43" i="31"/>
  <c r="S56" i="30"/>
  <c r="S56" i="31"/>
  <c r="S56" i="32"/>
  <c r="P56" i="29"/>
  <c r="O56" i="29"/>
  <c r="R56" i="30"/>
  <c r="R56" i="31"/>
  <c r="R56" i="32"/>
  <c r="S25" i="27"/>
  <c r="Q25" i="27"/>
  <c r="R25" i="27"/>
  <c r="M52" i="27"/>
  <c r="M25" i="28"/>
  <c r="V41" i="30"/>
  <c r="U41" i="30"/>
  <c r="O44" i="29"/>
  <c r="O58" i="29" s="1"/>
  <c r="R44" i="30"/>
  <c r="R58" i="30" s="1"/>
  <c r="R44" i="31"/>
  <c r="R58" i="31" s="1"/>
  <c r="R44" i="32"/>
  <c r="R58" i="32" s="1"/>
  <c r="S26" i="28"/>
  <c r="S55" i="27"/>
  <c r="R55" i="27"/>
  <c r="Q55" i="27"/>
  <c r="Q40" i="28"/>
  <c r="S40" i="28"/>
  <c r="R40" i="28"/>
  <c r="P43" i="29"/>
  <c r="S43" i="30"/>
  <c r="S43" i="31"/>
  <c r="S43" i="32"/>
  <c r="Q49" i="30"/>
  <c r="Q49" i="32"/>
  <c r="Q49" i="31"/>
  <c r="N49" i="29"/>
  <c r="M57" i="27"/>
  <c r="S23" i="29"/>
  <c r="S50" i="30"/>
  <c r="S50" i="31"/>
  <c r="S50" i="32"/>
  <c r="P50" i="29"/>
  <c r="O31" i="29"/>
  <c r="N40" i="28"/>
  <c r="N57" i="28" s="1"/>
  <c r="N13" i="29"/>
  <c r="Q13" i="29" s="1"/>
  <c r="N30" i="28"/>
  <c r="Q49" i="27"/>
  <c r="S49" i="27"/>
  <c r="R49" i="27"/>
  <c r="S52" i="26"/>
  <c r="R52" i="26"/>
  <c r="Q52" i="26"/>
  <c r="N43" i="29"/>
  <c r="Q43" i="31"/>
  <c r="Q43" i="30"/>
  <c r="Q43" i="32"/>
  <c r="P53" i="31"/>
  <c r="P53" i="30"/>
  <c r="P53" i="32"/>
  <c r="R26" i="29"/>
  <c r="S26" i="29"/>
  <c r="Q26" i="29"/>
  <c r="M53" i="29"/>
  <c r="P58" i="27"/>
  <c r="S41" i="27"/>
  <c r="N50" i="29"/>
  <c r="Q50" i="30"/>
  <c r="Q50" i="31"/>
  <c r="Q50" i="32"/>
  <c r="S17" i="29"/>
  <c r="S19" i="28"/>
  <c r="M46" i="28"/>
  <c r="Q19" i="28"/>
  <c r="R19" i="28"/>
  <c r="M29" i="28"/>
  <c r="M29" i="29" s="1"/>
  <c r="S31" i="26"/>
  <c r="Q31" i="26"/>
  <c r="R31" i="26"/>
  <c r="M56" i="27"/>
  <c r="M58" i="27" s="1"/>
  <c r="R29" i="27"/>
  <c r="S29" i="27"/>
  <c r="Q29" i="27"/>
  <c r="S56" i="26"/>
  <c r="R56" i="26"/>
  <c r="Q56" i="26"/>
  <c r="M58" i="26"/>
  <c r="Q46" i="27"/>
  <c r="R46" i="27"/>
  <c r="S46" i="27"/>
  <c r="S57" i="26"/>
  <c r="Q57" i="26"/>
  <c r="R57" i="26"/>
  <c r="S30" i="27"/>
  <c r="R30" i="27"/>
  <c r="Q30" i="27"/>
  <c r="R57" i="21"/>
  <c r="Q57" i="21"/>
  <c r="S57" i="21"/>
  <c r="R31" i="22"/>
  <c r="Q31" i="22"/>
  <c r="S31" i="22"/>
  <c r="S52" i="22"/>
  <c r="Q52" i="22"/>
  <c r="R52" i="22"/>
  <c r="S58" i="21"/>
  <c r="Q58" i="21"/>
  <c r="R58" i="21"/>
  <c r="Q56" i="22"/>
  <c r="S56" i="22"/>
  <c r="R56" i="22"/>
  <c r="M58" i="22"/>
  <c r="M57" i="22"/>
  <c r="J28" i="10"/>
  <c r="O28" i="10"/>
  <c r="N28" i="10"/>
  <c r="V53" i="31" l="1"/>
  <c r="P41" i="29"/>
  <c r="S41" i="30"/>
  <c r="S41" i="31"/>
  <c r="S41" i="32"/>
  <c r="P31" i="29"/>
  <c r="S14" i="29"/>
  <c r="P55" i="30"/>
  <c r="P55" i="31"/>
  <c r="M55" i="29"/>
  <c r="S28" i="29"/>
  <c r="R28" i="29"/>
  <c r="Q28" i="29"/>
  <c r="W50" i="30"/>
  <c r="V50" i="30"/>
  <c r="U50" i="30"/>
  <c r="M43" i="29"/>
  <c r="P43" i="30"/>
  <c r="P43" i="31"/>
  <c r="P43" i="32"/>
  <c r="R16" i="29"/>
  <c r="Q16" i="29"/>
  <c r="S16" i="29"/>
  <c r="W50" i="31"/>
  <c r="U50" i="31"/>
  <c r="V50" i="31"/>
  <c r="P53" i="29"/>
  <c r="S53" i="30"/>
  <c r="W53" i="30" s="1"/>
  <c r="S53" i="31"/>
  <c r="W53" i="31" s="1"/>
  <c r="S53" i="32"/>
  <c r="Q53" i="30"/>
  <c r="U53" i="30" s="1"/>
  <c r="Q53" i="31"/>
  <c r="U53" i="31" s="1"/>
  <c r="Q53" i="32"/>
  <c r="N53" i="29"/>
  <c r="Q53" i="29" s="1"/>
  <c r="U49" i="31"/>
  <c r="P58" i="28"/>
  <c r="S41" i="28"/>
  <c r="S43" i="28"/>
  <c r="R43" i="28"/>
  <c r="Q43" i="28"/>
  <c r="V44" i="30"/>
  <c r="R50" i="29"/>
  <c r="Q50" i="29"/>
  <c r="S50" i="29"/>
  <c r="R44" i="29"/>
  <c r="R53" i="29"/>
  <c r="S53" i="29"/>
  <c r="R40" i="29"/>
  <c r="P49" i="30"/>
  <c r="P49" i="31"/>
  <c r="P49" i="32"/>
  <c r="R22" i="29"/>
  <c r="S22" i="29"/>
  <c r="Q22" i="29"/>
  <c r="M49" i="29"/>
  <c r="V40" i="32"/>
  <c r="S49" i="28"/>
  <c r="Q49" i="28"/>
  <c r="R49" i="28"/>
  <c r="Q55" i="28"/>
  <c r="S55" i="28"/>
  <c r="R55" i="28"/>
  <c r="R57" i="31"/>
  <c r="V50" i="32"/>
  <c r="U50" i="32"/>
  <c r="W50" i="32"/>
  <c r="N40" i="29"/>
  <c r="N57" i="29" s="1"/>
  <c r="Q40" i="31"/>
  <c r="Q57" i="31" s="1"/>
  <c r="Q40" i="30"/>
  <c r="Q57" i="30" s="1"/>
  <c r="Q40" i="32"/>
  <c r="N30" i="29"/>
  <c r="S25" i="28"/>
  <c r="M25" i="29"/>
  <c r="R25" i="28"/>
  <c r="M52" i="28"/>
  <c r="Q25" i="28"/>
  <c r="V40" i="31"/>
  <c r="U40" i="31"/>
  <c r="P46" i="30"/>
  <c r="P46" i="31"/>
  <c r="P46" i="32"/>
  <c r="M46" i="29"/>
  <c r="R19" i="29"/>
  <c r="Q19" i="29"/>
  <c r="S19" i="29"/>
  <c r="Q44" i="28"/>
  <c r="N58" i="28"/>
  <c r="V53" i="30"/>
  <c r="P56" i="30"/>
  <c r="P56" i="31"/>
  <c r="V53" i="32"/>
  <c r="W53" i="32"/>
  <c r="U53" i="32"/>
  <c r="Q52" i="27"/>
  <c r="R52" i="27"/>
  <c r="S52" i="27"/>
  <c r="V40" i="30"/>
  <c r="U40" i="30"/>
  <c r="M30" i="28"/>
  <c r="Q44" i="30"/>
  <c r="Q44" i="31"/>
  <c r="Q44" i="32"/>
  <c r="N44" i="29"/>
  <c r="N31" i="29"/>
  <c r="Q17" i="29"/>
  <c r="Q29" i="28"/>
  <c r="M31" i="28"/>
  <c r="S31" i="28" s="1"/>
  <c r="R29" i="28"/>
  <c r="M56" i="28"/>
  <c r="M58" i="28" s="1"/>
  <c r="Q46" i="28"/>
  <c r="R46" i="28"/>
  <c r="S46" i="28"/>
  <c r="S29" i="28"/>
  <c r="R56" i="28"/>
  <c r="R31" i="27"/>
  <c r="S31" i="27"/>
  <c r="Q31" i="27"/>
  <c r="S58" i="26"/>
  <c r="R58" i="26"/>
  <c r="Q58" i="26"/>
  <c r="R56" i="27"/>
  <c r="Q56" i="27"/>
  <c r="S56" i="27"/>
  <c r="R57" i="27"/>
  <c r="Q57" i="27"/>
  <c r="S57" i="27"/>
  <c r="Q58" i="22"/>
  <c r="R58" i="22"/>
  <c r="S58" i="22"/>
  <c r="R57" i="22"/>
  <c r="Q57" i="22"/>
  <c r="S57" i="22"/>
  <c r="P28" i="9"/>
  <c r="L28" i="9"/>
  <c r="H28" i="9"/>
  <c r="G28" i="9"/>
  <c r="F28" i="9"/>
  <c r="Q27" i="9"/>
  <c r="P27" i="9"/>
  <c r="M27" i="9"/>
  <c r="L27" i="9"/>
  <c r="K27" i="9"/>
  <c r="H27" i="9"/>
  <c r="G27" i="9"/>
  <c r="F27" i="9"/>
  <c r="O26" i="9"/>
  <c r="J26" i="9"/>
  <c r="O25" i="9"/>
  <c r="N25" i="9"/>
  <c r="J25" i="9"/>
  <c r="O23" i="9"/>
  <c r="N23" i="9"/>
  <c r="J23" i="9"/>
  <c r="O22" i="9"/>
  <c r="N22" i="9"/>
  <c r="J22" i="9"/>
  <c r="O20" i="9"/>
  <c r="N20" i="9"/>
  <c r="J20" i="9"/>
  <c r="O19" i="9"/>
  <c r="N19" i="9"/>
  <c r="J19" i="9"/>
  <c r="O17" i="9"/>
  <c r="N17" i="9"/>
  <c r="M28" i="9"/>
  <c r="J17" i="9"/>
  <c r="O16" i="9"/>
  <c r="N16" i="9"/>
  <c r="J16" i="9"/>
  <c r="O14" i="9"/>
  <c r="N14" i="9"/>
  <c r="J14" i="9"/>
  <c r="O13" i="9"/>
  <c r="N13" i="9"/>
  <c r="J13" i="9"/>
  <c r="O11" i="9"/>
  <c r="N11" i="9"/>
  <c r="J11" i="9"/>
  <c r="N10" i="9"/>
  <c r="Q58" i="30" l="1"/>
  <c r="U44" i="30"/>
  <c r="U46" i="31"/>
  <c r="V46" i="31"/>
  <c r="W46" i="31"/>
  <c r="Q40" i="29"/>
  <c r="W43" i="32"/>
  <c r="U43" i="32"/>
  <c r="V43" i="32"/>
  <c r="S58" i="31"/>
  <c r="W41" i="31"/>
  <c r="S30" i="28"/>
  <c r="R30" i="28"/>
  <c r="Q30" i="28"/>
  <c r="W46" i="30"/>
  <c r="V46" i="30"/>
  <c r="U46" i="30"/>
  <c r="P52" i="30"/>
  <c r="P52" i="31"/>
  <c r="P52" i="32"/>
  <c r="S25" i="29"/>
  <c r="M52" i="29"/>
  <c r="M57" i="29" s="1"/>
  <c r="R25" i="29"/>
  <c r="Q25" i="29"/>
  <c r="U43" i="31"/>
  <c r="W43" i="31"/>
  <c r="S58" i="30"/>
  <c r="W41" i="30"/>
  <c r="Q52" i="28"/>
  <c r="R52" i="28"/>
  <c r="S52" i="28"/>
  <c r="V49" i="32"/>
  <c r="W49" i="32"/>
  <c r="U49" i="32"/>
  <c r="W43" i="30"/>
  <c r="V43" i="30"/>
  <c r="U43" i="30"/>
  <c r="R55" i="29"/>
  <c r="Q55" i="29"/>
  <c r="S55" i="29"/>
  <c r="P58" i="29"/>
  <c r="S41" i="29"/>
  <c r="P57" i="30"/>
  <c r="V49" i="31"/>
  <c r="W49" i="31"/>
  <c r="R43" i="29"/>
  <c r="Q43" i="29"/>
  <c r="S43" i="29"/>
  <c r="U55" i="31"/>
  <c r="W55" i="31"/>
  <c r="V55" i="31"/>
  <c r="V56" i="31"/>
  <c r="W56" i="31"/>
  <c r="U56" i="31"/>
  <c r="U40" i="32"/>
  <c r="Q57" i="32"/>
  <c r="W49" i="30"/>
  <c r="V49" i="30"/>
  <c r="U49" i="30"/>
  <c r="M30" i="29"/>
  <c r="W55" i="30"/>
  <c r="V55" i="30"/>
  <c r="U55" i="30"/>
  <c r="U44" i="31"/>
  <c r="Q58" i="31"/>
  <c r="S58" i="32"/>
  <c r="W41" i="32"/>
  <c r="Q44" i="29"/>
  <c r="N58" i="29"/>
  <c r="U56" i="30"/>
  <c r="V56" i="30"/>
  <c r="W56" i="30"/>
  <c r="M57" i="28"/>
  <c r="P58" i="31"/>
  <c r="V43" i="31"/>
  <c r="W46" i="32"/>
  <c r="V46" i="32"/>
  <c r="U46" i="32"/>
  <c r="U44" i="32"/>
  <c r="Q58" i="32"/>
  <c r="Q46" i="29"/>
  <c r="S46" i="29"/>
  <c r="R46" i="29"/>
  <c r="Q49" i="29"/>
  <c r="R49" i="29"/>
  <c r="S49" i="29"/>
  <c r="P58" i="30"/>
  <c r="Q56" i="28"/>
  <c r="Q31" i="28"/>
  <c r="R31" i="28"/>
  <c r="M56" i="29"/>
  <c r="S29" i="29"/>
  <c r="R29" i="29"/>
  <c r="Q29" i="29"/>
  <c r="M31" i="29"/>
  <c r="S56" i="28"/>
  <c r="S58" i="28"/>
  <c r="Q58" i="28"/>
  <c r="R58" i="28"/>
  <c r="S58" i="27"/>
  <c r="R58" i="27"/>
  <c r="Q58" i="27"/>
  <c r="J27" i="9"/>
  <c r="I27" i="9"/>
  <c r="J28" i="9"/>
  <c r="I28" i="9"/>
  <c r="Q28" i="9"/>
  <c r="O27" i="9"/>
  <c r="N27" i="9"/>
  <c r="N26" i="9"/>
  <c r="K28" i="9"/>
  <c r="Q27" i="1"/>
  <c r="I26" i="1"/>
  <c r="I17" i="1"/>
  <c r="R57" i="29" l="1"/>
  <c r="Q57" i="29"/>
  <c r="W52" i="32"/>
  <c r="V52" i="32"/>
  <c r="U52" i="32"/>
  <c r="V57" i="30"/>
  <c r="U57" i="30"/>
  <c r="V52" i="31"/>
  <c r="U52" i="31"/>
  <c r="W52" i="31"/>
  <c r="S52" i="29"/>
  <c r="R52" i="29"/>
  <c r="Q52" i="29"/>
  <c r="R30" i="29"/>
  <c r="Q30" i="29"/>
  <c r="S57" i="28"/>
  <c r="R57" i="28"/>
  <c r="Q57" i="28"/>
  <c r="U52" i="30"/>
  <c r="V52" i="30"/>
  <c r="W52" i="30"/>
  <c r="U58" i="31"/>
  <c r="W58" i="31"/>
  <c r="V58" i="31"/>
  <c r="W58" i="30"/>
  <c r="U58" i="30"/>
  <c r="V58" i="30"/>
  <c r="P57" i="31"/>
  <c r="S31" i="29"/>
  <c r="R31" i="29"/>
  <c r="Q31" i="29"/>
  <c r="S56" i="29"/>
  <c r="R56" i="29"/>
  <c r="Q56" i="29"/>
  <c r="M58" i="29"/>
  <c r="Q28" i="1"/>
  <c r="O28" i="9"/>
  <c r="N28" i="9"/>
  <c r="O26" i="1"/>
  <c r="N26" i="1"/>
  <c r="O25" i="1"/>
  <c r="N25" i="1"/>
  <c r="O23" i="1"/>
  <c r="N23" i="1"/>
  <c r="O22" i="1"/>
  <c r="N22" i="1"/>
  <c r="O20" i="1"/>
  <c r="N20" i="1"/>
  <c r="O19" i="1"/>
  <c r="N19" i="1"/>
  <c r="O17" i="1"/>
  <c r="N17" i="1"/>
  <c r="O16" i="1"/>
  <c r="N16" i="1"/>
  <c r="O14" i="1"/>
  <c r="N14" i="1"/>
  <c r="O13" i="1"/>
  <c r="N13" i="1"/>
  <c r="N11" i="1"/>
  <c r="O11" i="1"/>
  <c r="O10" i="1"/>
  <c r="N10" i="1"/>
  <c r="J10" i="1"/>
  <c r="U57" i="31" l="1"/>
  <c r="V57" i="31"/>
  <c r="R58" i="29"/>
  <c r="S58" i="29"/>
  <c r="Q58" i="29"/>
  <c r="M28" i="1"/>
  <c r="L28" i="1"/>
  <c r="K28" i="1"/>
  <c r="M27" i="1"/>
  <c r="L27" i="1"/>
  <c r="K27" i="1"/>
  <c r="H27" i="1"/>
  <c r="G27" i="1"/>
  <c r="G28" i="1"/>
  <c r="H28" i="1"/>
  <c r="F28" i="1"/>
  <c r="F27" i="1"/>
  <c r="J14" i="1"/>
  <c r="J13" i="1"/>
  <c r="I27" i="1" l="1"/>
  <c r="I28" i="1"/>
  <c r="J27" i="1"/>
  <c r="J28" i="1"/>
  <c r="O27" i="1"/>
  <c r="N27" i="1"/>
  <c r="N28" i="1"/>
  <c r="O28" i="1"/>
  <c r="J25" i="1"/>
  <c r="J16" i="1"/>
  <c r="J17" i="1"/>
  <c r="J19" i="1"/>
  <c r="J20" i="1"/>
  <c r="J22" i="1"/>
  <c r="J23" i="1"/>
  <c r="J26" i="1"/>
  <c r="J11" i="1"/>
  <c r="H11" i="14" l="1"/>
  <c r="H28" i="14" s="1"/>
  <c r="H10" i="14"/>
  <c r="H27" i="14" s="1"/>
  <c r="J25" i="14" l="1"/>
  <c r="J26" i="14" l="1"/>
  <c r="I26" i="14"/>
  <c r="I25" i="14"/>
  <c r="N25" i="14"/>
  <c r="O26" i="14"/>
  <c r="N26" i="14"/>
  <c r="O25" i="14" l="1"/>
  <c r="J14" i="14" l="1"/>
  <c r="I13" i="14"/>
  <c r="J19" i="14"/>
  <c r="I19" i="14"/>
  <c r="J20" i="14"/>
  <c r="I20" i="14"/>
  <c r="J22" i="14"/>
  <c r="I22" i="14"/>
  <c r="I16" i="14"/>
  <c r="J16" i="14"/>
  <c r="J10" i="14"/>
  <c r="I10" i="14"/>
  <c r="F27" i="14"/>
  <c r="J23" i="14"/>
  <c r="I23" i="14"/>
  <c r="J11" i="14"/>
  <c r="I11" i="14"/>
  <c r="I17" i="14"/>
  <c r="J17" i="14"/>
  <c r="F28" i="14" l="1"/>
  <c r="I28" i="14" s="1"/>
  <c r="I14" i="14"/>
  <c r="O14" i="14"/>
  <c r="J13" i="14"/>
  <c r="O17" i="14"/>
  <c r="N17" i="14"/>
  <c r="N23" i="14"/>
  <c r="O23" i="14"/>
  <c r="N16" i="14"/>
  <c r="O16" i="14"/>
  <c r="O20" i="14"/>
  <c r="N20" i="14"/>
  <c r="O11" i="14"/>
  <c r="N11" i="14"/>
  <c r="J27" i="14"/>
  <c r="I27" i="14"/>
  <c r="O22" i="14"/>
  <c r="N22" i="14"/>
  <c r="N19" i="14"/>
  <c r="O19" i="14"/>
  <c r="N10" i="14"/>
  <c r="O10" i="14"/>
  <c r="O13" i="14" l="1"/>
  <c r="N13" i="14"/>
  <c r="J28" i="14"/>
  <c r="N14" i="14"/>
  <c r="O27" i="14"/>
  <c r="N27" i="14"/>
  <c r="N28" i="14"/>
  <c r="O28" i="14"/>
  <c r="I28" i="16" l="1"/>
  <c r="F28" i="16" l="1"/>
  <c r="K22" i="15"/>
  <c r="R22" i="15"/>
  <c r="L22" i="15"/>
  <c r="L20" i="16"/>
  <c r="K20" i="16"/>
  <c r="P27" i="15"/>
  <c r="K17" i="16"/>
  <c r="L17" i="16"/>
  <c r="I27" i="15"/>
  <c r="P27" i="16"/>
  <c r="K13" i="16"/>
  <c r="L13" i="16"/>
  <c r="K17" i="15"/>
  <c r="L17" i="15"/>
  <c r="L14" i="16"/>
  <c r="K14" i="16"/>
  <c r="L13" i="15"/>
  <c r="K13" i="15"/>
  <c r="K14" i="15"/>
  <c r="L14" i="15"/>
  <c r="L19" i="15"/>
  <c r="K19" i="15"/>
  <c r="K16" i="15"/>
  <c r="L16" i="15"/>
  <c r="P28" i="15"/>
  <c r="K10" i="15"/>
  <c r="L10" i="15"/>
  <c r="F27" i="15"/>
  <c r="L19" i="16"/>
  <c r="K19" i="16"/>
  <c r="L16" i="16"/>
  <c r="K16" i="16"/>
  <c r="I28" i="15"/>
  <c r="P28" i="16"/>
  <c r="I27" i="16"/>
  <c r="L10" i="16"/>
  <c r="K10" i="16"/>
  <c r="F28" i="15"/>
  <c r="R23" i="15"/>
  <c r="K23" i="15"/>
  <c r="L23" i="15"/>
  <c r="K11" i="15"/>
  <c r="S11" i="15"/>
  <c r="L11" i="15"/>
  <c r="L22" i="16"/>
  <c r="K22" i="16"/>
  <c r="K23" i="16"/>
  <c r="L23" i="16"/>
  <c r="K20" i="15"/>
  <c r="L20" i="15"/>
  <c r="L11" i="16"/>
  <c r="K11" i="16"/>
  <c r="S22" i="15" l="1"/>
  <c r="S22" i="16"/>
  <c r="R22" i="16"/>
  <c r="R16" i="15"/>
  <c r="S16" i="15"/>
  <c r="S20" i="16"/>
  <c r="R20" i="16"/>
  <c r="R20" i="15"/>
  <c r="S20" i="15"/>
  <c r="S10" i="16"/>
  <c r="R10" i="16"/>
  <c r="R10" i="15"/>
  <c r="R14" i="16"/>
  <c r="S14" i="16"/>
  <c r="L25" i="16"/>
  <c r="K25" i="16"/>
  <c r="R19" i="15"/>
  <c r="S19" i="15"/>
  <c r="R13" i="15"/>
  <c r="S13" i="15"/>
  <c r="S10" i="15"/>
  <c r="L28" i="16"/>
  <c r="K28" i="16"/>
  <c r="S11" i="16"/>
  <c r="R11" i="16"/>
  <c r="L26" i="16"/>
  <c r="K26" i="16"/>
  <c r="K28" i="15"/>
  <c r="L28" i="15"/>
  <c r="K26" i="15"/>
  <c r="M28" i="15"/>
  <c r="R28" i="15" s="1"/>
  <c r="L26" i="15"/>
  <c r="R19" i="16"/>
  <c r="S19" i="16"/>
  <c r="R17" i="15"/>
  <c r="S17" i="15"/>
  <c r="R23" i="16"/>
  <c r="S23" i="16"/>
  <c r="R17" i="16"/>
  <c r="S17" i="16"/>
  <c r="K25" i="15"/>
  <c r="M27" i="15"/>
  <c r="L25" i="15"/>
  <c r="R11" i="15"/>
  <c r="F27" i="16"/>
  <c r="R16" i="16"/>
  <c r="S16" i="16"/>
  <c r="K27" i="15"/>
  <c r="L27" i="15"/>
  <c r="R14" i="15"/>
  <c r="S14" i="15"/>
  <c r="R13" i="16"/>
  <c r="S13" i="16"/>
  <c r="S23" i="15"/>
  <c r="R27" i="15" l="1"/>
  <c r="S27" i="15"/>
  <c r="K27" i="16"/>
  <c r="L27" i="16"/>
  <c r="S28" i="15"/>
  <c r="S26" i="16"/>
  <c r="R26" i="16"/>
  <c r="R26" i="15"/>
  <c r="S26" i="15"/>
  <c r="R25" i="16"/>
  <c r="S25" i="16"/>
  <c r="R25" i="15"/>
  <c r="S25" i="15"/>
  <c r="M28" i="16"/>
  <c r="M27" i="16"/>
  <c r="S27" i="16" l="1"/>
  <c r="R27" i="16"/>
  <c r="R28" i="16"/>
  <c r="S28" i="16"/>
  <c r="G28" i="16" l="1"/>
  <c r="J28" i="16" s="1"/>
  <c r="G27" i="16"/>
  <c r="J27" i="16" s="1"/>
  <c r="Q23" i="16"/>
  <c r="J23" i="16"/>
  <c r="Q20" i="16"/>
  <c r="J20" i="16"/>
  <c r="Q22" i="16"/>
  <c r="J22" i="16"/>
  <c r="Q14" i="15"/>
  <c r="J14" i="15"/>
  <c r="Q14" i="16"/>
  <c r="J14" i="16"/>
  <c r="Q17" i="15"/>
  <c r="J17" i="15"/>
  <c r="Q20" i="15"/>
  <c r="J20" i="15"/>
  <c r="Q13" i="15"/>
  <c r="J13" i="15"/>
  <c r="J10" i="16"/>
  <c r="J10" i="15"/>
  <c r="J11" i="15"/>
  <c r="Q16" i="15"/>
  <c r="J16" i="15"/>
  <c r="Q19" i="15"/>
  <c r="J19" i="15"/>
  <c r="Q23" i="15"/>
  <c r="J23" i="15"/>
  <c r="G27" i="15"/>
  <c r="J27" i="15" s="1"/>
  <c r="Q22" i="15"/>
  <c r="J22" i="15"/>
  <c r="Q13" i="16"/>
  <c r="J13" i="16"/>
  <c r="Q17" i="16"/>
  <c r="J17" i="16"/>
  <c r="J11" i="16"/>
  <c r="Q16" i="16"/>
  <c r="J16" i="16"/>
  <c r="Q19" i="16"/>
  <c r="J19" i="16"/>
  <c r="Q26" i="15" l="1"/>
  <c r="J26" i="15"/>
  <c r="Q10" i="15"/>
  <c r="Q25" i="16"/>
  <c r="J25" i="16"/>
  <c r="Q11" i="16"/>
  <c r="Q25" i="15"/>
  <c r="J25" i="15"/>
  <c r="Q10" i="16"/>
  <c r="G28" i="15"/>
  <c r="J28" i="15" s="1"/>
  <c r="Q26" i="16"/>
  <c r="J26" i="16"/>
  <c r="Q11" i="15"/>
  <c r="N28" i="16" l="1"/>
  <c r="Q28" i="16" s="1"/>
  <c r="N27" i="15"/>
  <c r="Q27" i="15" s="1"/>
  <c r="N28" i="15"/>
  <c r="Q28" i="15" s="1"/>
  <c r="N27" i="16"/>
  <c r="Q27" i="16" s="1"/>
  <c r="I40" i="29" l="1"/>
  <c r="I57" i="29" s="1"/>
  <c r="L57" i="29" s="1"/>
  <c r="L40" i="29"/>
  <c r="I30" i="29"/>
  <c r="L30" i="29" s="1"/>
  <c r="P13" i="29"/>
  <c r="L13" i="29"/>
  <c r="S40" i="30" l="1"/>
  <c r="S40" i="31"/>
  <c r="S40" i="32"/>
  <c r="S13" i="29"/>
  <c r="P40" i="29"/>
  <c r="P30" i="29"/>
  <c r="S30" i="29" s="1"/>
  <c r="S57" i="32" l="1"/>
  <c r="W40" i="32"/>
  <c r="S57" i="31"/>
  <c r="W57" i="31" s="1"/>
  <c r="W40" i="31"/>
  <c r="S57" i="30"/>
  <c r="W57" i="30" s="1"/>
  <c r="W40" i="30"/>
  <c r="P57" i="29"/>
  <c r="S57" i="29" s="1"/>
  <c r="S40" i="29"/>
  <c r="O13" i="33" l="1"/>
  <c r="O13" i="34" s="1"/>
  <c r="F28" i="32"/>
  <c r="F29" i="32"/>
  <c r="V13" i="34" l="1"/>
  <c r="F56" i="32"/>
  <c r="O29" i="32"/>
  <c r="N29" i="32"/>
  <c r="M29" i="32"/>
  <c r="L29" i="32"/>
  <c r="K29" i="32"/>
  <c r="F31" i="32"/>
  <c r="N28" i="32"/>
  <c r="O28" i="32"/>
  <c r="L28" i="32"/>
  <c r="F55" i="32"/>
  <c r="F30" i="32"/>
  <c r="K28" i="32"/>
  <c r="M28" i="32"/>
  <c r="F37" i="33"/>
  <c r="L13" i="33"/>
  <c r="K13" i="33"/>
  <c r="M13" i="33"/>
  <c r="O14" i="33"/>
  <c r="O14" i="34" s="1"/>
  <c r="V14" i="34" l="1"/>
  <c r="M30" i="32"/>
  <c r="N30" i="32"/>
  <c r="L30" i="32"/>
  <c r="K30" i="32"/>
  <c r="M31" i="32"/>
  <c r="K31" i="32"/>
  <c r="N31" i="32"/>
  <c r="L31" i="32"/>
  <c r="L55" i="32"/>
  <c r="F57" i="32"/>
  <c r="K55" i="32"/>
  <c r="M55" i="32"/>
  <c r="N55" i="32"/>
  <c r="V29" i="32"/>
  <c r="P56" i="32"/>
  <c r="O31" i="32"/>
  <c r="T29" i="32"/>
  <c r="W29" i="32"/>
  <c r="U29" i="32"/>
  <c r="V28" i="32"/>
  <c r="U28" i="32"/>
  <c r="T28" i="32"/>
  <c r="P55" i="32"/>
  <c r="W28" i="32"/>
  <c r="O30" i="32"/>
  <c r="M56" i="32"/>
  <c r="N56" i="32"/>
  <c r="L56" i="32"/>
  <c r="K56" i="32"/>
  <c r="F58" i="32"/>
  <c r="M26" i="33"/>
  <c r="F50" i="33"/>
  <c r="L14" i="33"/>
  <c r="K14" i="33"/>
  <c r="F38" i="33"/>
  <c r="M14" i="33"/>
  <c r="V13" i="33"/>
  <c r="M37" i="33"/>
  <c r="L37" i="33"/>
  <c r="K37" i="33"/>
  <c r="V55" i="32" l="1"/>
  <c r="U55" i="32"/>
  <c r="W55" i="32"/>
  <c r="P57" i="32"/>
  <c r="P58" i="32"/>
  <c r="W56" i="32"/>
  <c r="V56" i="32"/>
  <c r="U56" i="32"/>
  <c r="N58" i="32"/>
  <c r="K58" i="32"/>
  <c r="M58" i="32"/>
  <c r="L58" i="32"/>
  <c r="K57" i="32"/>
  <c r="M57" i="32"/>
  <c r="N57" i="32"/>
  <c r="L57" i="32"/>
  <c r="U31" i="32"/>
  <c r="W31" i="32"/>
  <c r="V31" i="32"/>
  <c r="T31" i="32"/>
  <c r="W30" i="32"/>
  <c r="V30" i="32"/>
  <c r="U30" i="32"/>
  <c r="T30" i="32"/>
  <c r="M50" i="33"/>
  <c r="V26" i="33"/>
  <c r="V14" i="33"/>
  <c r="M38" i="33"/>
  <c r="K38" i="33"/>
  <c r="L38" i="33"/>
  <c r="W37" i="33"/>
  <c r="V58" i="32" l="1"/>
  <c r="W58" i="32"/>
  <c r="U58" i="32"/>
  <c r="W57" i="32"/>
  <c r="V57" i="32"/>
  <c r="U57" i="32"/>
  <c r="W50" i="33"/>
  <c r="P52" i="33"/>
  <c r="P51" i="33"/>
  <c r="W44" i="33"/>
  <c r="W43" i="33"/>
  <c r="W41" i="33"/>
  <c r="W40" i="33"/>
  <c r="W38" i="33"/>
  <c r="V47" i="33" l="1"/>
  <c r="V46" i="33"/>
  <c r="H49" i="33" l="1"/>
  <c r="H50" i="33"/>
  <c r="L50" i="33" s="1"/>
  <c r="L26" i="33"/>
  <c r="G50" i="33"/>
  <c r="K50" i="33" s="1"/>
  <c r="K26" i="33"/>
  <c r="G49" i="33"/>
  <c r="T25" i="33" l="1"/>
  <c r="M25" i="33"/>
  <c r="F49" i="33"/>
  <c r="K25" i="33"/>
  <c r="K49" i="33"/>
  <c r="L25" i="33"/>
  <c r="V50" i="33"/>
  <c r="U26" i="33"/>
  <c r="U50" i="33"/>
  <c r="T26" i="33"/>
  <c r="U25" i="33" l="1"/>
  <c r="M49" i="33"/>
  <c r="V49" i="33"/>
  <c r="V25" i="33"/>
  <c r="L49" i="33"/>
  <c r="J49" i="33"/>
  <c r="N49" i="33" s="1"/>
  <c r="W25" i="33"/>
  <c r="N25" i="33"/>
  <c r="J50" i="33"/>
  <c r="N50" i="33" s="1"/>
  <c r="W26" i="33"/>
  <c r="N26" i="33"/>
  <c r="U47" i="33"/>
  <c r="U46" i="33"/>
  <c r="V44" i="33"/>
  <c r="V43" i="33"/>
  <c r="U44" i="33"/>
  <c r="U43" i="33"/>
  <c r="V41" i="33"/>
  <c r="V40" i="33"/>
  <c r="U41" i="33"/>
  <c r="U40" i="33"/>
  <c r="V38" i="33"/>
  <c r="V37" i="33"/>
  <c r="U38" i="33"/>
  <c r="U37" i="33"/>
  <c r="Q52" i="33" l="1"/>
  <c r="R51" i="33"/>
  <c r="V51" i="33" s="1"/>
  <c r="Q51" i="33"/>
  <c r="U51" i="33" s="1"/>
  <c r="R52" i="33"/>
  <c r="V52" i="33" s="1"/>
  <c r="W49" i="33"/>
  <c r="U49" i="33"/>
  <c r="U52" i="33"/>
  <c r="J22" i="33" l="1"/>
  <c r="J46" i="33" s="1"/>
  <c r="J23" i="33"/>
  <c r="J47" i="33" s="1"/>
  <c r="I23" i="33" l="1"/>
  <c r="S47" i="33"/>
  <c r="R23" i="33"/>
  <c r="I22" i="33"/>
  <c r="S46" i="33"/>
  <c r="R22" i="33"/>
  <c r="R28" i="33" l="1"/>
  <c r="R23" i="34"/>
  <c r="R28" i="34" s="1"/>
  <c r="R27" i="33"/>
  <c r="R22" i="34"/>
  <c r="R27" i="34" s="1"/>
  <c r="S52" i="33"/>
  <c r="W52" i="33" s="1"/>
  <c r="W47" i="33"/>
  <c r="I28" i="33"/>
  <c r="I47" i="33"/>
  <c r="I52" i="33" s="1"/>
  <c r="I27" i="33"/>
  <c r="I46" i="33"/>
  <c r="I51" i="33" s="1"/>
  <c r="S51" i="33"/>
  <c r="W51" i="33" s="1"/>
  <c r="W46" i="33"/>
  <c r="F19" i="33" l="1"/>
  <c r="O19" i="33"/>
  <c r="F17" i="33"/>
  <c r="O16" i="33"/>
  <c r="O16" i="34" s="1"/>
  <c r="O20" i="33"/>
  <c r="O17" i="33"/>
  <c r="O17" i="34" s="1"/>
  <c r="F16" i="33"/>
  <c r="F20" i="33"/>
  <c r="V16" i="34" l="1"/>
  <c r="V17" i="34"/>
  <c r="V20" i="33"/>
  <c r="O20" i="34"/>
  <c r="V19" i="33"/>
  <c r="O19" i="34"/>
  <c r="F41" i="33"/>
  <c r="M17" i="33"/>
  <c r="F40" i="33"/>
  <c r="M16" i="33"/>
  <c r="V16" i="33"/>
  <c r="M20" i="33"/>
  <c r="F44" i="33"/>
  <c r="M44" i="33" s="1"/>
  <c r="V17" i="33"/>
  <c r="M19" i="33"/>
  <c r="F43" i="33"/>
  <c r="M43" i="33" s="1"/>
  <c r="O23" i="33"/>
  <c r="O22" i="33"/>
  <c r="F23" i="33"/>
  <c r="F22" i="33"/>
  <c r="V20" i="34" l="1"/>
  <c r="V19" i="34"/>
  <c r="O27" i="33"/>
  <c r="V27" i="33" s="1"/>
  <c r="O22" i="34"/>
  <c r="O22" i="35" s="1"/>
  <c r="O28" i="33"/>
  <c r="V28" i="33" s="1"/>
  <c r="O23" i="34"/>
  <c r="O23" i="35" s="1"/>
  <c r="M40" i="33"/>
  <c r="N23" i="33"/>
  <c r="L23" i="33"/>
  <c r="F47" i="33"/>
  <c r="M23" i="33"/>
  <c r="V23" i="33"/>
  <c r="U23" i="33"/>
  <c r="F28" i="33"/>
  <c r="M28" i="33" s="1"/>
  <c r="F27" i="33"/>
  <c r="M27" i="33" s="1"/>
  <c r="M22" i="33"/>
  <c r="N22" i="33"/>
  <c r="L22" i="33"/>
  <c r="F46" i="33"/>
  <c r="F51" i="33" s="1"/>
  <c r="M51" i="33" s="1"/>
  <c r="U22" i="33"/>
  <c r="V22" i="33"/>
  <c r="M41" i="33"/>
  <c r="U23" i="35" l="1"/>
  <c r="V23" i="35"/>
  <c r="T23" i="35"/>
  <c r="W23" i="35"/>
  <c r="O28" i="35"/>
  <c r="U22" i="35"/>
  <c r="W22" i="35"/>
  <c r="T22" i="35"/>
  <c r="O27" i="35"/>
  <c r="V22" i="35"/>
  <c r="V22" i="34"/>
  <c r="U22" i="34"/>
  <c r="U23" i="34"/>
  <c r="V23" i="34"/>
  <c r="O28" i="34"/>
  <c r="O27" i="34"/>
  <c r="L47" i="33"/>
  <c r="N47" i="33"/>
  <c r="M47" i="33"/>
  <c r="F52" i="33"/>
  <c r="M52" i="33" s="1"/>
  <c r="N46" i="33"/>
  <c r="M46" i="33"/>
  <c r="L46" i="33"/>
  <c r="T28" i="35" l="1"/>
  <c r="U28" i="35"/>
  <c r="V28" i="35"/>
  <c r="W28" i="35"/>
  <c r="W27" i="35"/>
  <c r="V27" i="35"/>
  <c r="T27" i="35"/>
  <c r="U27" i="35"/>
  <c r="V27" i="34"/>
  <c r="V28" i="34"/>
  <c r="P23" i="33"/>
  <c r="P22" i="33"/>
  <c r="S22" i="33"/>
  <c r="G23" i="33"/>
  <c r="G22" i="33"/>
  <c r="Q13" i="33"/>
  <c r="Q13" i="34" s="1"/>
  <c r="Q14" i="33"/>
  <c r="Q14" i="34" s="1"/>
  <c r="P14" i="33"/>
  <c r="P14" i="34" s="1"/>
  <c r="P13" i="33"/>
  <c r="P13" i="34" s="1"/>
  <c r="Q20" i="33"/>
  <c r="H20" i="33"/>
  <c r="Q16" i="33"/>
  <c r="S20" i="33"/>
  <c r="Q19" i="33"/>
  <c r="S19" i="33"/>
  <c r="J20" i="33"/>
  <c r="J16" i="33"/>
  <c r="H16" i="33"/>
  <c r="H17" i="33"/>
  <c r="G16" i="33"/>
  <c r="S17" i="33"/>
  <c r="Q17" i="33"/>
  <c r="G17" i="33"/>
  <c r="S16" i="33"/>
  <c r="P19" i="33"/>
  <c r="H19" i="33"/>
  <c r="P20" i="33"/>
  <c r="J17" i="33"/>
  <c r="P16" i="33"/>
  <c r="J19" i="33"/>
  <c r="P17" i="33"/>
  <c r="G19" i="33"/>
  <c r="G20" i="33"/>
  <c r="W19" i="33" l="1"/>
  <c r="S19" i="34"/>
  <c r="W19" i="34" s="1"/>
  <c r="U14" i="34"/>
  <c r="W17" i="33"/>
  <c r="S17" i="34"/>
  <c r="W17" i="34" s="1"/>
  <c r="T17" i="33"/>
  <c r="P17" i="34"/>
  <c r="T17" i="34" s="1"/>
  <c r="U13" i="34"/>
  <c r="W20" i="33"/>
  <c r="S20" i="34"/>
  <c r="W20" i="34" s="1"/>
  <c r="T20" i="33"/>
  <c r="P20" i="34"/>
  <c r="T20" i="34" s="1"/>
  <c r="W22" i="33"/>
  <c r="S22" i="34"/>
  <c r="W22" i="34" s="1"/>
  <c r="T14" i="34"/>
  <c r="U17" i="33"/>
  <c r="Q17" i="34"/>
  <c r="U17" i="34" s="1"/>
  <c r="U16" i="33"/>
  <c r="Q16" i="34"/>
  <c r="U16" i="34" s="1"/>
  <c r="U20" i="33"/>
  <c r="Q20" i="34"/>
  <c r="U20" i="34" s="1"/>
  <c r="T22" i="33"/>
  <c r="P22" i="34"/>
  <c r="T22" i="34" s="1"/>
  <c r="W16" i="33"/>
  <c r="S16" i="34"/>
  <c r="W16" i="34" s="1"/>
  <c r="U19" i="33"/>
  <c r="Q19" i="34"/>
  <c r="U19" i="34" s="1"/>
  <c r="T16" i="33"/>
  <c r="P16" i="34"/>
  <c r="T16" i="34" s="1"/>
  <c r="T19" i="33"/>
  <c r="P19" i="34"/>
  <c r="T19" i="34" s="1"/>
  <c r="T13" i="34"/>
  <c r="T23" i="33"/>
  <c r="P23" i="34"/>
  <c r="T23" i="34" s="1"/>
  <c r="G27" i="33"/>
  <c r="K27" i="33" s="1"/>
  <c r="G40" i="33"/>
  <c r="K16" i="33"/>
  <c r="H28" i="33"/>
  <c r="L28" i="33" s="1"/>
  <c r="H41" i="33"/>
  <c r="L17" i="33"/>
  <c r="P27" i="33"/>
  <c r="T27" i="33" s="1"/>
  <c r="T13" i="33"/>
  <c r="S14" i="33"/>
  <c r="S14" i="34" s="1"/>
  <c r="G41" i="33"/>
  <c r="G28" i="33"/>
  <c r="K28" i="33" s="1"/>
  <c r="K17" i="33"/>
  <c r="H40" i="33"/>
  <c r="H27" i="33"/>
  <c r="L27" i="33" s="1"/>
  <c r="L16" i="33"/>
  <c r="T14" i="33"/>
  <c r="P28" i="33"/>
  <c r="T28" i="33" s="1"/>
  <c r="G43" i="33"/>
  <c r="K43" i="33" s="1"/>
  <c r="K19" i="33"/>
  <c r="J41" i="33"/>
  <c r="N41" i="33" s="1"/>
  <c r="N17" i="33"/>
  <c r="H43" i="33"/>
  <c r="L43" i="33" s="1"/>
  <c r="L19" i="33"/>
  <c r="G44" i="33"/>
  <c r="K44" i="33" s="1"/>
  <c r="K20" i="33"/>
  <c r="J43" i="33"/>
  <c r="N43" i="33" s="1"/>
  <c r="N19" i="33"/>
  <c r="J40" i="33"/>
  <c r="N40" i="33" s="1"/>
  <c r="N16" i="33"/>
  <c r="Q28" i="33"/>
  <c r="U28" i="33" s="1"/>
  <c r="U14" i="33"/>
  <c r="H44" i="33"/>
  <c r="L44" i="33" s="1"/>
  <c r="L20" i="33"/>
  <c r="S13" i="33"/>
  <c r="S13" i="34" s="1"/>
  <c r="G46" i="33"/>
  <c r="K46" i="33" s="1"/>
  <c r="K22" i="33"/>
  <c r="J44" i="33"/>
  <c r="N44" i="33" s="1"/>
  <c r="N20" i="33"/>
  <c r="U13" i="33"/>
  <c r="Q27" i="33"/>
  <c r="U27" i="33" s="1"/>
  <c r="G47" i="33"/>
  <c r="K47" i="33" s="1"/>
  <c r="K23" i="33"/>
  <c r="S23" i="33"/>
  <c r="S27" i="34" l="1"/>
  <c r="W27" i="34" s="1"/>
  <c r="W13" i="34"/>
  <c r="W14" i="34"/>
  <c r="P27" i="34"/>
  <c r="T27" i="34" s="1"/>
  <c r="Q28" i="34"/>
  <c r="U28" i="34" s="1"/>
  <c r="W23" i="33"/>
  <c r="S23" i="34"/>
  <c r="W23" i="34" s="1"/>
  <c r="P28" i="34"/>
  <c r="T28" i="34" s="1"/>
  <c r="Q27" i="34"/>
  <c r="U27" i="34" s="1"/>
  <c r="H51" i="33"/>
  <c r="L51" i="33" s="1"/>
  <c r="L40" i="33"/>
  <c r="H52" i="33"/>
  <c r="L52" i="33" s="1"/>
  <c r="L41" i="33"/>
  <c r="W13" i="33"/>
  <c r="S27" i="33"/>
  <c r="W27" i="33" s="1"/>
  <c r="J37" i="33"/>
  <c r="J27" i="33"/>
  <c r="N27" i="33" s="1"/>
  <c r="N13" i="33"/>
  <c r="G52" i="33"/>
  <c r="K52" i="33" s="1"/>
  <c r="K41" i="33"/>
  <c r="W14" i="33"/>
  <c r="S28" i="33"/>
  <c r="W28" i="33" s="1"/>
  <c r="G51" i="33"/>
  <c r="K51" i="33" s="1"/>
  <c r="K40" i="33"/>
  <c r="J38" i="33"/>
  <c r="J28" i="33"/>
  <c r="N28" i="33" s="1"/>
  <c r="N14" i="33"/>
  <c r="S28" i="34" l="1"/>
  <c r="W28" i="34" s="1"/>
  <c r="N37" i="33"/>
  <c r="J51" i="33"/>
  <c r="N51" i="33" s="1"/>
  <c r="N38" i="33"/>
  <c r="J52" i="33"/>
  <c r="N52" i="33" s="1"/>
</calcChain>
</file>

<file path=xl/comments1.xml><?xml version="1.0" encoding="utf-8"?>
<comments xmlns="http://schemas.openxmlformats.org/spreadsheetml/2006/main">
  <authors>
    <author>tc={EB20F34A-B1CA-4390-9F24-C60481D66B6C}</author>
  </authors>
  <commentList>
    <comment ref="F28"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Las Palmas and Alicante is included</t>
        </r>
      </text>
    </comment>
  </commentList>
</comments>
</file>

<file path=xl/sharedStrings.xml><?xml version="1.0" encoding="utf-8"?>
<sst xmlns="http://schemas.openxmlformats.org/spreadsheetml/2006/main" count="1246" uniqueCount="124">
  <si>
    <t>Global Ports Holding Plc.</t>
  </si>
  <si>
    <t>Date:</t>
  </si>
  <si>
    <t>Cruise Port Traffic Statistics</t>
  </si>
  <si>
    <t>Disclaimer</t>
  </si>
  <si>
    <t>Notes</t>
  </si>
  <si>
    <t>Calls</t>
  </si>
  <si>
    <t>Monthly Traffic Statistics GPH</t>
  </si>
  <si>
    <t>Period</t>
  </si>
  <si>
    <t xml:space="preserve">January to October </t>
  </si>
  <si>
    <t>Full Calendar Year</t>
  </si>
  <si>
    <t>Nassau</t>
  </si>
  <si>
    <t>Passenger Movements</t>
  </si>
  <si>
    <t>Total Calls</t>
  </si>
  <si>
    <t>Total Passenger Movements</t>
  </si>
  <si>
    <t>Antigua</t>
  </si>
  <si>
    <t>Ege Port</t>
  </si>
  <si>
    <t>Valletta</t>
  </si>
  <si>
    <t>Other Cruise</t>
  </si>
  <si>
    <t>2021/19 Chg %</t>
  </si>
  <si>
    <t>2021/20 Chg %</t>
  </si>
  <si>
    <t>Creuers</t>
  </si>
  <si>
    <t>September 2021</t>
  </si>
  <si>
    <t>September</t>
  </si>
  <si>
    <t xml:space="preserve">January to September </t>
  </si>
  <si>
    <t>October</t>
  </si>
  <si>
    <t>October 2021</t>
  </si>
  <si>
    <t>November 2021</t>
  </si>
  <si>
    <t>November</t>
  </si>
  <si>
    <t xml:space="preserve">January to November </t>
  </si>
  <si>
    <t>Cruise Port</t>
  </si>
  <si>
    <t>December 2021</t>
  </si>
  <si>
    <t>December</t>
  </si>
  <si>
    <t>January to December</t>
  </si>
  <si>
    <t>January</t>
  </si>
  <si>
    <t>2022/20 Chg %</t>
  </si>
  <si>
    <t>2022/19 Chg %</t>
  </si>
  <si>
    <t>2022/21 Chg %</t>
  </si>
  <si>
    <t>January 2022</t>
  </si>
  <si>
    <t>January to February</t>
  </si>
  <si>
    <t>February</t>
  </si>
  <si>
    <t>February 2022</t>
  </si>
  <si>
    <t>March</t>
  </si>
  <si>
    <t>March 2022</t>
  </si>
  <si>
    <t>January to March</t>
  </si>
  <si>
    <t>April 2022</t>
  </si>
  <si>
    <t>April</t>
  </si>
  <si>
    <t>January to April</t>
  </si>
  <si>
    <t>May</t>
  </si>
  <si>
    <t>May 2022</t>
  </si>
  <si>
    <t>January to May</t>
  </si>
  <si>
    <t>June 2022</t>
  </si>
  <si>
    <t>June</t>
  </si>
  <si>
    <t>January to June</t>
  </si>
  <si>
    <t>FY 2023</t>
  </si>
  <si>
    <t>FY 2022</t>
  </si>
  <si>
    <t>July</t>
  </si>
  <si>
    <t>July 2022</t>
  </si>
  <si>
    <t>Calendar Year</t>
  </si>
  <si>
    <t>Fiscal Year</t>
  </si>
  <si>
    <t>FY 2021</t>
  </si>
  <si>
    <t>January to July (YTD)</t>
  </si>
  <si>
    <t>April to July (YTD)</t>
  </si>
  <si>
    <t>Calendar Year Presentation</t>
  </si>
  <si>
    <t>GPH Fiscal Year Presentation (period ending 31 March)</t>
  </si>
  <si>
    <t>FY 2020</t>
  </si>
  <si>
    <t>FY 2021
15 Months</t>
  </si>
  <si>
    <t>2023/22 Chg %</t>
  </si>
  <si>
    <t>2023/21 Chg %</t>
  </si>
  <si>
    <t>2023/20 Chg %</t>
  </si>
  <si>
    <t>August</t>
  </si>
  <si>
    <t>April to August (YTD)</t>
  </si>
  <si>
    <t>January to August (YTD)</t>
  </si>
  <si>
    <t>August 2022</t>
  </si>
  <si>
    <t>31 March 2020 End, 12 Months</t>
  </si>
  <si>
    <t>BPI</t>
  </si>
  <si>
    <t>Jan</t>
  </si>
  <si>
    <t>Feb</t>
  </si>
  <si>
    <t>Mar</t>
  </si>
  <si>
    <t>Aug</t>
  </si>
  <si>
    <t>Sep</t>
  </si>
  <si>
    <t>Oct</t>
  </si>
  <si>
    <t>Nov</t>
  </si>
  <si>
    <t>Dec</t>
  </si>
  <si>
    <t>Volume-weighted Consolidated Cruise Occupancy Ratio</t>
  </si>
  <si>
    <t>See following sheets</t>
  </si>
  <si>
    <t>Monthly Cruise Occupany Ratio GPH for 2022</t>
  </si>
  <si>
    <t>September 2022</t>
  </si>
  <si>
    <t>January to September (YTD)</t>
  </si>
  <si>
    <t>April to September (YTD)</t>
  </si>
  <si>
    <t>October 2022</t>
  </si>
  <si>
    <t>January to October (YTD)</t>
  </si>
  <si>
    <t>April to October (YTD)</t>
  </si>
  <si>
    <t>November 2022</t>
  </si>
  <si>
    <t>January to November (YTD)</t>
  </si>
  <si>
    <t>April to November (YTD)</t>
  </si>
  <si>
    <t>December 2022</t>
  </si>
  <si>
    <t>January to December (YTD)</t>
  </si>
  <si>
    <t>April to December (YTD)</t>
  </si>
  <si>
    <t xml:space="preserve">Notes: </t>
  </si>
  <si>
    <t>Occupancy ratios will lag one month due to availability of data</t>
  </si>
  <si>
    <t>January 2023</t>
  </si>
  <si>
    <t>April to January (YTD)</t>
  </si>
  <si>
    <t>2023/19 Chg %</t>
  </si>
  <si>
    <t>February 2023</t>
  </si>
  <si>
    <t>April to February (YTD)</t>
  </si>
  <si>
    <t>Occupancy Ratios</t>
  </si>
  <si>
    <t>Year</t>
  </si>
  <si>
    <t>March 2023</t>
  </si>
  <si>
    <t>April to March (YTD)</t>
  </si>
  <si>
    <t>Americas</t>
  </si>
  <si>
    <t>Central Med</t>
  </si>
  <si>
    <t>East Med</t>
  </si>
  <si>
    <t>West Med &amp; Atlantic</t>
  </si>
  <si>
    <t>Other</t>
  </si>
  <si>
    <t>April 2023</t>
  </si>
  <si>
    <t>April (YTD)</t>
  </si>
  <si>
    <t>FY 2024</t>
  </si>
  <si>
    <t>2024/23 Chg %</t>
  </si>
  <si>
    <t>2024/22 Chg %</t>
  </si>
  <si>
    <t>2024/21 Chg %</t>
  </si>
  <si>
    <t>2024/20 Chg %</t>
  </si>
  <si>
    <t>April to May (YTD)</t>
  </si>
  <si>
    <t>Apr</t>
  </si>
  <si>
    <t>May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</si>
</sst>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3" formatCode="_-* #,##0.00_-;\-* #,##0.00_-;_-* &quot;-&quot;??_-;_-@_-"/>
    <numFmt numFmtId="164" formatCode="_-* #,##0_-;* \(#,##0\)_-;_-* &quot;-&quot;??_-;_-@_-"/>
    <numFmt numFmtId="165" formatCode="[$-409]d\-mmm\-yyyy;@"/>
    <numFmt numFmtId="166" formatCode="[$-409]dd\-mmm\-yy;@"/>
    <numFmt numFmtId="167" formatCode="yyyy\-mm\-dd;@"/>
    <numFmt numFmtId="168" formatCode="_-* #,##0_-;\-* #,##0_-;_-* &quot;-&quot;??_-;_-@_-"/>
    <numFmt numFmtId="169" formatCode="0%;\(0%\)"/>
    <numFmt numFmtId="170" formatCode="#,##0;\(#,##0\);\-\-"/>
    <numFmt numFmtId="171" formatCode="#,##0_ ;[Black]\(#,##0\);_-\-\-\ "/>
    <numFmt numFmtId="172" formatCode="0%;\-0%;\ "/>
    <numFmt numFmtId="173" formatCode="0.0%;\-0.0%;\ "/>
  </numFmts>
  <fonts count="32">
    <font>
      <sz val="11"/>
      <color theme="1"/>
      <name val="Calibri"/>
      <family val="2"/>
      <scheme val="minor"/>
    </font>
    <font>
      <b/>
      <sz val="18"/>
      <color theme="0"/>
      <name val="Arial"/>
      <family val="2"/>
    </font>
    <font>
      <b/>
      <sz val="18"/>
      <color theme="1" tint="0.249977111117893"/>
      <name val="Book Antiqua"/>
      <family val="1"/>
    </font>
    <font>
      <sz val="10"/>
      <color theme="1"/>
      <name val="Arial"/>
      <family val="2"/>
    </font>
    <font>
      <sz val="10"/>
      <color theme="1"/>
      <name val="Book Antiqua"/>
      <family val="1"/>
    </font>
    <font>
      <b/>
      <sz val="22"/>
      <color rgb="FF586577"/>
      <name val="Book Antiqua"/>
      <family val="1"/>
    </font>
    <font>
      <i/>
      <sz val="12"/>
      <color rgb="FF586577"/>
      <name val="Book Antiqua"/>
      <family val="1"/>
    </font>
    <font>
      <sz val="22"/>
      <color rgb="FF586577"/>
      <name val="Book Antiqua"/>
      <family val="1"/>
    </font>
    <font>
      <sz val="12"/>
      <color rgb="FF586577"/>
      <name val="Book Antiqua"/>
      <family val="1"/>
    </font>
    <font>
      <b/>
      <sz val="14"/>
      <color rgb="FF586577"/>
      <name val="Book Antiqua"/>
      <family val="1"/>
    </font>
    <font>
      <b/>
      <sz val="12"/>
      <color rgb="FF586577"/>
      <name val="Arial"/>
      <family val="2"/>
    </font>
    <font>
      <b/>
      <sz val="10"/>
      <color rgb="FF586577"/>
      <name val="Book Antiqua"/>
      <family val="1"/>
    </font>
    <font>
      <sz val="11"/>
      <color theme="1"/>
      <name val="Arial"/>
      <family val="2"/>
    </font>
    <font>
      <b/>
      <sz val="14"/>
      <color rgb="FFED1C24"/>
      <name val="Arial"/>
      <family val="2"/>
    </font>
    <font>
      <i/>
      <sz val="10"/>
      <color theme="0" tint="-0.34998626667073579"/>
      <name val="Arial"/>
      <family val="2"/>
    </font>
    <font>
      <sz val="11"/>
      <color theme="1"/>
      <name val="Calibri"/>
      <family val="2"/>
      <scheme val="minor"/>
    </font>
    <font>
      <sz val="11"/>
      <color theme="0"/>
      <name val="Calibri"/>
      <family val="2"/>
      <scheme val="minor"/>
    </font>
    <font>
      <sz val="8"/>
      <color theme="1"/>
      <name val="Calibri "/>
    </font>
    <font>
      <b/>
      <sz val="8"/>
      <color theme="0"/>
      <name val="Calibri "/>
    </font>
    <font>
      <b/>
      <sz val="8"/>
      <color rgb="FF586577"/>
      <name val="Calibri "/>
    </font>
    <font>
      <sz val="8"/>
      <color theme="0"/>
      <name val="Calibri "/>
    </font>
    <font>
      <b/>
      <sz val="8"/>
      <color theme="1"/>
      <name val="Calibri "/>
    </font>
    <font>
      <i/>
      <sz val="8"/>
      <color theme="0" tint="-0.34998626667073579"/>
      <name val="Calibri "/>
    </font>
    <font>
      <b/>
      <i/>
      <sz val="8"/>
      <color theme="0"/>
      <name val="Calibri "/>
    </font>
    <font>
      <sz val="10"/>
      <color rgb="FF000000"/>
      <name val="Book Antiqua"/>
      <family val="1"/>
    </font>
    <font>
      <sz val="8"/>
      <color theme="1"/>
      <name val="Book Antiqua"/>
      <family val="1"/>
      <charset val="162"/>
    </font>
    <font>
      <sz val="8"/>
      <color rgb="FFFF0000"/>
      <name val="Calibri "/>
    </font>
    <font>
      <i/>
      <sz val="8"/>
      <color theme="1"/>
      <name val="Calibri "/>
    </font>
    <font>
      <b/>
      <sz val="11"/>
      <color rgb="FFFF0000"/>
      <name val="Calibri "/>
    </font>
    <font>
      <b/>
      <sz val="10"/>
      <color rgb="FF586577"/>
      <name val="Calibri "/>
    </font>
    <font>
      <b/>
      <sz val="10"/>
      <color theme="0"/>
      <name val="Calibri "/>
    </font>
    <font>
      <sz val="9"/>
      <color theme="1"/>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E8ECEE"/>
        <bgColor indexed="64"/>
      </patternFill>
    </fill>
    <fill>
      <patternFill patternType="solid">
        <fgColor rgb="FF586577"/>
        <bgColor indexed="64"/>
      </patternFill>
    </fill>
    <fill>
      <patternFill patternType="solid">
        <fgColor theme="7" tint="0.79998168889431442"/>
        <bgColor indexed="64"/>
      </patternFill>
    </fill>
    <fill>
      <patternFill patternType="solid">
        <fgColor theme="9" tint="0.79998168889431442"/>
        <bgColor indexed="64"/>
      </patternFill>
    </fill>
  </fills>
  <borders count="23">
    <border>
      <left/>
      <right/>
      <top/>
      <bottom/>
      <diagonal/>
    </border>
    <border>
      <left/>
      <right/>
      <top/>
      <bottom style="medium">
        <color rgb="FF586577"/>
      </bottom>
      <diagonal/>
    </border>
    <border>
      <left/>
      <right/>
      <top style="thin">
        <color auto="1"/>
      </top>
      <bottom style="double">
        <color auto="1"/>
      </bottom>
      <diagonal/>
    </border>
    <border>
      <left/>
      <right style="thin">
        <color indexed="64"/>
      </right>
      <top/>
      <bottom/>
      <diagonal/>
    </border>
    <border>
      <left/>
      <right style="thin">
        <color indexed="64"/>
      </right>
      <top style="thin">
        <color auto="1"/>
      </top>
      <bottom style="double">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auto="1"/>
      </top>
      <bottom style="double">
        <color auto="1"/>
      </bottom>
      <diagonal/>
    </border>
    <border>
      <left/>
      <right/>
      <top/>
      <bottom style="thin">
        <color indexed="64"/>
      </bottom>
      <diagonal/>
    </border>
    <border>
      <left/>
      <right/>
      <top style="double">
        <color auto="1"/>
      </top>
      <bottom style="double">
        <color indexed="64"/>
      </bottom>
      <diagonal/>
    </border>
    <border>
      <left/>
      <right style="thin">
        <color indexed="64"/>
      </right>
      <top style="double">
        <color auto="1"/>
      </top>
      <bottom style="double">
        <color indexed="64"/>
      </bottom>
      <diagonal/>
    </border>
    <border>
      <left style="thin">
        <color indexed="64"/>
      </left>
      <right/>
      <top style="double">
        <color auto="1"/>
      </top>
      <bottom style="double">
        <color indexed="64"/>
      </bottom>
      <diagonal/>
    </border>
    <border>
      <left style="thin">
        <color theme="0"/>
      </left>
      <right/>
      <top style="thin">
        <color indexed="64"/>
      </top>
      <bottom/>
      <diagonal/>
    </border>
    <border>
      <left/>
      <right style="thin">
        <color theme="0"/>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top/>
      <bottom/>
      <diagonal/>
    </border>
    <border>
      <left/>
      <right style="thin">
        <color theme="0"/>
      </right>
      <top/>
      <bottom/>
      <diagonal/>
    </border>
    <border>
      <left/>
      <right/>
      <top/>
      <bottom style="double">
        <color auto="1"/>
      </bottom>
      <diagonal/>
    </border>
    <border>
      <left/>
      <right style="thin">
        <color indexed="64"/>
      </right>
      <top/>
      <bottom style="double">
        <color auto="1"/>
      </bottom>
      <diagonal/>
    </border>
  </borders>
  <cellStyleXfs count="10">
    <xf numFmtId="0" fontId="0" fillId="0" borderId="0"/>
    <xf numFmtId="0" fontId="1" fillId="2" borderId="0" applyNumberFormat="0" applyAlignment="0"/>
    <xf numFmtId="164" fontId="3" fillId="0" borderId="0"/>
    <xf numFmtId="0" fontId="10" fillId="4" borderId="0" applyAlignment="0"/>
    <xf numFmtId="0" fontId="13" fillId="0" borderId="0" applyNumberFormat="0" applyProtection="0"/>
    <xf numFmtId="0" fontId="14" fillId="0" borderId="0" applyNumberFormat="0"/>
    <xf numFmtId="0" fontId="12" fillId="0" borderId="2" applyNumberFormat="0" applyFont="0" applyFill="0" applyAlignment="0"/>
    <xf numFmtId="43" fontId="15" fillId="0" borderId="0" applyFont="0" applyFill="0" applyBorder="0" applyAlignment="0" applyProtection="0"/>
    <xf numFmtId="9" fontId="15" fillId="0" borderId="0" applyFont="0" applyFill="0" applyBorder="0" applyAlignment="0" applyProtection="0"/>
    <xf numFmtId="43" fontId="15" fillId="0" borderId="0" applyFont="0" applyFill="0" applyBorder="0" applyAlignment="0" applyProtection="0"/>
  </cellStyleXfs>
  <cellXfs count="138">
    <xf numFmtId="0" fontId="0" fillId="0" borderId="0" xfId="0"/>
    <xf numFmtId="0" fontId="2" fillId="3" borderId="0" xfId="1" applyFont="1" applyFill="1" applyAlignment="1">
      <alignment horizontal="left"/>
    </xf>
    <xf numFmtId="164" fontId="4" fillId="0" borderId="0" xfId="2" applyFont="1"/>
    <xf numFmtId="164" fontId="5" fillId="3" borderId="1" xfId="2" applyFont="1" applyFill="1" applyBorder="1"/>
    <xf numFmtId="164" fontId="4" fillId="0" borderId="1" xfId="2" applyFont="1" applyBorder="1"/>
    <xf numFmtId="164" fontId="6" fillId="0" borderId="0" xfId="2" applyFont="1"/>
    <xf numFmtId="164" fontId="7" fillId="0" borderId="0" xfId="2" applyFont="1"/>
    <xf numFmtId="164" fontId="8" fillId="0" borderId="0" xfId="2" applyFont="1"/>
    <xf numFmtId="164" fontId="9" fillId="3" borderId="1" xfId="2" applyFont="1" applyFill="1" applyBorder="1"/>
    <xf numFmtId="0" fontId="0" fillId="3" borderId="0" xfId="0" applyFill="1"/>
    <xf numFmtId="164" fontId="4" fillId="3" borderId="0" xfId="2" applyFont="1" applyFill="1"/>
    <xf numFmtId="164" fontId="6" fillId="3" borderId="0" xfId="2" applyFont="1" applyFill="1"/>
    <xf numFmtId="0" fontId="4" fillId="3" borderId="0" xfId="0" applyFont="1" applyFill="1"/>
    <xf numFmtId="164" fontId="4" fillId="0" borderId="0" xfId="2" applyFont="1" applyProtection="1">
      <protection locked="0"/>
    </xf>
    <xf numFmtId="0" fontId="2" fillId="3" borderId="0" xfId="1" applyFont="1" applyFill="1" applyAlignment="1" applyProtection="1">
      <alignment horizontal="left"/>
      <protection locked="0"/>
    </xf>
    <xf numFmtId="164" fontId="5" fillId="3" borderId="1" xfId="2" applyFont="1" applyFill="1" applyBorder="1" applyProtection="1">
      <protection locked="0"/>
    </xf>
    <xf numFmtId="164" fontId="4" fillId="0" borderId="1" xfId="2" applyFont="1" applyBorder="1" applyProtection="1">
      <protection locked="0"/>
    </xf>
    <xf numFmtId="164" fontId="6" fillId="0" borderId="0" xfId="2" applyFont="1" applyProtection="1">
      <protection locked="0"/>
    </xf>
    <xf numFmtId="0" fontId="11" fillId="3" borderId="0" xfId="3" applyFont="1" applyFill="1"/>
    <xf numFmtId="0" fontId="0" fillId="3" borderId="6" xfId="0" applyFill="1" applyBorder="1"/>
    <xf numFmtId="0" fontId="0" fillId="0" borderId="6" xfId="0" applyBorder="1"/>
    <xf numFmtId="0" fontId="0" fillId="3" borderId="9" xfId="0" applyFill="1" applyBorder="1"/>
    <xf numFmtId="0" fontId="0" fillId="0" borderId="9" xfId="0" applyBorder="1"/>
    <xf numFmtId="164" fontId="17" fillId="3" borderId="1" xfId="2" applyFont="1" applyFill="1" applyBorder="1"/>
    <xf numFmtId="164" fontId="17" fillId="3" borderId="0" xfId="2" applyFont="1" applyFill="1"/>
    <xf numFmtId="166" fontId="17" fillId="3" borderId="0" xfId="2" applyNumberFormat="1" applyFont="1" applyFill="1"/>
    <xf numFmtId="0" fontId="17" fillId="3" borderId="0" xfId="0" applyFont="1" applyFill="1"/>
    <xf numFmtId="0" fontId="18" fillId="2" borderId="5" xfId="1" applyFont="1" applyBorder="1"/>
    <xf numFmtId="0" fontId="18" fillId="2" borderId="6" xfId="1" applyFont="1" applyBorder="1"/>
    <xf numFmtId="0" fontId="19" fillId="4" borderId="7" xfId="3" applyFont="1" applyBorder="1"/>
    <xf numFmtId="0" fontId="19" fillId="4" borderId="0" xfId="3" applyFont="1"/>
    <xf numFmtId="0" fontId="21" fillId="3" borderId="7" xfId="0" applyFont="1" applyFill="1" applyBorder="1"/>
    <xf numFmtId="0" fontId="17" fillId="3" borderId="3" xfId="0" applyFont="1" applyFill="1" applyBorder="1"/>
    <xf numFmtId="0" fontId="17" fillId="3" borderId="7" xfId="0" applyFont="1" applyFill="1" applyBorder="1"/>
    <xf numFmtId="0" fontId="22" fillId="3" borderId="3" xfId="5" applyFont="1" applyFill="1" applyBorder="1"/>
    <xf numFmtId="0" fontId="18" fillId="5" borderId="8" xfId="6" applyFont="1" applyFill="1" applyBorder="1"/>
    <xf numFmtId="0" fontId="18" fillId="5" borderId="2" xfId="6" applyFont="1" applyFill="1"/>
    <xf numFmtId="0" fontId="23" fillId="5" borderId="4" xfId="6" applyFont="1" applyFill="1" applyBorder="1"/>
    <xf numFmtId="0" fontId="18" fillId="5" borderId="12" xfId="6" applyFont="1" applyFill="1" applyBorder="1"/>
    <xf numFmtId="0" fontId="18" fillId="5" borderId="10" xfId="6" applyFont="1" applyFill="1" applyBorder="1"/>
    <xf numFmtId="0" fontId="23" fillId="5" borderId="11" xfId="6" applyFont="1" applyFill="1" applyBorder="1"/>
    <xf numFmtId="168" fontId="0" fillId="3" borderId="0" xfId="0" applyNumberFormat="1" applyFill="1"/>
    <xf numFmtId="0" fontId="24" fillId="0" borderId="0" xfId="0" applyFont="1"/>
    <xf numFmtId="168" fontId="17" fillId="3" borderId="0" xfId="7" applyNumberFormat="1" applyFont="1" applyFill="1" applyBorder="1" applyAlignment="1" applyProtection="1">
      <alignment horizontal="right" indent="1"/>
    </xf>
    <xf numFmtId="3" fontId="17" fillId="3" borderId="0" xfId="0" applyNumberFormat="1" applyFont="1" applyFill="1" applyAlignment="1">
      <alignment horizontal="right" indent="1"/>
    </xf>
    <xf numFmtId="0" fontId="17" fillId="3" borderId="0" xfId="0" applyFont="1" applyFill="1" applyAlignment="1">
      <alignment horizontal="right" indent="1"/>
    </xf>
    <xf numFmtId="168" fontId="18" fillId="5" borderId="2" xfId="7" applyNumberFormat="1" applyFont="1" applyFill="1" applyBorder="1" applyAlignment="1" applyProtection="1">
      <alignment horizontal="right" indent="1"/>
    </xf>
    <xf numFmtId="168" fontId="18" fillId="5" borderId="10" xfId="7" applyNumberFormat="1" applyFont="1" applyFill="1" applyBorder="1" applyAlignment="1" applyProtection="1">
      <alignment horizontal="right" indent="1"/>
    </xf>
    <xf numFmtId="0" fontId="0" fillId="3" borderId="0" xfId="0" applyFill="1" applyAlignment="1">
      <alignment vertical="center"/>
    </xf>
    <xf numFmtId="0" fontId="16" fillId="3" borderId="0" xfId="0" applyFont="1" applyFill="1" applyAlignment="1">
      <alignment vertical="center"/>
    </xf>
    <xf numFmtId="0" fontId="18" fillId="5" borderId="0" xfId="4" applyFont="1" applyFill="1" applyAlignment="1" applyProtection="1">
      <alignment vertical="center"/>
    </xf>
    <xf numFmtId="0" fontId="20" fillId="5" borderId="0" xfId="0" applyFont="1" applyFill="1" applyAlignment="1">
      <alignment vertical="center"/>
    </xf>
    <xf numFmtId="0" fontId="20" fillId="5" borderId="0" xfId="0" applyFont="1" applyFill="1" applyAlignment="1">
      <alignment horizontal="center" vertical="center"/>
    </xf>
    <xf numFmtId="0" fontId="20" fillId="5" borderId="0" xfId="0" applyFont="1" applyFill="1" applyAlignment="1">
      <alignment horizontal="center" vertical="center" wrapText="1"/>
    </xf>
    <xf numFmtId="0" fontId="0" fillId="0" borderId="0" xfId="0" applyAlignment="1">
      <alignment vertical="center"/>
    </xf>
    <xf numFmtId="0" fontId="20" fillId="5" borderId="7" xfId="0" applyFont="1" applyFill="1" applyBorder="1" applyAlignment="1">
      <alignment horizontal="center" vertical="center"/>
    </xf>
    <xf numFmtId="0" fontId="19" fillId="4" borderId="3" xfId="3" applyFont="1" applyBorder="1"/>
    <xf numFmtId="0" fontId="20" fillId="5" borderId="3" xfId="0" applyFont="1" applyFill="1" applyBorder="1" applyAlignment="1">
      <alignment horizontal="center" vertical="center" wrapText="1"/>
    </xf>
    <xf numFmtId="167" fontId="17" fillId="6" borderId="0" xfId="2" quotePrefix="1" applyNumberFormat="1" applyFont="1" applyFill="1"/>
    <xf numFmtId="0" fontId="18" fillId="5" borderId="7" xfId="0" applyFont="1" applyFill="1" applyBorder="1" applyAlignment="1">
      <alignment vertical="center"/>
    </xf>
    <xf numFmtId="169" fontId="17" fillId="3" borderId="3" xfId="8" applyNumberFormat="1" applyFont="1" applyFill="1" applyBorder="1" applyAlignment="1" applyProtection="1">
      <alignment horizontal="right" indent="1"/>
    </xf>
    <xf numFmtId="169" fontId="17" fillId="3" borderId="3" xfId="0" applyNumberFormat="1" applyFont="1" applyFill="1" applyBorder="1" applyAlignment="1">
      <alignment horizontal="right" indent="1"/>
    </xf>
    <xf numFmtId="169" fontId="20" fillId="5" borderId="4" xfId="8" applyNumberFormat="1" applyFont="1" applyFill="1" applyBorder="1" applyAlignment="1" applyProtection="1">
      <alignment horizontal="right" indent="1"/>
    </xf>
    <xf numFmtId="169" fontId="20" fillId="5" borderId="11" xfId="8" applyNumberFormat="1" applyFont="1" applyFill="1" applyBorder="1" applyAlignment="1" applyProtection="1">
      <alignment horizontal="right" indent="1"/>
    </xf>
    <xf numFmtId="169" fontId="17" fillId="3" borderId="0" xfId="8" applyNumberFormat="1" applyFont="1" applyFill="1" applyBorder="1" applyAlignment="1" applyProtection="1">
      <alignment horizontal="right" indent="1"/>
    </xf>
    <xf numFmtId="169" fontId="17" fillId="3" borderId="0" xfId="0" applyNumberFormat="1" applyFont="1" applyFill="1" applyAlignment="1">
      <alignment horizontal="right" indent="1"/>
    </xf>
    <xf numFmtId="169" fontId="20" fillId="5" borderId="2" xfId="8" applyNumberFormat="1" applyFont="1" applyFill="1" applyBorder="1" applyAlignment="1" applyProtection="1">
      <alignment horizontal="right" indent="1"/>
    </xf>
    <xf numFmtId="169" fontId="20" fillId="5" borderId="10" xfId="8" applyNumberFormat="1" applyFont="1" applyFill="1" applyBorder="1" applyAlignment="1" applyProtection="1">
      <alignment horizontal="right" indent="1"/>
    </xf>
    <xf numFmtId="168" fontId="17" fillId="7" borderId="0" xfId="7" applyNumberFormat="1" applyFont="1" applyFill="1" applyBorder="1" applyAlignment="1" applyProtection="1">
      <alignment horizontal="right" indent="1"/>
    </xf>
    <xf numFmtId="168" fontId="17" fillId="7" borderId="0" xfId="7" applyNumberFormat="1" applyFont="1" applyFill="1" applyBorder="1" applyAlignment="1" applyProtection="1">
      <alignment horizontal="right"/>
    </xf>
    <xf numFmtId="3" fontId="17" fillId="7" borderId="0" xfId="0" applyNumberFormat="1" applyFont="1" applyFill="1" applyAlignment="1">
      <alignment horizontal="right" indent="1"/>
    </xf>
    <xf numFmtId="168" fontId="17" fillId="7" borderId="0" xfId="7" applyNumberFormat="1" applyFont="1" applyFill="1" applyBorder="1" applyAlignment="1" applyProtection="1"/>
    <xf numFmtId="168" fontId="17" fillId="3" borderId="0" xfId="7" applyNumberFormat="1" applyFont="1" applyFill="1" applyBorder="1" applyAlignment="1" applyProtection="1"/>
    <xf numFmtId="171" fontId="17" fillId="7" borderId="0" xfId="7" applyNumberFormat="1" applyFont="1" applyFill="1" applyBorder="1" applyAlignment="1" applyProtection="1"/>
    <xf numFmtId="170" fontId="17" fillId="7" borderId="0" xfId="7" applyNumberFormat="1" applyFont="1" applyFill="1" applyBorder="1" applyAlignment="1" applyProtection="1"/>
    <xf numFmtId="168" fontId="18" fillId="5" borderId="2" xfId="7" applyNumberFormat="1" applyFont="1" applyFill="1" applyBorder="1" applyAlignment="1" applyProtection="1">
      <alignment horizontal="right"/>
    </xf>
    <xf numFmtId="168" fontId="18" fillId="5" borderId="10" xfId="7" applyNumberFormat="1" applyFont="1" applyFill="1" applyBorder="1" applyAlignment="1" applyProtection="1">
      <alignment horizontal="right"/>
    </xf>
    <xf numFmtId="0" fontId="20" fillId="5" borderId="3" xfId="0" applyFont="1" applyFill="1" applyBorder="1" applyAlignment="1">
      <alignment horizontal="center" vertical="center"/>
    </xf>
    <xf numFmtId="3" fontId="17" fillId="7" borderId="3" xfId="0" applyNumberFormat="1" applyFont="1" applyFill="1" applyBorder="1" applyAlignment="1">
      <alignment horizontal="right" indent="1"/>
    </xf>
    <xf numFmtId="3" fontId="17" fillId="3" borderId="3" xfId="0" applyNumberFormat="1" applyFont="1" applyFill="1" applyBorder="1" applyAlignment="1">
      <alignment horizontal="right" indent="1"/>
    </xf>
    <xf numFmtId="168" fontId="18" fillId="5" borderId="4" xfId="7" applyNumberFormat="1" applyFont="1" applyFill="1" applyBorder="1" applyAlignment="1" applyProtection="1">
      <alignment horizontal="right" indent="1"/>
    </xf>
    <xf numFmtId="168" fontId="18" fillId="5" borderId="11" xfId="7" applyNumberFormat="1" applyFont="1" applyFill="1" applyBorder="1" applyAlignment="1" applyProtection="1">
      <alignment horizontal="right" indent="1"/>
    </xf>
    <xf numFmtId="170" fontId="17" fillId="7" borderId="0" xfId="7" applyNumberFormat="1" applyFont="1" applyFill="1" applyBorder="1" applyAlignment="1" applyProtection="1">
      <alignment horizontal="right" indent="1"/>
    </xf>
    <xf numFmtId="0" fontId="25" fillId="3" borderId="0" xfId="0" applyFont="1" applyFill="1"/>
    <xf numFmtId="170" fontId="17" fillId="7" borderId="0" xfId="0" applyNumberFormat="1" applyFont="1" applyFill="1" applyAlignment="1">
      <alignment horizontal="right" indent="1"/>
    </xf>
    <xf numFmtId="0" fontId="27" fillId="3" borderId="3" xfId="0" applyFont="1" applyFill="1" applyBorder="1" applyAlignment="1">
      <alignment horizontal="center"/>
    </xf>
    <xf numFmtId="164" fontId="28" fillId="3" borderId="0" xfId="2" applyFont="1" applyFill="1" applyAlignment="1">
      <alignment horizontal="left"/>
    </xf>
    <xf numFmtId="168" fontId="26" fillId="3" borderId="0" xfId="7" applyNumberFormat="1" applyFont="1" applyFill="1" applyBorder="1" applyAlignment="1" applyProtection="1">
      <alignment horizontal="right" indent="1"/>
    </xf>
    <xf numFmtId="0" fontId="27" fillId="3" borderId="0" xfId="0" applyFont="1" applyFill="1" applyAlignment="1">
      <alignment horizontal="center"/>
    </xf>
    <xf numFmtId="3" fontId="17" fillId="7" borderId="0" xfId="7" applyNumberFormat="1" applyFont="1" applyFill="1" applyBorder="1" applyAlignment="1" applyProtection="1">
      <alignment horizontal="right" indent="1"/>
    </xf>
    <xf numFmtId="3" fontId="17" fillId="3" borderId="0" xfId="7" applyNumberFormat="1" applyFont="1" applyFill="1" applyBorder="1" applyAlignment="1" applyProtection="1">
      <alignment horizontal="right" indent="1"/>
    </xf>
    <xf numFmtId="0" fontId="0" fillId="3" borderId="0" xfId="0" applyFill="1" applyAlignment="1">
      <alignment horizontal="right"/>
    </xf>
    <xf numFmtId="164" fontId="17" fillId="3" borderId="1" xfId="2" applyFont="1" applyFill="1" applyBorder="1" applyAlignment="1">
      <alignment horizontal="right"/>
    </xf>
    <xf numFmtId="164" fontId="17" fillId="3" borderId="0" xfId="2" applyFont="1" applyFill="1" applyAlignment="1">
      <alignment horizontal="right"/>
    </xf>
    <xf numFmtId="0" fontId="0" fillId="0" borderId="0" xfId="0" applyAlignment="1">
      <alignment horizontal="right"/>
    </xf>
    <xf numFmtId="168" fontId="17" fillId="3" borderId="0" xfId="2" applyNumberFormat="1" applyFont="1" applyFill="1"/>
    <xf numFmtId="3" fontId="17" fillId="7" borderId="0" xfId="7" applyNumberFormat="1" applyFont="1" applyFill="1" applyBorder="1" applyAlignment="1" applyProtection="1"/>
    <xf numFmtId="3" fontId="17" fillId="3" borderId="0" xfId="0" applyNumberFormat="1" applyFont="1" applyFill="1"/>
    <xf numFmtId="3" fontId="17" fillId="3" borderId="0" xfId="7" applyNumberFormat="1" applyFont="1" applyFill="1" applyBorder="1" applyAlignment="1" applyProtection="1"/>
    <xf numFmtId="172" fontId="29" fillId="3" borderId="0" xfId="8" applyNumberFormat="1" applyFont="1" applyFill="1" applyBorder="1" applyAlignment="1" applyProtection="1">
      <alignment horizontal="right" vertical="center"/>
    </xf>
    <xf numFmtId="0" fontId="31" fillId="0" borderId="0" xfId="0" applyFont="1"/>
    <xf numFmtId="171" fontId="30" fillId="2" borderId="6" xfId="1" applyNumberFormat="1" applyFont="1" applyBorder="1" applyAlignment="1">
      <alignment horizontal="right"/>
    </xf>
    <xf numFmtId="0" fontId="29" fillId="3" borderId="0" xfId="3" applyFont="1" applyFill="1"/>
    <xf numFmtId="0" fontId="19" fillId="3" borderId="0" xfId="3" applyFont="1" applyFill="1"/>
    <xf numFmtId="9" fontId="29" fillId="3" borderId="0" xfId="8" applyFont="1" applyFill="1" applyBorder="1" applyAlignment="1" applyProtection="1">
      <alignment horizontal="right" vertical="center"/>
    </xf>
    <xf numFmtId="0" fontId="18" fillId="2" borderId="16" xfId="1" applyFont="1" applyBorder="1"/>
    <xf numFmtId="0" fontId="18" fillId="2" borderId="17" xfId="1" applyFont="1" applyBorder="1"/>
    <xf numFmtId="0" fontId="18" fillId="2" borderId="18" xfId="1" applyFont="1" applyBorder="1"/>
    <xf numFmtId="3" fontId="17" fillId="0" borderId="0" xfId="0" applyNumberFormat="1" applyFont="1" applyAlignment="1">
      <alignment horizontal="right" indent="1"/>
    </xf>
    <xf numFmtId="170" fontId="17" fillId="0" borderId="0" xfId="7" applyNumberFormat="1" applyFont="1" applyFill="1" applyBorder="1" applyAlignment="1" applyProtection="1">
      <alignment horizontal="right" indent="1"/>
    </xf>
    <xf numFmtId="168" fontId="26" fillId="0" borderId="0" xfId="7" applyNumberFormat="1" applyFont="1" applyFill="1" applyBorder="1" applyAlignment="1" applyProtection="1">
      <alignment horizontal="right" indent="1"/>
    </xf>
    <xf numFmtId="168" fontId="0" fillId="0" borderId="0" xfId="0" applyNumberFormat="1"/>
    <xf numFmtId="1" fontId="21" fillId="3" borderId="0" xfId="2" applyNumberFormat="1" applyFont="1" applyFill="1" applyAlignment="1">
      <alignment horizontal="right"/>
    </xf>
    <xf numFmtId="171" fontId="30" fillId="2" borderId="0" xfId="1" applyNumberFormat="1" applyFont="1" applyAlignment="1">
      <alignment horizontal="right"/>
    </xf>
    <xf numFmtId="0" fontId="29" fillId="4" borderId="16" xfId="3" applyFont="1" applyBorder="1"/>
    <xf numFmtId="0" fontId="19" fillId="4" borderId="17" xfId="3" applyFont="1" applyBorder="1"/>
    <xf numFmtId="9" fontId="29" fillId="4" borderId="16" xfId="8" applyFont="1" applyFill="1" applyBorder="1" applyAlignment="1" applyProtection="1">
      <alignment horizontal="right" vertical="center"/>
    </xf>
    <xf numFmtId="9" fontId="29" fillId="4" borderId="17" xfId="8" applyFont="1" applyFill="1" applyBorder="1" applyAlignment="1" applyProtection="1">
      <alignment horizontal="right" vertical="center"/>
    </xf>
    <xf numFmtId="173" fontId="29" fillId="4" borderId="17" xfId="8" applyNumberFormat="1" applyFont="1" applyFill="1" applyBorder="1" applyAlignment="1" applyProtection="1">
      <alignment horizontal="right" vertical="center"/>
    </xf>
    <xf numFmtId="3" fontId="17" fillId="0" borderId="0" xfId="7" applyNumberFormat="1" applyFont="1" applyFill="1" applyBorder="1" applyAlignment="1" applyProtection="1">
      <alignment horizontal="right" indent="1"/>
    </xf>
    <xf numFmtId="169" fontId="20" fillId="5" borderId="21" xfId="8" applyNumberFormat="1" applyFont="1" applyFill="1" applyBorder="1" applyAlignment="1" applyProtection="1">
      <alignment horizontal="right" indent="1"/>
    </xf>
    <xf numFmtId="169" fontId="20" fillId="5" borderId="22" xfId="8" applyNumberFormat="1" applyFont="1" applyFill="1" applyBorder="1" applyAlignment="1" applyProtection="1">
      <alignment horizontal="right" indent="1"/>
    </xf>
    <xf numFmtId="169" fontId="17" fillId="7" borderId="0" xfId="8" applyNumberFormat="1" applyFont="1" applyFill="1" applyBorder="1" applyAlignment="1" applyProtection="1">
      <alignment horizontal="right" indent="1"/>
    </xf>
    <xf numFmtId="169" fontId="17" fillId="7" borderId="3" xfId="8" applyNumberFormat="1" applyFont="1" applyFill="1" applyBorder="1" applyAlignment="1" applyProtection="1">
      <alignment horizontal="right" indent="1"/>
    </xf>
    <xf numFmtId="165" fontId="8" fillId="0" borderId="0" xfId="2" applyNumberFormat="1" applyFont="1"/>
    <xf numFmtId="0" fontId="19" fillId="4" borderId="7" xfId="3" applyFont="1" applyBorder="1" applyAlignment="1">
      <alignment horizontal="center"/>
    </xf>
    <xf numFmtId="0" fontId="19" fillId="4" borderId="0" xfId="3" applyFont="1" applyAlignment="1">
      <alignment horizontal="center"/>
    </xf>
    <xf numFmtId="0" fontId="19" fillId="4" borderId="3" xfId="3" applyFont="1" applyBorder="1" applyAlignment="1">
      <alignment horizontal="center"/>
    </xf>
    <xf numFmtId="0" fontId="18" fillId="2" borderId="6" xfId="1" applyFont="1" applyBorder="1" applyAlignment="1">
      <alignment horizontal="center"/>
    </xf>
    <xf numFmtId="0" fontId="18" fillId="2" borderId="14" xfId="1" applyFont="1" applyBorder="1" applyAlignment="1">
      <alignment horizontal="center"/>
    </xf>
    <xf numFmtId="0" fontId="18" fillId="2" borderId="13" xfId="1" applyFont="1" applyBorder="1" applyAlignment="1">
      <alignment horizontal="center"/>
    </xf>
    <xf numFmtId="0" fontId="18" fillId="2" borderId="15" xfId="1" applyFont="1" applyBorder="1" applyAlignment="1">
      <alignment horizontal="center"/>
    </xf>
    <xf numFmtId="0" fontId="18" fillId="2" borderId="19" xfId="1" applyFont="1" applyBorder="1" applyAlignment="1">
      <alignment horizontal="center"/>
    </xf>
    <xf numFmtId="0" fontId="18" fillId="2" borderId="0" xfId="1" applyFont="1" applyAlignment="1">
      <alignment horizontal="center"/>
    </xf>
    <xf numFmtId="0" fontId="18" fillId="2" borderId="20" xfId="1" applyFont="1" applyBorder="1" applyAlignment="1">
      <alignment horizontal="center"/>
    </xf>
    <xf numFmtId="0" fontId="17" fillId="0" borderId="6" xfId="0" applyFont="1" applyBorder="1" applyAlignment="1">
      <alignment horizontal="center"/>
    </xf>
    <xf numFmtId="0" fontId="0" fillId="0" borderId="6" xfId="0" applyBorder="1"/>
    <xf numFmtId="0" fontId="0" fillId="0" borderId="14" xfId="0" applyBorder="1"/>
  </cellXfs>
  <cellStyles count="10">
    <cellStyle name="Comma" xfId="7" builtinId="3"/>
    <cellStyle name="Comma 2" xfId="9"/>
    <cellStyle name="Header1" xfId="4"/>
    <cellStyle name="Line_ClosingBal" xfId="6"/>
    <cellStyle name="Normal" xfId="0" builtinId="0"/>
    <cellStyle name="Normal 2" xfId="2"/>
    <cellStyle name="Percent" xfId="8" builtinId="5"/>
    <cellStyle name="Sheet_Header" xfId="1"/>
    <cellStyle name="Sheet_Header2" xfId="3"/>
    <cellStyle name="Unit" xfId="5"/>
  </cellStyles>
  <dxfs count="0"/>
  <tableStyles count="0" defaultTableStyle="TableStyleMedium2" defaultPivotStyle="PivotStyleLight16"/>
  <colors>
    <mruColors>
      <color rgb="FF5865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38"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3.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195405</xdr:colOff>
      <xdr:row>9</xdr:row>
      <xdr:rowOff>157582</xdr:rowOff>
    </xdr:from>
    <xdr:to>
      <xdr:col>4</xdr:col>
      <xdr:colOff>556039</xdr:colOff>
      <xdr:row>17</xdr:row>
      <xdr:rowOff>501</xdr:rowOff>
    </xdr:to>
    <xdr:pic>
      <xdr:nvPicPr>
        <xdr:cNvPr id="2" name="Picture 1">
          <a:extLst>
            <a:ext uri="{FF2B5EF4-FFF2-40B4-BE49-F238E27FC236}">
              <a16:creationId xmlns:a16="http://schemas.microsoft.com/office/drawing/2014/main" id="{FA4DB605-4411-4985-B255-32972C0484B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202" t="5109" r="3815" b="8029"/>
        <a:stretch/>
      </xdr:blipFill>
      <xdr:spPr bwMode="auto">
        <a:xfrm>
          <a:off x="551005" y="2259432"/>
          <a:ext cx="1741124" cy="1205442"/>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26</xdr:col>
      <xdr:colOff>231626</xdr:colOff>
      <xdr:row>0</xdr:row>
      <xdr:rowOff>0</xdr:rowOff>
    </xdr:from>
    <xdr:to>
      <xdr:col>26</xdr:col>
      <xdr:colOff>740261</xdr:colOff>
      <xdr:row>1</xdr:row>
      <xdr:rowOff>228119</xdr:rowOff>
    </xdr:to>
    <xdr:pic>
      <xdr:nvPicPr>
        <xdr:cNvPr id="2" name="Picture 1">
          <a:extLst>
            <a:ext uri="{FF2B5EF4-FFF2-40B4-BE49-F238E27FC236}">
              <a16:creationId xmlns:a16="http://schemas.microsoft.com/office/drawing/2014/main" id="{B3E60561-CBC0-4FBC-9ED1-EABF68F5E681}"/>
            </a:ext>
          </a:extLst>
        </xdr:cNvPr>
        <xdr:cNvPicPr>
          <a:picLocks noChangeAspect="1"/>
        </xdr:cNvPicPr>
      </xdr:nvPicPr>
      <xdr:blipFill>
        <a:blip xmlns:r="http://schemas.openxmlformats.org/officeDocument/2006/relationships" r:embed="rId1"/>
        <a:stretch>
          <a:fillRect/>
        </a:stretch>
      </xdr:blipFill>
      <xdr:spPr>
        <a:xfrm>
          <a:off x="13955246" y="0"/>
          <a:ext cx="508635" cy="41099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33C8C8C1-12CE-4C4C-B3BF-DD912E51E5B0}"/>
            </a:ext>
          </a:extLst>
        </xdr:cNvPr>
        <xdr:cNvPicPr>
          <a:picLocks noChangeAspect="1"/>
        </xdr:cNvPicPr>
      </xdr:nvPicPr>
      <xdr:blipFill>
        <a:blip xmlns:r="http://schemas.openxmlformats.org/officeDocument/2006/relationships" r:embed="rId1"/>
        <a:stretch>
          <a:fillRect/>
        </a:stretch>
      </xdr:blipFill>
      <xdr:spPr>
        <a:xfrm>
          <a:off x="13938101" y="0"/>
          <a:ext cx="508635" cy="40909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2" name="Picture 1">
          <a:extLst>
            <a:ext uri="{FF2B5EF4-FFF2-40B4-BE49-F238E27FC236}">
              <a16:creationId xmlns:a16="http://schemas.microsoft.com/office/drawing/2014/main" id="{61420032-A9BD-45DD-9753-0BC75D5BCD6D}"/>
            </a:ext>
          </a:extLst>
        </xdr:cNvPr>
        <xdr:cNvPicPr>
          <a:picLocks noChangeAspect="1"/>
        </xdr:cNvPicPr>
      </xdr:nvPicPr>
      <xdr:blipFill>
        <a:blip xmlns:r="http://schemas.openxmlformats.org/officeDocument/2006/relationships" r:embed="rId1"/>
        <a:stretch>
          <a:fillRect/>
        </a:stretch>
      </xdr:blipFill>
      <xdr:spPr>
        <a:xfrm>
          <a:off x="13938101" y="0"/>
          <a:ext cx="512445" cy="409094"/>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299B550F-93CC-4D99-8CBC-F32434CB18ED}"/>
            </a:ext>
          </a:extLst>
        </xdr:cNvPr>
        <xdr:cNvPicPr>
          <a:picLocks noChangeAspect="1"/>
        </xdr:cNvPicPr>
      </xdr:nvPicPr>
      <xdr:blipFill>
        <a:blip xmlns:r="http://schemas.openxmlformats.org/officeDocument/2006/relationships" r:embed="rId1"/>
        <a:stretch>
          <a:fillRect/>
        </a:stretch>
      </xdr:blipFill>
      <xdr:spPr>
        <a:xfrm>
          <a:off x="13938101" y="0"/>
          <a:ext cx="512445" cy="409094"/>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2" name="Picture 1">
          <a:extLst>
            <a:ext uri="{FF2B5EF4-FFF2-40B4-BE49-F238E27FC236}">
              <a16:creationId xmlns:a16="http://schemas.microsoft.com/office/drawing/2014/main" id="{E6798B32-8837-4549-8C43-0F56FEEA167F}"/>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2" name="Picture 1">
          <a:extLst>
            <a:ext uri="{FF2B5EF4-FFF2-40B4-BE49-F238E27FC236}">
              <a16:creationId xmlns:a16="http://schemas.microsoft.com/office/drawing/2014/main" id="{45B96A45-A881-42CF-9E67-C3C77A85C205}"/>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3" name="Picture 2">
          <a:extLst>
            <a:ext uri="{FF2B5EF4-FFF2-40B4-BE49-F238E27FC236}">
              <a16:creationId xmlns:a16="http://schemas.microsoft.com/office/drawing/2014/main" id="{8BE1E6AD-39D6-4C85-A812-725FC92567D3}"/>
            </a:ext>
          </a:extLst>
        </xdr:cNvPr>
        <xdr:cNvPicPr>
          <a:picLocks noChangeAspect="1"/>
        </xdr:cNvPicPr>
      </xdr:nvPicPr>
      <xdr:blipFill>
        <a:blip xmlns:r="http://schemas.openxmlformats.org/officeDocument/2006/relationships" r:embed="rId1"/>
        <a:stretch>
          <a:fillRect/>
        </a:stretch>
      </xdr:blipFill>
      <xdr:spPr>
        <a:xfrm>
          <a:off x="14048479" y="0"/>
          <a:ext cx="508635" cy="407413"/>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7B2CEB9A-E137-46BF-B0BC-EDB928B3CFB6}"/>
            </a:ext>
          </a:extLst>
        </xdr:cNvPr>
        <xdr:cNvPicPr>
          <a:picLocks noChangeAspect="1"/>
        </xdr:cNvPicPr>
      </xdr:nvPicPr>
      <xdr:blipFill>
        <a:blip xmlns:r="http://schemas.openxmlformats.org/officeDocument/2006/relationships" r:embed="rId1"/>
        <a:stretch>
          <a:fillRect/>
        </a:stretch>
      </xdr:blipFill>
      <xdr:spPr>
        <a:xfrm>
          <a:off x="14356080" y="0"/>
          <a:ext cx="3810"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7A3880E-75D2-4801-9DCE-0E1DCC1DD855}"/>
            </a:ext>
          </a:extLst>
        </xdr:cNvPr>
        <xdr:cNvPicPr>
          <a:picLocks noChangeAspect="1"/>
        </xdr:cNvPicPr>
      </xdr:nvPicPr>
      <xdr:blipFill>
        <a:blip xmlns:r="http://schemas.openxmlformats.org/officeDocument/2006/relationships" r:embed="rId1"/>
        <a:stretch>
          <a:fillRect/>
        </a:stretch>
      </xdr:blipFill>
      <xdr:spPr>
        <a:xfrm>
          <a:off x="14321790" y="0"/>
          <a:ext cx="518160" cy="409094"/>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320040</xdr:colOff>
      <xdr:row>2</xdr:row>
      <xdr:rowOff>94769</xdr:rowOff>
    </xdr:to>
    <xdr:pic>
      <xdr:nvPicPr>
        <xdr:cNvPr id="2" name="Picture 1">
          <a:extLst>
            <a:ext uri="{FF2B5EF4-FFF2-40B4-BE49-F238E27FC236}">
              <a16:creationId xmlns:a16="http://schemas.microsoft.com/office/drawing/2014/main" id="{472D5D7D-2A44-4D99-AD6A-286B4F374CD3}"/>
            </a:ext>
          </a:extLst>
        </xdr:cNvPr>
        <xdr:cNvPicPr>
          <a:picLocks noChangeAspect="1"/>
        </xdr:cNvPicPr>
      </xdr:nvPicPr>
      <xdr:blipFill>
        <a:blip xmlns:r="http://schemas.openxmlformats.org/officeDocument/2006/relationships" r:embed="rId1"/>
        <a:stretch>
          <a:fillRect/>
        </a:stretch>
      </xdr:blipFill>
      <xdr:spPr>
        <a:xfrm>
          <a:off x="14356080" y="0"/>
          <a:ext cx="3810"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4B3CCA85-2C44-42CF-97D2-193366E26836}"/>
            </a:ext>
          </a:extLst>
        </xdr:cNvPr>
        <xdr:cNvPicPr>
          <a:picLocks noChangeAspect="1"/>
        </xdr:cNvPicPr>
      </xdr:nvPicPr>
      <xdr:blipFill>
        <a:blip xmlns:r="http://schemas.openxmlformats.org/officeDocument/2006/relationships" r:embed="rId1"/>
        <a:stretch>
          <a:fillRect/>
        </a:stretch>
      </xdr:blipFill>
      <xdr:spPr>
        <a:xfrm>
          <a:off x="14321790" y="0"/>
          <a:ext cx="518160" cy="409094"/>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955E1A86-AB23-4764-B0D5-FE4AFD1C2ADA}"/>
            </a:ext>
          </a:extLst>
        </xdr:cNvPr>
        <xdr:cNvPicPr>
          <a:picLocks noChangeAspect="1"/>
        </xdr:cNvPicPr>
      </xdr:nvPicPr>
      <xdr:blipFill>
        <a:blip xmlns:r="http://schemas.openxmlformats.org/officeDocument/2006/relationships" r:embed="rId1"/>
        <a:stretch>
          <a:fillRect/>
        </a:stretch>
      </xdr:blipFill>
      <xdr:spPr>
        <a:xfrm>
          <a:off x="143579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942FC8B0-7980-4F83-81CF-4A3FD9DD73A4}"/>
            </a:ext>
          </a:extLst>
        </xdr:cNvPr>
        <xdr:cNvPicPr>
          <a:picLocks noChangeAspect="1"/>
        </xdr:cNvPicPr>
      </xdr:nvPicPr>
      <xdr:blipFill>
        <a:blip xmlns:r="http://schemas.openxmlformats.org/officeDocument/2006/relationships" r:embed="rId1"/>
        <a:stretch>
          <a:fillRect/>
        </a:stretch>
      </xdr:blipFill>
      <xdr:spPr>
        <a:xfrm>
          <a:off x="14329410" y="0"/>
          <a:ext cx="514350" cy="4109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44824</xdr:colOff>
      <xdr:row>2</xdr:row>
      <xdr:rowOff>145677</xdr:rowOff>
    </xdr:from>
    <xdr:to>
      <xdr:col>22</xdr:col>
      <xdr:colOff>56031</xdr:colOff>
      <xdr:row>26</xdr:row>
      <xdr:rowOff>100853</xdr:rowOff>
    </xdr:to>
    <xdr:sp macro="" textlink="">
      <xdr:nvSpPr>
        <xdr:cNvPr id="3" name="TextBox 2">
          <a:extLst>
            <a:ext uri="{FF2B5EF4-FFF2-40B4-BE49-F238E27FC236}">
              <a16:creationId xmlns:a16="http://schemas.microsoft.com/office/drawing/2014/main" id="{2EBA588C-4D99-4D84-BDC2-E631879B8965}"/>
            </a:ext>
          </a:extLst>
        </xdr:cNvPr>
        <xdr:cNvSpPr txBox="1"/>
      </xdr:nvSpPr>
      <xdr:spPr>
        <a:xfrm>
          <a:off x="381000" y="795618"/>
          <a:ext cx="12897972" cy="4056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endParaRPr lang="de-DE" sz="1400" i="1">
            <a:solidFill>
              <a:sysClr val="windowText" lastClr="000000"/>
            </a:solidFill>
            <a:effectLst/>
            <a:latin typeface="+mn-lt"/>
          </a:endParaRPr>
        </a:p>
        <a:p>
          <a:pPr rtl="0" eaLnBrk="1" latinLnBrk="0" hangingPunct="1"/>
          <a:endParaRPr lang="en-US" sz="1400">
            <a:effectLst/>
          </a:endParaRPr>
        </a:p>
        <a:p>
          <a:pPr rtl="0" eaLnBrk="1" latinLnBrk="0" hangingPunct="1"/>
          <a:r>
            <a:rPr lang="en-GB" sz="1400" i="1">
              <a:solidFill>
                <a:schemeClr val="dk1"/>
              </a:solidFill>
              <a:effectLst/>
              <a:latin typeface="+mn-lt"/>
              <a:ea typeface="+mn-ea"/>
              <a:cs typeface="+mn-cs"/>
            </a:rPr>
            <a:t>This document does not constitute an invitation and should not be taken as an inducement to engage in any investment activity and is for the purpose of providing information about Global Ports Holding Plc (the "Company"). </a:t>
          </a:r>
          <a:r>
            <a:rPr lang="en-GB" sz="1400" b="0" i="1">
              <a:solidFill>
                <a:schemeClr val="dk1"/>
              </a:solidFill>
              <a:effectLst/>
              <a:latin typeface="+mn-lt"/>
              <a:ea typeface="+mn-ea"/>
              <a:cs typeface="+mn-cs"/>
            </a:rPr>
            <a:t>This document does not constitute an offer to sell or the solicitation of an offer to buy or acquire any shares of the Company in any jurisdiction or an inducement to enter into investment activity. No information set out in this document will form the basis of any contract.</a:t>
          </a:r>
          <a:endParaRPr lang="en-US" sz="1400">
            <a:effectLst/>
          </a:endParaRPr>
        </a:p>
        <a:p>
          <a:r>
            <a:rPr lang="en-GB" sz="1400" b="0" i="1">
              <a:solidFill>
                <a:schemeClr val="dk1"/>
              </a:solidFill>
              <a:effectLst/>
              <a:latin typeface="+mn-lt"/>
              <a:ea typeface="+mn-ea"/>
              <a:cs typeface="+mn-cs"/>
            </a:rPr>
            <a:t/>
          </a:r>
          <a:br>
            <a:rPr lang="en-GB" sz="1400" b="0" i="1">
              <a:solidFill>
                <a:schemeClr val="dk1"/>
              </a:solidFill>
              <a:effectLst/>
              <a:latin typeface="+mn-lt"/>
              <a:ea typeface="+mn-ea"/>
              <a:cs typeface="+mn-cs"/>
            </a:rPr>
          </a:br>
          <a:r>
            <a:rPr lang="en-GB" sz="1400" b="0" i="1">
              <a:solidFill>
                <a:schemeClr val="dk1"/>
              </a:solidFill>
              <a:effectLst/>
              <a:latin typeface="+mn-lt"/>
              <a:ea typeface="+mn-ea"/>
              <a:cs typeface="+mn-cs"/>
            </a:rPr>
            <a:t>The information used in preparing these materials was obtained from or through the Company or the Company’s representatives or from public sources. No reliance may be placed for any purposes whatsoever on the information contained in this document or on its accuracy, completeness or fairness. The information in this document is subject to verification, completion and change. While the information herein has been prepared in good faith, no representation or warranty, express or implied, is or will be made and no responsibility or liability is or will be accepted by the Company or any of its group undertakings, employees or agents as to or in relation to the accuracy, completeness or fairness of the information contained in this document and any such liability is expressly disclaimed. This disclaimer will not exclude any liability for, or remedy in respect of fraudulent misrepresentation by the Company.  </a:t>
          </a:r>
          <a:r>
            <a:rPr lang="en-GB" sz="1400" b="0" i="1" u="none" strike="noStrike">
              <a:solidFill>
                <a:sysClr val="windowText" lastClr="000000"/>
              </a:solidFill>
              <a:effectLst/>
              <a:latin typeface="+mn-lt"/>
              <a:ea typeface="+mn-ea"/>
              <a:cs typeface="+mn-cs"/>
            </a:rPr>
            <a:t/>
          </a:r>
          <a:br>
            <a:rPr lang="en-GB" sz="1400" b="0" i="1" u="none" strike="noStrike">
              <a:solidFill>
                <a:sysClr val="windowText" lastClr="000000"/>
              </a:solidFill>
              <a:effectLst/>
              <a:latin typeface="+mn-lt"/>
              <a:ea typeface="+mn-ea"/>
              <a:cs typeface="+mn-cs"/>
            </a:rPr>
          </a:br>
          <a:endParaRPr lang="en-GB" sz="1400" b="0" i="1" u="none" strike="noStrike">
            <a:solidFill>
              <a:sysClr val="windowText" lastClr="000000"/>
            </a:solidFill>
            <a:effectLst/>
            <a:latin typeface="+mn-lt"/>
            <a:ea typeface="+mn-ea"/>
            <a:cs typeface="+mn-cs"/>
          </a:endParaRPr>
        </a:p>
        <a:p>
          <a:endParaRPr lang="en-GB" sz="1400" b="0" i="1" u="none" strike="noStrike">
            <a:solidFill>
              <a:sysClr val="windowText" lastClr="000000"/>
            </a:solidFill>
            <a:effectLst/>
            <a:latin typeface="+mn-lt"/>
            <a:ea typeface="+mn-ea"/>
            <a:cs typeface="+mn-cs"/>
          </a:endParaRPr>
        </a:p>
        <a:p>
          <a:pPr rtl="0" eaLnBrk="1" latinLnBrk="0" hangingPunct="1"/>
          <a:r>
            <a:rPr lang="en-GB" sz="1400" i="1">
              <a:solidFill>
                <a:sysClr val="windowText" lastClr="000000"/>
              </a:solidFill>
              <a:effectLst/>
              <a:latin typeface="+mn-lt"/>
              <a:ea typeface="+mn-ea"/>
              <a:cs typeface="+mn-cs"/>
            </a:rPr>
            <a:t>NOT FOR RELEASE, PUBLICATION OR DISTRIBUTION, IN WHOLE OR IN PART, IN OR INTO OR FROM ANY JURISDICTION WHERE TO DO SO WOULD CONSTITUTE A VIOLATION OF THE RELEVANT LAWS OF SUCH JURISDICTION</a:t>
          </a:r>
        </a:p>
        <a:p>
          <a:pPr rtl="0" eaLnBrk="1" latinLnBrk="0" hangingPunct="1"/>
          <a:endParaRPr lang="en-GB" sz="1400" i="1">
            <a:solidFill>
              <a:sysClr val="windowText" lastClr="000000"/>
            </a:solidFill>
            <a:effectLst/>
            <a:latin typeface="+mn-lt"/>
          </a:endParaRPr>
        </a:p>
        <a:p>
          <a:endParaRPr lang="en-GB" sz="1000" i="1">
            <a:solidFill>
              <a:sysClr val="windowText" lastClr="000000"/>
            </a:solidFill>
            <a:latin typeface="+mn-lt"/>
          </a:endParaRPr>
        </a:p>
      </xdr:txBody>
    </xdr:sp>
    <xdr:clientData/>
  </xdr:twoCellAnchor>
</xdr:wsDr>
</file>

<file path=xl/drawings/drawing20.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C4EADCC4-54DB-4631-8BF8-B01740986C3E}"/>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463C70D-374C-4280-84D4-3191F939655D}"/>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A829D523-075E-401B-958E-A28529227D9A}"/>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1ACE80B-0AE6-4812-9B35-1E99B7B66353}"/>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320040</xdr:colOff>
      <xdr:row>2</xdr:row>
      <xdr:rowOff>94769</xdr:rowOff>
    </xdr:to>
    <xdr:pic>
      <xdr:nvPicPr>
        <xdr:cNvPr id="2" name="Picture 1">
          <a:extLst>
            <a:ext uri="{FF2B5EF4-FFF2-40B4-BE49-F238E27FC236}">
              <a16:creationId xmlns:a16="http://schemas.microsoft.com/office/drawing/2014/main" id="{D27DED90-4327-4E78-BD7E-02F425298B14}"/>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2AA4977-3483-45CA-847C-DFB8C2CD85E7}"/>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9140FAD-B0EB-4602-A1E3-36A43055586A}"/>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871F5A05-C55D-4759-8B5D-D771856C1D0C}"/>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286875" y="0"/>
          <a:ext cx="0" cy="4757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1A880344-0346-420F-9B66-D2BB737F1799}"/>
            </a:ext>
          </a:extLst>
        </xdr:cNvPr>
        <xdr:cNvPicPr>
          <a:picLocks noChangeAspect="1"/>
        </xdr:cNvPicPr>
      </xdr:nvPicPr>
      <xdr:blipFill>
        <a:blip xmlns:r="http://schemas.openxmlformats.org/officeDocument/2006/relationships" r:embed="rId1"/>
        <a:stretch>
          <a:fillRect/>
        </a:stretch>
      </xdr:blipFill>
      <xdr:spPr>
        <a:xfrm>
          <a:off x="9496425" y="0"/>
          <a:ext cx="514350" cy="418619"/>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320040</xdr:colOff>
      <xdr:row>2</xdr:row>
      <xdr:rowOff>37619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286875" y="0"/>
          <a:ext cx="514350" cy="418619"/>
        </a:xfrm>
        <a:prstGeom prst="rect">
          <a:avLst/>
        </a:prstGeom>
      </xdr:spPr>
    </xdr:pic>
    <xdr:clientData/>
  </xdr:twoCellAnchor>
  <xdr:twoCellAnchor editAs="oneCell">
    <xdr:from>
      <xdr:col>16</xdr:col>
      <xdr:colOff>333375</xdr:colOff>
      <xdr:row>0</xdr:row>
      <xdr:rowOff>0</xdr:rowOff>
    </xdr:from>
    <xdr:to>
      <xdr:col>17</xdr:col>
      <xdr:colOff>19050</xdr:colOff>
      <xdr:row>1</xdr:row>
      <xdr:rowOff>228119</xdr:rowOff>
    </xdr:to>
    <xdr:pic>
      <xdr:nvPicPr>
        <xdr:cNvPr id="4" name="Picture 3">
          <a:extLst>
            <a:ext uri="{FF2B5EF4-FFF2-40B4-BE49-F238E27FC236}">
              <a16:creationId xmlns:a16="http://schemas.microsoft.com/office/drawing/2014/main" id="{C162254C-6828-42BB-B01B-0D78A3739FF5}"/>
            </a:ext>
          </a:extLst>
        </xdr:cNvPr>
        <xdr:cNvPicPr>
          <a:picLocks noChangeAspect="1"/>
        </xdr:cNvPicPr>
      </xdr:nvPicPr>
      <xdr:blipFill>
        <a:blip xmlns:r="http://schemas.openxmlformats.org/officeDocument/2006/relationships" r:embed="rId1"/>
        <a:stretch>
          <a:fillRect/>
        </a:stretch>
      </xdr:blipFill>
      <xdr:spPr>
        <a:xfrm>
          <a:off x="9544050" y="0"/>
          <a:ext cx="514350" cy="418619"/>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17</xdr:col>
      <xdr:colOff>0</xdr:colOff>
      <xdr:row>1</xdr:row>
      <xdr:rowOff>228119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9896475" y="0"/>
          <a:ext cx="514350" cy="4186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74856</xdr:colOff>
      <xdr:row>2</xdr:row>
      <xdr:rowOff>65330</xdr:rowOff>
    </xdr:from>
    <xdr:to>
      <xdr:col>17</xdr:col>
      <xdr:colOff>571500</xdr:colOff>
      <xdr:row>25</xdr:row>
      <xdr:rowOff>212911</xdr:rowOff>
    </xdr:to>
    <xdr:sp macro="" textlink="">
      <xdr:nvSpPr>
        <xdr:cNvPr id="3" name="TextBox 2">
          <a:extLst>
            <a:ext uri="{FF2B5EF4-FFF2-40B4-BE49-F238E27FC236}">
              <a16:creationId xmlns:a16="http://schemas.microsoft.com/office/drawing/2014/main" id="{2BE752AC-B3EA-46D8-AAC8-D62225A037E0}"/>
            </a:ext>
          </a:extLst>
        </xdr:cNvPr>
        <xdr:cNvSpPr txBox="1"/>
      </xdr:nvSpPr>
      <xdr:spPr>
        <a:xfrm>
          <a:off x="411032" y="715271"/>
          <a:ext cx="9965615" cy="52462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spcBef>
              <a:spcPts val="600"/>
            </a:spcBef>
          </a:pPr>
          <a:r>
            <a:rPr lang="de-DE" sz="1000" b="1" i="1" u="none" strike="noStrike">
              <a:solidFill>
                <a:schemeClr val="bg1">
                  <a:lumMod val="50000"/>
                </a:schemeClr>
              </a:solidFill>
              <a:effectLst/>
              <a:latin typeface="+mn-lt"/>
              <a:ea typeface="+mn-ea"/>
              <a:cs typeface="+mn-cs"/>
            </a:rPr>
            <a:t>Scope</a:t>
          </a:r>
          <a:r>
            <a:rPr lang="de-DE" sz="1000" b="0" i="1" u="none" strike="noStrike">
              <a:solidFill>
                <a:schemeClr val="dk1"/>
              </a:solidFill>
              <a:effectLst/>
              <a:latin typeface="+mn-lt"/>
              <a:ea typeface="+mn-ea"/>
              <a:cs typeface="+mn-cs"/>
            </a:rPr>
            <a:t>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0" i="0" u="none" strike="noStrike">
              <a:solidFill>
                <a:schemeClr val="dk1"/>
              </a:solidFill>
              <a:effectLst/>
              <a:latin typeface="+mn-lt"/>
              <a:ea typeface="+mn-ea"/>
              <a:cs typeface="+mn-cs"/>
            </a:rPr>
            <a:t>Traffic stats for cruise</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ports fully consolidated in the audited financial</a:t>
          </a:r>
          <a:r>
            <a:rPr lang="de-DE" sz="1000" b="0" i="0" u="none" strike="noStrike" baseline="0">
              <a:solidFill>
                <a:schemeClr val="dk1"/>
              </a:solidFill>
              <a:effectLst/>
              <a:latin typeface="+mn-lt"/>
              <a:ea typeface="+mn-ea"/>
              <a:cs typeface="+mn-cs"/>
            </a:rPr>
            <a:t> statements </a:t>
          </a:r>
          <a:r>
            <a:rPr lang="de-DE" sz="1000" b="0" i="0" u="none" strike="noStrike">
              <a:solidFill>
                <a:schemeClr val="dk1"/>
              </a:solidFill>
              <a:effectLst/>
              <a:latin typeface="+mn-lt"/>
              <a:ea typeface="+mn-ea"/>
              <a:cs typeface="+mn-cs"/>
            </a:rPr>
            <a:t>of Global Ports Holding Plc ("GPH" or "Company"). Passenger numbers refer to consolidated portfolio consolidation perimeter, hence excludes equity accounted associate ports La Goulette, Lisbon, Singapore and Venice. </a:t>
          </a:r>
          <a:r>
            <a:rPr lang="de-DE" sz="1000">
              <a:latin typeface="+mn-lt"/>
            </a:rPr>
            <a:t> </a:t>
          </a:r>
          <a:r>
            <a:rPr lang="de-DE" sz="1000" b="0" i="1" u="none" strike="noStrike">
              <a:solidFill>
                <a:schemeClr val="dk1"/>
              </a:solidFill>
              <a:effectLst/>
              <a:latin typeface="+mn-lt"/>
              <a:ea typeface="+mn-ea"/>
              <a:cs typeface="+mn-cs"/>
            </a:rPr>
            <a:t> </a:t>
          </a:r>
        </a:p>
        <a:p>
          <a:pPr marL="0" marR="0" lvl="0" indent="0" defTabSz="914400" rtl="0" eaLnBrk="1" fontAlgn="auto" latinLnBrk="0" hangingPunct="1">
            <a:lnSpc>
              <a:spcPct val="100000"/>
            </a:lnSpc>
            <a:spcBef>
              <a:spcPts val="600"/>
            </a:spcBef>
            <a:spcAft>
              <a:spcPts val="0"/>
            </a:spcAft>
            <a:buClrTx/>
            <a:buSzTx/>
            <a:buFontTx/>
            <a:buNone/>
            <a:tabLst/>
            <a:defRPr/>
          </a:pPr>
          <a:endParaRPr kumimoji="0" lang="de-DE" sz="1000" b="0" i="1" u="none" strike="noStrike" kern="0" cap="none" spc="0" normalizeH="0" baseline="0" noProof="0">
            <a:ln>
              <a:noFill/>
            </a:ln>
            <a:solidFill>
              <a:prstClr val="white">
                <a:lumMod val="50000"/>
              </a:prstClr>
            </a:solidFill>
            <a:effectLst/>
            <a:uLnTx/>
            <a:uFillTx/>
            <a:latin typeface="+mn-lt"/>
            <a:ea typeface="+mn-ea"/>
            <a:cs typeface="+mn-cs"/>
          </a:endParaRPr>
        </a:p>
        <a:p>
          <a:pPr marL="0" marR="0" lvl="0" indent="0" defTabSz="914400" rtl="0" eaLnBrk="1" fontAlgn="auto" latinLnBrk="0" hangingPunct="1">
            <a:lnSpc>
              <a:spcPct val="100000"/>
            </a:lnSpc>
            <a:spcBef>
              <a:spcPts val="600"/>
            </a:spcBef>
            <a:spcAft>
              <a:spcPts val="0"/>
            </a:spcAft>
            <a:buClrTx/>
            <a:buSzTx/>
            <a:buFontTx/>
            <a:buNone/>
            <a:tabLst/>
            <a:defRPr/>
          </a:pPr>
          <a:r>
            <a:rPr kumimoji="0" lang="de-DE" sz="1000" b="1" i="1" u="none" strike="noStrike" kern="0" cap="none" spc="0" normalizeH="0" baseline="0" noProof="0">
              <a:ln>
                <a:noFill/>
              </a:ln>
              <a:solidFill>
                <a:prstClr val="white">
                  <a:lumMod val="50000"/>
                </a:prstClr>
              </a:solidFill>
              <a:effectLst/>
              <a:uLnTx/>
              <a:uFillTx/>
              <a:latin typeface="+mn-lt"/>
              <a:ea typeface="+mn-ea"/>
              <a:cs typeface="+mn-cs"/>
            </a:rPr>
            <a:t>Glossary</a:t>
          </a:r>
          <a:r>
            <a:rPr kumimoji="0" lang="de-DE" sz="1000" b="0" i="1" u="none" strike="noStrike" kern="0" cap="none" spc="0" normalizeH="0" baseline="0" noProof="0">
              <a:ln>
                <a:noFill/>
              </a:ln>
              <a:solidFill>
                <a:prstClr val="white">
                  <a:lumMod val="50000"/>
                </a:prstClr>
              </a:solidFill>
              <a:effectLst/>
              <a:uLnTx/>
              <a:uFillTx/>
              <a:latin typeface="+mn-lt"/>
              <a:ea typeface="+mn-ea"/>
              <a:cs typeface="+mn-cs"/>
            </a:rPr>
            <a:t> </a:t>
          </a:r>
          <a:endParaRPr kumimoji="0" lang="de-DE" sz="1000" b="0" i="0" u="none" strike="noStrike" kern="0" cap="none" spc="0" normalizeH="0" baseline="0" noProof="0">
            <a:ln>
              <a:noFill/>
            </a:ln>
            <a:solidFill>
              <a:prstClr val="black"/>
            </a:solidFill>
            <a:effectLst/>
            <a:uLnTx/>
            <a:uFillTx/>
            <a:latin typeface="+mn-lt"/>
            <a:ea typeface="+mn-ea"/>
            <a:cs typeface="+mn-cs"/>
          </a:endParaRPr>
        </a:p>
        <a:p>
          <a:pPr rtl="0" eaLnBrk="1" latinLnBrk="0" hangingPunct="1">
            <a:spcBef>
              <a:spcPts val="600"/>
            </a:spcBef>
          </a:pPr>
          <a:r>
            <a:rPr lang="de-DE" sz="1000" b="1" i="0" u="none" strike="noStrike">
              <a:solidFill>
                <a:schemeClr val="dk1"/>
              </a:solidFill>
              <a:effectLst/>
              <a:latin typeface="+mn-lt"/>
              <a:ea typeface="+mn-ea"/>
              <a:cs typeface="+mn-cs"/>
            </a:rPr>
            <a:t>Calls		</a:t>
          </a:r>
          <a:r>
            <a:rPr lang="de-DE" sz="1000" b="0" i="0" u="none" strike="noStrike">
              <a:solidFill>
                <a:schemeClr val="dk1"/>
              </a:solidFill>
              <a:effectLst/>
              <a:latin typeface="+mn-lt"/>
              <a:ea typeface="+mn-ea"/>
              <a:cs typeface="+mn-cs"/>
            </a:rPr>
            <a:t>Cruise ship calls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1" i="0" u="none" strike="noStrike">
              <a:solidFill>
                <a:schemeClr val="dk1"/>
              </a:solidFill>
              <a:effectLst/>
              <a:latin typeface="+mn-lt"/>
              <a:ea typeface="+mn-ea"/>
              <a:cs typeface="+mn-cs"/>
            </a:rPr>
            <a:t>Passenger movements	</a:t>
          </a:r>
          <a:r>
            <a:rPr lang="de-DE" sz="1000" b="0" i="0" u="none" strike="noStrike">
              <a:solidFill>
                <a:schemeClr val="dk1"/>
              </a:solidFill>
              <a:effectLst/>
              <a:latin typeface="+mn-lt"/>
              <a:ea typeface="+mn-ea"/>
              <a:cs typeface="+mn-cs"/>
            </a:rPr>
            <a:t>Represents passenger movements based on passengers</a:t>
          </a:r>
          <a:r>
            <a:rPr lang="de-DE" sz="1000" b="0" i="0" u="none" strike="noStrike" baseline="0">
              <a:solidFill>
                <a:schemeClr val="dk1"/>
              </a:solidFill>
              <a:effectLst/>
              <a:latin typeface="+mn-lt"/>
              <a:ea typeface="+mn-ea"/>
              <a:cs typeface="+mn-cs"/>
            </a:rPr>
            <a:t> on board of the cruise ship, without the need for passengers to actually leave the ship</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0" i="0" u="none" strike="noStrike">
              <a:solidFill>
                <a:schemeClr val="dk1"/>
              </a:solidFill>
              <a:effectLst/>
              <a:latin typeface="+mn-lt"/>
              <a:ea typeface="+mn-ea"/>
              <a:cs typeface="+mn-cs"/>
            </a:rPr>
            <a:t>		For homeporting or interporting calls,</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embarking and disembarking passenger movements are counted. </a:t>
          </a:r>
        </a:p>
        <a:p>
          <a:pPr rtl="0" eaLnBrk="1" latinLnBrk="0" hangingPunct="1">
            <a:spcBef>
              <a:spcPts val="600"/>
            </a:spcBef>
          </a:pPr>
          <a:r>
            <a:rPr lang="de-DE" sz="1000" b="0" i="0" u="none" strike="noStrike">
              <a:solidFill>
                <a:schemeClr val="dk1"/>
              </a:solidFill>
              <a:effectLst/>
              <a:latin typeface="+mn-lt"/>
              <a:ea typeface="+mn-ea"/>
              <a:cs typeface="+mn-cs"/>
            </a:rPr>
            <a:t>		Passengers from transit cruise calls and ferry calls are repesenting one passenger movement each.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1" i="0" u="none" strike="noStrike">
              <a:solidFill>
                <a:schemeClr val="dk1"/>
              </a:solidFill>
              <a:effectLst/>
              <a:latin typeface="+mn-lt"/>
              <a:ea typeface="+mn-ea"/>
              <a:cs typeface="+mn-cs"/>
            </a:rPr>
            <a:t>2019 data:</a:t>
          </a:r>
          <a:r>
            <a:rPr lang="de-DE" sz="1000" b="1"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Comparative information for the major ports acquired during the calendar year 2019 Antigua Cruise Port and Nassau Cruise Port do</a:t>
          </a:r>
          <a:r>
            <a:rPr lang="de-DE" sz="1000" b="0" i="0" u="none" strike="noStrike" baseline="0">
              <a:solidFill>
                <a:schemeClr val="dk1"/>
              </a:solidFill>
              <a:effectLst/>
              <a:latin typeface="+mn-lt"/>
              <a:ea typeface="+mn-ea"/>
              <a:cs typeface="+mn-cs"/>
            </a:rPr>
            <a:t> represent </a:t>
          </a:r>
          <a:r>
            <a:rPr lang="de-DE" sz="1000" b="0" i="0" u="none" strike="noStrike">
              <a:solidFill>
                <a:schemeClr val="dk1"/>
              </a:solidFill>
              <a:effectLst/>
              <a:latin typeface="+mn-lt"/>
              <a:ea typeface="+mn-ea"/>
              <a:cs typeface="+mn-cs"/>
            </a:rPr>
            <a:t>12M 		volumes</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the</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entire</a:t>
          </a:r>
          <a:r>
            <a:rPr lang="de-DE" sz="1000" b="0" i="0" u="none" strike="noStrike" baseline="0">
              <a:solidFill>
                <a:schemeClr val="dk1"/>
              </a:solidFill>
              <a:effectLst/>
              <a:latin typeface="+mn-lt"/>
              <a:ea typeface="+mn-ea"/>
              <a:cs typeface="+mn-cs"/>
            </a:rPr>
            <a:t> calendar year </a:t>
          </a:r>
          <a:r>
            <a:rPr lang="de-DE" sz="1000" b="0" i="0" u="none" strike="noStrike">
              <a:solidFill>
                <a:schemeClr val="dk1"/>
              </a:solidFill>
              <a:effectLst/>
              <a:latin typeface="+mn-lt"/>
              <a:ea typeface="+mn-ea"/>
              <a:cs typeface="+mn-cs"/>
            </a:rPr>
            <a:t>for those ports - not the pro-rata</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period under GPH control as</a:t>
          </a:r>
          <a:r>
            <a:rPr lang="de-DE" sz="1000" b="0" i="0" u="none" strike="noStrike" baseline="0">
              <a:solidFill>
                <a:schemeClr val="dk1"/>
              </a:solidFill>
              <a:effectLst/>
              <a:latin typeface="+mn-lt"/>
              <a:ea typeface="+mn-ea"/>
              <a:cs typeface="+mn-cs"/>
            </a:rPr>
            <a:t> presented in the Company's financial statements</a:t>
          </a:r>
          <a:r>
            <a:rPr lang="de-DE" sz="1000" b="0" i="0" u="none" strike="noStrike">
              <a:solidFill>
                <a:schemeClr val="dk1"/>
              </a:solidFill>
              <a:effectLst/>
              <a:latin typeface="+mn-lt"/>
              <a:ea typeface="+mn-ea"/>
              <a:cs typeface="+mn-cs"/>
            </a:rPr>
            <a:t>. </a:t>
          </a:r>
        </a:p>
        <a:p>
          <a:pPr rtl="0" eaLnBrk="1" fontAlgn="auto" latinLnBrk="0" hangingPunct="1"/>
          <a:endParaRPr lang="de-DE" sz="1100" b="1" i="1" baseline="0">
            <a:solidFill>
              <a:schemeClr val="dk1"/>
            </a:solidFill>
            <a:effectLst/>
            <a:latin typeface="+mn-lt"/>
            <a:ea typeface="+mn-ea"/>
            <a:cs typeface="+mn-cs"/>
          </a:endParaRPr>
        </a:p>
        <a:p>
          <a:pPr rtl="0" eaLnBrk="1" fontAlgn="auto" latinLnBrk="0" hangingPunct="1"/>
          <a:r>
            <a:rPr lang="de-DE" sz="1000" b="1" i="1" baseline="0">
              <a:solidFill>
                <a:schemeClr val="dk1"/>
              </a:solidFill>
              <a:effectLst/>
              <a:latin typeface="+mn-lt"/>
              <a:ea typeface="+mn-ea"/>
              <a:cs typeface="+mn-cs"/>
            </a:rPr>
            <a:t>Segmental Reporting Port Breakdown as at 31 March 2023:</a:t>
          </a:r>
          <a:endParaRPr lang="en-GB" sz="1000">
            <a:effectLst/>
          </a:endParaRPr>
        </a:p>
        <a:p>
          <a:pPr rtl="0" eaLnBrk="1" fontAlgn="auto" latinLnBrk="0" hangingPunct="1"/>
          <a:r>
            <a:rPr lang="de-DE" sz="1000" b="1" i="0" baseline="0">
              <a:solidFill>
                <a:schemeClr val="dk1"/>
              </a:solidFill>
              <a:effectLst/>
              <a:latin typeface="+mn-lt"/>
              <a:ea typeface="+mn-ea"/>
              <a:cs typeface="+mn-cs"/>
            </a:rPr>
            <a:t>Americas: </a:t>
          </a:r>
          <a:r>
            <a:rPr lang="de-DE" sz="1000" b="0" i="0" baseline="0">
              <a:solidFill>
                <a:schemeClr val="dk1"/>
              </a:solidFill>
              <a:effectLst/>
              <a:latin typeface="+mn-lt"/>
              <a:ea typeface="+mn-ea"/>
              <a:cs typeface="+mn-cs"/>
            </a:rPr>
            <a:t>Antigua Cruise Port, Nassau Cruise Port &amp; Prince Rupert Cruise Port (operations started in the end of April 2023)</a:t>
          </a:r>
          <a:endParaRPr lang="en-GB" sz="1000">
            <a:effectLst/>
          </a:endParaRPr>
        </a:p>
        <a:p>
          <a:pPr rtl="0" eaLnBrk="1" fontAlgn="auto" latinLnBrk="0" hangingPunct="1"/>
          <a:r>
            <a:rPr lang="de-DE" sz="1000" b="1" i="0" baseline="0">
              <a:solidFill>
                <a:schemeClr val="dk1"/>
              </a:solidFill>
              <a:effectLst/>
              <a:latin typeface="+mn-lt"/>
              <a:ea typeface="+mn-ea"/>
              <a:cs typeface="+mn-cs"/>
            </a:rPr>
            <a:t>West Med &amp; Atlantic:</a:t>
          </a:r>
          <a:r>
            <a:rPr lang="de-DE" sz="1000" b="0" i="0" baseline="0">
              <a:solidFill>
                <a:schemeClr val="dk1"/>
              </a:solidFill>
              <a:effectLst/>
              <a:latin typeface="+mn-lt"/>
              <a:ea typeface="+mn-ea"/>
              <a:cs typeface="+mn-cs"/>
            </a:rPr>
            <a:t> Spanish ports (Alicante Cruise Port*, Barcelona Cruise Port, Fuerteventura Cruise Port, Lanzarote Cruise Port, Las Palmas Cruise Port, Malaga Cruise Port, Tarragona Cruise Port and Vigo Cruise Port), Kalundborg Cruise Port, Denmark and the equity pick up contribution from Lisbon Cruise Port, Portugal and Singapore Cruise Port, Singapore.</a:t>
          </a:r>
          <a:endParaRPr lang="en-GB" sz="1000">
            <a:effectLst/>
          </a:endParaRPr>
        </a:p>
        <a:p>
          <a:pPr rtl="0" eaLnBrk="1" fontAlgn="auto" latinLnBrk="0" hangingPunct="1"/>
          <a:r>
            <a:rPr lang="de-DE" sz="1000" b="1" i="0" baseline="0">
              <a:solidFill>
                <a:schemeClr val="dk1"/>
              </a:solidFill>
              <a:effectLst/>
              <a:latin typeface="+mn-lt"/>
              <a:ea typeface="+mn-ea"/>
              <a:cs typeface="+mn-cs"/>
            </a:rPr>
            <a:t>Central Med: </a:t>
          </a:r>
          <a:r>
            <a:rPr lang="en-GB" sz="1000" b="0" i="0" baseline="0">
              <a:solidFill>
                <a:schemeClr val="dk1"/>
              </a:solidFill>
              <a:effectLst/>
              <a:latin typeface="+mn-lt"/>
              <a:ea typeface="+mn-ea"/>
              <a:cs typeface="+mn-cs"/>
            </a:rPr>
            <a:t>Italian ports (Cagliari Cruise Port, Catania Cruise Port, Crotone Cruise Port and Taranto Cruise Port) and Valletta Cruise Port, Malta and the equity pick-up contribution from La Goulette Cruise Port, Tunisia and Venice Cruise Port, Italy. </a:t>
          </a:r>
          <a:endParaRPr lang="en-GB" sz="1000">
            <a:effectLst/>
          </a:endParaRPr>
        </a:p>
        <a:p>
          <a:pPr rtl="0" eaLnBrk="1" fontAlgn="auto" latinLnBrk="0" hangingPunct="1"/>
          <a:r>
            <a:rPr lang="en-GB" sz="1000" b="1" i="0" baseline="0">
              <a:solidFill>
                <a:schemeClr val="dk1"/>
              </a:solidFill>
              <a:effectLst/>
              <a:latin typeface="+mn-lt"/>
              <a:ea typeface="+mn-ea"/>
              <a:cs typeface="+mn-cs"/>
            </a:rPr>
            <a:t>East Med &amp; Adriatic:</a:t>
          </a:r>
          <a:r>
            <a:rPr lang="en-GB" sz="1000" b="0" i="0" baseline="0">
              <a:solidFill>
                <a:schemeClr val="dk1"/>
              </a:solidFill>
              <a:effectLst/>
              <a:latin typeface="+mn-lt"/>
              <a:ea typeface="+mn-ea"/>
              <a:cs typeface="+mn-cs"/>
            </a:rPr>
            <a:t> Turkish Cruise Ports (Bodrum Cruise Port and Ege Cruise Port) and Zadar Cruise Port, Croatia.</a:t>
          </a:r>
          <a:endParaRPr lang="en-GB" sz="1000">
            <a:effectLst/>
          </a:endParaRPr>
        </a:p>
        <a:p>
          <a:pPr rtl="0" eaLnBrk="1" fontAlgn="auto" latinLnBrk="0" hangingPunct="1"/>
          <a:r>
            <a:rPr lang="en-GB" sz="1000" b="1" i="0" baseline="0">
              <a:solidFill>
                <a:schemeClr val="dk1"/>
              </a:solidFill>
              <a:effectLst/>
              <a:latin typeface="+mn-lt"/>
              <a:ea typeface="+mn-ea"/>
              <a:cs typeface="+mn-cs"/>
            </a:rPr>
            <a:t>Other:</a:t>
          </a:r>
          <a:r>
            <a:rPr lang="en-GB" sz="1000" b="0" i="0" baseline="0">
              <a:solidFill>
                <a:schemeClr val="dk1"/>
              </a:solidFill>
              <a:effectLst/>
              <a:latin typeface="+mn-lt"/>
              <a:ea typeface="+mn-ea"/>
              <a:cs typeface="+mn-cs"/>
            </a:rPr>
            <a:t> Port of Adria, Montenegro and Ha Long Bay Cruise Port management agreement, Vietnam and Port Services operations</a:t>
          </a:r>
          <a:r>
            <a:rPr lang="de-DE" sz="1000" b="0" i="0">
              <a:solidFill>
                <a:schemeClr val="dk1"/>
              </a:solidFill>
              <a:effectLst/>
              <a:latin typeface="+mn-lt"/>
              <a:ea typeface="+mn-ea"/>
              <a:cs typeface="+mn-cs"/>
            </a:rPr>
            <a:t> </a:t>
          </a:r>
          <a:endParaRPr lang="en-GB" sz="1000">
            <a:effectLst/>
          </a:endParaRPr>
        </a:p>
        <a:p>
          <a:pPr marL="0" marR="0" indent="0" defTabSz="914400" rtl="0" eaLnBrk="1" fontAlgn="auto" latinLnBrk="0" hangingPunct="1">
            <a:lnSpc>
              <a:spcPct val="100000"/>
            </a:lnSpc>
            <a:spcBef>
              <a:spcPts val="600"/>
            </a:spcBef>
            <a:spcAft>
              <a:spcPts val="0"/>
            </a:spcAft>
            <a:buClrTx/>
            <a:buSzTx/>
            <a:buFontTx/>
            <a:buNone/>
            <a:tabLst/>
            <a:defRPr/>
          </a:pPr>
          <a:endParaRPr lang="en-GB" sz="1000" b="1">
            <a:solidFill>
              <a:schemeClr val="dk1"/>
            </a:solidFill>
            <a:effectLst/>
            <a:latin typeface="+mn-lt"/>
            <a:ea typeface="+mn-ea"/>
            <a:cs typeface="+mn-cs"/>
          </a:endParaRPr>
        </a:p>
        <a:p>
          <a:pPr marL="0" marR="0" indent="0" defTabSz="914400" rtl="0" eaLnBrk="1" fontAlgn="auto" latinLnBrk="0" hangingPunct="1">
            <a:lnSpc>
              <a:spcPct val="100000"/>
            </a:lnSpc>
            <a:spcBef>
              <a:spcPts val="600"/>
            </a:spcBef>
            <a:spcAft>
              <a:spcPts val="0"/>
            </a:spcAft>
            <a:buClrTx/>
            <a:buSzTx/>
            <a:buFontTx/>
            <a:buNone/>
            <a:tabLst/>
            <a:defRPr/>
          </a:pPr>
          <a:r>
            <a:rPr lang="en-GB" sz="1000" b="1">
              <a:solidFill>
                <a:schemeClr val="dk1"/>
              </a:solidFill>
              <a:effectLst/>
              <a:latin typeface="+mn-lt"/>
              <a:ea typeface="+mn-ea"/>
              <a:cs typeface="+mn-cs"/>
            </a:rPr>
            <a:t>Occupancy</a:t>
          </a:r>
          <a:r>
            <a:rPr lang="en-GB" sz="1000" b="1" baseline="0">
              <a:solidFill>
                <a:schemeClr val="dk1"/>
              </a:solidFill>
              <a:effectLst/>
              <a:latin typeface="+mn-lt"/>
              <a:ea typeface="+mn-ea"/>
              <a:cs typeface="+mn-cs"/>
            </a:rPr>
            <a:t> Ratio</a:t>
          </a:r>
          <a:r>
            <a:rPr lang="en-GB" sz="1000">
              <a:solidFill>
                <a:schemeClr val="dk1"/>
              </a:solidFill>
              <a:effectLst/>
              <a:latin typeface="+mn-lt"/>
              <a:ea typeface="+mn-ea"/>
              <a:cs typeface="+mn-cs"/>
            </a:rPr>
            <a:t>		Calculated as follows: [Transit pax +(Embark + Disembark pax)/2] / Ship's Capacity (lower berth); calculated for each ship and then aggregated, volume-		weighted average across the consolidated cruise ports.</a:t>
          </a:r>
          <a:endParaRPr lang="de-DE" sz="1000" b="1" i="1" u="none" strike="noStrike">
            <a:solidFill>
              <a:schemeClr val="dk1"/>
            </a:solidFill>
            <a:effectLst/>
            <a:latin typeface="+mn-lt"/>
            <a:ea typeface="+mn-ea"/>
            <a:cs typeface="+mn-cs"/>
          </a:endParaRPr>
        </a:p>
        <a:p>
          <a:pPr rtl="0" eaLnBrk="1" latinLnBrk="0" hangingPunct="1">
            <a:spcBef>
              <a:spcPts val="600"/>
            </a:spcBef>
          </a:pPr>
          <a:r>
            <a:rPr lang="de-DE" sz="1000" b="1" i="1" u="none" strike="noStrike">
              <a:solidFill>
                <a:schemeClr val="bg1">
                  <a:lumMod val="50000"/>
                </a:schemeClr>
              </a:solidFill>
              <a:effectLst/>
              <a:latin typeface="+mn-lt"/>
              <a:ea typeface="+mn-ea"/>
              <a:cs typeface="+mn-cs"/>
            </a:rPr>
            <a:t>Sources</a:t>
          </a:r>
        </a:p>
        <a:p>
          <a:pPr rtl="0" eaLnBrk="1" latinLnBrk="0" hangingPunct="1">
            <a:spcBef>
              <a:spcPts val="600"/>
            </a:spcBef>
          </a:pPr>
          <a:r>
            <a:rPr lang="de-DE" sz="1000" b="0" i="0" u="none" strike="noStrike">
              <a:solidFill>
                <a:schemeClr val="dk1"/>
              </a:solidFill>
              <a:effectLst/>
              <a:latin typeface="+mn-lt"/>
              <a:ea typeface="+mn-ea"/>
              <a:cs typeface="+mn-cs"/>
            </a:rPr>
            <a:t>Operational port statistics, minor differences possible compared to financial reporting due to overnight cruise ships or different</a:t>
          </a:r>
          <a:r>
            <a:rPr lang="de-DE" sz="1000" b="0" i="0" u="none" strike="noStrike" baseline="0">
              <a:solidFill>
                <a:schemeClr val="dk1"/>
              </a:solidFill>
              <a:effectLst/>
              <a:latin typeface="+mn-lt"/>
              <a:ea typeface="+mn-ea"/>
              <a:cs typeface="+mn-cs"/>
            </a:rPr>
            <a:t> cut-off times </a:t>
          </a:r>
          <a:r>
            <a:rPr lang="de-DE" sz="1000" b="0" i="0" u="none" strike="noStrike">
              <a:solidFill>
                <a:schemeClr val="dk1"/>
              </a:solidFill>
              <a:effectLst/>
              <a:latin typeface="+mn-lt"/>
              <a:ea typeface="+mn-ea"/>
              <a:cs typeface="+mn-cs"/>
            </a:rPr>
            <a:t>at month-end </a:t>
          </a:r>
          <a:r>
            <a:rPr lang="de-DE" sz="1000">
              <a:latin typeface="+mn-lt"/>
            </a:rPr>
            <a:t> </a:t>
          </a:r>
        </a:p>
        <a:p>
          <a:pPr rtl="0" eaLnBrk="1" latinLnBrk="0" hangingPunct="1">
            <a:spcBef>
              <a:spcPts val="600"/>
            </a:spcBef>
          </a:pPr>
          <a:r>
            <a:rPr lang="en-GB" sz="1000" i="1">
              <a:solidFill>
                <a:sysClr val="windowText" lastClr="000000"/>
              </a:solidFill>
              <a:latin typeface="+mn-lt"/>
            </a:rPr>
            <a:t>*Alicante which recently started operations has been retrospectively added to April.</a:t>
          </a:r>
          <a:endParaRPr lang="de-DE" sz="1000" i="1">
            <a:solidFill>
              <a:sysClr val="windowText" lastClr="000000"/>
            </a:solidFill>
            <a:latin typeface="+mn-lt"/>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20</xdr:col>
      <xdr:colOff>263375</xdr:colOff>
      <xdr:row>0</xdr:row>
      <xdr:rowOff>0</xdr:rowOff>
    </xdr:from>
    <xdr:to>
      <xdr:col>21</xdr:col>
      <xdr:colOff>179343</xdr:colOff>
      <xdr:row>1</xdr:row>
      <xdr:rowOff>228119</xdr:rowOff>
    </xdr:to>
    <xdr:pic>
      <xdr:nvPicPr>
        <xdr:cNvPr id="2" name="Picture 1">
          <a:extLst>
            <a:ext uri="{FF2B5EF4-FFF2-40B4-BE49-F238E27FC236}">
              <a16:creationId xmlns:a16="http://schemas.microsoft.com/office/drawing/2014/main" id="{0964AFCE-0271-4AF7-9EC8-B13642973BAE}"/>
            </a:ext>
          </a:extLst>
        </xdr:cNvPr>
        <xdr:cNvPicPr>
          <a:picLocks noChangeAspect="1"/>
        </xdr:cNvPicPr>
      </xdr:nvPicPr>
      <xdr:blipFill>
        <a:blip xmlns:r="http://schemas.openxmlformats.org/officeDocument/2006/relationships" r:embed="rId1"/>
        <a:stretch>
          <a:fillRect/>
        </a:stretch>
      </xdr:blipFill>
      <xdr:spPr>
        <a:xfrm>
          <a:off x="14127542" y="0"/>
          <a:ext cx="508635" cy="41861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D849879A-4C7D-4698-9034-48E14A6DDC7A}"/>
            </a:ext>
          </a:extLst>
        </xdr:cNvPr>
        <xdr:cNvPicPr>
          <a:picLocks noChangeAspect="1"/>
        </xdr:cNvPicPr>
      </xdr:nvPicPr>
      <xdr:blipFill>
        <a:blip xmlns:r="http://schemas.openxmlformats.org/officeDocument/2006/relationships" r:embed="rId1"/>
        <a:stretch>
          <a:fillRect/>
        </a:stretch>
      </xdr:blipFill>
      <xdr:spPr>
        <a:xfrm>
          <a:off x="15781020" y="0"/>
          <a:ext cx="566906" cy="55080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BE5E051B-8963-479C-AD31-69154F498DE0}"/>
            </a:ext>
          </a:extLst>
        </xdr:cNvPr>
        <xdr:cNvPicPr>
          <a:picLocks noChangeAspect="1"/>
        </xdr:cNvPicPr>
      </xdr:nvPicPr>
      <xdr:blipFill>
        <a:blip xmlns:r="http://schemas.openxmlformats.org/officeDocument/2006/relationships" r:embed="rId1"/>
        <a:stretch>
          <a:fillRect/>
        </a:stretch>
      </xdr:blipFill>
      <xdr:spPr>
        <a:xfrm>
          <a:off x="15133320" y="24765"/>
          <a:ext cx="566906" cy="54854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46DA15B1-25B2-46A9-B2EC-0529DF1C48DD}"/>
            </a:ext>
          </a:extLst>
        </xdr:cNvPr>
        <xdr:cNvPicPr>
          <a:picLocks noChangeAspect="1"/>
        </xdr:cNvPicPr>
      </xdr:nvPicPr>
      <xdr:blipFill>
        <a:blip xmlns:r="http://schemas.openxmlformats.org/officeDocument/2006/relationships" r:embed="rId1"/>
        <a:stretch>
          <a:fillRect/>
        </a:stretch>
      </xdr:blipFill>
      <xdr:spPr>
        <a:xfrm>
          <a:off x="15038070" y="24765"/>
          <a:ext cx="566906" cy="54854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3F44234E-8D88-4A0E-9F72-C9B6A37737C0}"/>
            </a:ext>
          </a:extLst>
        </xdr:cNvPr>
        <xdr:cNvPicPr>
          <a:picLocks noChangeAspect="1"/>
        </xdr:cNvPicPr>
      </xdr:nvPicPr>
      <xdr:blipFill>
        <a:blip xmlns:r="http://schemas.openxmlformats.org/officeDocument/2006/relationships" r:embed="rId1"/>
        <a:stretch>
          <a:fillRect/>
        </a:stretch>
      </xdr:blipFill>
      <xdr:spPr>
        <a:xfrm>
          <a:off x="15038070" y="24765"/>
          <a:ext cx="566906" cy="54854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3" name="Picture 2">
          <a:extLst>
            <a:ext uri="{FF2B5EF4-FFF2-40B4-BE49-F238E27FC236}">
              <a16:creationId xmlns:a16="http://schemas.microsoft.com/office/drawing/2014/main" id="{D5534AB7-2096-4532-A6A4-0156396E9001}"/>
            </a:ext>
          </a:extLst>
        </xdr:cNvPr>
        <xdr:cNvPicPr>
          <a:picLocks noChangeAspect="1"/>
        </xdr:cNvPicPr>
      </xdr:nvPicPr>
      <xdr:blipFill>
        <a:blip xmlns:r="http://schemas.openxmlformats.org/officeDocument/2006/relationships" r:embed="rId1"/>
        <a:stretch>
          <a:fillRect/>
        </a:stretch>
      </xdr:blipFill>
      <xdr:spPr>
        <a:xfrm>
          <a:off x="14971395" y="24765"/>
          <a:ext cx="566906" cy="53901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yholding.sharepoint.com/personal/ist_janf2_globalportsholding_com/Documents/Corporate%20Finance%20Matters/Project%20Vaccine/Financial%20Model/1.13.5.1_2020%2012%20Bodrum_Financial%20model_v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rtin%20Brown/AppData/Local/Microsoft/Windows/INetCache/Content.Outlook/LU4KSK71/Monthly%20Pax%20KPIs%202019%20vs%202023_March%20dat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artin%20Brown/AppData/Local/Microsoft/Windows/INetCache/Content.Outlook/LU4KSK71/March%202023%20KP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
      <sheetName val="Cruise KPI 2019&amp;2023"/>
      <sheetName val="Cruise KPI 2022&amp;2023"/>
      <sheetName val="Cruise KPI 2019&amp;2023Regional-BD"/>
      <sheetName val="Regional BD"/>
      <sheetName val="Cruise Summary Data Entry"/>
      <sheetName val="Cruise Historical Data Summary"/>
      <sheetName val="Ferry KPI"/>
      <sheetName val="Ferry Summary"/>
      <sheetName val="Database"/>
      <sheetName val="Database Ferry"/>
      <sheetName val="Pivot Ferry"/>
    </sheetNames>
    <sheetDataSet>
      <sheetData sheetId="0"/>
      <sheetData sheetId="1"/>
      <sheetData sheetId="2"/>
      <sheetData sheetId="3">
        <row r="13">
          <cell r="D13">
            <v>10</v>
          </cell>
          <cell r="E13">
            <v>32801</v>
          </cell>
          <cell r="G13">
            <v>5</v>
          </cell>
          <cell r="H13">
            <v>4146</v>
          </cell>
          <cell r="J13">
            <v>26</v>
          </cell>
          <cell r="K13">
            <v>28377</v>
          </cell>
          <cell r="M13">
            <v>16</v>
          </cell>
          <cell r="N13">
            <v>43135</v>
          </cell>
        </row>
        <row r="19">
          <cell r="D19">
            <v>5</v>
          </cell>
          <cell r="E19">
            <v>4091</v>
          </cell>
          <cell r="G19">
            <v>0</v>
          </cell>
          <cell r="H19">
            <v>0</v>
          </cell>
          <cell r="J19">
            <v>6</v>
          </cell>
          <cell r="K19">
            <v>595</v>
          </cell>
          <cell r="M19">
            <v>17</v>
          </cell>
          <cell r="N19">
            <v>14686</v>
          </cell>
        </row>
        <row r="23">
          <cell r="J23">
            <v>24</v>
          </cell>
          <cell r="K23">
            <v>32594</v>
          </cell>
          <cell r="M23">
            <v>108</v>
          </cell>
          <cell r="N23">
            <v>297870</v>
          </cell>
        </row>
        <row r="46">
          <cell r="D46">
            <v>516</v>
          </cell>
          <cell r="E46">
            <v>1451104</v>
          </cell>
          <cell r="G46">
            <v>0</v>
          </cell>
          <cell r="H46">
            <v>0</v>
          </cell>
          <cell r="J46">
            <v>530</v>
          </cell>
          <cell r="K46">
            <v>759658</v>
          </cell>
        </row>
        <row r="50">
          <cell r="D50">
            <v>23</v>
          </cell>
          <cell r="E50">
            <v>80374</v>
          </cell>
          <cell r="G50">
            <v>12</v>
          </cell>
          <cell r="H50">
            <v>10103</v>
          </cell>
          <cell r="J50">
            <v>36</v>
          </cell>
          <cell r="K50">
            <v>36508</v>
          </cell>
          <cell r="M50">
            <v>27</v>
          </cell>
          <cell r="N50">
            <v>83055</v>
          </cell>
        </row>
        <row r="56">
          <cell r="D56">
            <v>6</v>
          </cell>
          <cell r="E56">
            <v>4651</v>
          </cell>
          <cell r="G56">
            <v>0</v>
          </cell>
          <cell r="H56">
            <v>0</v>
          </cell>
          <cell r="J56">
            <v>12</v>
          </cell>
          <cell r="K56">
            <v>2334</v>
          </cell>
          <cell r="M56">
            <v>23</v>
          </cell>
          <cell r="N56">
            <v>19661</v>
          </cell>
        </row>
        <row r="60">
          <cell r="D60">
            <v>323</v>
          </cell>
          <cell r="E60">
            <v>919815</v>
          </cell>
          <cell r="J60">
            <v>53</v>
          </cell>
          <cell r="K60">
            <v>68454</v>
          </cell>
          <cell r="M60">
            <v>287</v>
          </cell>
          <cell r="N60">
            <v>836274</v>
          </cell>
        </row>
      </sheetData>
      <sheetData sheetId="4">
        <row r="36">
          <cell r="CF36">
            <v>170</v>
          </cell>
          <cell r="CG36">
            <v>129</v>
          </cell>
          <cell r="CH36">
            <v>90</v>
          </cell>
          <cell r="CI36">
            <v>97</v>
          </cell>
          <cell r="CJ36">
            <v>101</v>
          </cell>
          <cell r="CK36">
            <v>97</v>
          </cell>
          <cell r="CL36">
            <v>79</v>
          </cell>
          <cell r="CM36">
            <v>110</v>
          </cell>
          <cell r="CN36">
            <v>172</v>
          </cell>
          <cell r="CO36">
            <v>200</v>
          </cell>
          <cell r="CQ36">
            <v>187</v>
          </cell>
          <cell r="CR36">
            <v>175</v>
          </cell>
          <cell r="CS36">
            <v>147</v>
          </cell>
          <cell r="CT36">
            <v>42</v>
          </cell>
          <cell r="CU36">
            <v>0</v>
          </cell>
          <cell r="CV36">
            <v>0</v>
          </cell>
          <cell r="CW36">
            <v>0</v>
          </cell>
          <cell r="CX36">
            <v>0</v>
          </cell>
          <cell r="CY36">
            <v>0</v>
          </cell>
          <cell r="CZ36">
            <v>0</v>
          </cell>
          <cell r="DA36">
            <v>0</v>
          </cell>
          <cell r="DB36">
            <v>0</v>
          </cell>
          <cell r="DD36">
            <v>0</v>
          </cell>
          <cell r="DE36">
            <v>0</v>
          </cell>
          <cell r="DF36">
            <v>0</v>
          </cell>
          <cell r="DG36">
            <v>0</v>
          </cell>
          <cell r="DH36">
            <v>0</v>
          </cell>
          <cell r="DI36">
            <v>7</v>
          </cell>
          <cell r="DJ36">
            <v>28</v>
          </cell>
          <cell r="DK36">
            <v>51</v>
          </cell>
          <cell r="DL36">
            <v>60</v>
          </cell>
          <cell r="DM36">
            <v>89</v>
          </cell>
          <cell r="DN36">
            <v>115</v>
          </cell>
          <cell r="DO36">
            <v>172</v>
          </cell>
          <cell r="DQ36">
            <v>164</v>
          </cell>
          <cell r="DR36">
            <v>162</v>
          </cell>
          <cell r="DS36">
            <v>204</v>
          </cell>
          <cell r="DT36">
            <v>136</v>
          </cell>
          <cell r="DU36">
            <v>83</v>
          </cell>
          <cell r="DV36">
            <v>77</v>
          </cell>
          <cell r="DW36">
            <v>84</v>
          </cell>
          <cell r="DX36">
            <v>81</v>
          </cell>
          <cell r="DY36">
            <v>82</v>
          </cell>
          <cell r="DZ36">
            <v>78</v>
          </cell>
          <cell r="EA36">
            <v>144</v>
          </cell>
          <cell r="EB36">
            <v>191</v>
          </cell>
          <cell r="ED36">
            <v>188</v>
          </cell>
          <cell r="EE36">
            <v>161</v>
          </cell>
          <cell r="EF36">
            <v>181</v>
          </cell>
        </row>
        <row r="41">
          <cell r="CF41">
            <v>500596</v>
          </cell>
          <cell r="CG41">
            <v>394045</v>
          </cell>
          <cell r="CH41">
            <v>303053</v>
          </cell>
          <cell r="CI41">
            <v>324456</v>
          </cell>
          <cell r="CJ41">
            <v>332464</v>
          </cell>
          <cell r="CK41">
            <v>325246</v>
          </cell>
          <cell r="CL41">
            <v>234453</v>
          </cell>
          <cell r="CM41">
            <v>299863</v>
          </cell>
          <cell r="CN41">
            <v>421184</v>
          </cell>
          <cell r="CO41">
            <v>506611</v>
          </cell>
          <cell r="CQ41">
            <v>466080</v>
          </cell>
          <cell r="CR41">
            <v>430518</v>
          </cell>
          <cell r="CS41">
            <v>196286</v>
          </cell>
          <cell r="CT41">
            <v>0</v>
          </cell>
          <cell r="CU41">
            <v>0</v>
          </cell>
          <cell r="CV41">
            <v>0</v>
          </cell>
          <cell r="CW41">
            <v>0</v>
          </cell>
          <cell r="CX41">
            <v>0</v>
          </cell>
          <cell r="CY41">
            <v>0</v>
          </cell>
          <cell r="CZ41">
            <v>0</v>
          </cell>
          <cell r="DA41">
            <v>0</v>
          </cell>
          <cell r="DB41">
            <v>0</v>
          </cell>
          <cell r="DD41">
            <v>0</v>
          </cell>
          <cell r="DE41">
            <v>0</v>
          </cell>
          <cell r="DF41">
            <v>0</v>
          </cell>
          <cell r="DG41">
            <v>0</v>
          </cell>
          <cell r="DH41">
            <v>0</v>
          </cell>
          <cell r="DI41">
            <v>5111</v>
          </cell>
          <cell r="DJ41">
            <v>30914</v>
          </cell>
          <cell r="DK41">
            <v>66591</v>
          </cell>
          <cell r="DL41">
            <v>83395</v>
          </cell>
          <cell r="DM41">
            <v>143120</v>
          </cell>
          <cell r="DN41">
            <v>185964</v>
          </cell>
          <cell r="DO41">
            <v>253217</v>
          </cell>
          <cell r="DQ41">
            <v>195612</v>
          </cell>
          <cell r="DR41">
            <v>219545</v>
          </cell>
          <cell r="DS41">
            <v>344501</v>
          </cell>
          <cell r="DT41">
            <v>297788</v>
          </cell>
          <cell r="DU41">
            <v>234968</v>
          </cell>
          <cell r="DV41">
            <v>251675</v>
          </cell>
          <cell r="DW41">
            <v>292122</v>
          </cell>
          <cell r="DX41">
            <v>278520</v>
          </cell>
          <cell r="DY41">
            <v>280580</v>
          </cell>
          <cell r="DZ41">
            <v>268578</v>
          </cell>
          <cell r="EA41">
            <v>410205</v>
          </cell>
          <cell r="EB41">
            <v>518319</v>
          </cell>
          <cell r="ED41">
            <v>522949</v>
          </cell>
          <cell r="EE41">
            <v>449661</v>
          </cell>
          <cell r="EF41">
            <v>565574</v>
          </cell>
        </row>
        <row r="69">
          <cell r="CG69">
            <v>51</v>
          </cell>
          <cell r="CH69">
            <v>71</v>
          </cell>
          <cell r="CI69">
            <v>64</v>
          </cell>
          <cell r="CJ69">
            <v>59</v>
          </cell>
          <cell r="CK69">
            <v>58</v>
          </cell>
          <cell r="CL69">
            <v>70</v>
          </cell>
          <cell r="CM69">
            <v>114</v>
          </cell>
          <cell r="CN69">
            <v>29</v>
          </cell>
          <cell r="CO69">
            <v>47</v>
          </cell>
          <cell r="CQ69">
            <v>5</v>
          </cell>
          <cell r="CR69">
            <v>4</v>
          </cell>
          <cell r="CS69">
            <v>1</v>
          </cell>
          <cell r="CT69">
            <v>0</v>
          </cell>
          <cell r="CU69">
            <v>0</v>
          </cell>
          <cell r="CV69">
            <v>0</v>
          </cell>
          <cell r="CW69">
            <v>0</v>
          </cell>
          <cell r="CX69">
            <v>2</v>
          </cell>
          <cell r="CY69">
            <v>9</v>
          </cell>
          <cell r="CZ69">
            <v>17</v>
          </cell>
          <cell r="DA69">
            <v>10</v>
          </cell>
          <cell r="DB69">
            <v>6</v>
          </cell>
          <cell r="DD69">
            <v>2</v>
          </cell>
          <cell r="DE69">
            <v>5</v>
          </cell>
          <cell r="DF69">
            <v>5</v>
          </cell>
          <cell r="DG69">
            <v>5</v>
          </cell>
          <cell r="DH69">
            <v>17</v>
          </cell>
          <cell r="DI69">
            <v>15</v>
          </cell>
          <cell r="DJ69">
            <v>22</v>
          </cell>
          <cell r="DK69">
            <v>29</v>
          </cell>
          <cell r="DL69">
            <v>34</v>
          </cell>
          <cell r="DM69">
            <v>33</v>
          </cell>
          <cell r="DN69">
            <v>28</v>
          </cell>
          <cell r="DO69">
            <v>7</v>
          </cell>
          <cell r="DQ69">
            <v>3</v>
          </cell>
          <cell r="DR69">
            <v>7</v>
          </cell>
          <cell r="DS69">
            <v>26</v>
          </cell>
          <cell r="DT69">
            <v>56</v>
          </cell>
          <cell r="DU69">
            <v>71</v>
          </cell>
          <cell r="DV69">
            <v>89</v>
          </cell>
          <cell r="DW69">
            <v>61</v>
          </cell>
          <cell r="DX69">
            <v>63</v>
          </cell>
          <cell r="DY69">
            <v>74</v>
          </cell>
          <cell r="DZ69">
            <v>89</v>
          </cell>
          <cell r="EA69">
            <v>27</v>
          </cell>
          <cell r="EB69">
            <v>6</v>
          </cell>
          <cell r="ED69">
            <v>5</v>
          </cell>
          <cell r="EE69">
            <v>6</v>
          </cell>
          <cell r="EF69">
            <v>16</v>
          </cell>
        </row>
        <row r="74">
          <cell r="CG74">
            <v>147331</v>
          </cell>
          <cell r="CH74">
            <v>165399</v>
          </cell>
          <cell r="CI74">
            <v>167798</v>
          </cell>
          <cell r="CJ74">
            <v>174121</v>
          </cell>
          <cell r="CK74">
            <v>180130</v>
          </cell>
          <cell r="CL74">
            <v>169136</v>
          </cell>
          <cell r="CM74">
            <v>223063</v>
          </cell>
          <cell r="CN74">
            <v>37844</v>
          </cell>
          <cell r="CO74">
            <v>55736</v>
          </cell>
          <cell r="CQ74">
            <v>23141</v>
          </cell>
          <cell r="CR74">
            <v>17407</v>
          </cell>
          <cell r="CS74">
            <v>565</v>
          </cell>
          <cell r="CT74">
            <v>0</v>
          </cell>
          <cell r="CU74">
            <v>0</v>
          </cell>
          <cell r="CV74">
            <v>0</v>
          </cell>
          <cell r="CW74">
            <v>0</v>
          </cell>
          <cell r="CX74">
            <v>2541</v>
          </cell>
          <cell r="CY74">
            <v>6072</v>
          </cell>
          <cell r="CZ74">
            <v>13954</v>
          </cell>
          <cell r="DA74">
            <v>4854</v>
          </cell>
          <cell r="DB74">
            <v>2141</v>
          </cell>
          <cell r="DD74">
            <v>1288</v>
          </cell>
          <cell r="DE74">
            <v>4669</v>
          </cell>
          <cell r="DF74">
            <v>4146</v>
          </cell>
          <cell r="DG74">
            <v>6002</v>
          </cell>
          <cell r="DH74">
            <v>24481</v>
          </cell>
          <cell r="DI74">
            <v>23467</v>
          </cell>
          <cell r="DJ74">
            <v>37562</v>
          </cell>
          <cell r="DK74">
            <v>48391</v>
          </cell>
          <cell r="DL74">
            <v>64266</v>
          </cell>
          <cell r="DM74">
            <v>44045</v>
          </cell>
          <cell r="DN74">
            <v>29456</v>
          </cell>
          <cell r="DO74">
            <v>13748</v>
          </cell>
          <cell r="DQ74">
            <v>1702</v>
          </cell>
          <cell r="DR74">
            <v>6429</v>
          </cell>
          <cell r="DS74">
            <v>28377</v>
          </cell>
          <cell r="DT74">
            <v>60367</v>
          </cell>
          <cell r="DU74">
            <v>82038</v>
          </cell>
          <cell r="DV74">
            <v>121649</v>
          </cell>
          <cell r="DW74">
            <v>133693</v>
          </cell>
          <cell r="DX74">
            <v>183659</v>
          </cell>
          <cell r="DY74">
            <v>150081</v>
          </cell>
          <cell r="DZ74">
            <v>124605</v>
          </cell>
          <cell r="EA74">
            <v>51003</v>
          </cell>
          <cell r="EB74">
            <v>22360</v>
          </cell>
          <cell r="ED74">
            <v>15799</v>
          </cell>
          <cell r="EE74">
            <v>24121</v>
          </cell>
          <cell r="EF74">
            <v>43135</v>
          </cell>
        </row>
        <row r="157">
          <cell r="CG157">
            <v>21</v>
          </cell>
          <cell r="CH157">
            <v>37</v>
          </cell>
          <cell r="CI157">
            <v>42</v>
          </cell>
          <cell r="CJ157">
            <v>50</v>
          </cell>
          <cell r="CK157">
            <v>43</v>
          </cell>
          <cell r="CL157">
            <v>32</v>
          </cell>
          <cell r="CM157">
            <v>34</v>
          </cell>
          <cell r="CN157">
            <v>15</v>
          </cell>
          <cell r="CO157">
            <v>10</v>
          </cell>
          <cell r="CQ157">
            <v>1</v>
          </cell>
          <cell r="CR157">
            <v>0</v>
          </cell>
          <cell r="CS157">
            <v>2</v>
          </cell>
          <cell r="CT157">
            <v>0</v>
          </cell>
          <cell r="CU157">
            <v>0</v>
          </cell>
          <cell r="CV157">
            <v>0</v>
          </cell>
          <cell r="CW157">
            <v>2</v>
          </cell>
          <cell r="CX157">
            <v>1</v>
          </cell>
          <cell r="CY157">
            <v>1</v>
          </cell>
          <cell r="CZ157">
            <v>1</v>
          </cell>
          <cell r="DA157">
            <v>1</v>
          </cell>
          <cell r="DB157">
            <v>0</v>
          </cell>
          <cell r="DD157">
            <v>0</v>
          </cell>
          <cell r="DE157">
            <v>0</v>
          </cell>
          <cell r="DF157">
            <v>0</v>
          </cell>
          <cell r="DG157">
            <v>2</v>
          </cell>
          <cell r="DH157">
            <v>1</v>
          </cell>
          <cell r="DI157">
            <v>0</v>
          </cell>
          <cell r="DJ157">
            <v>3</v>
          </cell>
          <cell r="DK157">
            <v>3</v>
          </cell>
          <cell r="DL157">
            <v>7</v>
          </cell>
          <cell r="DM157">
            <v>15</v>
          </cell>
          <cell r="DN157">
            <v>13</v>
          </cell>
          <cell r="DO157">
            <v>3</v>
          </cell>
          <cell r="DQ157">
            <v>3</v>
          </cell>
          <cell r="DR157">
            <v>3</v>
          </cell>
          <cell r="DS157">
            <v>6</v>
          </cell>
        </row>
        <row r="162">
          <cell r="CQ162">
            <v>823</v>
          </cell>
          <cell r="CR162">
            <v>0</v>
          </cell>
          <cell r="CS162">
            <v>819</v>
          </cell>
        </row>
        <row r="168">
          <cell r="DT168">
            <v>26</v>
          </cell>
          <cell r="DU168">
            <v>68</v>
          </cell>
          <cell r="DV168">
            <v>63</v>
          </cell>
          <cell r="DW168">
            <v>60</v>
          </cell>
          <cell r="DX168">
            <v>68</v>
          </cell>
          <cell r="DY168">
            <v>64</v>
          </cell>
          <cell r="DZ168">
            <v>75</v>
          </cell>
          <cell r="EA168">
            <v>32</v>
          </cell>
          <cell r="EB168">
            <v>9</v>
          </cell>
          <cell r="ED168">
            <v>4</v>
          </cell>
          <cell r="EE168">
            <v>2</v>
          </cell>
          <cell r="EF168">
            <v>15</v>
          </cell>
        </row>
        <row r="212">
          <cell r="CF212">
            <v>44</v>
          </cell>
          <cell r="CG212">
            <v>195</v>
          </cell>
          <cell r="CH212">
            <v>134</v>
          </cell>
          <cell r="CI212">
            <v>74</v>
          </cell>
          <cell r="CJ212">
            <v>79</v>
          </cell>
          <cell r="CK212">
            <v>74</v>
          </cell>
          <cell r="CL212">
            <v>101</v>
          </cell>
          <cell r="CM212">
            <v>194</v>
          </cell>
          <cell r="CN212">
            <v>231</v>
          </cell>
          <cell r="CO212">
            <v>165</v>
          </cell>
          <cell r="CQ212">
            <v>104</v>
          </cell>
          <cell r="CR212">
            <v>91</v>
          </cell>
          <cell r="CS212">
            <v>10</v>
          </cell>
          <cell r="CT212">
            <v>0</v>
          </cell>
          <cell r="CU212">
            <v>1</v>
          </cell>
          <cell r="CV212">
            <v>0</v>
          </cell>
          <cell r="CW212">
            <v>0</v>
          </cell>
          <cell r="CX212">
            <v>1</v>
          </cell>
          <cell r="CY212">
            <v>1</v>
          </cell>
          <cell r="CZ212">
            <v>1</v>
          </cell>
          <cell r="DA212">
            <v>12</v>
          </cell>
          <cell r="DB212">
            <v>39</v>
          </cell>
          <cell r="DD212">
            <v>0</v>
          </cell>
          <cell r="DE212">
            <v>0</v>
          </cell>
          <cell r="DF212">
            <v>0</v>
          </cell>
          <cell r="DG212">
            <v>0</v>
          </cell>
          <cell r="DH212">
            <v>0</v>
          </cell>
          <cell r="DI212">
            <v>4</v>
          </cell>
          <cell r="DJ212">
            <v>10</v>
          </cell>
          <cell r="DK212">
            <v>24</v>
          </cell>
          <cell r="DL212">
            <v>46</v>
          </cell>
          <cell r="DM212">
            <v>107</v>
          </cell>
          <cell r="DN212">
            <v>67</v>
          </cell>
          <cell r="DO212">
            <v>25</v>
          </cell>
          <cell r="DQ212">
            <v>16</v>
          </cell>
          <cell r="DR212">
            <v>13</v>
          </cell>
          <cell r="DS212">
            <v>24</v>
          </cell>
          <cell r="DT212">
            <v>100</v>
          </cell>
          <cell r="DU212">
            <v>107</v>
          </cell>
          <cell r="DV212">
            <v>69</v>
          </cell>
          <cell r="DW212">
            <v>75</v>
          </cell>
          <cell r="DX212">
            <v>60</v>
          </cell>
          <cell r="DY212">
            <v>85</v>
          </cell>
          <cell r="DZ212">
            <v>149</v>
          </cell>
          <cell r="EA212">
            <v>130</v>
          </cell>
          <cell r="EB212">
            <v>67</v>
          </cell>
          <cell r="ED212">
            <v>106</v>
          </cell>
          <cell r="EE212">
            <v>73</v>
          </cell>
          <cell r="EF212">
            <v>108</v>
          </cell>
        </row>
        <row r="217">
          <cell r="CF217">
            <v>117674</v>
          </cell>
          <cell r="CG217">
            <v>383748</v>
          </cell>
          <cell r="CH217">
            <v>322764</v>
          </cell>
          <cell r="CI217">
            <v>278866</v>
          </cell>
          <cell r="CJ217">
            <v>273825</v>
          </cell>
          <cell r="CK217">
            <v>300210</v>
          </cell>
          <cell r="CL217">
            <v>326882</v>
          </cell>
          <cell r="CM217">
            <v>408749</v>
          </cell>
          <cell r="CN217">
            <v>500247</v>
          </cell>
          <cell r="CO217">
            <v>311423</v>
          </cell>
          <cell r="CQ217">
            <v>273884</v>
          </cell>
          <cell r="CR217">
            <v>243555</v>
          </cell>
          <cell r="CS217">
            <v>28535</v>
          </cell>
          <cell r="CT217">
            <v>0</v>
          </cell>
          <cell r="CU217">
            <v>2010</v>
          </cell>
          <cell r="CV217">
            <v>0</v>
          </cell>
          <cell r="CW217">
            <v>0</v>
          </cell>
          <cell r="CX217">
            <v>2010</v>
          </cell>
          <cell r="CY217">
            <v>2010</v>
          </cell>
          <cell r="CZ217">
            <v>2010</v>
          </cell>
          <cell r="DA217">
            <v>14429</v>
          </cell>
          <cell r="DB217">
            <v>33973</v>
          </cell>
          <cell r="DD217">
            <v>0</v>
          </cell>
          <cell r="DE217">
            <v>0</v>
          </cell>
          <cell r="DF217">
            <v>0</v>
          </cell>
          <cell r="DG217">
            <v>0</v>
          </cell>
          <cell r="DH217">
            <v>0</v>
          </cell>
          <cell r="DI217">
            <v>4923</v>
          </cell>
          <cell r="DJ217">
            <v>23553</v>
          </cell>
          <cell r="DK217">
            <v>49688</v>
          </cell>
          <cell r="DL217">
            <v>89719</v>
          </cell>
          <cell r="DM217">
            <v>174505</v>
          </cell>
          <cell r="DN217">
            <v>83507</v>
          </cell>
          <cell r="DO217">
            <v>39214</v>
          </cell>
          <cell r="DQ217">
            <v>21828</v>
          </cell>
          <cell r="DR217">
            <v>14032</v>
          </cell>
          <cell r="DS217">
            <v>32594</v>
          </cell>
          <cell r="DT217">
            <v>115809</v>
          </cell>
          <cell r="DU217">
            <v>173929</v>
          </cell>
          <cell r="DV217">
            <v>183895</v>
          </cell>
          <cell r="DW217">
            <v>287462</v>
          </cell>
          <cell r="DX217">
            <v>239102</v>
          </cell>
          <cell r="DY217">
            <v>267710</v>
          </cell>
          <cell r="DZ217">
            <v>338461</v>
          </cell>
          <cell r="EA217">
            <v>274849</v>
          </cell>
          <cell r="EB217">
            <v>215490</v>
          </cell>
          <cell r="ED217">
            <v>290797</v>
          </cell>
          <cell r="EE217">
            <v>247607</v>
          </cell>
          <cell r="EF217">
            <v>297870</v>
          </cell>
        </row>
        <row r="366">
          <cell r="CG366">
            <v>1</v>
          </cell>
          <cell r="CH366">
            <v>2</v>
          </cell>
          <cell r="CI366">
            <v>5</v>
          </cell>
          <cell r="CJ366">
            <v>3</v>
          </cell>
          <cell r="CK366">
            <v>1</v>
          </cell>
          <cell r="CL366">
            <v>1</v>
          </cell>
          <cell r="CM366">
            <v>3</v>
          </cell>
          <cell r="CN366">
            <v>0</v>
          </cell>
          <cell r="CO366">
            <v>0</v>
          </cell>
          <cell r="CQ366">
            <v>0</v>
          </cell>
          <cell r="CR366">
            <v>0</v>
          </cell>
          <cell r="CS366">
            <v>0</v>
          </cell>
          <cell r="CT366">
            <v>0</v>
          </cell>
          <cell r="CU366">
            <v>0</v>
          </cell>
          <cell r="CV366">
            <v>0</v>
          </cell>
          <cell r="CW366">
            <v>0</v>
          </cell>
          <cell r="CX366">
            <v>0</v>
          </cell>
          <cell r="CY366">
            <v>0</v>
          </cell>
          <cell r="CZ366">
            <v>0</v>
          </cell>
          <cell r="DA366">
            <v>0</v>
          </cell>
          <cell r="DB366">
            <v>0</v>
          </cell>
          <cell r="DD366">
            <v>0</v>
          </cell>
          <cell r="DE366">
            <v>0</v>
          </cell>
          <cell r="DF366">
            <v>0</v>
          </cell>
          <cell r="DG366">
            <v>0</v>
          </cell>
          <cell r="DH366">
            <v>0</v>
          </cell>
          <cell r="DI366">
            <v>0</v>
          </cell>
          <cell r="DJ366">
            <v>0</v>
          </cell>
          <cell r="DK366">
            <v>0</v>
          </cell>
          <cell r="DL366">
            <v>0</v>
          </cell>
          <cell r="DM366">
            <v>0</v>
          </cell>
          <cell r="DN366">
            <v>0</v>
          </cell>
          <cell r="DO366">
            <v>0</v>
          </cell>
          <cell r="DQ366">
            <v>0</v>
          </cell>
          <cell r="DR366">
            <v>0</v>
          </cell>
          <cell r="DS366">
            <v>0</v>
          </cell>
          <cell r="DT366">
            <v>1</v>
          </cell>
          <cell r="DU366">
            <v>0</v>
          </cell>
          <cell r="DV366">
            <v>1</v>
          </cell>
          <cell r="DW366">
            <v>3</v>
          </cell>
          <cell r="DX366">
            <v>2</v>
          </cell>
          <cell r="DY366">
            <v>1</v>
          </cell>
          <cell r="DZ366">
            <v>1</v>
          </cell>
          <cell r="EA366">
            <v>0</v>
          </cell>
          <cell r="EB366">
            <v>0</v>
          </cell>
          <cell r="ED366">
            <v>0</v>
          </cell>
          <cell r="EE366">
            <v>0</v>
          </cell>
          <cell r="EF366">
            <v>0</v>
          </cell>
        </row>
        <row r="371">
          <cell r="CG371">
            <v>1059</v>
          </cell>
          <cell r="CH371">
            <v>2351</v>
          </cell>
          <cell r="CI371">
            <v>6817</v>
          </cell>
          <cell r="CJ371">
            <v>3523</v>
          </cell>
          <cell r="CK371">
            <v>1298</v>
          </cell>
          <cell r="CL371">
            <v>1243</v>
          </cell>
          <cell r="CM371">
            <v>3957</v>
          </cell>
          <cell r="CN371">
            <v>0</v>
          </cell>
          <cell r="CO371">
            <v>0</v>
          </cell>
          <cell r="CQ371">
            <v>0</v>
          </cell>
          <cell r="CR371">
            <v>0</v>
          </cell>
          <cell r="CS371">
            <v>0</v>
          </cell>
          <cell r="CT371">
            <v>0</v>
          </cell>
          <cell r="CU371">
            <v>0</v>
          </cell>
          <cell r="CV371">
            <v>0</v>
          </cell>
          <cell r="CW371">
            <v>0</v>
          </cell>
          <cell r="CX371">
            <v>0</v>
          </cell>
          <cell r="CY371">
            <v>0</v>
          </cell>
          <cell r="CZ371">
            <v>0</v>
          </cell>
          <cell r="DA371">
            <v>0</v>
          </cell>
          <cell r="DB371">
            <v>0</v>
          </cell>
          <cell r="DD371">
            <v>0</v>
          </cell>
          <cell r="DE371">
            <v>0</v>
          </cell>
          <cell r="DF371">
            <v>0</v>
          </cell>
          <cell r="DG371">
            <v>0</v>
          </cell>
          <cell r="DH371">
            <v>0</v>
          </cell>
          <cell r="DI371">
            <v>0</v>
          </cell>
          <cell r="DJ371">
            <v>0</v>
          </cell>
          <cell r="DK371">
            <v>0</v>
          </cell>
          <cell r="DL371">
            <v>0</v>
          </cell>
          <cell r="DM371">
            <v>0</v>
          </cell>
          <cell r="DN371">
            <v>0</v>
          </cell>
          <cell r="DO371">
            <v>0</v>
          </cell>
          <cell r="DQ371">
            <v>0</v>
          </cell>
          <cell r="DR371">
            <v>0</v>
          </cell>
          <cell r="DS371">
            <v>0</v>
          </cell>
          <cell r="DT371">
            <v>925</v>
          </cell>
          <cell r="DU371">
            <v>0</v>
          </cell>
          <cell r="DV371">
            <v>2226</v>
          </cell>
          <cell r="DW371">
            <v>5526</v>
          </cell>
          <cell r="DX371">
            <v>2336</v>
          </cell>
          <cell r="DY371">
            <v>2266</v>
          </cell>
          <cell r="DZ371">
            <v>2358</v>
          </cell>
          <cell r="EA371">
            <v>0</v>
          </cell>
          <cell r="EB371">
            <v>0</v>
          </cell>
          <cell r="ED371">
            <v>0</v>
          </cell>
          <cell r="EE371">
            <v>0</v>
          </cell>
          <cell r="EF371">
            <v>0</v>
          </cell>
        </row>
      </sheetData>
      <sheetData sheetId="5">
        <row r="6">
          <cell r="F6">
            <v>26</v>
          </cell>
          <cell r="V6">
            <v>0</v>
          </cell>
          <cell r="AL6">
            <v>12</v>
          </cell>
          <cell r="BR6">
            <v>5</v>
          </cell>
          <cell r="CG6">
            <v>22</v>
          </cell>
        </row>
        <row r="11">
          <cell r="F11">
            <v>88828</v>
          </cell>
          <cell r="AL11">
            <v>23566</v>
          </cell>
          <cell r="BR11">
            <v>14830</v>
          </cell>
          <cell r="CG11">
            <v>78453</v>
          </cell>
        </row>
        <row r="17">
          <cell r="F17">
            <v>18</v>
          </cell>
          <cell r="V17">
            <v>0</v>
          </cell>
          <cell r="AL17">
            <v>12</v>
          </cell>
          <cell r="BR17">
            <v>5</v>
          </cell>
          <cell r="CG17">
            <v>15</v>
          </cell>
        </row>
        <row r="22">
          <cell r="F22">
            <v>28846</v>
          </cell>
          <cell r="AL22">
            <v>9028</v>
          </cell>
          <cell r="BR22">
            <v>13705</v>
          </cell>
          <cell r="CG22">
            <v>26606</v>
          </cell>
        </row>
        <row r="28">
          <cell r="F28">
            <v>9</v>
          </cell>
          <cell r="V28">
            <v>4</v>
          </cell>
          <cell r="AL28">
            <v>14</v>
          </cell>
          <cell r="BR28">
            <v>1</v>
          </cell>
          <cell r="CG28">
            <v>11</v>
          </cell>
        </row>
        <row r="33">
          <cell r="F33">
            <v>31670</v>
          </cell>
          <cell r="V33">
            <v>3290</v>
          </cell>
          <cell r="AL33">
            <v>19157</v>
          </cell>
          <cell r="BR33">
            <v>565</v>
          </cell>
          <cell r="CG33">
            <v>35490</v>
          </cell>
        </row>
        <row r="94">
          <cell r="F94">
            <v>108</v>
          </cell>
          <cell r="V94">
            <v>0</v>
          </cell>
          <cell r="AL94">
            <v>130</v>
          </cell>
          <cell r="BR94">
            <v>118</v>
          </cell>
          <cell r="CG94">
            <v>124</v>
          </cell>
        </row>
        <row r="99">
          <cell r="F99">
            <v>391750</v>
          </cell>
          <cell r="V99">
            <v>0</v>
          </cell>
          <cell r="AL99">
            <v>283677</v>
          </cell>
          <cell r="BR99">
            <v>147660</v>
          </cell>
          <cell r="CG99">
            <v>456142</v>
          </cell>
        </row>
        <row r="105">
          <cell r="F105">
            <v>62</v>
          </cell>
          <cell r="V105">
            <v>0</v>
          </cell>
          <cell r="AL105">
            <v>74</v>
          </cell>
          <cell r="BR105">
            <v>29</v>
          </cell>
          <cell r="CG105">
            <v>57</v>
          </cell>
        </row>
        <row r="110">
          <cell r="F110">
            <v>108846</v>
          </cell>
          <cell r="V110">
            <v>0</v>
          </cell>
          <cell r="AL110">
            <v>60824</v>
          </cell>
          <cell r="BR110">
            <v>48626</v>
          </cell>
          <cell r="CG110">
            <v>109432</v>
          </cell>
        </row>
        <row r="116">
          <cell r="F116">
            <v>5</v>
          </cell>
          <cell r="V116">
            <v>0</v>
          </cell>
          <cell r="AL116">
            <v>5</v>
          </cell>
          <cell r="BR116">
            <v>2</v>
          </cell>
          <cell r="CG116">
            <v>15</v>
          </cell>
        </row>
        <row r="121">
          <cell r="F121">
            <v>4091</v>
          </cell>
          <cell r="V121">
            <v>0</v>
          </cell>
          <cell r="AL121">
            <v>341</v>
          </cell>
          <cell r="BR121">
            <v>819</v>
          </cell>
          <cell r="CG121">
            <v>14611</v>
          </cell>
        </row>
      </sheetData>
      <sheetData sheetId="6">
        <row r="113">
          <cell r="CF113">
            <v>1</v>
          </cell>
          <cell r="CS113">
            <v>0</v>
          </cell>
          <cell r="DF113">
            <v>1</v>
          </cell>
          <cell r="DS113">
            <v>13</v>
          </cell>
          <cell r="EF113">
            <v>78</v>
          </cell>
        </row>
        <row r="118">
          <cell r="CF118">
            <v>1131</v>
          </cell>
          <cell r="CS118">
            <v>0</v>
          </cell>
          <cell r="DF118">
            <v>856</v>
          </cell>
          <cell r="DS118">
            <v>9474</v>
          </cell>
          <cell r="EF118">
            <v>200531</v>
          </cell>
        </row>
      </sheetData>
      <sheetData sheetId="7">
        <row r="11">
          <cell r="E11">
            <v>785</v>
          </cell>
          <cell r="H11">
            <v>0</v>
          </cell>
          <cell r="N11">
            <v>48</v>
          </cell>
        </row>
        <row r="23">
          <cell r="E23">
            <v>1833</v>
          </cell>
          <cell r="H23">
            <v>0</v>
          </cell>
          <cell r="K23">
            <v>751</v>
          </cell>
          <cell r="N23">
            <v>1185</v>
          </cell>
        </row>
      </sheetData>
      <sheetData sheetId="8">
        <row r="6">
          <cell r="F6">
            <v>321</v>
          </cell>
        </row>
        <row r="10">
          <cell r="F10">
            <v>464</v>
          </cell>
        </row>
        <row r="24">
          <cell r="F24">
            <v>0</v>
          </cell>
        </row>
        <row r="25">
          <cell r="S25">
            <v>0</v>
          </cell>
          <cell r="T25">
            <v>43</v>
          </cell>
          <cell r="U25">
            <v>68</v>
          </cell>
        </row>
        <row r="35">
          <cell r="F35">
            <v>728</v>
          </cell>
        </row>
        <row r="39">
          <cell r="F39">
            <v>23</v>
          </cell>
        </row>
        <row r="54">
          <cell r="F54">
            <v>0</v>
          </cell>
        </row>
        <row r="58">
          <cell r="F58">
            <v>48</v>
          </cell>
        </row>
      </sheetData>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PI"/>
      <sheetName val="KPI Regional"/>
      <sheetName val="Budget Base Case"/>
      <sheetName val="Zadar Ferry"/>
    </sheetNames>
    <sheetDataSet>
      <sheetData sheetId="0" refreshError="1"/>
      <sheetData sheetId="1">
        <row r="32">
          <cell r="K32">
            <v>530</v>
          </cell>
          <cell r="N32">
            <v>1538184</v>
          </cell>
        </row>
      </sheetData>
      <sheetData sheetId="2" refreshError="1"/>
      <sheetData sheetId="3" refreshError="1"/>
    </sheetDataSet>
  </externalBook>
</externalLink>
</file>

<file path=xl/persons/person.xml><?xml version="1.0" encoding="utf-8"?>
<personList xmlns="http://schemas.microsoft.com/office/spreadsheetml/2018/threadedcomments" xmlns:x="http://schemas.openxmlformats.org/spreadsheetml/2006/main">
  <person displayName="Irmak Kirilmaz" id="{F0C96493-9F20-4B79-AE3E-4D3502E9F7A6}" userId="S::gph_irmakk@globalportsholding.com::08524e7c-7be5-40a2-9e80-8d2835353686"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28" dT="2023-04-12T08:22:06.97" personId="{F0C96493-9F20-4B79-AE3E-4D3502E9F7A6}" id="{EB20F34A-B1CA-4390-9F24-C60481D66B6C}">
    <text>Las Palmas and Alicante is included</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22.xml"/><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23.xml"/><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24.xml"/><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26.xml.rels><?xml version="1.0" encoding="UTF-8" standalone="yes"?>
<Relationships xmlns="http://schemas.openxmlformats.org/package/2006/relationships"><Relationship Id="rId3" Type="http://schemas.openxmlformats.org/officeDocument/2006/relationships/drawing" Target="../drawings/drawing25.xml"/><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27.xml.rels><?xml version="1.0" encoding="UTF-8" standalone="yes"?>
<Relationships xmlns="http://schemas.openxmlformats.org/package/2006/relationships"><Relationship Id="rId3" Type="http://schemas.openxmlformats.org/officeDocument/2006/relationships/drawing" Target="../drawings/drawing26.xml"/><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8.xml"/><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tint="-0.14999847407452621"/>
    <pageSetUpPr fitToPage="1"/>
  </sheetPr>
  <dimension ref="A1:Q43"/>
  <sheetViews>
    <sheetView showGridLines="0" showRowColHeaders="0" zoomScale="85" zoomScaleNormal="85" workbookViewId="0"/>
  </sheetViews>
  <sheetFormatPr defaultColWidth="0" defaultRowHeight="0" customHeight="1" zeroHeight="1"/>
  <cols>
    <col min="1" max="2" width="2.5546875" style="2" customWidth="1"/>
    <col min="3" max="3" width="9.332031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hidden="1" customWidth="1"/>
    <col min="17" max="17" width="3.5546875" style="2" hidden="1" customWidth="1"/>
    <col min="18" max="16384" width="10.33203125" style="2" hidden="1"/>
  </cols>
  <sheetData>
    <row r="1" spans="3:11" ht="23.4">
      <c r="C1" s="1"/>
      <c r="D1" s="1"/>
      <c r="E1" s="1"/>
      <c r="F1" s="1"/>
      <c r="G1" s="1"/>
      <c r="H1" s="1"/>
    </row>
    <row r="2" spans="3:11" ht="28.8" thickBot="1">
      <c r="C2" s="3" t="s">
        <v>0</v>
      </c>
      <c r="D2" s="4"/>
      <c r="E2" s="4"/>
      <c r="F2" s="4"/>
      <c r="G2" s="4"/>
      <c r="H2" s="4"/>
      <c r="I2" s="4"/>
      <c r="J2" s="4"/>
      <c r="K2" s="4"/>
    </row>
    <row r="3" spans="3:11" ht="13.8"/>
    <row r="4" spans="3:11" ht="16.2">
      <c r="C4" s="5"/>
    </row>
    <row r="5" spans="3:11" ht="28.8">
      <c r="C5" s="6" t="s">
        <v>2</v>
      </c>
    </row>
    <row r="6" spans="3:11" ht="16.2">
      <c r="C6" s="5"/>
    </row>
    <row r="7" spans="3:11" ht="13.5" customHeight="1"/>
    <row r="8" spans="3:11" ht="13.5" customHeight="1"/>
    <row r="9" spans="3:11" ht="13.5" customHeight="1"/>
    <row r="10" spans="3:11" ht="13.5" customHeight="1"/>
    <row r="11" spans="3:11" ht="13.5" customHeight="1"/>
    <row r="12" spans="3:11" ht="13.5" customHeight="1"/>
    <row r="13" spans="3:11" ht="13.5" customHeight="1"/>
    <row r="14" spans="3:11" ht="13.5" customHeight="1"/>
    <row r="15" spans="3:11" ht="13.5" customHeight="1"/>
    <row r="16" spans="3:11" ht="13.5" customHeight="1"/>
    <row r="17" spans="3:11" ht="13.5" customHeight="1">
      <c r="H17" s="7" t="s">
        <v>1</v>
      </c>
      <c r="I17" s="124">
        <v>45092</v>
      </c>
    </row>
    <row r="18" spans="3:11" ht="13.5" customHeight="1"/>
    <row r="19" spans="3:11" ht="13.5" customHeight="1"/>
    <row r="20" spans="3:11" ht="13.5" customHeight="1"/>
    <row r="21" spans="3:11" ht="13.5" customHeight="1"/>
    <row r="22" spans="3:11" ht="13.5" customHeight="1"/>
    <row r="23" spans="3:11" ht="13.5" customHeight="1" thickBot="1">
      <c r="C23" s="4"/>
      <c r="D23" s="4"/>
      <c r="E23" s="4"/>
      <c r="F23" s="4"/>
      <c r="G23" s="4"/>
      <c r="H23" s="4"/>
      <c r="I23" s="4"/>
      <c r="J23" s="4"/>
      <c r="K23" s="4"/>
    </row>
    <row r="24" spans="3:11" ht="13.5" customHeight="1"/>
    <row r="25" spans="3:11" ht="13.5" customHeight="1"/>
    <row r="26" spans="3:11" ht="13.5" customHeight="1"/>
    <row r="27" spans="3:11" ht="13.5" customHeight="1"/>
    <row r="28" spans="3:11" ht="13.5" customHeight="1"/>
    <row r="29" spans="3:11" ht="13.5" hidden="1" customHeight="1"/>
    <row r="30" spans="3:11" ht="13.5" hidden="1" customHeight="1"/>
    <row r="31" spans="3:11" ht="13.8" hidden="1"/>
    <row r="32" spans="3:11" ht="13.8" hidden="1"/>
    <row r="33" ht="13.8" hidden="1"/>
    <row r="34" ht="13.8" hidden="1"/>
    <row r="35" ht="13.8" hidden="1"/>
    <row r="36" ht="13.8" hidden="1"/>
    <row r="37" ht="13.8" hidden="1"/>
    <row r="38" ht="12.6" hidden="1" customHeight="1"/>
    <row r="39" ht="12.6" hidden="1" customHeight="1"/>
    <row r="40" ht="12.6" hidden="1" customHeight="1"/>
    <row r="41" ht="12.6" hidden="1" customHeight="1"/>
    <row r="42" ht="12.6" hidden="1" customHeight="1"/>
    <row r="43" ht="12.6" hidden="1" customHeight="1"/>
  </sheetData>
  <customSheetViews>
    <customSheetView guid="{5F6D01E3-9E6F-4D7F-980F-63899AF95899}" scale="85" showGridLines="0" showRowCol="0" fitToPage="1" hiddenRows="1" hiddenColumns="1">
      <pageMargins left="0.7" right="0.7" top="0.75" bottom="0.75" header="0.3" footer="0.3"/>
      <pageSetup paperSize="9" orientation="landscape" r:id="rId1"/>
    </customSheetView>
  </customSheetViews>
  <pageMargins left="0.7" right="0.7" top="0.75" bottom="0.75" header="0.3" footer="0.3"/>
  <pageSetup paperSize="9"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6"/>
  <sheetViews>
    <sheetView showGridLines="0" topLeftCell="A18" workbookViewId="0">
      <selection activeCell="P40" sqref="P40"/>
    </sheetView>
  </sheetViews>
  <sheetFormatPr defaultColWidth="0" defaultRowHeight="14.4" zeroHeight="1"/>
  <cols>
    <col min="1" max="2" width="4.109375" customWidth="1"/>
    <col min="3" max="3" width="3.6640625" customWidth="1"/>
    <col min="4" max="4" width="8.88671875" customWidth="1"/>
    <col min="5" max="5" width="10.6640625" bestFit="1" customWidth="1"/>
    <col min="6" max="10" width="8.88671875" customWidth="1"/>
    <col min="11" max="14" width="8" customWidth="1"/>
    <col min="15" max="19" width="10.44140625" bestFit="1" customWidth="1"/>
    <col min="20" max="21" width="8.33203125" bestFit="1" customWidth="1"/>
    <col min="22" max="22" width="9" bestFit="1" customWidth="1"/>
    <col min="23" max="23" width="7.6640625" customWidth="1"/>
    <col min="24" max="26" width="10.44140625" bestFit="1" customWidth="1"/>
    <col min="27" max="27" width="11.33203125" bestFit="1" customWidth="1"/>
    <col min="28" max="28" width="3.44140625" customWidth="1"/>
    <col min="29" max="16384" width="8.88671875" hidden="1"/>
  </cols>
  <sheetData>
    <row r="1" spans="1:28">
      <c r="A1" s="9"/>
      <c r="B1" s="9"/>
      <c r="C1" s="9"/>
      <c r="D1" s="9"/>
      <c r="E1" s="9"/>
      <c r="F1" s="9"/>
      <c r="G1" s="9"/>
      <c r="H1" s="9"/>
      <c r="I1" s="9"/>
      <c r="J1" s="9"/>
      <c r="K1" s="9"/>
      <c r="L1" s="9"/>
      <c r="M1" s="9"/>
      <c r="N1" s="9"/>
      <c r="O1" s="9"/>
      <c r="P1" s="9"/>
      <c r="Q1" s="9"/>
      <c r="R1" s="9"/>
      <c r="S1" s="9"/>
      <c r="T1" s="9"/>
      <c r="U1" s="9"/>
      <c r="V1" s="9"/>
      <c r="W1" s="9"/>
      <c r="X1" s="9"/>
      <c r="Y1" s="9"/>
      <c r="Z1" s="9"/>
      <c r="AA1" s="9"/>
      <c r="AB1" s="9"/>
    </row>
    <row r="2" spans="1:28"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9"/>
    </row>
    <row r="3" spans="1:28">
      <c r="A3" s="9"/>
      <c r="B3" s="10"/>
      <c r="C3" s="24"/>
      <c r="D3" s="24"/>
      <c r="E3" s="24"/>
      <c r="F3" s="24"/>
      <c r="G3" s="24"/>
      <c r="H3" s="24"/>
      <c r="I3" s="24"/>
      <c r="J3" s="24"/>
      <c r="K3" s="24"/>
      <c r="L3" s="24"/>
      <c r="M3" s="24"/>
      <c r="N3" s="24"/>
      <c r="O3" s="24"/>
      <c r="P3" s="24"/>
      <c r="Q3" s="24"/>
      <c r="R3" s="24"/>
      <c r="S3" s="24"/>
      <c r="T3" s="24"/>
      <c r="U3" s="24"/>
      <c r="V3" s="24"/>
      <c r="W3" s="24"/>
      <c r="X3" s="24"/>
      <c r="Y3" s="24"/>
      <c r="Z3" s="24"/>
      <c r="AA3" s="25">
        <v>45000</v>
      </c>
      <c r="AB3" s="9"/>
    </row>
    <row r="4" spans="1:28" ht="16.2">
      <c r="A4" s="9"/>
      <c r="B4" s="11" t="s">
        <v>7</v>
      </c>
      <c r="C4" s="26"/>
      <c r="D4" s="24"/>
      <c r="E4" s="58" t="s">
        <v>103</v>
      </c>
      <c r="F4" s="24"/>
      <c r="G4" s="24"/>
      <c r="H4" s="24"/>
      <c r="I4" s="24"/>
      <c r="J4" s="24"/>
      <c r="K4" s="24"/>
      <c r="L4" s="24"/>
      <c r="M4" s="24"/>
      <c r="N4" s="24"/>
      <c r="O4" s="24"/>
      <c r="P4" s="24"/>
      <c r="Q4" s="24"/>
      <c r="R4" s="24"/>
      <c r="S4" s="24"/>
      <c r="T4" s="24"/>
      <c r="U4" s="24"/>
      <c r="V4" s="24"/>
      <c r="W4" s="24"/>
      <c r="X4" s="24"/>
      <c r="Y4" s="24"/>
      <c r="Z4" s="24"/>
      <c r="AA4" s="24"/>
      <c r="AB4" s="9"/>
    </row>
    <row r="5" spans="1:28">
      <c r="A5" s="9"/>
      <c r="B5" s="10"/>
      <c r="C5" s="24"/>
      <c r="D5" s="24"/>
      <c r="E5" s="24"/>
      <c r="F5" s="24"/>
      <c r="G5" s="24"/>
      <c r="H5" s="24"/>
      <c r="I5" s="24"/>
      <c r="J5" s="24"/>
      <c r="K5" s="24"/>
      <c r="L5" s="24"/>
      <c r="M5" s="24"/>
      <c r="N5" s="24"/>
      <c r="O5" s="24"/>
      <c r="P5" s="24"/>
      <c r="Q5" s="24"/>
      <c r="R5" s="24"/>
      <c r="S5" s="24"/>
      <c r="T5" s="24"/>
      <c r="U5" s="24"/>
      <c r="V5" s="24"/>
      <c r="W5" s="24"/>
      <c r="X5" s="24"/>
      <c r="Y5" s="24"/>
      <c r="Z5" s="24"/>
      <c r="AA5" s="24"/>
      <c r="AB5" s="9"/>
    </row>
    <row r="6" spans="1:28">
      <c r="A6" s="9"/>
      <c r="B6" s="10"/>
      <c r="C6" s="24"/>
      <c r="D6" s="24"/>
      <c r="E6" s="24"/>
      <c r="F6" s="24"/>
      <c r="G6" s="24"/>
      <c r="H6" s="24"/>
      <c r="I6" s="24"/>
      <c r="J6" s="24"/>
      <c r="K6" s="24"/>
      <c r="L6" s="24"/>
      <c r="M6" s="24"/>
      <c r="N6" s="24"/>
      <c r="O6" s="24"/>
      <c r="P6" s="24"/>
      <c r="Q6" s="24"/>
      <c r="R6" s="24"/>
      <c r="S6" s="24"/>
      <c r="T6" s="24"/>
      <c r="U6" s="24"/>
      <c r="V6" s="24"/>
      <c r="W6" s="24"/>
      <c r="X6" s="24"/>
      <c r="Y6" s="24"/>
      <c r="Z6" s="24"/>
      <c r="AA6" s="24"/>
      <c r="AB6" s="9"/>
    </row>
    <row r="7" spans="1:28">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9"/>
    </row>
    <row r="8" spans="1:28">
      <c r="A8" s="9"/>
      <c r="B8" s="10"/>
      <c r="C8" s="24"/>
      <c r="D8" s="24"/>
      <c r="E8" s="24"/>
      <c r="F8" s="24"/>
      <c r="G8" s="24"/>
      <c r="H8" s="24"/>
      <c r="I8" s="24"/>
      <c r="J8" s="24"/>
      <c r="K8" s="24"/>
      <c r="L8" s="24"/>
      <c r="M8" s="24"/>
      <c r="N8" s="24"/>
      <c r="O8" s="24"/>
      <c r="P8" s="24"/>
      <c r="Q8" s="24"/>
      <c r="R8" s="24"/>
      <c r="S8" s="24"/>
      <c r="T8" s="24"/>
      <c r="U8" s="24"/>
      <c r="V8" s="24"/>
      <c r="W8" s="24"/>
      <c r="X8" s="24"/>
      <c r="Y8" s="24"/>
      <c r="Z8" s="24"/>
      <c r="AA8" s="24"/>
      <c r="AB8" s="9"/>
    </row>
    <row r="9" spans="1:28">
      <c r="A9" s="9"/>
      <c r="C9" s="27" t="s">
        <v>7</v>
      </c>
      <c r="D9" s="28"/>
      <c r="E9" s="28"/>
      <c r="F9" s="128" t="s">
        <v>39</v>
      </c>
      <c r="G9" s="128"/>
      <c r="H9" s="128"/>
      <c r="I9" s="128"/>
      <c r="J9" s="128"/>
      <c r="K9" s="128"/>
      <c r="L9" s="128"/>
      <c r="M9" s="128"/>
      <c r="N9" s="129"/>
      <c r="O9" s="130" t="s">
        <v>38</v>
      </c>
      <c r="P9" s="128"/>
      <c r="Q9" s="128"/>
      <c r="R9" s="128"/>
      <c r="S9" s="128"/>
      <c r="T9" s="128"/>
      <c r="U9" s="128"/>
      <c r="V9" s="128"/>
      <c r="W9" s="129"/>
      <c r="X9" s="130" t="s">
        <v>57</v>
      </c>
      <c r="Y9" s="128"/>
      <c r="Z9" s="128"/>
      <c r="AA9" s="131"/>
      <c r="AB9" s="9"/>
    </row>
    <row r="10" spans="1:28">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9"/>
    </row>
    <row r="11" spans="1:28" ht="25.95" customHeight="1">
      <c r="A11" s="48"/>
      <c r="B11" s="49"/>
      <c r="C11" s="59" t="s">
        <v>29</v>
      </c>
      <c r="D11" s="50"/>
      <c r="E11" s="51"/>
      <c r="F11" s="55">
        <v>2023</v>
      </c>
      <c r="G11" s="52">
        <v>2022</v>
      </c>
      <c r="H11" s="52">
        <v>2021</v>
      </c>
      <c r="I11" s="52">
        <v>2020</v>
      </c>
      <c r="J11" s="52">
        <v>2019</v>
      </c>
      <c r="K11" s="53" t="s">
        <v>66</v>
      </c>
      <c r="L11" s="53" t="s">
        <v>67</v>
      </c>
      <c r="M11" s="53" t="s">
        <v>68</v>
      </c>
      <c r="N11" s="57" t="s">
        <v>102</v>
      </c>
      <c r="O11" s="53">
        <v>2023</v>
      </c>
      <c r="P11" s="53">
        <v>2022</v>
      </c>
      <c r="Q11" s="52">
        <v>2021</v>
      </c>
      <c r="R11" s="52">
        <v>2020</v>
      </c>
      <c r="S11" s="52">
        <v>2019</v>
      </c>
      <c r="T11" s="53" t="s">
        <v>66</v>
      </c>
      <c r="U11" s="53" t="s">
        <v>67</v>
      </c>
      <c r="V11" s="53" t="s">
        <v>68</v>
      </c>
      <c r="W11" s="57" t="s">
        <v>102</v>
      </c>
      <c r="X11" s="53">
        <v>2022</v>
      </c>
      <c r="Y11" s="53">
        <v>2021</v>
      </c>
      <c r="Z11" s="52">
        <v>2020</v>
      </c>
      <c r="AA11" s="77">
        <v>2019</v>
      </c>
      <c r="AB11" s="48"/>
    </row>
    <row r="12" spans="1:28">
      <c r="A12" s="9"/>
      <c r="B12" s="12"/>
      <c r="C12" s="31" t="s">
        <v>14</v>
      </c>
      <c r="D12" s="26"/>
      <c r="E12" s="32"/>
      <c r="F12" s="26"/>
      <c r="G12" s="26"/>
      <c r="H12" s="26"/>
      <c r="I12" s="26"/>
      <c r="J12" s="26"/>
      <c r="K12" s="26"/>
      <c r="L12" s="26"/>
      <c r="M12" s="26"/>
      <c r="N12" s="32"/>
      <c r="O12" s="26"/>
      <c r="P12" s="26"/>
      <c r="Q12" s="26"/>
      <c r="R12" s="26"/>
      <c r="S12" s="26"/>
      <c r="T12" s="26"/>
      <c r="U12" s="26"/>
      <c r="V12" s="26"/>
      <c r="W12" s="32"/>
      <c r="X12" s="26"/>
      <c r="Y12" s="26"/>
      <c r="Z12" s="26"/>
      <c r="AA12" s="32"/>
      <c r="AB12" s="9"/>
    </row>
    <row r="13" spans="1:28">
      <c r="A13" s="9"/>
      <c r="B13" s="12"/>
      <c r="C13" s="33"/>
      <c r="D13" s="26" t="s">
        <v>5</v>
      </c>
      <c r="E13" s="32"/>
      <c r="F13" s="73">
        <v>61</v>
      </c>
      <c r="G13" s="71">
        <v>59</v>
      </c>
      <c r="H13" s="71">
        <v>0</v>
      </c>
      <c r="I13" s="71">
        <v>55</v>
      </c>
      <c r="J13" s="71">
        <v>62</v>
      </c>
      <c r="K13" s="64">
        <f>IFERROR(F13/G13-1,"n/a")</f>
        <v>3.3898305084745672E-2</v>
      </c>
      <c r="L13" s="64" t="str">
        <f t="shared" ref="L13:L31" si="0">IFERROR(F13/H13-1,"n/a")</f>
        <v>n/a</v>
      </c>
      <c r="M13" s="64">
        <f>IFERROR(F13/I13-1,"n/a")</f>
        <v>0.10909090909090913</v>
      </c>
      <c r="N13" s="60">
        <f t="shared" ref="N13:N14" si="1">IFERROR(F13/J13-1,"n/a")</f>
        <v>-1.6129032258064502E-2</v>
      </c>
      <c r="O13" s="68">
        <f>F13+'Jan-23'!O13</f>
        <v>129</v>
      </c>
      <c r="P13" s="68">
        <f>G13+'Jan-23'!P13</f>
        <v>123</v>
      </c>
      <c r="Q13" s="68">
        <f>H13+'Jan-23'!Q13</f>
        <v>0</v>
      </c>
      <c r="R13" s="68">
        <f>I13+'Jan-23'!R13</f>
        <v>116</v>
      </c>
      <c r="S13" s="68">
        <f>J13+'Jan-23'!S13</f>
        <v>138</v>
      </c>
      <c r="T13" s="64">
        <f>IFERROR(O13/P13-1,"n/a")</f>
        <v>4.8780487804878092E-2</v>
      </c>
      <c r="U13" s="64" t="str">
        <f>IFERROR(O13/Q13-1,"n/a")</f>
        <v>n/a</v>
      </c>
      <c r="V13" s="64">
        <f>IFERROR(O13/R13-1,"n/a")</f>
        <v>0.11206896551724133</v>
      </c>
      <c r="W13" s="60">
        <f>IFERROR(O13/S13-1,"n/a")</f>
        <v>-6.5217391304347783E-2</v>
      </c>
      <c r="X13" s="68">
        <v>346</v>
      </c>
      <c r="Y13" s="68">
        <v>111</v>
      </c>
      <c r="Z13" s="70">
        <v>145</v>
      </c>
      <c r="AA13" s="78">
        <v>386</v>
      </c>
      <c r="AB13" s="9"/>
    </row>
    <row r="14" spans="1:28">
      <c r="A14" s="9"/>
      <c r="B14" s="12"/>
      <c r="C14" s="33"/>
      <c r="D14" s="26" t="s">
        <v>11</v>
      </c>
      <c r="E14" s="32"/>
      <c r="F14" s="73">
        <v>107254</v>
      </c>
      <c r="G14" s="71">
        <v>44710</v>
      </c>
      <c r="H14" s="71">
        <v>0</v>
      </c>
      <c r="I14" s="71">
        <v>101463</v>
      </c>
      <c r="J14" s="71">
        <v>119668</v>
      </c>
      <c r="K14" s="64">
        <f>IFERROR(F14/G14-1,"n/a")</f>
        <v>1.3988816819503467</v>
      </c>
      <c r="L14" s="64" t="str">
        <f t="shared" si="0"/>
        <v>n/a</v>
      </c>
      <c r="M14" s="64">
        <f t="shared" ref="M14" si="2">IFERROR(F14/I14-1,"n/a")</f>
        <v>5.7074992854538209E-2</v>
      </c>
      <c r="N14" s="60">
        <f t="shared" si="1"/>
        <v>-0.10373700571581379</v>
      </c>
      <c r="O14" s="68">
        <f>F14+'Jan-23'!O14</f>
        <v>223218</v>
      </c>
      <c r="P14" s="68">
        <f>G14+'Jan-23'!P14</f>
        <v>95504</v>
      </c>
      <c r="Q14" s="68">
        <f>H14+'Jan-23'!Q14</f>
        <v>0</v>
      </c>
      <c r="R14" s="68">
        <f>I14+'Jan-23'!R14</f>
        <v>210259</v>
      </c>
      <c r="S14" s="68">
        <f>J14+'Jan-23'!S14</f>
        <v>276534</v>
      </c>
      <c r="T14" s="64">
        <f>IFERROR(O14/P14-1,"n/a")</f>
        <v>1.3372633606969342</v>
      </c>
      <c r="U14" s="64" t="str">
        <f>IFERROR(O14/Q14-1,"n/a")</f>
        <v>n/a</v>
      </c>
      <c r="V14" s="64">
        <f>IFERROR(O14/R14-1,"n/a")</f>
        <v>6.163350914824095E-2</v>
      </c>
      <c r="W14" s="60">
        <f>IFERROR(O14/S14-1,"n/a")</f>
        <v>-0.19280088524376748</v>
      </c>
      <c r="X14" s="68">
        <v>380182</v>
      </c>
      <c r="Y14" s="68">
        <v>80863</v>
      </c>
      <c r="Z14" s="70">
        <v>258885</v>
      </c>
      <c r="AA14" s="78">
        <v>733296</v>
      </c>
      <c r="AB14" s="9"/>
    </row>
    <row r="15" spans="1:28">
      <c r="A15" s="9"/>
      <c r="B15" s="12"/>
      <c r="C15" s="31" t="s">
        <v>74</v>
      </c>
      <c r="D15" s="26"/>
      <c r="E15" s="32"/>
      <c r="F15" s="97"/>
      <c r="G15" s="26"/>
      <c r="H15" s="26"/>
      <c r="I15" s="26"/>
      <c r="J15" s="26"/>
      <c r="K15" s="64"/>
      <c r="L15" s="64"/>
      <c r="M15" s="64"/>
      <c r="N15" s="61"/>
      <c r="O15" s="87"/>
      <c r="P15" s="87"/>
      <c r="Q15" s="87"/>
      <c r="R15" s="87"/>
      <c r="S15" s="87"/>
      <c r="T15" s="64"/>
      <c r="U15" s="64"/>
      <c r="V15" s="65"/>
      <c r="W15" s="61"/>
      <c r="X15" s="43"/>
      <c r="Y15" s="43"/>
      <c r="Z15" s="44"/>
      <c r="AA15" s="79"/>
      <c r="AB15" s="9"/>
    </row>
    <row r="16" spans="1:28">
      <c r="A16" s="9"/>
      <c r="B16" s="12"/>
      <c r="C16" s="33"/>
      <c r="D16" s="26" t="s">
        <v>5</v>
      </c>
      <c r="E16" s="32"/>
      <c r="F16" s="74">
        <v>17</v>
      </c>
      <c r="G16" s="71">
        <v>13</v>
      </c>
      <c r="H16" s="71">
        <v>0</v>
      </c>
      <c r="I16" s="71">
        <v>14</v>
      </c>
      <c r="J16" s="71">
        <v>21</v>
      </c>
      <c r="K16" s="64">
        <f>IFERROR(F16/G16-1,"n/a")</f>
        <v>0.30769230769230771</v>
      </c>
      <c r="L16" s="64" t="str">
        <f t="shared" si="0"/>
        <v>n/a</v>
      </c>
      <c r="M16" s="64">
        <f t="shared" ref="M16:M17" si="3">IFERROR(F16/I16-1,"n/a")</f>
        <v>0.21428571428571419</v>
      </c>
      <c r="N16" s="60">
        <f t="shared" ref="N16:N17" si="4">IFERROR(F16/J16-1,"n/a")</f>
        <v>-0.19047619047619047</v>
      </c>
      <c r="O16" s="68">
        <f>F16+'Jan-23'!O16</f>
        <v>40</v>
      </c>
      <c r="P16" s="68">
        <f>G16+'Jan-23'!P16</f>
        <v>29</v>
      </c>
      <c r="Q16" s="68">
        <f>H16+'Jan-23'!Q16</f>
        <v>0</v>
      </c>
      <c r="R16" s="68">
        <f>I16+'Jan-23'!R16</f>
        <v>33</v>
      </c>
      <c r="S16" s="68">
        <f>J16+'Jan-23'!S16</f>
        <v>45</v>
      </c>
      <c r="T16" s="64">
        <f>IFERROR(O16/P16-1,"n/a")</f>
        <v>0.3793103448275863</v>
      </c>
      <c r="U16" s="64" t="str">
        <f t="shared" ref="U16:U17" si="5">IFERROR(O16/Q16-1,"n/a")</f>
        <v>n/a</v>
      </c>
      <c r="V16" s="64">
        <f t="shared" ref="V16:V17" si="6">IFERROR(O16/R16-1,"n/a")</f>
        <v>0.21212121212121215</v>
      </c>
      <c r="W16" s="60">
        <f t="shared" ref="W16:W17" si="7">IFERROR(O16/S16-1,"n/a")</f>
        <v>-0.11111111111111116</v>
      </c>
      <c r="X16" s="68">
        <v>778</v>
      </c>
      <c r="Y16" s="68">
        <v>283</v>
      </c>
      <c r="Z16" s="70">
        <v>43</v>
      </c>
      <c r="AA16" s="78">
        <v>827</v>
      </c>
      <c r="AB16" s="9"/>
    </row>
    <row r="17" spans="1:28">
      <c r="A17" s="9"/>
      <c r="B17" s="12"/>
      <c r="C17" s="33"/>
      <c r="D17" s="26" t="s">
        <v>11</v>
      </c>
      <c r="E17" s="32"/>
      <c r="F17" s="74">
        <v>64480</v>
      </c>
      <c r="G17" s="71">
        <v>14032</v>
      </c>
      <c r="H17" s="71">
        <v>0</v>
      </c>
      <c r="I17" s="71">
        <v>47023</v>
      </c>
      <c r="J17" s="71">
        <v>59703</v>
      </c>
      <c r="K17" s="64">
        <f>IFERROR(F17/G17-1,"n/a")</f>
        <v>3.5952109464082094</v>
      </c>
      <c r="L17" s="64" t="str">
        <f t="shared" si="0"/>
        <v>n/a</v>
      </c>
      <c r="M17" s="64">
        <f t="shared" si="3"/>
        <v>0.37124385938795901</v>
      </c>
      <c r="N17" s="60">
        <f t="shared" si="4"/>
        <v>8.0012729678575534E-2</v>
      </c>
      <c r="O17" s="68">
        <f>F17+'Jan-23'!O17</f>
        <v>137438</v>
      </c>
      <c r="P17" s="68">
        <f>G17+'Jan-23'!P17</f>
        <v>35860</v>
      </c>
      <c r="Q17" s="68">
        <f>H17+'Jan-23'!Q17</f>
        <v>0</v>
      </c>
      <c r="R17" s="68">
        <f>I17+'Jan-23'!R17</f>
        <v>112017</v>
      </c>
      <c r="S17" s="68">
        <f>J17+'Jan-23'!S17</f>
        <v>134226</v>
      </c>
      <c r="T17" s="64">
        <f>IFERROR(O17/P17-1,"n/a")</f>
        <v>2.8326268823201337</v>
      </c>
      <c r="U17" s="64" t="str">
        <f t="shared" si="5"/>
        <v>n/a</v>
      </c>
      <c r="V17" s="64">
        <f t="shared" si="6"/>
        <v>0.22693876822268044</v>
      </c>
      <c r="W17" s="60">
        <f t="shared" si="7"/>
        <v>2.3929790055577937E-2</v>
      </c>
      <c r="X17" s="68">
        <v>1843624</v>
      </c>
      <c r="Y17" s="68">
        <v>465109</v>
      </c>
      <c r="Z17" s="70">
        <v>140552</v>
      </c>
      <c r="AA17" s="78">
        <v>2552942</v>
      </c>
      <c r="AB17" s="9"/>
    </row>
    <row r="18" spans="1:28">
      <c r="A18" s="9"/>
      <c r="B18" s="12"/>
      <c r="C18" s="31" t="s">
        <v>15</v>
      </c>
      <c r="D18" s="26"/>
      <c r="E18" s="32"/>
      <c r="F18" s="72"/>
      <c r="G18" s="72"/>
      <c r="H18" s="72"/>
      <c r="I18" s="72"/>
      <c r="J18" s="72"/>
      <c r="K18" s="64"/>
      <c r="L18" s="64"/>
      <c r="M18" s="64"/>
      <c r="N18" s="60"/>
      <c r="O18" s="87"/>
      <c r="P18" s="87"/>
      <c r="Q18" s="87"/>
      <c r="R18" s="87"/>
      <c r="S18" s="87"/>
      <c r="T18" s="64"/>
      <c r="U18" s="64"/>
      <c r="V18" s="64"/>
      <c r="W18" s="60"/>
      <c r="X18" s="43"/>
      <c r="Y18" s="43"/>
      <c r="Z18" s="44"/>
      <c r="AA18" s="79"/>
      <c r="AB18" s="9"/>
    </row>
    <row r="19" spans="1:28">
      <c r="A19" s="9"/>
      <c r="B19" s="12"/>
      <c r="C19" s="33"/>
      <c r="D19" s="26" t="s">
        <v>5</v>
      </c>
      <c r="E19" s="32"/>
      <c r="F19" s="73">
        <v>2</v>
      </c>
      <c r="G19" s="71">
        <v>2</v>
      </c>
      <c r="H19" s="71">
        <v>0</v>
      </c>
      <c r="I19" s="71">
        <v>0</v>
      </c>
      <c r="J19" s="71">
        <v>1</v>
      </c>
      <c r="K19" s="64">
        <f>IFERROR(F19/G19-1,"n/a")</f>
        <v>0</v>
      </c>
      <c r="L19" s="64" t="str">
        <f t="shared" si="0"/>
        <v>n/a</v>
      </c>
      <c r="M19" s="64" t="str">
        <f t="shared" ref="M19:M20" si="8">IFERROR(F19/I19-1,"n/a")</f>
        <v>n/a</v>
      </c>
      <c r="N19" s="60">
        <f>IFERROR(F19/J19-1,"n/a")</f>
        <v>1</v>
      </c>
      <c r="O19" s="68">
        <f>F19+'Jan-23'!O19</f>
        <v>6</v>
      </c>
      <c r="P19" s="68">
        <f>G19+'Jan-23'!P19</f>
        <v>5</v>
      </c>
      <c r="Q19" s="68">
        <f>H19+'Jan-23'!Q19</f>
        <v>0</v>
      </c>
      <c r="R19" s="68">
        <f>I19+'Jan-23'!R19</f>
        <v>1</v>
      </c>
      <c r="S19" s="68">
        <f>J19+'Jan-23'!S19</f>
        <v>1</v>
      </c>
      <c r="T19" s="64">
        <f>IFERROR(O19/P19-1,"n/a")</f>
        <v>0.19999999999999996</v>
      </c>
      <c r="U19" s="64" t="str">
        <f t="shared" ref="U19:U20" si="9">IFERROR(O19/Q19-1,"n/a")</f>
        <v>n/a</v>
      </c>
      <c r="V19" s="64">
        <f t="shared" ref="V19:V20" si="10">IFERROR(O19/R19-1,"n/a")</f>
        <v>5</v>
      </c>
      <c r="W19" s="60">
        <f t="shared" ref="W19:W20" si="11">IFERROR(O19/S19-1,"n/a")</f>
        <v>5</v>
      </c>
      <c r="X19" s="68">
        <v>475</v>
      </c>
      <c r="Y19" s="68">
        <v>23</v>
      </c>
      <c r="Z19" s="70">
        <v>4</v>
      </c>
      <c r="AA19" s="78">
        <v>191</v>
      </c>
      <c r="AB19" s="9"/>
    </row>
    <row r="20" spans="1:28">
      <c r="A20" s="9"/>
      <c r="B20" s="12"/>
      <c r="C20" s="33"/>
      <c r="D20" s="26" t="s">
        <v>11</v>
      </c>
      <c r="E20" s="32"/>
      <c r="F20" s="73">
        <f>1740+20</f>
        <v>1760</v>
      </c>
      <c r="G20" s="71">
        <v>294</v>
      </c>
      <c r="H20" s="71">
        <v>0</v>
      </c>
      <c r="I20" s="71">
        <v>0</v>
      </c>
      <c r="J20" s="71">
        <v>583</v>
      </c>
      <c r="K20" s="64">
        <f>IFERROR(F20/G20-1,"n/a")</f>
        <v>4.9863945578231297</v>
      </c>
      <c r="L20" s="64" t="str">
        <f t="shared" si="0"/>
        <v>n/a</v>
      </c>
      <c r="M20" s="64" t="str">
        <f t="shared" si="8"/>
        <v>n/a</v>
      </c>
      <c r="N20" s="60">
        <f t="shared" ref="N20:N31" si="12">IFERROR(F20/J20-1,"n/a")</f>
        <v>2.0188679245283021</v>
      </c>
      <c r="O20" s="68">
        <f>F20+'Jan-23'!O20</f>
        <v>4995</v>
      </c>
      <c r="P20" s="68">
        <f>G20+'Jan-23'!P20</f>
        <v>1108</v>
      </c>
      <c r="Q20" s="68">
        <f>H20+'Jan-23'!Q20</f>
        <v>0</v>
      </c>
      <c r="R20" s="68">
        <f>I20+'Jan-23'!R20</f>
        <v>823</v>
      </c>
      <c r="S20" s="68">
        <f>J20+'Jan-23'!S20</f>
        <v>583</v>
      </c>
      <c r="T20" s="64">
        <f>IFERROR(O20/P20-1,"n/a")</f>
        <v>3.5081227436823106</v>
      </c>
      <c r="U20" s="64" t="str">
        <f t="shared" si="9"/>
        <v>n/a</v>
      </c>
      <c r="V20" s="64">
        <f t="shared" si="10"/>
        <v>5.0692588092345083</v>
      </c>
      <c r="W20" s="60">
        <f t="shared" si="11"/>
        <v>7.5677530017152659</v>
      </c>
      <c r="X20" s="68">
        <v>561984</v>
      </c>
      <c r="Y20" s="68">
        <v>8611</v>
      </c>
      <c r="Z20" s="70">
        <v>1753</v>
      </c>
      <c r="AA20" s="78">
        <v>254421</v>
      </c>
      <c r="AB20" s="9"/>
    </row>
    <row r="21" spans="1:28">
      <c r="A21" s="9"/>
      <c r="B21" s="12"/>
      <c r="C21" s="31" t="s">
        <v>10</v>
      </c>
      <c r="D21" s="26"/>
      <c r="E21" s="34"/>
      <c r="F21" s="72"/>
      <c r="G21" s="72"/>
      <c r="H21" s="72"/>
      <c r="I21" s="72"/>
      <c r="J21" s="72"/>
      <c r="K21" s="64"/>
      <c r="L21" s="64"/>
      <c r="M21" s="64"/>
      <c r="N21" s="60"/>
      <c r="O21" s="87"/>
      <c r="P21" s="87"/>
      <c r="Q21" s="87"/>
      <c r="R21" s="87"/>
      <c r="S21" s="87"/>
      <c r="T21" s="64"/>
      <c r="U21" s="64"/>
      <c r="V21" s="64"/>
      <c r="W21" s="60"/>
      <c r="X21" s="43"/>
      <c r="Y21" s="43"/>
      <c r="Z21" s="44"/>
      <c r="AA21" s="79"/>
      <c r="AB21" s="9"/>
    </row>
    <row r="22" spans="1:28">
      <c r="A22" s="9"/>
      <c r="B22" s="12"/>
      <c r="C22" s="33"/>
      <c r="D22" s="26" t="s">
        <v>5</v>
      </c>
      <c r="E22" s="34"/>
      <c r="F22" s="74">
        <v>100</v>
      </c>
      <c r="G22" s="71">
        <v>103</v>
      </c>
      <c r="H22" s="71">
        <v>0</v>
      </c>
      <c r="I22" s="71">
        <v>120</v>
      </c>
      <c r="J22" s="71">
        <v>95</v>
      </c>
      <c r="K22" s="64">
        <f>IFERROR(F22/G22-1,"n/a")</f>
        <v>-2.9126213592232997E-2</v>
      </c>
      <c r="L22" s="64" t="str">
        <f t="shared" si="0"/>
        <v>n/a</v>
      </c>
      <c r="M22" s="64">
        <f t="shared" ref="M22:M23" si="13">IFERROR(F22/I22-1,"n/a")</f>
        <v>-0.16666666666666663</v>
      </c>
      <c r="N22" s="60">
        <f t="shared" si="12"/>
        <v>5.2631578947368363E-2</v>
      </c>
      <c r="O22" s="68">
        <f>F22+'Jan-23'!O22</f>
        <v>220</v>
      </c>
      <c r="P22" s="68">
        <f>G22+'Jan-23'!P22</f>
        <v>203</v>
      </c>
      <c r="Q22" s="68">
        <f>H22+'Jan-23'!Q22</f>
        <v>0</v>
      </c>
      <c r="R22" s="68">
        <f>I22+'Jan-23'!R22</f>
        <v>246</v>
      </c>
      <c r="S22" s="68">
        <f>J22+'Jan-23'!S22</f>
        <v>208</v>
      </c>
      <c r="T22" s="64">
        <f>IFERROR(O22/P22-1,"n/a")</f>
        <v>8.3743842364532028E-2</v>
      </c>
      <c r="U22" s="64" t="str">
        <f t="shared" ref="U22:U23" si="14">IFERROR(O22/Q22-1,"n/a")</f>
        <v>n/a</v>
      </c>
      <c r="V22" s="64">
        <f t="shared" ref="V22:V23" si="15">IFERROR(O22/R22-1,"n/a")</f>
        <v>-0.10569105691056913</v>
      </c>
      <c r="W22" s="60">
        <f t="shared" ref="W22:W23" si="16">IFERROR(O22/S22-1,"n/a")</f>
        <v>5.7692307692307709E-2</v>
      </c>
      <c r="X22" s="68">
        <v>1140</v>
      </c>
      <c r="Y22" s="68">
        <v>411</v>
      </c>
      <c r="Z22" s="70">
        <v>406</v>
      </c>
      <c r="AA22" s="78">
        <v>1205</v>
      </c>
      <c r="AB22" s="9"/>
    </row>
    <row r="23" spans="1:28">
      <c r="A23" s="9"/>
      <c r="B23" s="12"/>
      <c r="C23" s="33"/>
      <c r="D23" s="26" t="s">
        <v>11</v>
      </c>
      <c r="E23" s="32"/>
      <c r="F23" s="73">
        <v>342407</v>
      </c>
      <c r="G23" s="71">
        <v>174835</v>
      </c>
      <c r="H23" s="71">
        <v>0</v>
      </c>
      <c r="I23" s="71">
        <v>329055</v>
      </c>
      <c r="J23" s="71">
        <v>305578</v>
      </c>
      <c r="K23" s="64">
        <f>IFERROR(F23/G23-1,"n/a")</f>
        <v>0.95845797466182403</v>
      </c>
      <c r="L23" s="64" t="str">
        <f t="shared" si="0"/>
        <v>n/a</v>
      </c>
      <c r="M23" s="64">
        <f t="shared" si="13"/>
        <v>4.0576803269970041E-2</v>
      </c>
      <c r="N23" s="60">
        <f t="shared" si="12"/>
        <v>0.12052241980770861</v>
      </c>
      <c r="O23" s="68">
        <f>F23+'Jan-23'!O23</f>
        <v>749392</v>
      </c>
      <c r="P23" s="68">
        <f>G23+'Jan-23'!P23</f>
        <v>319653</v>
      </c>
      <c r="Q23" s="68">
        <f>H23+'Jan-23'!Q23</f>
        <v>0</v>
      </c>
      <c r="R23" s="68">
        <f>I23+'Jan-23'!R23</f>
        <v>686339</v>
      </c>
      <c r="S23" s="68">
        <f>J23+'Jan-23'!S23</f>
        <v>673974</v>
      </c>
      <c r="T23" s="64">
        <f>IFERROR(O23/P23-1,"n/a")</f>
        <v>1.3443922002921918</v>
      </c>
      <c r="U23" s="64" t="str">
        <f t="shared" si="14"/>
        <v>n/a</v>
      </c>
      <c r="V23" s="64">
        <f t="shared" si="15"/>
        <v>9.1868595548264098E-2</v>
      </c>
      <c r="W23" s="60">
        <f t="shared" si="16"/>
        <v>0.11190045906815405</v>
      </c>
      <c r="X23" s="68">
        <v>3212646</v>
      </c>
      <c r="Y23" s="68">
        <v>687449</v>
      </c>
      <c r="Z23" s="70">
        <v>833999</v>
      </c>
      <c r="AA23" s="78">
        <v>3859183</v>
      </c>
      <c r="AB23" s="9"/>
    </row>
    <row r="24" spans="1:28">
      <c r="A24" s="9"/>
      <c r="B24" s="12"/>
      <c r="C24" s="31" t="s">
        <v>16</v>
      </c>
      <c r="D24" s="26"/>
      <c r="E24" s="32"/>
      <c r="F24" s="72"/>
      <c r="G24" s="72"/>
      <c r="H24" s="72"/>
      <c r="I24" s="72"/>
      <c r="J24" s="72"/>
      <c r="K24" s="64"/>
      <c r="L24" s="64"/>
      <c r="M24" s="64"/>
      <c r="N24" s="60"/>
      <c r="O24" s="87"/>
      <c r="P24" s="87"/>
      <c r="Q24" s="87"/>
      <c r="R24" s="87"/>
      <c r="S24" s="87"/>
      <c r="T24" s="64"/>
      <c r="U24" s="64"/>
      <c r="V24" s="64"/>
      <c r="W24" s="60"/>
      <c r="X24" s="43"/>
      <c r="Y24" s="43"/>
      <c r="Z24" s="44"/>
      <c r="AA24" s="79"/>
      <c r="AB24" s="9"/>
    </row>
    <row r="25" spans="1:28">
      <c r="A25" s="9"/>
      <c r="B25" s="12"/>
      <c r="C25" s="33"/>
      <c r="D25" s="26" t="s">
        <v>5</v>
      </c>
      <c r="E25" s="32"/>
      <c r="F25" s="73">
        <v>5</v>
      </c>
      <c r="G25" s="71">
        <v>6</v>
      </c>
      <c r="H25" s="71">
        <v>4</v>
      </c>
      <c r="I25" s="71">
        <v>3</v>
      </c>
      <c r="J25" s="71">
        <v>7</v>
      </c>
      <c r="K25" s="64">
        <f>IFERROR(F25/G25-1,"n/a")</f>
        <v>-0.16666666666666663</v>
      </c>
      <c r="L25" s="64">
        <f t="shared" si="0"/>
        <v>0.25</v>
      </c>
      <c r="M25" s="64">
        <f t="shared" ref="M25:M26" si="17">IFERROR(F25/I25-1,"n/a")</f>
        <v>0.66666666666666674</v>
      </c>
      <c r="N25" s="60">
        <f t="shared" si="12"/>
        <v>-0.2857142857142857</v>
      </c>
      <c r="O25" s="68">
        <f>F25+'Jan-23'!O25</f>
        <v>9</v>
      </c>
      <c r="P25" s="68">
        <f>G25+'Jan-23'!P25</f>
        <v>9</v>
      </c>
      <c r="Q25" s="68">
        <f>H25+'Jan-23'!Q25</f>
        <v>5</v>
      </c>
      <c r="R25" s="68">
        <f>I25+'Jan-23'!R25</f>
        <v>8</v>
      </c>
      <c r="S25" s="68">
        <f>J25+'Jan-23'!S25</f>
        <v>11</v>
      </c>
      <c r="T25" s="64">
        <f>IFERROR(O25/P25-1,"n/a")</f>
        <v>0</v>
      </c>
      <c r="U25" s="64">
        <f t="shared" ref="U25:U26" si="18">IFERROR(O25/Q25-1,"n/a")</f>
        <v>0.8</v>
      </c>
      <c r="V25" s="64">
        <f t="shared" ref="V25:V26" si="19">IFERROR(O25/R25-1,"n/a")</f>
        <v>0.125</v>
      </c>
      <c r="W25" s="60">
        <f t="shared" ref="W25:W26" si="20">IFERROR(O25/S25-1,"n/a")</f>
        <v>-0.18181818181818177</v>
      </c>
      <c r="X25" s="68">
        <v>283</v>
      </c>
      <c r="Y25" s="68">
        <v>107</v>
      </c>
      <c r="Z25" s="70">
        <v>32</v>
      </c>
      <c r="AA25" s="78">
        <v>372</v>
      </c>
      <c r="AB25" s="9"/>
    </row>
    <row r="26" spans="1:28">
      <c r="A26" s="9"/>
      <c r="B26" s="12"/>
      <c r="C26" s="33"/>
      <c r="D26" s="26" t="s">
        <v>11</v>
      </c>
      <c r="E26" s="32"/>
      <c r="F26" s="73">
        <v>21884</v>
      </c>
      <c r="G26" s="71">
        <v>5662</v>
      </c>
      <c r="H26" s="71">
        <v>4030</v>
      </c>
      <c r="I26" s="71">
        <v>16515</v>
      </c>
      <c r="J26" s="71">
        <v>24890</v>
      </c>
      <c r="K26" s="64">
        <f>IFERROR(F26/G26-1,"n/a")</f>
        <v>2.8650653479335926</v>
      </c>
      <c r="L26" s="64">
        <f t="shared" si="0"/>
        <v>4.4302729528535982</v>
      </c>
      <c r="M26" s="64">
        <f t="shared" si="17"/>
        <v>0.32509839539812302</v>
      </c>
      <c r="N26" s="60">
        <f t="shared" si="12"/>
        <v>-0.12077139413419047</v>
      </c>
      <c r="O26" s="68">
        <f>F26+'Jan-23'!O26</f>
        <v>36729</v>
      </c>
      <c r="P26" s="68">
        <f>G26+'Jan-23'!P26</f>
        <v>7364</v>
      </c>
      <c r="Q26" s="68">
        <f>H26+'Jan-23'!Q26</f>
        <v>4674</v>
      </c>
      <c r="R26" s="68">
        <f>I26+'Jan-23'!R26</f>
        <v>39656</v>
      </c>
      <c r="S26" s="68">
        <f>J26+'Jan-23'!S26</f>
        <v>44605</v>
      </c>
      <c r="T26" s="64">
        <f>IFERROR(O26/P26-1,"n/a")</f>
        <v>3.9876425855513311</v>
      </c>
      <c r="U26" s="64">
        <f t="shared" si="18"/>
        <v>6.8581514762516047</v>
      </c>
      <c r="V26" s="64">
        <f t="shared" si="19"/>
        <v>-7.3809763970143272E-2</v>
      </c>
      <c r="W26" s="60">
        <f t="shared" si="20"/>
        <v>-0.17657213316892728</v>
      </c>
      <c r="X26" s="68">
        <v>530405</v>
      </c>
      <c r="Y26" s="68">
        <v>147132</v>
      </c>
      <c r="Z26" s="70">
        <v>59180</v>
      </c>
      <c r="AA26" s="78">
        <v>902015</v>
      </c>
      <c r="AB26" s="9"/>
    </row>
    <row r="27" spans="1:28">
      <c r="A27" s="9"/>
      <c r="B27" s="12"/>
      <c r="C27" s="31" t="s">
        <v>17</v>
      </c>
      <c r="D27" s="26"/>
      <c r="E27" s="32"/>
      <c r="F27" s="72"/>
      <c r="G27" s="72"/>
      <c r="H27" s="72"/>
      <c r="I27" s="72"/>
      <c r="J27" s="72"/>
      <c r="K27" s="64"/>
      <c r="L27" s="64"/>
      <c r="M27" s="64"/>
      <c r="N27" s="60"/>
      <c r="O27" s="87"/>
      <c r="P27" s="87"/>
      <c r="Q27" s="87"/>
      <c r="R27" s="87"/>
      <c r="S27" s="87"/>
      <c r="T27" s="64"/>
      <c r="U27" s="64"/>
      <c r="V27" s="64"/>
      <c r="W27" s="60"/>
      <c r="X27" s="43"/>
      <c r="Y27" s="43"/>
      <c r="Z27" s="44"/>
      <c r="AA27" s="79"/>
      <c r="AB27" s="9"/>
    </row>
    <row r="28" spans="1:28">
      <c r="B28" s="12"/>
      <c r="C28" s="33"/>
      <c r="D28" s="26" t="s">
        <v>5</v>
      </c>
      <c r="E28" s="32"/>
      <c r="F28" s="74">
        <v>57</v>
      </c>
      <c r="G28" s="71">
        <v>1</v>
      </c>
      <c r="H28" s="71">
        <v>1</v>
      </c>
      <c r="I28" s="71">
        <v>1</v>
      </c>
      <c r="J28" s="71">
        <v>2</v>
      </c>
      <c r="K28" s="64">
        <f>IFERROR(F28/G28-1,"n/a")</f>
        <v>56</v>
      </c>
      <c r="L28" s="64">
        <f t="shared" si="0"/>
        <v>56</v>
      </c>
      <c r="M28" s="64">
        <f t="shared" ref="M28:M31" si="21">IFERROR(F28/I28-1,"n/a")</f>
        <v>56</v>
      </c>
      <c r="N28" s="60">
        <f t="shared" si="12"/>
        <v>27.5</v>
      </c>
      <c r="O28" s="68">
        <f>F28+'Jan-23'!O28</f>
        <v>141</v>
      </c>
      <c r="P28" s="68">
        <f>G28+'Jan-23'!P28</f>
        <v>1</v>
      </c>
      <c r="Q28" s="68">
        <f>H28+'Jan-23'!Q28</f>
        <v>2</v>
      </c>
      <c r="R28" s="68">
        <f>I28+'Jan-23'!R28</f>
        <v>1</v>
      </c>
      <c r="S28" s="68">
        <f>J28+'Jan-23'!S28</f>
        <v>3</v>
      </c>
      <c r="T28" s="64">
        <f>IFERROR(O28/P28-1,"n/a")</f>
        <v>140</v>
      </c>
      <c r="U28" s="64">
        <f t="shared" ref="U28:U31" si="22">IFERROR(O28/Q28-1,"n/a")</f>
        <v>69.5</v>
      </c>
      <c r="V28" s="64">
        <f t="shared" ref="V28:V31" si="23">IFERROR(O28/R28-1,"n/a")</f>
        <v>140</v>
      </c>
      <c r="W28" s="60">
        <f t="shared" ref="W28:W31" si="24">IFERROR(O28/S28-1,"n/a")</f>
        <v>46</v>
      </c>
      <c r="X28" s="68">
        <v>605</v>
      </c>
      <c r="Y28" s="68">
        <v>127</v>
      </c>
      <c r="Z28" s="70">
        <v>37</v>
      </c>
      <c r="AA28" s="78">
        <f>282+81</f>
        <v>363</v>
      </c>
      <c r="AB28" s="9"/>
    </row>
    <row r="29" spans="1:28">
      <c r="A29" s="9"/>
      <c r="B29" s="12"/>
      <c r="C29" s="33"/>
      <c r="D29" s="26" t="s">
        <v>11</v>
      </c>
      <c r="E29" s="32"/>
      <c r="F29" s="74">
        <f>185364+492</f>
        <v>185856</v>
      </c>
      <c r="G29" s="71">
        <v>1983</v>
      </c>
      <c r="H29" s="71">
        <v>639</v>
      </c>
      <c r="I29" s="71">
        <v>892</v>
      </c>
      <c r="J29" s="71">
        <v>3305</v>
      </c>
      <c r="K29" s="64">
        <f>IFERROR(F29/G29-1,"n/a")</f>
        <v>92.724659606656587</v>
      </c>
      <c r="L29" s="64">
        <f t="shared" si="0"/>
        <v>289.85446009389671</v>
      </c>
      <c r="M29" s="64">
        <f t="shared" si="21"/>
        <v>207.35874439461884</v>
      </c>
      <c r="N29" s="60">
        <f t="shared" si="12"/>
        <v>55.234795763993951</v>
      </c>
      <c r="O29" s="68">
        <f>F29+'Jan-23'!O29</f>
        <v>405274</v>
      </c>
      <c r="P29" s="68">
        <f>G29+'Jan-23'!P29</f>
        <v>1983</v>
      </c>
      <c r="Q29" s="68">
        <f>H29+'Jan-23'!Q29</f>
        <v>1283</v>
      </c>
      <c r="R29" s="68">
        <f>I29+'Jan-23'!R29</f>
        <v>892</v>
      </c>
      <c r="S29" s="68">
        <f>J29+'Jan-23'!S29</f>
        <v>4657</v>
      </c>
      <c r="T29" s="64">
        <f>IFERROR(O29/P29-1,"n/a")</f>
        <v>203.37418053454363</v>
      </c>
      <c r="U29" s="64">
        <f t="shared" si="22"/>
        <v>314.87996882307095</v>
      </c>
      <c r="V29" s="64">
        <f t="shared" si="23"/>
        <v>453.34304932735427</v>
      </c>
      <c r="W29" s="60">
        <f t="shared" si="24"/>
        <v>86.024694009018688</v>
      </c>
      <c r="X29" s="68">
        <v>1098243</v>
      </c>
      <c r="Y29" s="68">
        <v>165083</v>
      </c>
      <c r="Z29" s="70">
        <f>20768+8294</f>
        <v>29062</v>
      </c>
      <c r="AA29" s="78">
        <f>659951+168729+38484</f>
        <v>867164</v>
      </c>
      <c r="AB29" s="9"/>
    </row>
    <row r="30" spans="1:28" ht="15" thickBot="1">
      <c r="A30" s="9"/>
      <c r="B30" s="12"/>
      <c r="C30" s="35" t="s">
        <v>12</v>
      </c>
      <c r="D30" s="36"/>
      <c r="E30" s="37"/>
      <c r="F30" s="75">
        <f t="shared" ref="F30:J31" si="25">F13+F16+F19+F22+F25+F28</f>
        <v>242</v>
      </c>
      <c r="G30" s="75">
        <f t="shared" si="25"/>
        <v>184</v>
      </c>
      <c r="H30" s="75">
        <f>H13+H16+H19+H22+H25+H28</f>
        <v>5</v>
      </c>
      <c r="I30" s="75">
        <f t="shared" si="25"/>
        <v>193</v>
      </c>
      <c r="J30" s="75">
        <f t="shared" si="25"/>
        <v>188</v>
      </c>
      <c r="K30" s="66">
        <f>IFERROR(F30/G30-1,"n/a")</f>
        <v>0.31521739130434789</v>
      </c>
      <c r="L30" s="66">
        <f t="shared" si="0"/>
        <v>47.4</v>
      </c>
      <c r="M30" s="66">
        <f t="shared" si="21"/>
        <v>0.25388601036269431</v>
      </c>
      <c r="N30" s="62">
        <f t="shared" si="12"/>
        <v>0.2872340425531914</v>
      </c>
      <c r="O30" s="46">
        <f t="shared" ref="O30:S31" si="26">O13+O16+O19+O22+O25+O28</f>
        <v>545</v>
      </c>
      <c r="P30" s="46">
        <f t="shared" si="26"/>
        <v>370</v>
      </c>
      <c r="Q30" s="46">
        <f t="shared" si="26"/>
        <v>7</v>
      </c>
      <c r="R30" s="46">
        <f t="shared" si="26"/>
        <v>405</v>
      </c>
      <c r="S30" s="46">
        <f t="shared" si="26"/>
        <v>406</v>
      </c>
      <c r="T30" s="66">
        <f>IFERROR(O30/P30-1,"n/a")</f>
        <v>0.47297297297297303</v>
      </c>
      <c r="U30" s="66">
        <f t="shared" si="22"/>
        <v>76.857142857142861</v>
      </c>
      <c r="V30" s="66">
        <f t="shared" si="23"/>
        <v>0.34567901234567899</v>
      </c>
      <c r="W30" s="62">
        <f t="shared" si="24"/>
        <v>0.3423645320197044</v>
      </c>
      <c r="X30" s="46">
        <f t="shared" ref="X30:AA31" si="27">X13+X16+X19+X22+X25+X28</f>
        <v>3627</v>
      </c>
      <c r="Y30" s="46">
        <f t="shared" si="27"/>
        <v>1062</v>
      </c>
      <c r="Z30" s="46">
        <f t="shared" si="27"/>
        <v>667</v>
      </c>
      <c r="AA30" s="80">
        <f t="shared" si="27"/>
        <v>3344</v>
      </c>
      <c r="AB30" s="9"/>
    </row>
    <row r="31" spans="1:28" ht="15.6" thickTop="1" thickBot="1">
      <c r="A31" s="9"/>
      <c r="B31" s="12"/>
      <c r="C31" s="38" t="s">
        <v>13</v>
      </c>
      <c r="D31" s="39"/>
      <c r="E31" s="40"/>
      <c r="F31" s="76">
        <f t="shared" si="25"/>
        <v>723641</v>
      </c>
      <c r="G31" s="76">
        <f t="shared" si="25"/>
        <v>241516</v>
      </c>
      <c r="H31" s="76">
        <f t="shared" si="25"/>
        <v>4669</v>
      </c>
      <c r="I31" s="76">
        <f t="shared" si="25"/>
        <v>494948</v>
      </c>
      <c r="J31" s="76">
        <f t="shared" si="25"/>
        <v>513727</v>
      </c>
      <c r="K31" s="67">
        <f>IFERROR(F31/G31-1,"n/a")</f>
        <v>1.9962445552261547</v>
      </c>
      <c r="L31" s="67">
        <f t="shared" si="0"/>
        <v>153.98843435425144</v>
      </c>
      <c r="M31" s="67">
        <f t="shared" si="21"/>
        <v>0.46205459967511731</v>
      </c>
      <c r="N31" s="63">
        <f t="shared" si="12"/>
        <v>0.40861002049726802</v>
      </c>
      <c r="O31" s="47">
        <f t="shared" si="26"/>
        <v>1557046</v>
      </c>
      <c r="P31" s="47">
        <f t="shared" si="26"/>
        <v>461472</v>
      </c>
      <c r="Q31" s="47">
        <f t="shared" si="26"/>
        <v>5957</v>
      </c>
      <c r="R31" s="47">
        <f t="shared" si="26"/>
        <v>1049986</v>
      </c>
      <c r="S31" s="47">
        <f t="shared" si="26"/>
        <v>1134579</v>
      </c>
      <c r="T31" s="67">
        <f>IFERROR(O31/P31-1,"n/a")</f>
        <v>2.3740855349837044</v>
      </c>
      <c r="U31" s="67">
        <f t="shared" si="22"/>
        <v>260.38089642437467</v>
      </c>
      <c r="V31" s="67">
        <f t="shared" si="23"/>
        <v>0.48292072465728109</v>
      </c>
      <c r="W31" s="63">
        <f t="shared" si="24"/>
        <v>0.3723557372382178</v>
      </c>
      <c r="X31" s="47">
        <f t="shared" si="27"/>
        <v>7627084</v>
      </c>
      <c r="Y31" s="47">
        <f t="shared" si="27"/>
        <v>1554247</v>
      </c>
      <c r="Z31" s="47">
        <f t="shared" si="27"/>
        <v>1323431</v>
      </c>
      <c r="AA31" s="81">
        <f t="shared" si="27"/>
        <v>9169021</v>
      </c>
      <c r="AB31" s="9"/>
    </row>
    <row r="32" spans="1:28" ht="15" thickTop="1">
      <c r="A32" s="9"/>
      <c r="B32" s="9"/>
      <c r="C32" s="9"/>
      <c r="D32" s="9"/>
      <c r="E32" s="9"/>
      <c r="F32" s="41"/>
      <c r="G32" s="41"/>
      <c r="H32" s="41"/>
      <c r="I32" s="41"/>
      <c r="J32" s="41"/>
      <c r="K32" s="41"/>
      <c r="L32" s="41"/>
      <c r="M32" s="41"/>
      <c r="N32" s="9"/>
      <c r="O32" s="9"/>
      <c r="P32" s="9"/>
      <c r="Q32" s="9"/>
      <c r="R32" s="9"/>
      <c r="S32" s="9"/>
      <c r="T32" s="9"/>
      <c r="U32" s="9"/>
      <c r="V32" s="9"/>
      <c r="W32" s="9"/>
      <c r="X32" s="9"/>
      <c r="Y32" s="9"/>
      <c r="Z32" s="9"/>
      <c r="AA32" s="9"/>
      <c r="AB32" s="9"/>
    </row>
    <row r="33" spans="1:28">
      <c r="A33" s="9"/>
      <c r="B33" s="9"/>
      <c r="C33" s="9"/>
      <c r="D33" s="9"/>
      <c r="E33" s="9"/>
      <c r="F33" s="41"/>
      <c r="G33" s="41"/>
      <c r="H33" s="41"/>
      <c r="I33" s="41"/>
      <c r="J33" s="41"/>
      <c r="K33" s="41"/>
      <c r="L33" s="41"/>
      <c r="M33" s="41"/>
      <c r="N33" s="9"/>
      <c r="O33" s="9"/>
      <c r="P33" s="9"/>
      <c r="Q33" s="9"/>
      <c r="R33" s="9"/>
      <c r="S33" s="9"/>
      <c r="T33" s="9"/>
      <c r="U33" s="9"/>
      <c r="V33" s="9"/>
      <c r="W33" s="9"/>
      <c r="X33" s="9"/>
      <c r="Y33" s="9"/>
      <c r="Z33" s="9"/>
      <c r="AA33" s="9"/>
      <c r="AB33" s="9"/>
    </row>
    <row r="34" spans="1:28">
      <c r="A34" s="9"/>
      <c r="B34" s="10"/>
      <c r="C34" s="86" t="s">
        <v>63</v>
      </c>
      <c r="D34" s="24"/>
      <c r="E34" s="24"/>
      <c r="F34" s="24"/>
      <c r="G34" s="24"/>
      <c r="H34" s="24"/>
      <c r="I34" s="24"/>
      <c r="J34" s="95"/>
      <c r="K34" s="95"/>
      <c r="L34" s="95"/>
      <c r="M34" s="95"/>
      <c r="N34" s="24"/>
      <c r="O34" s="24"/>
      <c r="P34" s="24"/>
      <c r="Q34" s="24"/>
      <c r="R34" s="24"/>
      <c r="S34" s="24"/>
      <c r="T34" s="24"/>
      <c r="U34" s="24"/>
      <c r="V34" s="24"/>
      <c r="W34" s="24"/>
      <c r="X34" s="24"/>
      <c r="Y34" s="24"/>
      <c r="Z34" s="24"/>
      <c r="AA34" s="24"/>
      <c r="AB34" s="9"/>
    </row>
    <row r="35" spans="1:28">
      <c r="A35" s="9"/>
      <c r="B35" s="10"/>
      <c r="C35" s="24"/>
      <c r="D35" s="24"/>
      <c r="E35" s="24"/>
      <c r="F35" s="24"/>
      <c r="G35" s="24"/>
      <c r="H35" s="24"/>
      <c r="I35" s="24"/>
      <c r="J35" s="95"/>
      <c r="K35" s="95"/>
      <c r="L35" s="95"/>
      <c r="M35" s="95"/>
      <c r="N35" s="24"/>
      <c r="O35" s="24"/>
      <c r="P35" s="24"/>
      <c r="Q35" s="24"/>
      <c r="R35" s="24"/>
      <c r="S35" s="24"/>
      <c r="T35" s="24"/>
      <c r="U35" s="24"/>
      <c r="V35" s="24"/>
      <c r="W35" s="24"/>
      <c r="X35" s="24"/>
      <c r="Y35" s="24"/>
      <c r="Z35" s="24"/>
      <c r="AA35" s="24"/>
      <c r="AB35" s="9"/>
    </row>
    <row r="36" spans="1:28">
      <c r="A36" s="9"/>
      <c r="B36" s="9"/>
      <c r="C36" s="27" t="s">
        <v>7</v>
      </c>
      <c r="D36" s="28"/>
      <c r="E36" s="28"/>
      <c r="F36" s="128" t="str">
        <f>F9</f>
        <v>February</v>
      </c>
      <c r="G36" s="128"/>
      <c r="H36" s="128"/>
      <c r="I36" s="128"/>
      <c r="J36" s="128"/>
      <c r="K36" s="128"/>
      <c r="L36" s="128"/>
      <c r="M36" s="128"/>
      <c r="N36" s="129"/>
      <c r="O36" s="130" t="s">
        <v>104</v>
      </c>
      <c r="P36" s="128"/>
      <c r="Q36" s="128"/>
      <c r="R36" s="128"/>
      <c r="S36" s="128"/>
      <c r="T36" s="128"/>
      <c r="U36" s="128"/>
      <c r="V36" s="128"/>
      <c r="W36" s="129"/>
      <c r="X36" s="130" t="s">
        <v>58</v>
      </c>
      <c r="Y36" s="128"/>
      <c r="Z36" s="128"/>
      <c r="AA36" s="131"/>
      <c r="AB36" s="9"/>
    </row>
    <row r="37" spans="1:28">
      <c r="A37" s="9"/>
      <c r="B37" s="9"/>
      <c r="C37" s="29"/>
      <c r="D37" s="30"/>
      <c r="E37" s="30"/>
      <c r="F37" s="29"/>
      <c r="G37" s="30"/>
      <c r="H37" s="30"/>
      <c r="I37" s="30"/>
      <c r="J37" s="30"/>
      <c r="K37" s="30"/>
      <c r="L37" s="30"/>
      <c r="M37" s="30"/>
      <c r="N37" s="56"/>
      <c r="O37" s="30"/>
      <c r="P37" s="30"/>
      <c r="Q37" s="30"/>
      <c r="R37" s="30"/>
      <c r="S37" s="30"/>
      <c r="T37" s="30"/>
      <c r="U37" s="30"/>
      <c r="V37" s="30"/>
      <c r="W37" s="56"/>
      <c r="X37" s="30"/>
      <c r="Y37" s="30"/>
      <c r="Z37" s="30"/>
      <c r="AA37" s="56"/>
      <c r="AB37" s="9"/>
    </row>
    <row r="38" spans="1:28" ht="20.399999999999999">
      <c r="A38" s="9"/>
      <c r="B38" s="9"/>
      <c r="C38" s="59" t="s">
        <v>29</v>
      </c>
      <c r="D38" s="50"/>
      <c r="E38" s="51"/>
      <c r="F38" s="55">
        <v>2023</v>
      </c>
      <c r="G38" s="52">
        <v>2022</v>
      </c>
      <c r="H38" s="52">
        <v>2021</v>
      </c>
      <c r="I38" s="52">
        <v>2020</v>
      </c>
      <c r="J38" s="52">
        <v>2019</v>
      </c>
      <c r="K38" s="53" t="s">
        <v>66</v>
      </c>
      <c r="L38" s="53" t="s">
        <v>67</v>
      </c>
      <c r="M38" s="53" t="s">
        <v>68</v>
      </c>
      <c r="N38" s="57" t="s">
        <v>102</v>
      </c>
      <c r="O38" s="53"/>
      <c r="P38" s="53" t="s">
        <v>53</v>
      </c>
      <c r="Q38" s="52" t="s">
        <v>54</v>
      </c>
      <c r="R38" s="52" t="s">
        <v>59</v>
      </c>
      <c r="S38" s="52" t="s">
        <v>64</v>
      </c>
      <c r="T38" s="52"/>
      <c r="U38" s="53" t="s">
        <v>66</v>
      </c>
      <c r="V38" s="53" t="s">
        <v>67</v>
      </c>
      <c r="W38" s="57" t="s">
        <v>68</v>
      </c>
      <c r="X38" s="53"/>
      <c r="Y38" s="53" t="s">
        <v>54</v>
      </c>
      <c r="Z38" s="53" t="s">
        <v>65</v>
      </c>
      <c r="AA38" s="57" t="s">
        <v>73</v>
      </c>
      <c r="AB38" s="9"/>
    </row>
    <row r="39" spans="1:28">
      <c r="A39" s="9"/>
      <c r="B39" s="9"/>
      <c r="C39" s="31" t="s">
        <v>14</v>
      </c>
      <c r="D39" s="26"/>
      <c r="E39" s="32"/>
      <c r="F39" s="26"/>
      <c r="G39" s="26"/>
      <c r="H39" s="26"/>
      <c r="I39" s="26"/>
      <c r="J39" s="26"/>
      <c r="K39" s="26"/>
      <c r="L39" s="26"/>
      <c r="M39" s="26"/>
      <c r="N39" s="32"/>
      <c r="O39" s="26"/>
      <c r="P39" s="26"/>
      <c r="Q39" s="26"/>
      <c r="R39" s="26"/>
      <c r="S39" s="9"/>
      <c r="T39" s="26"/>
      <c r="U39" s="9"/>
      <c r="V39" s="26"/>
      <c r="W39" s="32"/>
      <c r="X39" s="33"/>
      <c r="Y39" s="26"/>
      <c r="Z39" s="88"/>
      <c r="AA39" s="85"/>
      <c r="AB39" s="9"/>
    </row>
    <row r="40" spans="1:28">
      <c r="A40" s="9"/>
      <c r="B40" s="9"/>
      <c r="C40" s="33"/>
      <c r="D40" s="26" t="s">
        <v>5</v>
      </c>
      <c r="E40" s="32"/>
      <c r="F40" s="74">
        <f t="shared" ref="F40:J41" si="28">F13</f>
        <v>61</v>
      </c>
      <c r="G40" s="74">
        <f t="shared" si="28"/>
        <v>59</v>
      </c>
      <c r="H40" s="74">
        <f t="shared" si="28"/>
        <v>0</v>
      </c>
      <c r="I40" s="74">
        <f t="shared" si="28"/>
        <v>55</v>
      </c>
      <c r="J40" s="74">
        <f t="shared" si="28"/>
        <v>62</v>
      </c>
      <c r="K40" s="64">
        <f>IFERROR(F40/G40-1,"n/a")</f>
        <v>3.3898305084745672E-2</v>
      </c>
      <c r="L40" s="64" t="str">
        <f t="shared" ref="L40:L41" si="29">IFERROR(F40/H40-1,"n/a")</f>
        <v>n/a</v>
      </c>
      <c r="M40" s="64">
        <f>IFERROR(F40/I40-1,"n/a")</f>
        <v>0.10909090909090913</v>
      </c>
      <c r="N40" s="60">
        <f t="shared" ref="N40:N41" si="30">IFERROR(F40/J40-1,"n/a")</f>
        <v>-1.6129032258064502E-2</v>
      </c>
      <c r="O40" s="108"/>
      <c r="P40" s="70">
        <f>+O13-'Mar-22'!M10+'Dec-22'!M13</f>
        <v>278</v>
      </c>
      <c r="Q40" s="70">
        <f>+P13-'Mar-22'!N10+'Dec-22'!N13</f>
        <v>234</v>
      </c>
      <c r="R40" s="82">
        <f>+Q13-'Mar-22'!O10+'Dec-22'!O13</f>
        <v>0</v>
      </c>
      <c r="S40" s="70">
        <f>+R13-'Mar-22'!P10+'Dec-22'!P13</f>
        <v>302</v>
      </c>
      <c r="T40" s="108"/>
      <c r="U40" s="64">
        <f>IFERROR(P40/Q40-1,"n/a")</f>
        <v>0.18803418803418803</v>
      </c>
      <c r="V40" s="64" t="str">
        <f>IFERROR(P40/R40-1,"n/a")</f>
        <v>n/a</v>
      </c>
      <c r="W40" s="60">
        <f>IFERROR(P40/S40-1,"n/a")</f>
        <v>-7.9470198675496651E-2</v>
      </c>
      <c r="X40" s="89"/>
      <c r="Y40" s="89">
        <v>308</v>
      </c>
      <c r="Z40" s="70">
        <v>145</v>
      </c>
      <c r="AA40" s="78">
        <v>331</v>
      </c>
      <c r="AB40" s="9"/>
    </row>
    <row r="41" spans="1:28">
      <c r="A41" s="9"/>
      <c r="B41" s="9"/>
      <c r="C41" s="33"/>
      <c r="D41" s="26" t="s">
        <v>11</v>
      </c>
      <c r="E41" s="32"/>
      <c r="F41" s="74">
        <f t="shared" si="28"/>
        <v>107254</v>
      </c>
      <c r="G41" s="74">
        <f t="shared" si="28"/>
        <v>44710</v>
      </c>
      <c r="H41" s="74">
        <f t="shared" si="28"/>
        <v>0</v>
      </c>
      <c r="I41" s="74">
        <f t="shared" si="28"/>
        <v>101463</v>
      </c>
      <c r="J41" s="74">
        <f t="shared" si="28"/>
        <v>119668</v>
      </c>
      <c r="K41" s="64">
        <f>IFERROR(F41/G41-1,"n/a")</f>
        <v>1.3988816819503467</v>
      </c>
      <c r="L41" s="64" t="str">
        <f t="shared" si="29"/>
        <v>n/a</v>
      </c>
      <c r="M41" s="64">
        <f t="shared" ref="M41" si="31">IFERROR(F41/I41-1,"n/a")</f>
        <v>5.7074992854538209E-2</v>
      </c>
      <c r="N41" s="60">
        <f t="shared" si="30"/>
        <v>-0.10373700571581379</v>
      </c>
      <c r="O41" s="109"/>
      <c r="P41" s="70">
        <f>+O14-'Mar-22'!M11+'Dec-22'!M14</f>
        <v>447072</v>
      </c>
      <c r="Q41" s="82">
        <f>+P14-'Mar-22'!N11+'Dec-22'!N14</f>
        <v>176367</v>
      </c>
      <c r="R41" s="82">
        <f>+Q14-'Mar-22'!O11+'Dec-22'!O14</f>
        <v>0</v>
      </c>
      <c r="S41" s="82">
        <f>+R14-'Mar-22'!P11+'Dec-22'!P14</f>
        <v>558175</v>
      </c>
      <c r="T41" s="109"/>
      <c r="U41" s="64">
        <f>IFERROR(P41/Q41-1,"n/a")</f>
        <v>1.5348959839425742</v>
      </c>
      <c r="V41" s="64" t="str">
        <f>IFERROR(P41/R41-1,"n/a")</f>
        <v>n/a</v>
      </c>
      <c r="W41" s="60">
        <f>IFERROR(P41/S41-1,"n/a")</f>
        <v>-0.19904689389528374</v>
      </c>
      <c r="X41" s="89"/>
      <c r="Y41" s="89">
        <v>237191</v>
      </c>
      <c r="Z41" s="84">
        <v>258885</v>
      </c>
      <c r="AA41" s="78">
        <v>606801</v>
      </c>
      <c r="AB41" s="9"/>
    </row>
    <row r="42" spans="1:28">
      <c r="A42" s="9"/>
      <c r="B42" s="9"/>
      <c r="C42" s="31" t="s">
        <v>74</v>
      </c>
      <c r="D42" s="26"/>
      <c r="E42" s="32"/>
      <c r="F42" s="26"/>
      <c r="G42" s="26"/>
      <c r="H42" s="26"/>
      <c r="I42" s="26"/>
      <c r="J42" s="26"/>
      <c r="K42" s="64"/>
      <c r="L42" s="64"/>
      <c r="M42" s="64"/>
      <c r="N42" s="61"/>
      <c r="O42" s="110"/>
      <c r="P42" s="87"/>
      <c r="Q42" s="87"/>
      <c r="R42" s="87"/>
      <c r="S42" s="87"/>
      <c r="T42" s="110"/>
      <c r="U42" s="65"/>
      <c r="V42" s="65"/>
      <c r="W42" s="61"/>
      <c r="X42" s="90"/>
      <c r="Y42" s="90"/>
      <c r="Z42" s="44"/>
      <c r="AA42" s="79"/>
      <c r="AB42" s="9"/>
    </row>
    <row r="43" spans="1:28">
      <c r="A43" s="9"/>
      <c r="B43" s="9"/>
      <c r="C43" s="33"/>
      <c r="D43" s="26" t="s">
        <v>5</v>
      </c>
      <c r="E43" s="32"/>
      <c r="F43" s="74">
        <f t="shared" ref="F43:J44" si="32">F16</f>
        <v>17</v>
      </c>
      <c r="G43" s="74">
        <f t="shared" si="32"/>
        <v>13</v>
      </c>
      <c r="H43" s="74">
        <f t="shared" si="32"/>
        <v>0</v>
      </c>
      <c r="I43" s="74">
        <f t="shared" si="32"/>
        <v>14</v>
      </c>
      <c r="J43" s="74">
        <f t="shared" si="32"/>
        <v>21</v>
      </c>
      <c r="K43" s="64">
        <f>IFERROR(F43/G43-1,"n/a")</f>
        <v>0.30769230769230771</v>
      </c>
      <c r="L43" s="64" t="str">
        <f t="shared" ref="L43:L44" si="33">IFERROR(F43/H43-1,"n/a")</f>
        <v>n/a</v>
      </c>
      <c r="M43" s="64">
        <f t="shared" ref="M43:M44" si="34">IFERROR(F43/I43-1,"n/a")</f>
        <v>0.21428571428571419</v>
      </c>
      <c r="N43" s="60">
        <f t="shared" ref="N43:N44" si="35">IFERROR(F43/J43-1,"n/a")</f>
        <v>-0.19047619047619047</v>
      </c>
      <c r="O43" s="108"/>
      <c r="P43" s="70">
        <f>+O16-'Mar-22'!M13+'Dec-22'!M16</f>
        <v>765</v>
      </c>
      <c r="Q43" s="70">
        <f>+P16-'Mar-22'!N13+'Dec-22'!N16</f>
        <v>312</v>
      </c>
      <c r="R43" s="70">
        <f>+Q16-'Mar-22'!O13+'Dec-22'!O16</f>
        <v>0</v>
      </c>
      <c r="S43" s="70">
        <f>+R16-'Mar-22'!P13+'Dec-22'!P16</f>
        <v>771</v>
      </c>
      <c r="T43" s="108"/>
      <c r="U43" s="64">
        <f t="shared" ref="U43:U44" si="36">IFERROR(P43/Q43-1,"n/a")</f>
        <v>1.4519230769230771</v>
      </c>
      <c r="V43" s="64" t="str">
        <f t="shared" ref="V43:V44" si="37">IFERROR(P43/R43-1,"n/a")</f>
        <v>n/a</v>
      </c>
      <c r="W43" s="60">
        <f t="shared" ref="W43:W44" si="38">IFERROR(P43/S43-1,"n/a")</f>
        <v>-7.7821011673151474E-3</v>
      </c>
      <c r="X43" s="89"/>
      <c r="Y43" s="89">
        <v>336</v>
      </c>
      <c r="Z43" s="70">
        <v>43</v>
      </c>
      <c r="AA43" s="78">
        <v>781</v>
      </c>
      <c r="AB43" s="9"/>
    </row>
    <row r="44" spans="1:28">
      <c r="A44" s="9"/>
      <c r="B44" s="9"/>
      <c r="C44" s="33"/>
      <c r="D44" s="26" t="s">
        <v>11</v>
      </c>
      <c r="E44" s="32"/>
      <c r="F44" s="74">
        <f t="shared" si="32"/>
        <v>64480</v>
      </c>
      <c r="G44" s="74">
        <f t="shared" si="32"/>
        <v>14032</v>
      </c>
      <c r="H44" s="74">
        <f t="shared" si="32"/>
        <v>0</v>
      </c>
      <c r="I44" s="74">
        <f t="shared" si="32"/>
        <v>47023</v>
      </c>
      <c r="J44" s="74">
        <f t="shared" si="32"/>
        <v>59703</v>
      </c>
      <c r="K44" s="64">
        <f>IFERROR(F44/G44-1,"n/a")</f>
        <v>3.5952109464082094</v>
      </c>
      <c r="L44" s="64" t="str">
        <f t="shared" si="33"/>
        <v>n/a</v>
      </c>
      <c r="M44" s="64">
        <f t="shared" si="34"/>
        <v>0.37124385938795901</v>
      </c>
      <c r="N44" s="60">
        <f t="shared" si="35"/>
        <v>8.0012729678575534E-2</v>
      </c>
      <c r="O44" s="109"/>
      <c r="P44" s="70">
        <f>+O17-'Mar-22'!M14+'Dec-22'!M17</f>
        <v>1912608</v>
      </c>
      <c r="Q44" s="70">
        <f>+P17-'Mar-22'!N14+'Dec-22'!N17</f>
        <v>500969</v>
      </c>
      <c r="R44" s="70">
        <f>+Q17-'Mar-22'!O14+'Dec-22'!O17</f>
        <v>0</v>
      </c>
      <c r="S44" s="70">
        <f>+R17-'Mar-22'!P14+'Dec-22'!P17</f>
        <v>2413059</v>
      </c>
      <c r="T44" s="108"/>
      <c r="U44" s="64">
        <f t="shared" si="36"/>
        <v>2.8178170705173375</v>
      </c>
      <c r="V44" s="64" t="str">
        <f t="shared" si="37"/>
        <v>n/a</v>
      </c>
      <c r="W44" s="60">
        <f t="shared" si="38"/>
        <v>-0.20739277406810197</v>
      </c>
      <c r="X44" s="89"/>
      <c r="Y44" s="89">
        <v>533563</v>
      </c>
      <c r="Z44" s="84">
        <v>140552</v>
      </c>
      <c r="AA44" s="78">
        <v>2441594</v>
      </c>
      <c r="AB44" s="9"/>
    </row>
    <row r="45" spans="1:28">
      <c r="A45" s="9"/>
      <c r="B45" s="9"/>
      <c r="C45" s="31" t="s">
        <v>15</v>
      </c>
      <c r="D45" s="26"/>
      <c r="E45" s="32"/>
      <c r="F45" s="87"/>
      <c r="G45" s="87"/>
      <c r="H45" s="87"/>
      <c r="I45" s="87"/>
      <c r="J45" s="72"/>
      <c r="K45" s="64"/>
      <c r="L45" s="64"/>
      <c r="M45" s="64"/>
      <c r="N45" s="60"/>
      <c r="O45" s="110"/>
      <c r="P45" s="87"/>
      <c r="Q45" s="87"/>
      <c r="R45" s="87"/>
      <c r="S45" s="87"/>
      <c r="T45" s="110"/>
      <c r="U45" s="64"/>
      <c r="V45" s="64"/>
      <c r="W45" s="60"/>
      <c r="X45" s="90"/>
      <c r="Y45" s="90"/>
      <c r="Z45" s="44"/>
      <c r="AA45" s="79"/>
      <c r="AB45" s="9"/>
    </row>
    <row r="46" spans="1:28">
      <c r="A46" s="9"/>
      <c r="B46" s="9"/>
      <c r="C46" s="33"/>
      <c r="D46" s="26" t="s">
        <v>5</v>
      </c>
      <c r="E46" s="32"/>
      <c r="F46" s="74">
        <f t="shared" ref="F46:J47" si="39">F19</f>
        <v>2</v>
      </c>
      <c r="G46" s="74">
        <f t="shared" si="39"/>
        <v>2</v>
      </c>
      <c r="H46" s="74">
        <f t="shared" si="39"/>
        <v>0</v>
      </c>
      <c r="I46" s="74">
        <f t="shared" si="39"/>
        <v>0</v>
      </c>
      <c r="J46" s="74">
        <f t="shared" si="39"/>
        <v>1</v>
      </c>
      <c r="K46" s="64">
        <f>IFERROR(F46/G46-1,"n/a")</f>
        <v>0</v>
      </c>
      <c r="L46" s="64" t="str">
        <f t="shared" ref="L46:L47" si="40">IFERROR(F46/H46-1,"n/a")</f>
        <v>n/a</v>
      </c>
      <c r="M46" s="64" t="str">
        <f t="shared" ref="M46:M47" si="41">IFERROR(F46/I46-1,"n/a")</f>
        <v>n/a</v>
      </c>
      <c r="N46" s="60">
        <f>IFERROR(F46/J46-1,"n/a")</f>
        <v>1</v>
      </c>
      <c r="O46" s="108"/>
      <c r="P46" s="70">
        <f>+O19-'Mar-22'!M16+'Dec-22'!M19</f>
        <v>471</v>
      </c>
      <c r="Q46" s="70">
        <f>+P19-'Mar-22'!N16+'Dec-22'!N19</f>
        <v>28</v>
      </c>
      <c r="R46" s="70">
        <f>+Q19-'Mar-22'!O16+'Dec-22'!O19</f>
        <v>1</v>
      </c>
      <c r="S46" s="70">
        <f>+R19-'Mar-22'!P16+'Dec-22'!P19</f>
        <v>186</v>
      </c>
      <c r="T46" s="108"/>
      <c r="U46" s="64">
        <f t="shared" ref="U46:U47" si="42">IFERROR(P46/Q46-1,"n/a")</f>
        <v>15.821428571428573</v>
      </c>
      <c r="V46" s="64">
        <f t="shared" ref="V46:V47" si="43">IFERROR(P46/R46-1,"n/a")</f>
        <v>470</v>
      </c>
      <c r="W46" s="60">
        <f t="shared" ref="W46:W47" si="44">IFERROR(P46/S46-1,"n/a")</f>
        <v>1.532258064516129</v>
      </c>
      <c r="X46" s="89"/>
      <c r="Y46" s="89">
        <v>33</v>
      </c>
      <c r="Z46" s="70">
        <v>4</v>
      </c>
      <c r="AA46" s="78">
        <v>188</v>
      </c>
      <c r="AB46" s="9"/>
    </row>
    <row r="47" spans="1:28">
      <c r="A47" s="9"/>
      <c r="B47" s="9"/>
      <c r="C47" s="33"/>
      <c r="D47" s="26" t="s">
        <v>11</v>
      </c>
      <c r="E47" s="32"/>
      <c r="F47" s="74">
        <f t="shared" si="39"/>
        <v>1760</v>
      </c>
      <c r="G47" s="74">
        <f t="shared" si="39"/>
        <v>294</v>
      </c>
      <c r="H47" s="74">
        <f t="shared" si="39"/>
        <v>0</v>
      </c>
      <c r="I47" s="74">
        <f t="shared" si="39"/>
        <v>0</v>
      </c>
      <c r="J47" s="74">
        <f t="shared" si="39"/>
        <v>583</v>
      </c>
      <c r="K47" s="64">
        <f>IFERROR(F47/G47-1,"n/a")</f>
        <v>4.9863945578231297</v>
      </c>
      <c r="L47" s="64" t="str">
        <f t="shared" si="40"/>
        <v>n/a</v>
      </c>
      <c r="M47" s="64" t="str">
        <f t="shared" si="41"/>
        <v>n/a</v>
      </c>
      <c r="N47" s="60">
        <f t="shared" ref="N47" si="45">IFERROR(F47/J47-1,"n/a")</f>
        <v>2.0188679245283021</v>
      </c>
      <c r="O47" s="109"/>
      <c r="P47" s="70">
        <f>+O20-'Mar-22'!M17+'Dec-22'!M20</f>
        <v>565507</v>
      </c>
      <c r="Q47" s="70">
        <f>+P20-'Mar-22'!N17+'Dec-22'!N20</f>
        <v>9719</v>
      </c>
      <c r="R47" s="70">
        <f>+Q20-'Mar-22'!O17+'Dec-22'!O20</f>
        <v>111</v>
      </c>
      <c r="S47" s="70">
        <f>+R20-'Mar-22'!P17+'Dec-22'!P20</f>
        <v>250106</v>
      </c>
      <c r="T47" s="108"/>
      <c r="U47" s="64">
        <f t="shared" si="42"/>
        <v>57.185718695339027</v>
      </c>
      <c r="V47" s="64">
        <f t="shared" si="43"/>
        <v>5093.6576576576581</v>
      </c>
      <c r="W47" s="60">
        <f t="shared" si="44"/>
        <v>1.2610693066139955</v>
      </c>
      <c r="X47" s="82"/>
      <c r="Y47" s="82">
        <v>10083</v>
      </c>
      <c r="Z47" s="84">
        <v>1753</v>
      </c>
      <c r="AA47" s="78">
        <f>176097+74816</f>
        <v>250913</v>
      </c>
      <c r="AB47" s="9"/>
    </row>
    <row r="48" spans="1:28">
      <c r="A48" s="9"/>
      <c r="B48" s="9"/>
      <c r="C48" s="31" t="s">
        <v>10</v>
      </c>
      <c r="D48" s="26"/>
      <c r="E48" s="34"/>
      <c r="F48" s="72"/>
      <c r="G48" s="72"/>
      <c r="H48" s="72"/>
      <c r="I48" s="72"/>
      <c r="J48" s="72"/>
      <c r="K48" s="64"/>
      <c r="L48" s="64"/>
      <c r="M48" s="64"/>
      <c r="N48" s="60"/>
      <c r="O48" s="110"/>
      <c r="P48" s="87"/>
      <c r="Q48" s="87"/>
      <c r="R48" s="87"/>
      <c r="S48" s="87"/>
      <c r="T48" s="110"/>
      <c r="U48" s="64"/>
      <c r="V48" s="64"/>
      <c r="W48" s="60"/>
      <c r="X48" s="90"/>
      <c r="Y48" s="90"/>
      <c r="Z48" s="44"/>
      <c r="AA48" s="79"/>
      <c r="AB48" s="9"/>
    </row>
    <row r="49" spans="1:28">
      <c r="A49" s="9"/>
      <c r="B49" s="9"/>
      <c r="C49" s="33"/>
      <c r="D49" s="26" t="s">
        <v>5</v>
      </c>
      <c r="E49" s="34"/>
      <c r="F49" s="74">
        <f t="shared" ref="F49:J50" si="46">F22</f>
        <v>100</v>
      </c>
      <c r="G49" s="74">
        <f t="shared" si="46"/>
        <v>103</v>
      </c>
      <c r="H49" s="74">
        <f t="shared" si="46"/>
        <v>0</v>
      </c>
      <c r="I49" s="74">
        <f t="shared" si="46"/>
        <v>120</v>
      </c>
      <c r="J49" s="74">
        <f t="shared" si="46"/>
        <v>95</v>
      </c>
      <c r="K49" s="64">
        <f>IFERROR(F49/G49-1,"n/a")</f>
        <v>-2.9126213592232997E-2</v>
      </c>
      <c r="L49" s="64" t="str">
        <f t="shared" ref="L49:L50" si="47">IFERROR(F49/H49-1,"n/a")</f>
        <v>n/a</v>
      </c>
      <c r="M49" s="64">
        <f t="shared" ref="M49:M50" si="48">IFERROR(F49/I49-1,"n/a")</f>
        <v>-0.16666666666666663</v>
      </c>
      <c r="N49" s="60">
        <f t="shared" ref="N49:N50" si="49">IFERROR(F49/J49-1,"n/a")</f>
        <v>5.2631578947368363E-2</v>
      </c>
      <c r="O49" s="108"/>
      <c r="P49" s="70">
        <f>+O22-'Mar-22'!M19+'Dec-22'!M22</f>
        <v>1027</v>
      </c>
      <c r="Q49" s="70">
        <f>+P22-'Mar-22'!N19+'Dec-22'!N22</f>
        <v>614</v>
      </c>
      <c r="R49" s="70">
        <f>+Q22-'Mar-22'!O19+'Dec-22'!O22</f>
        <v>42</v>
      </c>
      <c r="S49" s="70">
        <f>+R22-'Mar-22'!P19+'Dec-22'!P22</f>
        <v>1135</v>
      </c>
      <c r="T49" s="108"/>
      <c r="U49" s="64">
        <f t="shared" ref="U49:U50" si="50">IFERROR(P49/Q49-1,"n/a")</f>
        <v>0.67263843648208477</v>
      </c>
      <c r="V49" s="64">
        <f t="shared" ref="V49:V50" si="51">IFERROR(P49/R49-1,"n/a")</f>
        <v>23.452380952380953</v>
      </c>
      <c r="W49" s="60">
        <f t="shared" ref="W49:W50" si="52">IFERROR(P49/S49-1,"n/a")</f>
        <v>-9.5154185022026438E-2</v>
      </c>
      <c r="X49" s="89"/>
      <c r="Y49" s="89">
        <v>744</v>
      </c>
      <c r="Z49" s="84">
        <v>406</v>
      </c>
      <c r="AA49" s="78">
        <v>1253</v>
      </c>
      <c r="AB49" s="9"/>
    </row>
    <row r="50" spans="1:28">
      <c r="A50" s="9"/>
      <c r="B50" s="9"/>
      <c r="C50" s="33"/>
      <c r="D50" s="26" t="s">
        <v>11</v>
      </c>
      <c r="E50" s="32"/>
      <c r="F50" s="74">
        <f t="shared" si="46"/>
        <v>342407</v>
      </c>
      <c r="G50" s="74">
        <f t="shared" si="46"/>
        <v>174835</v>
      </c>
      <c r="H50" s="74">
        <f t="shared" si="46"/>
        <v>0</v>
      </c>
      <c r="I50" s="74">
        <f t="shared" si="46"/>
        <v>329055</v>
      </c>
      <c r="J50" s="74">
        <f t="shared" si="46"/>
        <v>305578</v>
      </c>
      <c r="K50" s="64">
        <f>IFERROR(F50/G50-1,"n/a")</f>
        <v>0.95845797466182403</v>
      </c>
      <c r="L50" s="64" t="str">
        <f t="shared" si="47"/>
        <v>n/a</v>
      </c>
      <c r="M50" s="64">
        <f t="shared" si="48"/>
        <v>4.0576803269970041E-2</v>
      </c>
      <c r="N50" s="60">
        <f t="shared" si="49"/>
        <v>0.12052241980770861</v>
      </c>
      <c r="O50" s="109"/>
      <c r="P50" s="70">
        <f>+O23-'Mar-22'!M20+'Dec-22'!M23</f>
        <v>3358708</v>
      </c>
      <c r="Q50" s="70">
        <f>+P23-'Mar-22'!N20+'Dec-22'!N23</f>
        <v>1007102</v>
      </c>
      <c r="R50" s="70">
        <f>+Q23-'Mar-22'!O20+'Dec-22'!O23</f>
        <v>0</v>
      </c>
      <c r="S50" s="70">
        <f>+R23-'Mar-22'!P20+'Dec-22'!P23</f>
        <v>3479798</v>
      </c>
      <c r="T50" s="108"/>
      <c r="U50" s="64">
        <f t="shared" si="50"/>
        <v>2.3350226690047284</v>
      </c>
      <c r="V50" s="64" t="str">
        <f t="shared" si="51"/>
        <v>n/a</v>
      </c>
      <c r="W50" s="60">
        <f t="shared" si="52"/>
        <v>-3.4797996895222116E-2</v>
      </c>
      <c r="X50" s="82"/>
      <c r="Y50" s="82">
        <v>1290779</v>
      </c>
      <c r="Z50" s="84">
        <v>833999</v>
      </c>
      <c r="AA50" s="78">
        <v>3627458</v>
      </c>
      <c r="AB50" s="9"/>
    </row>
    <row r="51" spans="1:28">
      <c r="A51" s="9"/>
      <c r="B51" s="9"/>
      <c r="C51" s="31" t="s">
        <v>16</v>
      </c>
      <c r="D51" s="26"/>
      <c r="E51" s="32"/>
      <c r="F51" s="72"/>
      <c r="G51" s="72"/>
      <c r="H51" s="72"/>
      <c r="I51" s="72"/>
      <c r="J51" s="72"/>
      <c r="K51" s="64"/>
      <c r="L51" s="64"/>
      <c r="M51" s="64"/>
      <c r="N51" s="60"/>
      <c r="O51" s="110"/>
      <c r="P51" s="87"/>
      <c r="Q51" s="87"/>
      <c r="R51" s="87"/>
      <c r="S51" s="87"/>
      <c r="T51" s="110"/>
      <c r="U51" s="64"/>
      <c r="V51" s="64"/>
      <c r="W51" s="60"/>
      <c r="X51" s="90"/>
      <c r="Y51" s="90"/>
      <c r="Z51" s="44"/>
      <c r="AA51" s="79"/>
      <c r="AB51" s="9"/>
    </row>
    <row r="52" spans="1:28">
      <c r="A52" s="9"/>
      <c r="B52" s="9"/>
      <c r="C52" s="33"/>
      <c r="D52" s="26" t="s">
        <v>5</v>
      </c>
      <c r="E52" s="32"/>
      <c r="F52" s="74">
        <f t="shared" ref="F52:J53" si="53">F25</f>
        <v>5</v>
      </c>
      <c r="G52" s="74">
        <f t="shared" si="53"/>
        <v>6</v>
      </c>
      <c r="H52" s="74">
        <f t="shared" si="53"/>
        <v>4</v>
      </c>
      <c r="I52" s="74">
        <f t="shared" si="53"/>
        <v>3</v>
      </c>
      <c r="J52" s="74">
        <f t="shared" si="53"/>
        <v>7</v>
      </c>
      <c r="K52" s="64">
        <f>IFERROR(F52/G52-1,"n/a")</f>
        <v>-0.16666666666666663</v>
      </c>
      <c r="L52" s="64">
        <f t="shared" ref="L52:L53" si="54">IFERROR(F52/H52-1,"n/a")</f>
        <v>0.25</v>
      </c>
      <c r="M52" s="64">
        <f t="shared" ref="M52:M53" si="55">IFERROR(F52/I52-1,"n/a")</f>
        <v>0.66666666666666674</v>
      </c>
      <c r="N52" s="60">
        <f t="shared" ref="N52:N53" si="56">IFERROR(F52/J52-1,"n/a")</f>
        <v>-0.2857142857142857</v>
      </c>
      <c r="O52" s="108"/>
      <c r="P52" s="70">
        <f>+O25-'Mar-22'!M22+'Dec-22'!M25</f>
        <v>269</v>
      </c>
      <c r="Q52" s="70">
        <f>+P25-'Mar-22'!N22+'Dec-22'!N25</f>
        <v>107</v>
      </c>
      <c r="R52" s="70">
        <f>+Q25-'Mar-22'!O22+'Dec-22'!O25</f>
        <v>28</v>
      </c>
      <c r="S52" s="70">
        <f>+R25-'Mar-22'!P22+'Dec-22'!P25</f>
        <v>360</v>
      </c>
      <c r="T52" s="108"/>
      <c r="U52" s="64">
        <f t="shared" ref="U52:U53" si="57">IFERROR(P52/Q52-1,"n/a")</f>
        <v>1.514018691588785</v>
      </c>
      <c r="V52" s="64">
        <f t="shared" ref="V52:V53" si="58">IFERROR(P52/R52-1,"n/a")</f>
        <v>8.6071428571428577</v>
      </c>
      <c r="W52" s="60">
        <f t="shared" ref="W52:W53" si="59">IFERROR(P52/S52-1,"n/a")</f>
        <v>-0.25277777777777777</v>
      </c>
      <c r="X52" s="89"/>
      <c r="Y52" s="89">
        <v>121</v>
      </c>
      <c r="Z52" s="70">
        <v>41</v>
      </c>
      <c r="AA52" s="78">
        <v>361</v>
      </c>
      <c r="AB52" s="9"/>
    </row>
    <row r="53" spans="1:28">
      <c r="A53" s="9"/>
      <c r="B53" s="9"/>
      <c r="C53" s="33"/>
      <c r="D53" s="26" t="s">
        <v>11</v>
      </c>
      <c r="E53" s="32"/>
      <c r="F53" s="74">
        <f t="shared" si="53"/>
        <v>21884</v>
      </c>
      <c r="G53" s="74">
        <f t="shared" si="53"/>
        <v>5662</v>
      </c>
      <c r="H53" s="74">
        <f t="shared" si="53"/>
        <v>4030</v>
      </c>
      <c r="I53" s="74">
        <f t="shared" si="53"/>
        <v>16515</v>
      </c>
      <c r="J53" s="74">
        <f t="shared" si="53"/>
        <v>24890</v>
      </c>
      <c r="K53" s="64">
        <f>IFERROR(F53/G53-1,"n/a")</f>
        <v>2.8650653479335926</v>
      </c>
      <c r="L53" s="64">
        <f t="shared" si="54"/>
        <v>4.4302729528535982</v>
      </c>
      <c r="M53" s="64">
        <f t="shared" si="55"/>
        <v>0.32509839539812302</v>
      </c>
      <c r="N53" s="60">
        <f t="shared" si="56"/>
        <v>-0.12077139413419047</v>
      </c>
      <c r="O53" s="109"/>
      <c r="P53" s="70">
        <f>+O26-'Mar-22'!M23+'Dec-22'!M26</f>
        <v>540613</v>
      </c>
      <c r="Q53" s="70">
        <f>+P26-'Mar-22'!N23+'Dec-22'!N26</f>
        <v>146532</v>
      </c>
      <c r="R53" s="70">
        <f>+Q26-'Mar-22'!O23+'Dec-22'!O26</f>
        <v>23633</v>
      </c>
      <c r="S53" s="70">
        <f>+R26-'Mar-22'!P23+'Dec-22'!P26</f>
        <v>865396</v>
      </c>
      <c r="T53" s="108"/>
      <c r="U53" s="64">
        <f t="shared" si="57"/>
        <v>2.689385253732973</v>
      </c>
      <c r="V53" s="64">
        <f t="shared" si="58"/>
        <v>21.875343798925233</v>
      </c>
      <c r="W53" s="60">
        <f t="shared" si="59"/>
        <v>-0.37529986272180593</v>
      </c>
      <c r="X53" s="82"/>
      <c r="Y53" s="82">
        <v>165689</v>
      </c>
      <c r="Z53" s="84">
        <v>67144</v>
      </c>
      <c r="AA53" s="78">
        <v>865961</v>
      </c>
      <c r="AB53" s="9"/>
    </row>
    <row r="54" spans="1:28">
      <c r="C54" s="31" t="s">
        <v>17</v>
      </c>
      <c r="D54" s="26"/>
      <c r="E54" s="32"/>
      <c r="F54" s="72"/>
      <c r="G54" s="72"/>
      <c r="H54" s="72"/>
      <c r="I54" s="72"/>
      <c r="J54" s="72"/>
      <c r="K54" s="64"/>
      <c r="L54" s="64"/>
      <c r="M54" s="64"/>
      <c r="N54" s="60"/>
      <c r="O54" s="110"/>
      <c r="P54" s="87"/>
      <c r="Q54" s="87"/>
      <c r="R54" s="87"/>
      <c r="S54" s="87"/>
      <c r="T54" s="110"/>
      <c r="U54" s="64"/>
      <c r="V54" s="64"/>
      <c r="W54" s="60"/>
      <c r="X54" s="90"/>
      <c r="Y54" s="90"/>
      <c r="Z54" s="44"/>
      <c r="AA54" s="79"/>
      <c r="AB54" s="9"/>
    </row>
    <row r="55" spans="1:28">
      <c r="C55" s="33"/>
      <c r="D55" s="26" t="s">
        <v>5</v>
      </c>
      <c r="E55" s="32"/>
      <c r="F55" s="74">
        <f t="shared" ref="F55:J56" si="60">F28</f>
        <v>57</v>
      </c>
      <c r="G55" s="74">
        <f t="shared" si="60"/>
        <v>1</v>
      </c>
      <c r="H55" s="74">
        <f t="shared" si="60"/>
        <v>1</v>
      </c>
      <c r="I55" s="74">
        <f t="shared" si="60"/>
        <v>1</v>
      </c>
      <c r="J55" s="74">
        <f t="shared" si="60"/>
        <v>2</v>
      </c>
      <c r="K55" s="64">
        <f>IFERROR(F55/G55-1,"n/a")</f>
        <v>56</v>
      </c>
      <c r="L55" s="64">
        <f t="shared" ref="L55:L58" si="61">IFERROR(F55/H55-1,"n/a")</f>
        <v>56</v>
      </c>
      <c r="M55" s="64">
        <f t="shared" ref="M55:M58" si="62">IFERROR(F55/I55-1,"n/a")</f>
        <v>56</v>
      </c>
      <c r="N55" s="60">
        <f t="shared" ref="N55:N58" si="63">IFERROR(F55/J55-1,"n/a")</f>
        <v>27.5</v>
      </c>
      <c r="O55" s="108"/>
      <c r="P55" s="70">
        <f>+O28-'Mar-22'!M25+'Dec-22'!M28</f>
        <v>730</v>
      </c>
      <c r="Q55" s="70">
        <f>+P28-'Mar-22'!N25+'Dec-22'!N28</f>
        <v>125</v>
      </c>
      <c r="R55" s="70">
        <f>+Q28-'Mar-22'!O25+'Dec-22'!O28</f>
        <v>38</v>
      </c>
      <c r="S55" s="70">
        <f>+R28-'Mar-22'!P25+'Dec-22'!P28</f>
        <v>360</v>
      </c>
      <c r="T55" s="108"/>
      <c r="U55" s="64">
        <f t="shared" ref="U55" si="64">IFERROR(P55/Q55-1,"n/a")</f>
        <v>4.84</v>
      </c>
      <c r="V55" s="64">
        <f t="shared" ref="V55" si="65">IFERROR(P55/R55-1,"n/a")</f>
        <v>18.210526315789473</v>
      </c>
      <c r="W55" s="60">
        <f t="shared" ref="W55" si="66">IFERROR(P55/S55-1,"n/a")</f>
        <v>1.0277777777777777</v>
      </c>
      <c r="X55" s="89"/>
      <c r="Y55" s="89">
        <v>140</v>
      </c>
      <c r="Z55" s="70">
        <v>40</v>
      </c>
      <c r="AA55" s="78">
        <v>360</v>
      </c>
      <c r="AB55" s="9"/>
    </row>
    <row r="56" spans="1:28">
      <c r="C56" s="33"/>
      <c r="D56" s="26" t="s">
        <v>11</v>
      </c>
      <c r="E56" s="32"/>
      <c r="F56" s="74">
        <f t="shared" si="60"/>
        <v>185856</v>
      </c>
      <c r="G56" s="74">
        <f t="shared" si="60"/>
        <v>1983</v>
      </c>
      <c r="H56" s="74">
        <f t="shared" si="60"/>
        <v>639</v>
      </c>
      <c r="I56" s="74">
        <f t="shared" si="60"/>
        <v>892</v>
      </c>
      <c r="J56" s="74">
        <f t="shared" si="60"/>
        <v>3305</v>
      </c>
      <c r="K56" s="64">
        <f>IFERROR(F56/G56-1,"n/a")</f>
        <v>92.724659606656587</v>
      </c>
      <c r="L56" s="64">
        <f t="shared" si="61"/>
        <v>289.85446009389671</v>
      </c>
      <c r="M56" s="64">
        <f t="shared" si="62"/>
        <v>207.35874439461884</v>
      </c>
      <c r="N56" s="60">
        <f t="shared" si="63"/>
        <v>55.234795763993951</v>
      </c>
      <c r="O56" s="109"/>
      <c r="P56" s="82">
        <f>+O29-'Mar-22'!M26+'Dec-22'!M29</f>
        <v>1491917</v>
      </c>
      <c r="Q56" s="82">
        <f>+P29-'Mar-22'!N26+'Dec-22'!N29</f>
        <v>164927</v>
      </c>
      <c r="R56" s="82">
        <f>+Q29-'Mar-22'!O26+'Dec-22'!O29</f>
        <v>29453</v>
      </c>
      <c r="S56" s="82">
        <f>+R29-'Mar-22'!P26+'Dec-22'!P29</f>
        <v>861947</v>
      </c>
      <c r="T56" s="109"/>
      <c r="U56" s="64">
        <f>IFERROR(P56/Q56-1,"n/a")</f>
        <v>8.0459233479054362</v>
      </c>
      <c r="V56" s="64">
        <f>IFERROR(P56/R56-1,"n/a")</f>
        <v>49.654160866465219</v>
      </c>
      <c r="W56" s="60">
        <f>IFERROR(P56/S56-1,"n/a")</f>
        <v>0.73086860328999337</v>
      </c>
      <c r="X56" s="82"/>
      <c r="Y56" s="82">
        <v>174336</v>
      </c>
      <c r="Z56" s="84">
        <v>21928</v>
      </c>
      <c r="AA56" s="78">
        <f>706948+155011</f>
        <v>861959</v>
      </c>
      <c r="AB56" s="9"/>
    </row>
    <row r="57" spans="1:28" ht="15" thickBot="1">
      <c r="C57" s="35" t="s">
        <v>12</v>
      </c>
      <c r="D57" s="36"/>
      <c r="E57" s="37"/>
      <c r="F57" s="75">
        <f t="shared" ref="F57:J58" si="67">F40+F43+F46+F49+F52+F55</f>
        <v>242</v>
      </c>
      <c r="G57" s="75">
        <f t="shared" si="67"/>
        <v>184</v>
      </c>
      <c r="H57" s="75">
        <f t="shared" si="67"/>
        <v>5</v>
      </c>
      <c r="I57" s="75">
        <f t="shared" si="67"/>
        <v>193</v>
      </c>
      <c r="J57" s="75">
        <f t="shared" si="67"/>
        <v>188</v>
      </c>
      <c r="K57" s="66">
        <f>IFERROR(F57/G57-1,"n/a")</f>
        <v>0.31521739130434789</v>
      </c>
      <c r="L57" s="66">
        <f t="shared" si="61"/>
        <v>47.4</v>
      </c>
      <c r="M57" s="66">
        <f t="shared" si="62"/>
        <v>0.25388601036269431</v>
      </c>
      <c r="N57" s="62">
        <f t="shared" si="63"/>
        <v>0.2872340425531914</v>
      </c>
      <c r="O57" s="46"/>
      <c r="P57" s="46">
        <f t="shared" ref="P57:S58" si="68">P40+P43+P46+P49+P52+P55</f>
        <v>3540</v>
      </c>
      <c r="Q57" s="46">
        <f t="shared" si="68"/>
        <v>1420</v>
      </c>
      <c r="R57" s="46">
        <f t="shared" si="68"/>
        <v>109</v>
      </c>
      <c r="S57" s="46">
        <f t="shared" si="68"/>
        <v>3114</v>
      </c>
      <c r="T57" s="46"/>
      <c r="U57" s="66">
        <f>IFERROR(P57/Q57-1,"n/a")</f>
        <v>1.492957746478873</v>
      </c>
      <c r="V57" s="66">
        <f>IFERROR(P57/R57-1,"n/a")</f>
        <v>31.477064220183486</v>
      </c>
      <c r="W57" s="62">
        <f>IFERROR(P57/S57-1,"n/a")</f>
        <v>0.1368015414258188</v>
      </c>
      <c r="X57" s="46"/>
      <c r="Y57" s="46">
        <f t="shared" ref="Y57" si="69">Y40+Y43+Y46+Y49+Y52+Y55</f>
        <v>1682</v>
      </c>
      <c r="Z57" s="46">
        <f t="shared" ref="Z57:AA58" si="70">Z40+Z43+Z46+Z49+Z52+Z55</f>
        <v>679</v>
      </c>
      <c r="AA57" s="80">
        <f t="shared" si="70"/>
        <v>3274</v>
      </c>
      <c r="AB57" s="9"/>
    </row>
    <row r="58" spans="1:28" ht="15.6" thickTop="1" thickBot="1">
      <c r="C58" s="38" t="s">
        <v>13</v>
      </c>
      <c r="D58" s="39"/>
      <c r="E58" s="40"/>
      <c r="F58" s="76">
        <f t="shared" si="67"/>
        <v>723641</v>
      </c>
      <c r="G58" s="76">
        <f t="shared" si="67"/>
        <v>241516</v>
      </c>
      <c r="H58" s="76">
        <f t="shared" si="67"/>
        <v>4669</v>
      </c>
      <c r="I58" s="76">
        <f t="shared" si="67"/>
        <v>494948</v>
      </c>
      <c r="J58" s="76">
        <f t="shared" si="67"/>
        <v>513727</v>
      </c>
      <c r="K58" s="67">
        <f>IFERROR(F58/G58-1,"n/a")</f>
        <v>1.9962445552261547</v>
      </c>
      <c r="L58" s="67">
        <f t="shared" si="61"/>
        <v>153.98843435425144</v>
      </c>
      <c r="M58" s="67">
        <f t="shared" si="62"/>
        <v>0.46205459967511731</v>
      </c>
      <c r="N58" s="63">
        <f t="shared" si="63"/>
        <v>0.40861002049726802</v>
      </c>
      <c r="O58" s="47"/>
      <c r="P58" s="47">
        <f t="shared" si="68"/>
        <v>8316425</v>
      </c>
      <c r="Q58" s="47">
        <f t="shared" si="68"/>
        <v>2005616</v>
      </c>
      <c r="R58" s="47">
        <f t="shared" si="68"/>
        <v>53197</v>
      </c>
      <c r="S58" s="47">
        <f t="shared" si="68"/>
        <v>8428481</v>
      </c>
      <c r="T58" s="47"/>
      <c r="U58" s="67">
        <f>IFERROR(P58/Q58-1,"n/a")</f>
        <v>3.1465689344321151</v>
      </c>
      <c r="V58" s="67">
        <f>IFERROR(P58/R58-1,"n/a")</f>
        <v>155.33259394326748</v>
      </c>
      <c r="W58" s="63">
        <f>IFERROR(P58/S58-1,"n/a")</f>
        <v>-1.3294922299759593E-2</v>
      </c>
      <c r="X58" s="47"/>
      <c r="Y58" s="47">
        <f t="shared" ref="Y58" si="71">Y41+Y44+Y47+Y50+Y53+Y56</f>
        <v>2411641</v>
      </c>
      <c r="Z58" s="47">
        <f t="shared" si="70"/>
        <v>1324261</v>
      </c>
      <c r="AA58" s="81">
        <f t="shared" si="70"/>
        <v>8654686</v>
      </c>
      <c r="AB58" s="9"/>
    </row>
    <row r="59" spans="1:28" ht="15" thickTop="1">
      <c r="AB59" s="9"/>
    </row>
    <row r="60" spans="1:28">
      <c r="P60" s="111"/>
      <c r="Q60" s="111"/>
      <c r="R60" s="111"/>
      <c r="S60" s="111"/>
      <c r="AB60" s="9"/>
    </row>
    <row r="61" spans="1:28">
      <c r="P61" s="111"/>
      <c r="Q61" s="111"/>
      <c r="R61" s="111"/>
      <c r="S61" s="111"/>
      <c r="AB61" s="9"/>
    </row>
    <row r="62" spans="1:28" hidden="1">
      <c r="P62" s="111"/>
      <c r="Q62" s="111"/>
      <c r="R62" s="111"/>
      <c r="S62" s="111"/>
      <c r="AB62" s="9"/>
    </row>
    <row r="63" spans="1:28" hidden="1">
      <c r="P63" s="111"/>
      <c r="Q63" s="111"/>
      <c r="R63" s="111"/>
      <c r="S63" s="111"/>
      <c r="AB63" s="9"/>
    </row>
    <row r="64" spans="1:28" hidden="1">
      <c r="AB64" s="9"/>
    </row>
    <row r="65" spans="28:28" hidden="1">
      <c r="AB65" s="9"/>
    </row>
    <row r="66" spans="28:28" hidden="1">
      <c r="AB66" s="9"/>
    </row>
  </sheetData>
  <mergeCells count="6">
    <mergeCell ref="F9:N9"/>
    <mergeCell ref="O9:W9"/>
    <mergeCell ref="X9:AA9"/>
    <mergeCell ref="F36:N36"/>
    <mergeCell ref="O36:W36"/>
    <mergeCell ref="X36:AA36"/>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Y68"/>
  <sheetViews>
    <sheetView showGridLines="0" topLeftCell="A24" zoomScaleNormal="100" zoomScalePageLayoutView="40" workbookViewId="0">
      <selection activeCell="P40" sqref="P40"/>
    </sheetView>
  </sheetViews>
  <sheetFormatPr defaultColWidth="0" defaultRowHeight="0" customHeight="1" zeroHeight="1"/>
  <cols>
    <col min="1" max="3" width="2.5546875" customWidth="1"/>
    <col min="4" max="4" width="9.109375" customWidth="1"/>
    <col min="5" max="7" width="15.44140625" customWidth="1"/>
    <col min="8" max="9" width="11.109375" bestFit="1" customWidth="1"/>
    <col min="10" max="10" width="10.5546875" bestFit="1" customWidth="1"/>
    <col min="11" max="11" width="9.33203125" customWidth="1"/>
    <col min="12" max="12" width="9" bestFit="1" customWidth="1"/>
    <col min="13" max="14" width="9.109375" customWidth="1"/>
    <col min="15" max="15" width="11" bestFit="1" customWidth="1"/>
    <col min="16" max="16" width="11" customWidth="1"/>
    <col min="17" max="17" width="10.33203125" bestFit="1" customWidth="1"/>
    <col min="18" max="18" width="12.33203125" bestFit="1" customWidth="1"/>
    <col min="19" max="19" width="11.44140625" customWidth="1"/>
    <col min="20" max="20" width="9.6640625" customWidth="1"/>
    <col min="21" max="21" width="8.6640625" customWidth="1"/>
    <col min="22" max="22" width="9.109375" bestFit="1" customWidth="1"/>
    <col min="23" max="23" width="8.6640625" customWidth="1"/>
    <col min="24" max="24" width="10.44140625" bestFit="1" customWidth="1"/>
    <col min="25" max="25" width="10.44140625" customWidth="1"/>
    <col min="26" max="26" width="10.44140625" bestFit="1" customWidth="1"/>
    <col min="27" max="27" width="11.33203125" bestFit="1" customWidth="1"/>
    <col min="28" max="28" width="3.33203125" style="9" customWidth="1"/>
    <col min="29" max="43" width="0" style="9" hidden="1" customWidth="1"/>
    <col min="44" max="51" width="0" hidden="1" customWidth="1"/>
    <col min="52" max="16384" width="9.109375" hidden="1"/>
  </cols>
  <sheetData>
    <row r="1" spans="1:43" ht="14.4">
      <c r="A1" s="9"/>
      <c r="B1" s="9"/>
      <c r="C1" s="9"/>
      <c r="D1" s="9"/>
      <c r="E1" s="9"/>
      <c r="F1" s="9"/>
      <c r="G1" s="9"/>
      <c r="H1" s="9"/>
      <c r="I1" s="9"/>
      <c r="J1" s="9"/>
      <c r="K1" s="9"/>
      <c r="L1" s="9"/>
      <c r="M1" s="9"/>
      <c r="N1" s="9"/>
      <c r="O1" s="9"/>
      <c r="P1" s="9"/>
      <c r="Q1" s="9"/>
      <c r="R1" s="9"/>
      <c r="S1" s="9"/>
      <c r="T1" s="9"/>
      <c r="U1" s="9"/>
      <c r="V1" s="9"/>
      <c r="W1" s="9"/>
      <c r="X1" s="9"/>
      <c r="Y1" s="9"/>
      <c r="Z1" s="9"/>
      <c r="AA1" s="9"/>
    </row>
    <row r="2" spans="1:43" ht="18.60000000000000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row>
    <row r="3" spans="1:43" ht="14.4">
      <c r="A3" s="9"/>
      <c r="B3" s="10"/>
      <c r="C3" s="24"/>
      <c r="D3" s="24"/>
      <c r="E3" s="24"/>
      <c r="F3" s="24"/>
      <c r="G3" s="24"/>
      <c r="H3" s="24"/>
      <c r="I3" s="24"/>
      <c r="J3" s="24"/>
      <c r="K3" s="24"/>
      <c r="L3" s="24"/>
      <c r="M3" s="24"/>
      <c r="N3" s="24"/>
      <c r="O3" s="24"/>
      <c r="P3" s="24"/>
      <c r="Q3" s="24"/>
      <c r="R3" s="24"/>
      <c r="S3" s="24"/>
      <c r="T3" s="24"/>
      <c r="U3" s="24"/>
      <c r="V3" s="24"/>
      <c r="W3" s="24"/>
      <c r="X3" s="24"/>
      <c r="Y3" s="24"/>
      <c r="Z3" s="24"/>
      <c r="AA3" s="25">
        <v>44972</v>
      </c>
    </row>
    <row r="4" spans="1:43" ht="16.2">
      <c r="A4" s="9"/>
      <c r="B4" s="11" t="s">
        <v>7</v>
      </c>
      <c r="C4" s="26"/>
      <c r="D4" s="24"/>
      <c r="E4" s="58" t="s">
        <v>100</v>
      </c>
      <c r="F4" s="24"/>
      <c r="G4" s="24"/>
      <c r="H4" s="24"/>
      <c r="I4" s="24"/>
      <c r="J4" s="24"/>
      <c r="K4" s="24"/>
      <c r="L4" s="24"/>
      <c r="M4" s="24"/>
      <c r="N4" s="24"/>
      <c r="O4" s="24"/>
      <c r="P4" s="24"/>
      <c r="Q4" s="24"/>
      <c r="R4" s="24"/>
      <c r="S4" s="24"/>
      <c r="T4" s="24"/>
      <c r="U4" s="24"/>
      <c r="V4" s="24"/>
      <c r="W4" s="24"/>
      <c r="X4" s="24"/>
      <c r="Y4" s="24"/>
      <c r="Z4" s="24"/>
      <c r="AA4" s="24"/>
    </row>
    <row r="5" spans="1:43" ht="14.4">
      <c r="A5" s="9"/>
      <c r="B5" s="10"/>
      <c r="C5" s="24"/>
      <c r="D5" s="24"/>
      <c r="E5" s="24"/>
      <c r="F5" s="24"/>
      <c r="G5" s="24"/>
      <c r="H5" s="24"/>
      <c r="I5" s="24"/>
      <c r="J5" s="24"/>
      <c r="K5" s="24"/>
      <c r="L5" s="24"/>
      <c r="M5" s="24"/>
      <c r="N5" s="24"/>
      <c r="O5" s="24"/>
      <c r="P5" s="24"/>
      <c r="Q5" s="24"/>
      <c r="R5" s="24"/>
      <c r="S5" s="24"/>
      <c r="T5" s="24"/>
      <c r="U5" s="24"/>
      <c r="V5" s="24"/>
      <c r="W5" s="24"/>
      <c r="X5" s="24"/>
      <c r="Y5" s="24"/>
      <c r="Z5" s="24"/>
      <c r="AA5" s="24"/>
    </row>
    <row r="6" spans="1:43" ht="14.4">
      <c r="A6" s="9"/>
      <c r="B6" s="10"/>
      <c r="C6" s="24"/>
      <c r="D6" s="24"/>
      <c r="E6" s="24"/>
      <c r="F6" s="24"/>
      <c r="G6" s="24"/>
      <c r="H6" s="24"/>
      <c r="I6" s="24"/>
      <c r="J6" s="24"/>
      <c r="K6" s="24"/>
      <c r="L6" s="24"/>
      <c r="M6" s="24"/>
      <c r="N6" s="24"/>
      <c r="O6" s="24"/>
      <c r="P6" s="24"/>
      <c r="Q6" s="24"/>
      <c r="R6" s="24"/>
      <c r="S6" s="24"/>
      <c r="T6" s="24"/>
      <c r="U6" s="24"/>
      <c r="V6" s="24"/>
      <c r="W6" s="24"/>
      <c r="X6" s="24"/>
      <c r="Y6" s="24"/>
      <c r="Z6" s="24"/>
      <c r="AA6" s="24"/>
    </row>
    <row r="7" spans="1:43"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row>
    <row r="8" spans="1:43" ht="14.4">
      <c r="A8" s="9"/>
      <c r="B8" s="10"/>
      <c r="C8" s="24"/>
      <c r="D8" s="24"/>
      <c r="E8" s="24"/>
      <c r="F8" s="24"/>
      <c r="G8" s="24"/>
      <c r="H8" s="24"/>
      <c r="I8" s="24"/>
      <c r="J8" s="24"/>
      <c r="K8" s="24"/>
      <c r="L8" s="24"/>
      <c r="M8" s="24"/>
      <c r="N8" s="24"/>
      <c r="O8" s="24"/>
      <c r="P8" s="24"/>
      <c r="Q8" s="24"/>
      <c r="R8" s="24"/>
      <c r="S8" s="24"/>
      <c r="T8" s="24"/>
      <c r="U8" s="24"/>
      <c r="V8" s="24"/>
      <c r="W8" s="24"/>
      <c r="X8" s="24"/>
      <c r="Y8" s="24"/>
      <c r="Z8" s="24"/>
      <c r="AA8" s="24"/>
    </row>
    <row r="9" spans="1:43" s="20" customFormat="1" ht="14.4">
      <c r="A9" s="9"/>
      <c r="B9"/>
      <c r="C9" s="27" t="s">
        <v>7</v>
      </c>
      <c r="D9" s="28"/>
      <c r="E9" s="28"/>
      <c r="F9" s="128" t="s">
        <v>33</v>
      </c>
      <c r="G9" s="128"/>
      <c r="H9" s="128"/>
      <c r="I9" s="128"/>
      <c r="J9" s="128"/>
      <c r="K9" s="128"/>
      <c r="L9" s="128"/>
      <c r="M9" s="128"/>
      <c r="N9" s="129"/>
      <c r="O9" s="130" t="s">
        <v>33</v>
      </c>
      <c r="P9" s="128"/>
      <c r="Q9" s="128"/>
      <c r="R9" s="128"/>
      <c r="S9" s="128"/>
      <c r="T9" s="128"/>
      <c r="U9" s="128"/>
      <c r="V9" s="128"/>
      <c r="W9" s="129"/>
      <c r="X9" s="130" t="s">
        <v>57</v>
      </c>
      <c r="Y9" s="128"/>
      <c r="Z9" s="128"/>
      <c r="AA9" s="131"/>
      <c r="AB9" s="9"/>
      <c r="AC9" s="19"/>
      <c r="AD9" s="19"/>
      <c r="AE9" s="19"/>
      <c r="AF9" s="19"/>
      <c r="AG9" s="19"/>
      <c r="AH9" s="19"/>
      <c r="AI9" s="19"/>
      <c r="AJ9" s="19"/>
      <c r="AK9" s="19"/>
      <c r="AL9" s="19"/>
      <c r="AM9" s="19"/>
      <c r="AN9" s="19"/>
      <c r="AO9" s="19"/>
      <c r="AP9" s="19"/>
      <c r="AQ9" s="19"/>
    </row>
    <row r="10" spans="1:43" ht="14.4">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row>
    <row r="11" spans="1:43" s="54" customFormat="1" ht="27" customHeight="1">
      <c r="A11" s="48"/>
      <c r="B11" s="49"/>
      <c r="C11" s="59" t="s">
        <v>29</v>
      </c>
      <c r="D11" s="50"/>
      <c r="E11" s="51"/>
      <c r="F11" s="55">
        <v>2023</v>
      </c>
      <c r="G11" s="52">
        <v>2022</v>
      </c>
      <c r="H11" s="52">
        <v>2021</v>
      </c>
      <c r="I11" s="52">
        <v>2020</v>
      </c>
      <c r="J11" s="52">
        <v>2019</v>
      </c>
      <c r="K11" s="53" t="s">
        <v>66</v>
      </c>
      <c r="L11" s="53" t="s">
        <v>67</v>
      </c>
      <c r="M11" s="53" t="s">
        <v>68</v>
      </c>
      <c r="N11" s="57" t="s">
        <v>102</v>
      </c>
      <c r="O11" s="53">
        <v>2023</v>
      </c>
      <c r="P11" s="53">
        <v>2022</v>
      </c>
      <c r="Q11" s="52">
        <v>2021</v>
      </c>
      <c r="R11" s="52">
        <v>2020</v>
      </c>
      <c r="S11" s="52">
        <v>2019</v>
      </c>
      <c r="T11" s="53" t="s">
        <v>66</v>
      </c>
      <c r="U11" s="53" t="s">
        <v>67</v>
      </c>
      <c r="V11" s="53" t="s">
        <v>68</v>
      </c>
      <c r="W11" s="57" t="s">
        <v>102</v>
      </c>
      <c r="X11" s="53">
        <v>2022</v>
      </c>
      <c r="Y11" s="53">
        <v>2021</v>
      </c>
      <c r="Z11" s="52">
        <v>2020</v>
      </c>
      <c r="AA11" s="77">
        <v>2019</v>
      </c>
      <c r="AB11" s="48"/>
      <c r="AC11" s="48"/>
      <c r="AD11" s="48"/>
      <c r="AE11" s="48"/>
      <c r="AF11" s="48"/>
      <c r="AG11" s="48"/>
      <c r="AH11" s="48"/>
      <c r="AI11" s="48"/>
      <c r="AJ11" s="48"/>
      <c r="AK11" s="48"/>
      <c r="AL11" s="48"/>
      <c r="AM11" s="48"/>
      <c r="AN11" s="48"/>
      <c r="AO11" s="48"/>
      <c r="AP11" s="48"/>
      <c r="AQ11" s="48"/>
    </row>
    <row r="12" spans="1:43" ht="14.4">
      <c r="A12" s="9"/>
      <c r="B12" s="12"/>
      <c r="C12" s="31" t="s">
        <v>14</v>
      </c>
      <c r="D12" s="26"/>
      <c r="E12" s="32"/>
      <c r="F12" s="26"/>
      <c r="G12" s="26"/>
      <c r="H12" s="26"/>
      <c r="I12" s="26"/>
      <c r="J12" s="26"/>
      <c r="K12" s="26"/>
      <c r="L12" s="26"/>
      <c r="M12" s="26"/>
      <c r="N12" s="32"/>
      <c r="O12" s="26"/>
      <c r="P12" s="26"/>
      <c r="Q12" s="26"/>
      <c r="R12" s="26"/>
      <c r="S12" s="26"/>
      <c r="T12" s="26"/>
      <c r="U12" s="26"/>
      <c r="V12" s="26"/>
      <c r="W12" s="32"/>
      <c r="X12" s="26"/>
      <c r="Y12" s="26"/>
      <c r="Z12" s="26"/>
      <c r="AA12" s="32"/>
    </row>
    <row r="13" spans="1:43" ht="14.4">
      <c r="A13" s="9"/>
      <c r="B13" s="12"/>
      <c r="C13" s="33"/>
      <c r="D13" s="26" t="s">
        <v>5</v>
      </c>
      <c r="E13" s="32"/>
      <c r="F13" s="74">
        <v>68</v>
      </c>
      <c r="G13" s="71">
        <v>64</v>
      </c>
      <c r="H13" s="71">
        <v>0</v>
      </c>
      <c r="I13" s="71">
        <v>61</v>
      </c>
      <c r="J13" s="71">
        <v>76</v>
      </c>
      <c r="K13" s="64">
        <f>IFERROR(F13/G13-1,"n/a")</f>
        <v>6.25E-2</v>
      </c>
      <c r="L13" s="64" t="str">
        <f t="shared" ref="L13:L31" si="0">IFERROR(F13/H13-1,"n/a")</f>
        <v>n/a</v>
      </c>
      <c r="M13" s="64">
        <f>IFERROR(F13/I13-1,"n/a")</f>
        <v>0.11475409836065564</v>
      </c>
      <c r="N13" s="60">
        <f t="shared" ref="N13:N14" si="1">IFERROR(F13/J13-1,"n/a")</f>
        <v>-0.10526315789473684</v>
      </c>
      <c r="O13" s="68">
        <f>F13</f>
        <v>68</v>
      </c>
      <c r="P13" s="68">
        <f t="shared" ref="P13:S14" si="2">G13</f>
        <v>64</v>
      </c>
      <c r="Q13" s="68">
        <f t="shared" si="2"/>
        <v>0</v>
      </c>
      <c r="R13" s="68">
        <f t="shared" si="2"/>
        <v>61</v>
      </c>
      <c r="S13" s="68">
        <f t="shared" si="2"/>
        <v>76</v>
      </c>
      <c r="T13" s="64">
        <f>IFERROR(O13/P13-1,"n/a")</f>
        <v>6.25E-2</v>
      </c>
      <c r="U13" s="64" t="str">
        <f>IFERROR(O13/Q13-1,"n/a")</f>
        <v>n/a</v>
      </c>
      <c r="V13" s="64">
        <f>IFERROR(O13/R13-1,"n/a")</f>
        <v>0.11475409836065564</v>
      </c>
      <c r="W13" s="60">
        <f>IFERROR(O13/S13-1,"n/a")</f>
        <v>-0.10526315789473684</v>
      </c>
      <c r="X13" s="68">
        <v>346</v>
      </c>
      <c r="Y13" s="68">
        <v>111</v>
      </c>
      <c r="Z13" s="70">
        <v>145</v>
      </c>
      <c r="AA13" s="78">
        <v>386</v>
      </c>
    </row>
    <row r="14" spans="1:43" ht="14.4">
      <c r="A14" s="9"/>
      <c r="B14" s="12"/>
      <c r="C14" s="33"/>
      <c r="D14" s="26" t="s">
        <v>11</v>
      </c>
      <c r="E14" s="32"/>
      <c r="F14" s="74">
        <v>115964</v>
      </c>
      <c r="G14" s="71">
        <v>50794</v>
      </c>
      <c r="H14" s="71">
        <v>0</v>
      </c>
      <c r="I14" s="71">
        <v>108796</v>
      </c>
      <c r="J14" s="71">
        <v>156866</v>
      </c>
      <c r="K14" s="64">
        <f>IFERROR(F14/G14-1,"n/a")</f>
        <v>1.2830255541993147</v>
      </c>
      <c r="L14" s="64" t="str">
        <f t="shared" si="0"/>
        <v>n/a</v>
      </c>
      <c r="M14" s="64">
        <f t="shared" ref="M14" si="3">IFERROR(F14/I14-1,"n/a")</f>
        <v>6.5884775175558019E-2</v>
      </c>
      <c r="N14" s="60">
        <f t="shared" si="1"/>
        <v>-0.2607448395445795</v>
      </c>
      <c r="O14" s="68">
        <f>F14</f>
        <v>115964</v>
      </c>
      <c r="P14" s="68">
        <f t="shared" si="2"/>
        <v>50794</v>
      </c>
      <c r="Q14" s="68">
        <f t="shared" si="2"/>
        <v>0</v>
      </c>
      <c r="R14" s="68">
        <f t="shared" si="2"/>
        <v>108796</v>
      </c>
      <c r="S14" s="68">
        <f t="shared" si="2"/>
        <v>156866</v>
      </c>
      <c r="T14" s="64">
        <f>IFERROR(O14/P14-1,"n/a")</f>
        <v>1.2830255541993147</v>
      </c>
      <c r="U14" s="64" t="str">
        <f>IFERROR(O14/Q14-1,"n/a")</f>
        <v>n/a</v>
      </c>
      <c r="V14" s="64">
        <f>IFERROR(O14/R14-1,"n/a")</f>
        <v>6.5884775175558019E-2</v>
      </c>
      <c r="W14" s="60">
        <f>IFERROR(O14/S14-1,"n/a")</f>
        <v>-0.2607448395445795</v>
      </c>
      <c r="X14" s="68">
        <v>380182</v>
      </c>
      <c r="Y14" s="68">
        <v>80863</v>
      </c>
      <c r="Z14" s="70">
        <v>258885</v>
      </c>
      <c r="AA14" s="78">
        <v>733296</v>
      </c>
    </row>
    <row r="15" spans="1:43" ht="14.4">
      <c r="A15" s="9"/>
      <c r="B15" s="12"/>
      <c r="C15" s="31" t="s">
        <v>74</v>
      </c>
      <c r="D15" s="26"/>
      <c r="E15" s="32"/>
      <c r="F15" s="97"/>
      <c r="G15" s="26"/>
      <c r="H15" s="26"/>
      <c r="I15" s="26"/>
      <c r="J15" s="26"/>
      <c r="K15" s="64"/>
      <c r="L15" s="64"/>
      <c r="M15" s="64"/>
      <c r="N15" s="61"/>
      <c r="O15" s="87"/>
      <c r="P15" s="87"/>
      <c r="Q15" s="87"/>
      <c r="R15" s="87"/>
      <c r="S15" s="87"/>
      <c r="T15" s="64"/>
      <c r="U15" s="64"/>
      <c r="V15" s="65"/>
      <c r="W15" s="61"/>
      <c r="X15" s="43"/>
      <c r="Y15" s="43"/>
      <c r="Z15" s="44"/>
      <c r="AA15" s="79"/>
    </row>
    <row r="16" spans="1:43" ht="14.4">
      <c r="A16" s="9"/>
      <c r="B16" s="12"/>
      <c r="C16" s="33"/>
      <c r="D16" s="26" t="s">
        <v>5</v>
      </c>
      <c r="E16" s="32"/>
      <c r="F16" s="74">
        <v>23</v>
      </c>
      <c r="G16" s="71">
        <v>16</v>
      </c>
      <c r="H16" s="71">
        <v>0</v>
      </c>
      <c r="I16" s="71">
        <v>19</v>
      </c>
      <c r="J16" s="71">
        <v>24</v>
      </c>
      <c r="K16" s="64">
        <f>IFERROR(F16/G16-1,"n/a")</f>
        <v>0.4375</v>
      </c>
      <c r="L16" s="64" t="str">
        <f t="shared" si="0"/>
        <v>n/a</v>
      </c>
      <c r="M16" s="64">
        <f t="shared" ref="M16:M17" si="4">IFERROR(F16/I16-1,"n/a")</f>
        <v>0.21052631578947367</v>
      </c>
      <c r="N16" s="60">
        <f t="shared" ref="N16:N17" si="5">IFERROR(F16/J16-1,"n/a")</f>
        <v>-4.166666666666663E-2</v>
      </c>
      <c r="O16" s="68">
        <f t="shared" ref="O16:O17" si="6">F16</f>
        <v>23</v>
      </c>
      <c r="P16" s="68">
        <f t="shared" ref="P16:P17" si="7">G16</f>
        <v>16</v>
      </c>
      <c r="Q16" s="68">
        <f t="shared" ref="Q16:Q17" si="8">H16</f>
        <v>0</v>
      </c>
      <c r="R16" s="68">
        <f t="shared" ref="R16:R17" si="9">I16</f>
        <v>19</v>
      </c>
      <c r="S16" s="68">
        <f t="shared" ref="S16:S17" si="10">J16</f>
        <v>24</v>
      </c>
      <c r="T16" s="64">
        <f>IFERROR(O16/P16-1,"n/a")</f>
        <v>0.4375</v>
      </c>
      <c r="U16" s="64" t="str">
        <f t="shared" ref="U16:U17" si="11">IFERROR(O16/Q16-1,"n/a")</f>
        <v>n/a</v>
      </c>
      <c r="V16" s="64">
        <f t="shared" ref="V16:V17" si="12">IFERROR(O16/R16-1,"n/a")</f>
        <v>0.21052631578947367</v>
      </c>
      <c r="W16" s="60">
        <f t="shared" ref="W16:W17" si="13">IFERROR(O16/S16-1,"n/a")</f>
        <v>-4.166666666666663E-2</v>
      </c>
      <c r="X16" s="68">
        <v>778</v>
      </c>
      <c r="Y16" s="68">
        <v>283</v>
      </c>
      <c r="Z16" s="70">
        <v>43</v>
      </c>
      <c r="AA16" s="78">
        <v>827</v>
      </c>
    </row>
    <row r="17" spans="1:51" ht="14.4">
      <c r="A17" s="9"/>
      <c r="B17" s="12"/>
      <c r="C17" s="33"/>
      <c r="D17" s="26" t="s">
        <v>11</v>
      </c>
      <c r="E17" s="32"/>
      <c r="F17" s="74">
        <v>72958</v>
      </c>
      <c r="G17" s="71">
        <v>21828</v>
      </c>
      <c r="H17" s="71">
        <v>0</v>
      </c>
      <c r="I17" s="71">
        <v>64994</v>
      </c>
      <c r="J17" s="71">
        <v>74523</v>
      </c>
      <c r="K17" s="64">
        <f>IFERROR(F17/G17-1,"n/a")</f>
        <v>2.3424042514201942</v>
      </c>
      <c r="L17" s="64" t="str">
        <f t="shared" si="0"/>
        <v>n/a</v>
      </c>
      <c r="M17" s="64">
        <f t="shared" si="4"/>
        <v>0.1225343877896421</v>
      </c>
      <c r="N17" s="60">
        <f t="shared" si="5"/>
        <v>-2.1000228117493913E-2</v>
      </c>
      <c r="O17" s="68">
        <f t="shared" si="6"/>
        <v>72958</v>
      </c>
      <c r="P17" s="68">
        <f t="shared" si="7"/>
        <v>21828</v>
      </c>
      <c r="Q17" s="68">
        <f t="shared" si="8"/>
        <v>0</v>
      </c>
      <c r="R17" s="68">
        <f t="shared" si="9"/>
        <v>64994</v>
      </c>
      <c r="S17" s="68">
        <f t="shared" si="10"/>
        <v>74523</v>
      </c>
      <c r="T17" s="64">
        <f>IFERROR(O17/P17-1,"n/a")</f>
        <v>2.3424042514201942</v>
      </c>
      <c r="U17" s="64" t="str">
        <f t="shared" si="11"/>
        <v>n/a</v>
      </c>
      <c r="V17" s="64">
        <f t="shared" si="12"/>
        <v>0.1225343877896421</v>
      </c>
      <c r="W17" s="60">
        <f t="shared" si="13"/>
        <v>-2.1000228117493913E-2</v>
      </c>
      <c r="X17" s="68">
        <v>1843624</v>
      </c>
      <c r="Y17" s="68">
        <v>465109</v>
      </c>
      <c r="Z17" s="70">
        <v>140552</v>
      </c>
      <c r="AA17" s="78">
        <v>2552942</v>
      </c>
    </row>
    <row r="18" spans="1:51" ht="14.4">
      <c r="A18" s="9"/>
      <c r="B18" s="12"/>
      <c r="C18" s="31" t="s">
        <v>15</v>
      </c>
      <c r="D18" s="26"/>
      <c r="E18" s="32"/>
      <c r="F18" s="72"/>
      <c r="G18" s="72"/>
      <c r="H18" s="72"/>
      <c r="I18" s="72"/>
      <c r="J18" s="72"/>
      <c r="K18" s="64"/>
      <c r="L18" s="64"/>
      <c r="M18" s="64"/>
      <c r="N18" s="60"/>
      <c r="O18" s="87"/>
      <c r="P18" s="87"/>
      <c r="Q18" s="87"/>
      <c r="R18" s="87"/>
      <c r="S18" s="87"/>
      <c r="T18" s="64"/>
      <c r="U18" s="64"/>
      <c r="V18" s="64"/>
      <c r="W18" s="60"/>
      <c r="X18" s="43"/>
      <c r="Y18" s="43"/>
      <c r="Z18" s="44"/>
      <c r="AA18" s="79"/>
    </row>
    <row r="19" spans="1:51" ht="14.4">
      <c r="A19" s="9"/>
      <c r="B19" s="12"/>
      <c r="C19" s="33"/>
      <c r="D19" s="26" t="s">
        <v>5</v>
      </c>
      <c r="E19" s="32"/>
      <c r="F19" s="74">
        <v>4</v>
      </c>
      <c r="G19" s="71">
        <v>3</v>
      </c>
      <c r="H19" s="71">
        <v>0</v>
      </c>
      <c r="I19" s="71">
        <v>1</v>
      </c>
      <c r="J19" s="71">
        <v>0</v>
      </c>
      <c r="K19" s="64">
        <f>IFERROR(F19/G19-1,"n/a")</f>
        <v>0.33333333333333326</v>
      </c>
      <c r="L19" s="64" t="str">
        <f t="shared" si="0"/>
        <v>n/a</v>
      </c>
      <c r="M19" s="64">
        <f t="shared" ref="M19:M20" si="14">IFERROR(F19/I19-1,"n/a")</f>
        <v>3</v>
      </c>
      <c r="N19" s="60" t="str">
        <f>IFERROR(F19/J19-1,"n/a")</f>
        <v>n/a</v>
      </c>
      <c r="O19" s="68">
        <f>F19</f>
        <v>4</v>
      </c>
      <c r="P19" s="68">
        <f t="shared" ref="P19:S20" si="15">G19</f>
        <v>3</v>
      </c>
      <c r="Q19" s="68">
        <f t="shared" si="15"/>
        <v>0</v>
      </c>
      <c r="R19" s="68">
        <f t="shared" si="15"/>
        <v>1</v>
      </c>
      <c r="S19" s="68">
        <f t="shared" si="15"/>
        <v>0</v>
      </c>
      <c r="T19" s="64">
        <f>IFERROR(O19/P19-1,"n/a")</f>
        <v>0.33333333333333326</v>
      </c>
      <c r="U19" s="64" t="str">
        <f t="shared" ref="U19:U20" si="16">IFERROR(O19/Q19-1,"n/a")</f>
        <v>n/a</v>
      </c>
      <c r="V19" s="64">
        <f t="shared" ref="V19:V20" si="17">IFERROR(O19/R19-1,"n/a")</f>
        <v>3</v>
      </c>
      <c r="W19" s="60" t="str">
        <f t="shared" ref="W19:W20" si="18">IFERROR(O19/S19-1,"n/a")</f>
        <v>n/a</v>
      </c>
      <c r="X19" s="68">
        <v>475</v>
      </c>
      <c r="Y19" s="68">
        <v>23</v>
      </c>
      <c r="Z19" s="70">
        <v>4</v>
      </c>
      <c r="AA19" s="78">
        <v>191</v>
      </c>
    </row>
    <row r="20" spans="1:51" ht="14.4">
      <c r="A20" s="9"/>
      <c r="B20" s="12"/>
      <c r="C20" s="33"/>
      <c r="D20" s="26" t="s">
        <v>11</v>
      </c>
      <c r="E20" s="32"/>
      <c r="F20" s="74">
        <v>3235</v>
      </c>
      <c r="G20" s="71">
        <v>814</v>
      </c>
      <c r="H20" s="71">
        <v>0</v>
      </c>
      <c r="I20" s="71">
        <v>823</v>
      </c>
      <c r="J20" s="71">
        <v>0</v>
      </c>
      <c r="K20" s="64">
        <f>IFERROR(F20/G20-1,"n/a")</f>
        <v>2.9742014742014744</v>
      </c>
      <c r="L20" s="64" t="str">
        <f t="shared" si="0"/>
        <v>n/a</v>
      </c>
      <c r="M20" s="64">
        <f t="shared" si="14"/>
        <v>2.9307411907654921</v>
      </c>
      <c r="N20" s="60" t="str">
        <f t="shared" ref="N20:N31" si="19">IFERROR(F20/J20-1,"n/a")</f>
        <v>n/a</v>
      </c>
      <c r="O20" s="68">
        <f>F20</f>
        <v>3235</v>
      </c>
      <c r="P20" s="68">
        <f t="shared" si="15"/>
        <v>814</v>
      </c>
      <c r="Q20" s="68">
        <f t="shared" si="15"/>
        <v>0</v>
      </c>
      <c r="R20" s="68">
        <f t="shared" si="15"/>
        <v>823</v>
      </c>
      <c r="S20" s="68">
        <f t="shared" si="15"/>
        <v>0</v>
      </c>
      <c r="T20" s="64">
        <f>IFERROR(O20/P20-1,"n/a")</f>
        <v>2.9742014742014744</v>
      </c>
      <c r="U20" s="64" t="str">
        <f t="shared" si="16"/>
        <v>n/a</v>
      </c>
      <c r="V20" s="64">
        <f t="shared" si="17"/>
        <v>2.9307411907654921</v>
      </c>
      <c r="W20" s="60" t="str">
        <f t="shared" si="18"/>
        <v>n/a</v>
      </c>
      <c r="X20" s="68">
        <v>561984</v>
      </c>
      <c r="Y20" s="68">
        <v>8611</v>
      </c>
      <c r="Z20" s="70">
        <v>1753</v>
      </c>
      <c r="AA20" s="78">
        <v>254421</v>
      </c>
    </row>
    <row r="21" spans="1:51" ht="14.4">
      <c r="A21" s="9"/>
      <c r="B21" s="12"/>
      <c r="C21" s="31" t="s">
        <v>10</v>
      </c>
      <c r="D21" s="26"/>
      <c r="E21" s="34"/>
      <c r="F21" s="72"/>
      <c r="G21" s="72"/>
      <c r="H21" s="72"/>
      <c r="I21" s="72"/>
      <c r="J21" s="72"/>
      <c r="K21" s="64"/>
      <c r="L21" s="64"/>
      <c r="M21" s="64"/>
      <c r="N21" s="60"/>
      <c r="O21" s="87"/>
      <c r="P21" s="87"/>
      <c r="Q21" s="87"/>
      <c r="R21" s="87"/>
      <c r="S21" s="87"/>
      <c r="T21" s="64"/>
      <c r="U21" s="64"/>
      <c r="V21" s="64"/>
      <c r="W21" s="60"/>
      <c r="X21" s="43"/>
      <c r="Y21" s="43"/>
      <c r="Z21" s="44"/>
      <c r="AA21" s="79"/>
    </row>
    <row r="22" spans="1:51" ht="14.4">
      <c r="A22" s="9"/>
      <c r="B22" s="12"/>
      <c r="C22" s="33"/>
      <c r="D22" s="26" t="s">
        <v>5</v>
      </c>
      <c r="E22" s="34"/>
      <c r="F22" s="74">
        <v>120</v>
      </c>
      <c r="G22" s="71">
        <v>100</v>
      </c>
      <c r="H22" s="71">
        <v>0</v>
      </c>
      <c r="I22" s="71">
        <v>126</v>
      </c>
      <c r="J22" s="71">
        <v>113</v>
      </c>
      <c r="K22" s="64">
        <f>IFERROR(F22/G22-1,"n/a")</f>
        <v>0.19999999999999996</v>
      </c>
      <c r="L22" s="64" t="str">
        <f t="shared" si="0"/>
        <v>n/a</v>
      </c>
      <c r="M22" s="64">
        <f t="shared" ref="M22:M23" si="20">IFERROR(F22/I22-1,"n/a")</f>
        <v>-4.7619047619047672E-2</v>
      </c>
      <c r="N22" s="60">
        <f t="shared" si="19"/>
        <v>6.1946902654867353E-2</v>
      </c>
      <c r="O22" s="68">
        <f>F22</f>
        <v>120</v>
      </c>
      <c r="P22" s="68">
        <f t="shared" ref="P22:S23" si="21">G22</f>
        <v>100</v>
      </c>
      <c r="Q22" s="68">
        <f t="shared" si="21"/>
        <v>0</v>
      </c>
      <c r="R22" s="68">
        <f t="shared" si="21"/>
        <v>126</v>
      </c>
      <c r="S22" s="68">
        <f t="shared" si="21"/>
        <v>113</v>
      </c>
      <c r="T22" s="64">
        <f>IFERROR(O22/P22-1,"n/a")</f>
        <v>0.19999999999999996</v>
      </c>
      <c r="U22" s="64" t="str">
        <f t="shared" ref="U22:U23" si="22">IFERROR(O22/Q22-1,"n/a")</f>
        <v>n/a</v>
      </c>
      <c r="V22" s="64">
        <f t="shared" ref="V22:V23" si="23">IFERROR(O22/R22-1,"n/a")</f>
        <v>-4.7619047619047672E-2</v>
      </c>
      <c r="W22" s="60">
        <f t="shared" ref="W22:W23" si="24">IFERROR(O22/S22-1,"n/a")</f>
        <v>6.1946902654867353E-2</v>
      </c>
      <c r="X22" s="68">
        <v>1140</v>
      </c>
      <c r="Y22" s="68">
        <v>411</v>
      </c>
      <c r="Z22" s="70">
        <v>406</v>
      </c>
      <c r="AA22" s="78">
        <v>1205</v>
      </c>
    </row>
    <row r="23" spans="1:51" ht="14.4">
      <c r="A23" s="9"/>
      <c r="B23" s="12"/>
      <c r="C23" s="33"/>
      <c r="D23" s="26" t="s">
        <v>11</v>
      </c>
      <c r="E23" s="32"/>
      <c r="F23" s="74">
        <v>406985</v>
      </c>
      <c r="G23" s="71">
        <v>144818</v>
      </c>
      <c r="H23" s="71">
        <v>0</v>
      </c>
      <c r="I23" s="71">
        <v>357284</v>
      </c>
      <c r="J23" s="71">
        <v>368396</v>
      </c>
      <c r="K23" s="64">
        <f>IFERROR(F23/G23-1,"n/a")</f>
        <v>1.8103205402643319</v>
      </c>
      <c r="L23" s="64" t="str">
        <f t="shared" si="0"/>
        <v>n/a</v>
      </c>
      <c r="M23" s="64">
        <f t="shared" si="20"/>
        <v>0.13910782458772286</v>
      </c>
      <c r="N23" s="60">
        <f t="shared" si="19"/>
        <v>0.10474869433978662</v>
      </c>
      <c r="O23" s="68">
        <f>F23</f>
        <v>406985</v>
      </c>
      <c r="P23" s="68">
        <f t="shared" si="21"/>
        <v>144818</v>
      </c>
      <c r="Q23" s="68">
        <f t="shared" si="21"/>
        <v>0</v>
      </c>
      <c r="R23" s="68">
        <f t="shared" si="21"/>
        <v>357284</v>
      </c>
      <c r="S23" s="68">
        <f t="shared" si="21"/>
        <v>368396</v>
      </c>
      <c r="T23" s="64">
        <f>IFERROR(O23/P23-1,"n/a")</f>
        <v>1.8103205402643319</v>
      </c>
      <c r="U23" s="64" t="str">
        <f t="shared" si="22"/>
        <v>n/a</v>
      </c>
      <c r="V23" s="64">
        <f t="shared" si="23"/>
        <v>0.13910782458772286</v>
      </c>
      <c r="W23" s="60">
        <f t="shared" si="24"/>
        <v>0.10474869433978662</v>
      </c>
      <c r="X23" s="68">
        <v>3212646</v>
      </c>
      <c r="Y23" s="68">
        <v>687449</v>
      </c>
      <c r="Z23" s="70">
        <v>833999</v>
      </c>
      <c r="AA23" s="78">
        <v>3859183</v>
      </c>
    </row>
    <row r="24" spans="1:51" ht="14.4">
      <c r="A24" s="9"/>
      <c r="B24" s="12"/>
      <c r="C24" s="31" t="s">
        <v>16</v>
      </c>
      <c r="D24" s="26"/>
      <c r="E24" s="32"/>
      <c r="F24" s="72"/>
      <c r="G24" s="72"/>
      <c r="H24" s="72"/>
      <c r="I24" s="72"/>
      <c r="J24" s="72"/>
      <c r="K24" s="64"/>
      <c r="L24" s="64"/>
      <c r="M24" s="64"/>
      <c r="N24" s="60"/>
      <c r="O24" s="87"/>
      <c r="P24" s="87"/>
      <c r="Q24" s="87"/>
      <c r="R24" s="87"/>
      <c r="S24" s="87"/>
      <c r="T24" s="64"/>
      <c r="U24" s="64"/>
      <c r="V24" s="64"/>
      <c r="W24" s="60"/>
      <c r="X24" s="43"/>
      <c r="Y24" s="43"/>
      <c r="Z24" s="44"/>
      <c r="AA24" s="79"/>
    </row>
    <row r="25" spans="1:51" ht="14.4">
      <c r="A25" s="9"/>
      <c r="B25" s="12"/>
      <c r="C25" s="33"/>
      <c r="D25" s="26" t="s">
        <v>5</v>
      </c>
      <c r="E25" s="32"/>
      <c r="F25" s="74">
        <v>4</v>
      </c>
      <c r="G25" s="71">
        <v>3</v>
      </c>
      <c r="H25" s="71">
        <v>1</v>
      </c>
      <c r="I25" s="71">
        <v>5</v>
      </c>
      <c r="J25" s="71">
        <v>4</v>
      </c>
      <c r="K25" s="64">
        <f>IFERROR(F25/G25-1,"n/a")</f>
        <v>0.33333333333333326</v>
      </c>
      <c r="L25" s="64">
        <f t="shared" si="0"/>
        <v>3</v>
      </c>
      <c r="M25" s="64">
        <f t="shared" ref="M25:M26" si="25">IFERROR(F25/I25-1,"n/a")</f>
        <v>-0.19999999999999996</v>
      </c>
      <c r="N25" s="60">
        <f t="shared" si="19"/>
        <v>0</v>
      </c>
      <c r="O25" s="68">
        <f>F25</f>
        <v>4</v>
      </c>
      <c r="P25" s="68">
        <f t="shared" ref="P25:S26" si="26">G25</f>
        <v>3</v>
      </c>
      <c r="Q25" s="68">
        <f t="shared" si="26"/>
        <v>1</v>
      </c>
      <c r="R25" s="68">
        <f t="shared" si="26"/>
        <v>5</v>
      </c>
      <c r="S25" s="68">
        <f t="shared" si="26"/>
        <v>4</v>
      </c>
      <c r="T25" s="64">
        <f>IFERROR(O25/P25-1,"n/a")</f>
        <v>0.33333333333333326</v>
      </c>
      <c r="U25" s="64">
        <f t="shared" ref="U25:U26" si="27">IFERROR(O25/Q25-1,"n/a")</f>
        <v>3</v>
      </c>
      <c r="V25" s="64">
        <f t="shared" ref="V25:V26" si="28">IFERROR(O25/R25-1,"n/a")</f>
        <v>-0.19999999999999996</v>
      </c>
      <c r="W25" s="60">
        <f t="shared" ref="W25:W26" si="29">IFERROR(O25/S25-1,"n/a")</f>
        <v>0</v>
      </c>
      <c r="X25" s="68">
        <v>283</v>
      </c>
      <c r="Y25" s="68">
        <v>107</v>
      </c>
      <c r="Z25" s="70">
        <v>32</v>
      </c>
      <c r="AA25" s="78">
        <v>372</v>
      </c>
    </row>
    <row r="26" spans="1:51" ht="14.4">
      <c r="A26" s="9"/>
      <c r="B26" s="12"/>
      <c r="C26" s="33"/>
      <c r="D26" s="26" t="s">
        <v>11</v>
      </c>
      <c r="E26" s="32"/>
      <c r="F26" s="74">
        <v>14845</v>
      </c>
      <c r="G26" s="71">
        <v>1702</v>
      </c>
      <c r="H26" s="71">
        <v>644</v>
      </c>
      <c r="I26" s="71">
        <v>23141</v>
      </c>
      <c r="J26" s="71">
        <v>19715</v>
      </c>
      <c r="K26" s="64">
        <f>IFERROR(F26/G26-1,"n/a")</f>
        <v>7.7220916568742659</v>
      </c>
      <c r="L26" s="64">
        <f t="shared" si="0"/>
        <v>22.051242236024844</v>
      </c>
      <c r="M26" s="64">
        <f t="shared" si="25"/>
        <v>-0.35849790415280236</v>
      </c>
      <c r="N26" s="60">
        <f t="shared" si="19"/>
        <v>-0.24702003550595997</v>
      </c>
      <c r="O26" s="68">
        <f>F26</f>
        <v>14845</v>
      </c>
      <c r="P26" s="68">
        <f t="shared" si="26"/>
        <v>1702</v>
      </c>
      <c r="Q26" s="68">
        <f t="shared" si="26"/>
        <v>644</v>
      </c>
      <c r="R26" s="68">
        <f t="shared" si="26"/>
        <v>23141</v>
      </c>
      <c r="S26" s="68">
        <f t="shared" si="26"/>
        <v>19715</v>
      </c>
      <c r="T26" s="64">
        <f>IFERROR(O26/P26-1,"n/a")</f>
        <v>7.7220916568742659</v>
      </c>
      <c r="U26" s="64">
        <f t="shared" si="27"/>
        <v>22.051242236024844</v>
      </c>
      <c r="V26" s="64">
        <f t="shared" si="28"/>
        <v>-0.35849790415280236</v>
      </c>
      <c r="W26" s="60">
        <f t="shared" si="29"/>
        <v>-0.24702003550595997</v>
      </c>
      <c r="X26" s="68">
        <v>530405</v>
      </c>
      <c r="Y26" s="68">
        <v>147132</v>
      </c>
      <c r="Z26" s="70">
        <v>59180</v>
      </c>
      <c r="AA26" s="78">
        <v>902015</v>
      </c>
    </row>
    <row r="27" spans="1:51" ht="14.4">
      <c r="A27" s="9"/>
      <c r="B27" s="12"/>
      <c r="C27" s="31" t="s">
        <v>17</v>
      </c>
      <c r="D27" s="26"/>
      <c r="E27" s="32"/>
      <c r="F27" s="72"/>
      <c r="G27" s="72"/>
      <c r="H27" s="72"/>
      <c r="I27" s="72"/>
      <c r="J27" s="72"/>
      <c r="K27" s="64"/>
      <c r="L27" s="64"/>
      <c r="M27" s="64"/>
      <c r="N27" s="60"/>
      <c r="O27" s="87"/>
      <c r="P27" s="87"/>
      <c r="Q27" s="87"/>
      <c r="R27" s="87"/>
      <c r="S27" s="87"/>
      <c r="T27" s="64"/>
      <c r="U27" s="64"/>
      <c r="V27" s="64"/>
      <c r="W27" s="60"/>
      <c r="X27" s="43"/>
      <c r="Y27" s="43"/>
      <c r="Z27" s="44"/>
      <c r="AA27" s="79"/>
    </row>
    <row r="28" spans="1:51" ht="14.4">
      <c r="B28" s="12"/>
      <c r="C28" s="33"/>
      <c r="D28" s="26" t="s">
        <v>5</v>
      </c>
      <c r="E28" s="32"/>
      <c r="F28" s="74">
        <f>1+45+38</f>
        <v>84</v>
      </c>
      <c r="G28" s="71">
        <v>0</v>
      </c>
      <c r="H28" s="71">
        <v>1</v>
      </c>
      <c r="I28" s="71">
        <v>0</v>
      </c>
      <c r="J28" s="71">
        <v>1</v>
      </c>
      <c r="K28" s="64" t="str">
        <f>IFERROR(F28/G28-1,"n/a")</f>
        <v>n/a</v>
      </c>
      <c r="L28" s="64">
        <f t="shared" si="0"/>
        <v>83</v>
      </c>
      <c r="M28" s="64" t="str">
        <f t="shared" ref="M28:M31" si="30">IFERROR(F28/I28-1,"n/a")</f>
        <v>n/a</v>
      </c>
      <c r="N28" s="60">
        <f t="shared" si="19"/>
        <v>83</v>
      </c>
      <c r="O28" s="68">
        <f>F28</f>
        <v>84</v>
      </c>
      <c r="P28" s="68">
        <f t="shared" ref="P28:S29" si="31">G28</f>
        <v>0</v>
      </c>
      <c r="Q28" s="68">
        <f t="shared" si="31"/>
        <v>1</v>
      </c>
      <c r="R28" s="68">
        <f t="shared" si="31"/>
        <v>0</v>
      </c>
      <c r="S28" s="68">
        <f t="shared" si="31"/>
        <v>1</v>
      </c>
      <c r="T28" s="64" t="str">
        <f>IFERROR(O28/P28-1,"n/a")</f>
        <v>n/a</v>
      </c>
      <c r="U28" s="64">
        <f t="shared" ref="U28:U31" si="32">IFERROR(O28/Q28-1,"n/a")</f>
        <v>83</v>
      </c>
      <c r="V28" s="64" t="str">
        <f t="shared" ref="V28:V31" si="33">IFERROR(O28/R28-1,"n/a")</f>
        <v>n/a</v>
      </c>
      <c r="W28" s="60">
        <f t="shared" ref="W28:W31" si="34">IFERROR(O28/S28-1,"n/a")</f>
        <v>83</v>
      </c>
      <c r="X28" s="68">
        <v>605</v>
      </c>
      <c r="Y28" s="68">
        <v>127</v>
      </c>
      <c r="Z28" s="70">
        <v>37</v>
      </c>
      <c r="AA28" s="78">
        <f>282+81</f>
        <v>363</v>
      </c>
    </row>
    <row r="29" spans="1:51" ht="14.4">
      <c r="A29" s="9"/>
      <c r="B29" s="12"/>
      <c r="C29" s="33"/>
      <c r="D29" s="26" t="s">
        <v>11</v>
      </c>
      <c r="E29" s="32"/>
      <c r="F29" s="74">
        <f>954+148792+625+69047</f>
        <v>219418</v>
      </c>
      <c r="G29" s="71">
        <v>0</v>
      </c>
      <c r="H29" s="71">
        <v>644</v>
      </c>
      <c r="I29" s="71">
        <v>0</v>
      </c>
      <c r="J29" s="71">
        <v>1352</v>
      </c>
      <c r="K29" s="64" t="str">
        <f>IFERROR(F29/G29-1,"n/a")</f>
        <v>n/a</v>
      </c>
      <c r="L29" s="64">
        <f t="shared" si="0"/>
        <v>339.71118012422357</v>
      </c>
      <c r="M29" s="64" t="str">
        <f t="shared" si="30"/>
        <v>n/a</v>
      </c>
      <c r="N29" s="60">
        <f t="shared" si="19"/>
        <v>161.29142011834318</v>
      </c>
      <c r="O29" s="68">
        <f>F29</f>
        <v>219418</v>
      </c>
      <c r="P29" s="68">
        <f t="shared" si="31"/>
        <v>0</v>
      </c>
      <c r="Q29" s="68">
        <f t="shared" si="31"/>
        <v>644</v>
      </c>
      <c r="R29" s="68">
        <f t="shared" si="31"/>
        <v>0</v>
      </c>
      <c r="S29" s="68">
        <f t="shared" si="31"/>
        <v>1352</v>
      </c>
      <c r="T29" s="64" t="str">
        <f>IFERROR(O29/P29-1,"n/a")</f>
        <v>n/a</v>
      </c>
      <c r="U29" s="64">
        <f t="shared" si="32"/>
        <v>339.71118012422357</v>
      </c>
      <c r="V29" s="64" t="str">
        <f t="shared" si="33"/>
        <v>n/a</v>
      </c>
      <c r="W29" s="60">
        <f t="shared" si="34"/>
        <v>161.29142011834318</v>
      </c>
      <c r="X29" s="68">
        <v>1098243</v>
      </c>
      <c r="Y29" s="68">
        <v>165083</v>
      </c>
      <c r="Z29" s="70">
        <f>20768+8294</f>
        <v>29062</v>
      </c>
      <c r="AA29" s="78">
        <f>659951+168729+38484</f>
        <v>867164</v>
      </c>
    </row>
    <row r="30" spans="1:51" ht="15" customHeight="1" thickBot="1">
      <c r="A30" s="9"/>
      <c r="B30" s="12"/>
      <c r="C30" s="35" t="s">
        <v>12</v>
      </c>
      <c r="D30" s="36"/>
      <c r="E30" s="37"/>
      <c r="F30" s="75">
        <f t="shared" ref="F30:J31" si="35">F13+F16+F19+F22+F25+F28</f>
        <v>303</v>
      </c>
      <c r="G30" s="75">
        <f t="shared" ref="G30" si="36">G13+G16+G19+G22+G25+G28</f>
        <v>186</v>
      </c>
      <c r="H30" s="75">
        <f>H13+H16+H19+H22+H25+H28</f>
        <v>2</v>
      </c>
      <c r="I30" s="75">
        <f t="shared" si="35"/>
        <v>212</v>
      </c>
      <c r="J30" s="75">
        <f t="shared" si="35"/>
        <v>218</v>
      </c>
      <c r="K30" s="66">
        <f>IFERROR(F30/G30-1,"n/a")</f>
        <v>0.62903225806451624</v>
      </c>
      <c r="L30" s="66">
        <f t="shared" si="0"/>
        <v>150.5</v>
      </c>
      <c r="M30" s="66">
        <f t="shared" si="30"/>
        <v>0.429245283018868</v>
      </c>
      <c r="N30" s="62">
        <f t="shared" si="19"/>
        <v>0.38990825688073394</v>
      </c>
      <c r="O30" s="46">
        <f t="shared" ref="O30:S31" si="37">O13+O16+O19+O22+O25+O28</f>
        <v>303</v>
      </c>
      <c r="P30" s="46">
        <f t="shared" ref="P30" si="38">P13+P16+P19+P22+P25+P28</f>
        <v>186</v>
      </c>
      <c r="Q30" s="46">
        <f t="shared" si="37"/>
        <v>2</v>
      </c>
      <c r="R30" s="46">
        <f t="shared" si="37"/>
        <v>212</v>
      </c>
      <c r="S30" s="46">
        <f t="shared" si="37"/>
        <v>218</v>
      </c>
      <c r="T30" s="66">
        <f>IFERROR(O30/P30-1,"n/a")</f>
        <v>0.62903225806451624</v>
      </c>
      <c r="U30" s="66">
        <f t="shared" si="32"/>
        <v>150.5</v>
      </c>
      <c r="V30" s="66">
        <f t="shared" si="33"/>
        <v>0.429245283018868</v>
      </c>
      <c r="W30" s="62">
        <f t="shared" si="34"/>
        <v>0.38990825688073394</v>
      </c>
      <c r="X30" s="46">
        <f t="shared" ref="X30:AA31" si="39">X13+X16+X19+X22+X25+X28</f>
        <v>3627</v>
      </c>
      <c r="Y30" s="46">
        <f t="shared" ref="Y30" si="40">Y13+Y16+Y19+Y22+Y25+Y28</f>
        <v>1062</v>
      </c>
      <c r="Z30" s="46">
        <f t="shared" si="39"/>
        <v>667</v>
      </c>
      <c r="AA30" s="80">
        <f t="shared" si="39"/>
        <v>3344</v>
      </c>
    </row>
    <row r="31" spans="1:51" s="22" customFormat="1" ht="15" customHeight="1" thickTop="1" thickBot="1">
      <c r="A31" s="9"/>
      <c r="B31" s="12"/>
      <c r="C31" s="38" t="s">
        <v>13</v>
      </c>
      <c r="D31" s="39"/>
      <c r="E31" s="40"/>
      <c r="F31" s="76">
        <f t="shared" si="35"/>
        <v>833405</v>
      </c>
      <c r="G31" s="76">
        <f t="shared" ref="G31" si="41">G14+G17+G20+G23+G26+G29</f>
        <v>219956</v>
      </c>
      <c r="H31" s="76">
        <f t="shared" si="35"/>
        <v>1288</v>
      </c>
      <c r="I31" s="76">
        <f t="shared" si="35"/>
        <v>555038</v>
      </c>
      <c r="J31" s="76">
        <f t="shared" si="35"/>
        <v>620852</v>
      </c>
      <c r="K31" s="67">
        <f>IFERROR(F31/G31-1,"n/a")</f>
        <v>2.78896233792213</v>
      </c>
      <c r="L31" s="67">
        <f t="shared" si="0"/>
        <v>646.05357142857144</v>
      </c>
      <c r="M31" s="67">
        <f t="shared" si="30"/>
        <v>0.50152782332020518</v>
      </c>
      <c r="N31" s="63">
        <f t="shared" si="19"/>
        <v>0.34235695463653171</v>
      </c>
      <c r="O31" s="47">
        <f t="shared" si="37"/>
        <v>833405</v>
      </c>
      <c r="P31" s="47">
        <f t="shared" ref="P31" si="42">P14+P17+P20+P23+P26+P29</f>
        <v>219956</v>
      </c>
      <c r="Q31" s="47">
        <f t="shared" si="37"/>
        <v>1288</v>
      </c>
      <c r="R31" s="47">
        <f t="shared" si="37"/>
        <v>555038</v>
      </c>
      <c r="S31" s="47">
        <f t="shared" si="37"/>
        <v>620852</v>
      </c>
      <c r="T31" s="67">
        <f>IFERROR(O31/P31-1,"n/a")</f>
        <v>2.78896233792213</v>
      </c>
      <c r="U31" s="67">
        <f t="shared" si="32"/>
        <v>646.05357142857144</v>
      </c>
      <c r="V31" s="67">
        <f t="shared" si="33"/>
        <v>0.50152782332020518</v>
      </c>
      <c r="W31" s="63">
        <f t="shared" si="34"/>
        <v>0.34235695463653171</v>
      </c>
      <c r="X31" s="47">
        <f t="shared" si="39"/>
        <v>7627084</v>
      </c>
      <c r="Y31" s="47">
        <f t="shared" ref="Y31" si="43">Y14+Y17+Y20+Y23+Y26+Y29</f>
        <v>1554247</v>
      </c>
      <c r="Z31" s="47">
        <f t="shared" si="39"/>
        <v>1323431</v>
      </c>
      <c r="AA31" s="81">
        <f t="shared" si="39"/>
        <v>9169021</v>
      </c>
      <c r="AB31" s="9"/>
      <c r="AC31" s="21"/>
      <c r="AD31" s="21"/>
      <c r="AE31" s="21"/>
      <c r="AF31" s="21"/>
      <c r="AG31" s="21"/>
      <c r="AH31" s="21"/>
      <c r="AI31" s="21"/>
      <c r="AJ31" s="21"/>
      <c r="AK31" s="21"/>
      <c r="AL31" s="21"/>
      <c r="AM31" s="21"/>
      <c r="AN31" s="21"/>
      <c r="AO31" s="21"/>
      <c r="AP31" s="21"/>
      <c r="AQ31" s="21"/>
    </row>
    <row r="32" spans="1:51" s="9" customFormat="1" ht="15" customHeight="1" thickTop="1">
      <c r="F32" s="41"/>
      <c r="G32" s="41"/>
      <c r="H32" s="41"/>
      <c r="I32" s="41"/>
      <c r="J32" s="41"/>
      <c r="K32" s="41"/>
      <c r="L32" s="41"/>
      <c r="M32" s="41"/>
      <c r="AR32"/>
      <c r="AS32"/>
      <c r="AT32"/>
      <c r="AU32"/>
      <c r="AV32"/>
      <c r="AW32"/>
      <c r="AX32"/>
      <c r="AY32"/>
    </row>
    <row r="33" spans="2:51" s="9" customFormat="1" ht="22.95" customHeight="1">
      <c r="F33" s="41"/>
      <c r="G33" s="41"/>
      <c r="H33" s="41"/>
      <c r="I33" s="41"/>
      <c r="J33" s="41"/>
      <c r="K33" s="41"/>
      <c r="L33" s="41"/>
      <c r="M33" s="41"/>
      <c r="AR33"/>
      <c r="AS33"/>
      <c r="AT33"/>
      <c r="AU33"/>
      <c r="AV33"/>
      <c r="AW33"/>
      <c r="AX33"/>
      <c r="AY33"/>
    </row>
    <row r="34" spans="2:51" s="9" customFormat="1" ht="14.4">
      <c r="B34" s="10"/>
      <c r="C34" s="86" t="s">
        <v>63</v>
      </c>
      <c r="D34" s="24"/>
      <c r="E34" s="24"/>
      <c r="F34" s="24"/>
      <c r="G34" s="24"/>
      <c r="H34" s="24"/>
      <c r="I34" s="24"/>
      <c r="J34" s="95"/>
      <c r="K34" s="95"/>
      <c r="L34" s="95"/>
      <c r="M34" s="95"/>
      <c r="N34" s="24"/>
      <c r="O34" s="24"/>
      <c r="P34" s="24"/>
      <c r="Q34" s="24"/>
      <c r="R34" s="24"/>
      <c r="S34" s="24"/>
      <c r="T34" s="24"/>
      <c r="U34" s="24"/>
      <c r="V34" s="24"/>
      <c r="W34" s="24"/>
      <c r="X34" s="24"/>
      <c r="Y34" s="24"/>
      <c r="Z34" s="24"/>
      <c r="AA34" s="24"/>
      <c r="AR34"/>
      <c r="AS34"/>
      <c r="AT34"/>
      <c r="AU34"/>
      <c r="AV34"/>
      <c r="AW34"/>
      <c r="AX34"/>
      <c r="AY34"/>
    </row>
    <row r="35" spans="2:51" s="9" customFormat="1" ht="14.4">
      <c r="B35" s="10"/>
      <c r="C35" s="24"/>
      <c r="D35" s="24"/>
      <c r="E35" s="24"/>
      <c r="F35" s="24"/>
      <c r="G35" s="24"/>
      <c r="H35" s="24"/>
      <c r="I35" s="24"/>
      <c r="J35" s="95"/>
      <c r="K35" s="95"/>
      <c r="L35" s="95"/>
      <c r="M35" s="95"/>
      <c r="N35" s="24"/>
      <c r="O35" s="24"/>
      <c r="P35" s="24"/>
      <c r="Q35" s="24"/>
      <c r="R35" s="24"/>
      <c r="S35" s="24"/>
      <c r="T35" s="24"/>
      <c r="U35" s="24"/>
      <c r="V35" s="24"/>
      <c r="W35" s="24"/>
      <c r="X35" s="24"/>
      <c r="Y35" s="24"/>
      <c r="Z35" s="24"/>
      <c r="AA35" s="24"/>
      <c r="AR35"/>
      <c r="AS35"/>
      <c r="AT35"/>
      <c r="AU35"/>
      <c r="AV35"/>
      <c r="AW35"/>
      <c r="AX35"/>
      <c r="AY35"/>
    </row>
    <row r="36" spans="2:51" s="9" customFormat="1" ht="15" customHeight="1">
      <c r="C36" s="27" t="s">
        <v>7</v>
      </c>
      <c r="D36" s="28"/>
      <c r="E36" s="28"/>
      <c r="F36" s="128" t="str">
        <f>F9</f>
        <v>January</v>
      </c>
      <c r="G36" s="128"/>
      <c r="H36" s="128"/>
      <c r="I36" s="128"/>
      <c r="J36" s="128"/>
      <c r="K36" s="128"/>
      <c r="L36" s="128"/>
      <c r="M36" s="128"/>
      <c r="N36" s="129"/>
      <c r="O36" s="130" t="s">
        <v>101</v>
      </c>
      <c r="P36" s="128"/>
      <c r="Q36" s="128"/>
      <c r="R36" s="128"/>
      <c r="S36" s="128"/>
      <c r="T36" s="128"/>
      <c r="U36" s="128"/>
      <c r="V36" s="128"/>
      <c r="W36" s="129"/>
      <c r="X36" s="130" t="s">
        <v>58</v>
      </c>
      <c r="Y36" s="128"/>
      <c r="Z36" s="128"/>
      <c r="AA36" s="131"/>
      <c r="AR36"/>
      <c r="AS36"/>
      <c r="AT36"/>
      <c r="AU36"/>
      <c r="AV36"/>
      <c r="AW36"/>
      <c r="AX36"/>
      <c r="AY36"/>
    </row>
    <row r="37" spans="2:51" s="9" customFormat="1" ht="15" customHeight="1">
      <c r="C37" s="29"/>
      <c r="D37" s="30"/>
      <c r="E37" s="30"/>
      <c r="F37" s="29"/>
      <c r="G37" s="30"/>
      <c r="H37" s="30"/>
      <c r="I37" s="30"/>
      <c r="J37" s="30"/>
      <c r="K37" s="30"/>
      <c r="L37" s="30"/>
      <c r="M37" s="30"/>
      <c r="N37" s="56"/>
      <c r="O37" s="30"/>
      <c r="P37" s="30"/>
      <c r="Q37" s="30"/>
      <c r="R37" s="30"/>
      <c r="S37" s="30"/>
      <c r="T37" s="30"/>
      <c r="U37" s="30"/>
      <c r="V37" s="30"/>
      <c r="W37" s="56"/>
      <c r="X37" s="30"/>
      <c r="Y37" s="30"/>
      <c r="Z37" s="30"/>
      <c r="AA37" s="56"/>
      <c r="AR37"/>
      <c r="AS37"/>
      <c r="AT37"/>
      <c r="AU37"/>
      <c r="AV37"/>
      <c r="AW37"/>
      <c r="AX37"/>
      <c r="AY37"/>
    </row>
    <row r="38" spans="2:51" s="9" customFormat="1" ht="33.6" customHeight="1">
      <c r="C38" s="59" t="s">
        <v>29</v>
      </c>
      <c r="D38" s="50"/>
      <c r="E38" s="51"/>
      <c r="F38" s="55">
        <v>2023</v>
      </c>
      <c r="G38" s="52">
        <v>2022</v>
      </c>
      <c r="H38" s="52">
        <v>2021</v>
      </c>
      <c r="I38" s="52">
        <v>2020</v>
      </c>
      <c r="J38" s="52">
        <v>2019</v>
      </c>
      <c r="K38" s="53" t="s">
        <v>66</v>
      </c>
      <c r="L38" s="53" t="s">
        <v>67</v>
      </c>
      <c r="M38" s="53" t="s">
        <v>68</v>
      </c>
      <c r="N38" s="57" t="s">
        <v>102</v>
      </c>
      <c r="O38" s="53"/>
      <c r="P38" s="53" t="s">
        <v>53</v>
      </c>
      <c r="Q38" s="52" t="s">
        <v>54</v>
      </c>
      <c r="R38" s="52" t="s">
        <v>59</v>
      </c>
      <c r="S38" s="52" t="s">
        <v>64</v>
      </c>
      <c r="T38" s="52"/>
      <c r="U38" s="53" t="s">
        <v>66</v>
      </c>
      <c r="V38" s="53" t="s">
        <v>67</v>
      </c>
      <c r="W38" s="57" t="s">
        <v>68</v>
      </c>
      <c r="X38" s="53"/>
      <c r="Y38" s="53" t="s">
        <v>54</v>
      </c>
      <c r="Z38" s="53" t="s">
        <v>65</v>
      </c>
      <c r="AA38" s="57" t="s">
        <v>73</v>
      </c>
    </row>
    <row r="39" spans="2:51" s="9" customFormat="1" ht="15" customHeight="1">
      <c r="C39" s="31" t="s">
        <v>14</v>
      </c>
      <c r="D39" s="26"/>
      <c r="E39" s="32"/>
      <c r="F39" s="26"/>
      <c r="G39" s="26"/>
      <c r="H39" s="26"/>
      <c r="I39" s="26"/>
      <c r="J39" s="26"/>
      <c r="K39" s="26"/>
      <c r="L39" s="26"/>
      <c r="M39" s="26"/>
      <c r="N39" s="32"/>
      <c r="O39" s="26"/>
      <c r="P39" s="26"/>
      <c r="Q39" s="26"/>
      <c r="R39" s="26"/>
      <c r="T39" s="26"/>
      <c r="V39" s="26"/>
      <c r="W39" s="32"/>
      <c r="X39" s="33"/>
      <c r="Y39" s="26"/>
      <c r="Z39" s="88"/>
      <c r="AA39" s="85"/>
    </row>
    <row r="40" spans="2:51" s="9" customFormat="1" ht="15" customHeight="1">
      <c r="C40" s="33"/>
      <c r="D40" s="26" t="s">
        <v>5</v>
      </c>
      <c r="E40" s="32"/>
      <c r="F40" s="74">
        <f t="shared" ref="F40:J41" si="44">F13</f>
        <v>68</v>
      </c>
      <c r="G40" s="74">
        <f t="shared" ref="G40" si="45">G13</f>
        <v>64</v>
      </c>
      <c r="H40" s="74">
        <f t="shared" si="44"/>
        <v>0</v>
      </c>
      <c r="I40" s="74">
        <f t="shared" si="44"/>
        <v>61</v>
      </c>
      <c r="J40" s="74">
        <f t="shared" si="44"/>
        <v>76</v>
      </c>
      <c r="K40" s="64">
        <f>IFERROR(F40/G40-1,"n/a")</f>
        <v>6.25E-2</v>
      </c>
      <c r="L40" s="64" t="str">
        <f t="shared" ref="L40:L41" si="46">IFERROR(F40/H40-1,"n/a")</f>
        <v>n/a</v>
      </c>
      <c r="M40" s="64">
        <f>IFERROR(F40/I40-1,"n/a")</f>
        <v>0.11475409836065564</v>
      </c>
      <c r="N40" s="60">
        <f t="shared" ref="N40:N41" si="47">IFERROR(F40/J40-1,"n/a")</f>
        <v>-0.10526315789473684</v>
      </c>
      <c r="O40" s="108"/>
      <c r="P40" s="70">
        <f>+O13-'Mar-22'!M10+'Dec-22'!M13</f>
        <v>217</v>
      </c>
      <c r="Q40" s="70">
        <f>+P13-'Mar-22'!N10+'Dec-22'!N13</f>
        <v>175</v>
      </c>
      <c r="R40" s="82">
        <f>+Q13-'Mar-22'!O10+'Dec-22'!O13</f>
        <v>0</v>
      </c>
      <c r="S40" s="70">
        <f>+R13-'Mar-22'!P10+'Dec-22'!P13</f>
        <v>247</v>
      </c>
      <c r="T40" s="108"/>
      <c r="U40" s="64">
        <f>IFERROR(P40/Q40-1,"n/a")</f>
        <v>0.24</v>
      </c>
      <c r="V40" s="64" t="str">
        <f>IFERROR(P40/R40-1,"n/a")</f>
        <v>n/a</v>
      </c>
      <c r="W40" s="60">
        <f>IFERROR(P40/S40-1,"n/a")</f>
        <v>-0.12145748987854255</v>
      </c>
      <c r="X40" s="89"/>
      <c r="Y40" s="89">
        <v>308</v>
      </c>
      <c r="Z40" s="70">
        <v>145</v>
      </c>
      <c r="AA40" s="78">
        <v>331</v>
      </c>
    </row>
    <row r="41" spans="2:51" s="9" customFormat="1" ht="15" customHeight="1">
      <c r="C41" s="33"/>
      <c r="D41" s="26" t="s">
        <v>11</v>
      </c>
      <c r="E41" s="32"/>
      <c r="F41" s="74">
        <f t="shared" si="44"/>
        <v>115964</v>
      </c>
      <c r="G41" s="74">
        <f t="shared" ref="G41" si="48">G14</f>
        <v>50794</v>
      </c>
      <c r="H41" s="74">
        <f t="shared" si="44"/>
        <v>0</v>
      </c>
      <c r="I41" s="74">
        <f t="shared" si="44"/>
        <v>108796</v>
      </c>
      <c r="J41" s="74">
        <f t="shared" si="44"/>
        <v>156866</v>
      </c>
      <c r="K41" s="64">
        <f>IFERROR(F41/G41-1,"n/a")</f>
        <v>1.2830255541993147</v>
      </c>
      <c r="L41" s="64" t="str">
        <f t="shared" si="46"/>
        <v>n/a</v>
      </c>
      <c r="M41" s="64">
        <f t="shared" ref="M41" si="49">IFERROR(F41/I41-1,"n/a")</f>
        <v>6.5884775175558019E-2</v>
      </c>
      <c r="N41" s="60">
        <f t="shared" si="47"/>
        <v>-0.2607448395445795</v>
      </c>
      <c r="O41" s="109"/>
      <c r="P41" s="70">
        <f>+O14-'Mar-22'!M11+'Dec-22'!M14</f>
        <v>339818</v>
      </c>
      <c r="Q41" s="82">
        <f>+P14-'Mar-22'!N11+'Dec-22'!N14</f>
        <v>131657</v>
      </c>
      <c r="R41" s="82">
        <f>+Q14-'Mar-22'!O11+'Dec-22'!O14</f>
        <v>0</v>
      </c>
      <c r="S41" s="82">
        <f>+R14-'Mar-22'!P11+'Dec-22'!P14</f>
        <v>456712</v>
      </c>
      <c r="T41" s="109"/>
      <c r="U41" s="64">
        <f>IFERROR(P41/Q41-1,"n/a")</f>
        <v>1.5810856999627823</v>
      </c>
      <c r="V41" s="64" t="str">
        <f>IFERROR(P41/R41-1,"n/a")</f>
        <v>n/a</v>
      </c>
      <c r="W41" s="60">
        <f>IFERROR(P41/S41-1,"n/a")</f>
        <v>-0.25594685491075342</v>
      </c>
      <c r="X41" s="89"/>
      <c r="Y41" s="89">
        <v>237191</v>
      </c>
      <c r="Z41" s="84">
        <v>258885</v>
      </c>
      <c r="AA41" s="78">
        <v>606801</v>
      </c>
    </row>
    <row r="42" spans="2:51" s="9" customFormat="1" ht="15" customHeight="1">
      <c r="C42" s="31" t="s">
        <v>74</v>
      </c>
      <c r="D42" s="26"/>
      <c r="E42" s="32"/>
      <c r="F42" s="26"/>
      <c r="G42" s="26"/>
      <c r="H42" s="26"/>
      <c r="I42" s="26"/>
      <c r="J42" s="26"/>
      <c r="K42" s="64"/>
      <c r="L42" s="64"/>
      <c r="M42" s="64"/>
      <c r="N42" s="61"/>
      <c r="O42" s="110"/>
      <c r="P42" s="87"/>
      <c r="Q42" s="87"/>
      <c r="R42" s="87"/>
      <c r="S42" s="87"/>
      <c r="T42" s="110"/>
      <c r="U42" s="65"/>
      <c r="V42" s="65"/>
      <c r="W42" s="61"/>
      <c r="X42" s="90"/>
      <c r="Y42" s="90"/>
      <c r="Z42" s="44"/>
      <c r="AA42" s="79"/>
    </row>
    <row r="43" spans="2:51" s="9" customFormat="1" ht="15" customHeight="1">
      <c r="C43" s="33"/>
      <c r="D43" s="26" t="s">
        <v>5</v>
      </c>
      <c r="E43" s="32"/>
      <c r="F43" s="74">
        <f t="shared" ref="F43:J44" si="50">F16</f>
        <v>23</v>
      </c>
      <c r="G43" s="74">
        <f t="shared" ref="G43" si="51">G16</f>
        <v>16</v>
      </c>
      <c r="H43" s="74">
        <f t="shared" si="50"/>
        <v>0</v>
      </c>
      <c r="I43" s="74">
        <f t="shared" si="50"/>
        <v>19</v>
      </c>
      <c r="J43" s="74">
        <f t="shared" si="50"/>
        <v>24</v>
      </c>
      <c r="K43" s="64">
        <f>IFERROR(F43/G43-1,"n/a")</f>
        <v>0.4375</v>
      </c>
      <c r="L43" s="64" t="str">
        <f t="shared" ref="L43:L44" si="52">IFERROR(F43/H43-1,"n/a")</f>
        <v>n/a</v>
      </c>
      <c r="M43" s="64">
        <f t="shared" ref="M43:M44" si="53">IFERROR(F43/I43-1,"n/a")</f>
        <v>0.21052631578947367</v>
      </c>
      <c r="N43" s="60">
        <f t="shared" ref="N43:N44" si="54">IFERROR(F43/J43-1,"n/a")</f>
        <v>-4.166666666666663E-2</v>
      </c>
      <c r="O43" s="108"/>
      <c r="P43" s="70">
        <f>+O16-'Mar-22'!M13+'Dec-22'!M16</f>
        <v>748</v>
      </c>
      <c r="Q43" s="70">
        <f>+P16-'Mar-22'!N13+'Dec-22'!N16</f>
        <v>299</v>
      </c>
      <c r="R43" s="70">
        <f>+Q16-'Mar-22'!O13+'Dec-22'!O16</f>
        <v>0</v>
      </c>
      <c r="S43" s="70">
        <f>+R16-'Mar-22'!P13+'Dec-22'!P16</f>
        <v>757</v>
      </c>
      <c r="T43" s="108"/>
      <c r="U43" s="64">
        <f t="shared" ref="U43:U44" si="55">IFERROR(P43/Q43-1,"n/a")</f>
        <v>1.5016722408026757</v>
      </c>
      <c r="V43" s="64" t="str">
        <f t="shared" ref="V43:V44" si="56">IFERROR(P43/R43-1,"n/a")</f>
        <v>n/a</v>
      </c>
      <c r="W43" s="60">
        <f t="shared" ref="W43:W44" si="57">IFERROR(P43/S43-1,"n/a")</f>
        <v>-1.1889035667106973E-2</v>
      </c>
      <c r="X43" s="89"/>
      <c r="Y43" s="89">
        <v>336</v>
      </c>
      <c r="Z43" s="70">
        <v>43</v>
      </c>
      <c r="AA43" s="78">
        <v>781</v>
      </c>
    </row>
    <row r="44" spans="2:51" s="9" customFormat="1" ht="15" customHeight="1">
      <c r="C44" s="33"/>
      <c r="D44" s="26" t="s">
        <v>11</v>
      </c>
      <c r="E44" s="32"/>
      <c r="F44" s="74">
        <f t="shared" si="50"/>
        <v>72958</v>
      </c>
      <c r="G44" s="74">
        <f t="shared" ref="G44" si="58">G17</f>
        <v>21828</v>
      </c>
      <c r="H44" s="74">
        <f t="shared" si="50"/>
        <v>0</v>
      </c>
      <c r="I44" s="74">
        <f t="shared" si="50"/>
        <v>64994</v>
      </c>
      <c r="J44" s="74">
        <f t="shared" si="50"/>
        <v>74523</v>
      </c>
      <c r="K44" s="64">
        <f>IFERROR(F44/G44-1,"n/a")</f>
        <v>2.3424042514201942</v>
      </c>
      <c r="L44" s="64" t="str">
        <f t="shared" si="52"/>
        <v>n/a</v>
      </c>
      <c r="M44" s="64">
        <f t="shared" si="53"/>
        <v>0.1225343877896421</v>
      </c>
      <c r="N44" s="60">
        <f t="shared" si="54"/>
        <v>-2.1000228117493913E-2</v>
      </c>
      <c r="O44" s="109"/>
      <c r="P44" s="70">
        <f>+O17-'Mar-22'!M14+'Dec-22'!M17</f>
        <v>1848128</v>
      </c>
      <c r="Q44" s="70">
        <f>+P17-'Mar-22'!N14+'Dec-22'!N17</f>
        <v>486937</v>
      </c>
      <c r="R44" s="70">
        <f>+Q17-'Mar-22'!O14+'Dec-22'!O17</f>
        <v>0</v>
      </c>
      <c r="S44" s="70">
        <f>+R17-'Mar-22'!P14+'Dec-22'!P17</f>
        <v>2366036</v>
      </c>
      <c r="T44" s="108"/>
      <c r="U44" s="64">
        <f t="shared" si="55"/>
        <v>2.7954150126197024</v>
      </c>
      <c r="V44" s="64" t="str">
        <f t="shared" si="56"/>
        <v>n/a</v>
      </c>
      <c r="W44" s="60">
        <f t="shared" si="57"/>
        <v>-0.2188926964763005</v>
      </c>
      <c r="X44" s="89"/>
      <c r="Y44" s="89">
        <v>533563</v>
      </c>
      <c r="Z44" s="84">
        <v>140552</v>
      </c>
      <c r="AA44" s="78">
        <v>2441594</v>
      </c>
    </row>
    <row r="45" spans="2:51" s="9" customFormat="1" ht="15" customHeight="1">
      <c r="C45" s="31" t="s">
        <v>15</v>
      </c>
      <c r="D45" s="26"/>
      <c r="E45" s="32"/>
      <c r="F45" s="87"/>
      <c r="G45" s="87"/>
      <c r="H45" s="87"/>
      <c r="I45" s="87"/>
      <c r="J45" s="72"/>
      <c r="K45" s="64"/>
      <c r="L45" s="64"/>
      <c r="M45" s="64"/>
      <c r="N45" s="60"/>
      <c r="O45" s="110"/>
      <c r="P45" s="87"/>
      <c r="Q45" s="87"/>
      <c r="R45" s="87"/>
      <c r="S45" s="87"/>
      <c r="T45" s="110"/>
      <c r="U45" s="64"/>
      <c r="V45" s="64"/>
      <c r="W45" s="60"/>
      <c r="X45" s="90"/>
      <c r="Y45" s="90"/>
      <c r="Z45" s="44"/>
      <c r="AA45" s="79"/>
    </row>
    <row r="46" spans="2:51" s="9" customFormat="1" ht="15" customHeight="1">
      <c r="C46" s="33"/>
      <c r="D46" s="26" t="s">
        <v>5</v>
      </c>
      <c r="E46" s="32"/>
      <c r="F46" s="74">
        <f t="shared" ref="F46:J47" si="59">F19</f>
        <v>4</v>
      </c>
      <c r="G46" s="74">
        <f t="shared" ref="G46" si="60">G19</f>
        <v>3</v>
      </c>
      <c r="H46" s="74">
        <f t="shared" si="59"/>
        <v>0</v>
      </c>
      <c r="I46" s="74">
        <f t="shared" si="59"/>
        <v>1</v>
      </c>
      <c r="J46" s="74">
        <f t="shared" si="59"/>
        <v>0</v>
      </c>
      <c r="K46" s="64">
        <f>IFERROR(F46/G46-1,"n/a")</f>
        <v>0.33333333333333326</v>
      </c>
      <c r="L46" s="64" t="str">
        <f t="shared" ref="L46:L47" si="61">IFERROR(F46/H46-1,"n/a")</f>
        <v>n/a</v>
      </c>
      <c r="M46" s="64">
        <f t="shared" ref="M46:M47" si="62">IFERROR(F46/I46-1,"n/a")</f>
        <v>3</v>
      </c>
      <c r="N46" s="60" t="str">
        <f>IFERROR(F46/J46-1,"n/a")</f>
        <v>n/a</v>
      </c>
      <c r="O46" s="108"/>
      <c r="P46" s="70">
        <f>+O19-'Mar-22'!M16+'Dec-22'!M19</f>
        <v>469</v>
      </c>
      <c r="Q46" s="70">
        <f>+P19-'Mar-22'!N16+'Dec-22'!N19</f>
        <v>26</v>
      </c>
      <c r="R46" s="70">
        <f>+Q19-'Mar-22'!O16+'Dec-22'!O19</f>
        <v>1</v>
      </c>
      <c r="S46" s="70">
        <f>+R19-'Mar-22'!P16+'Dec-22'!P19</f>
        <v>186</v>
      </c>
      <c r="T46" s="108"/>
      <c r="U46" s="64">
        <f t="shared" ref="U46:U47" si="63">IFERROR(P46/Q46-1,"n/a")</f>
        <v>17.03846153846154</v>
      </c>
      <c r="V46" s="64">
        <f t="shared" ref="V46:V47" si="64">IFERROR(P46/R46-1,"n/a")</f>
        <v>468</v>
      </c>
      <c r="W46" s="60">
        <f t="shared" ref="W46:W47" si="65">IFERROR(P46/S46-1,"n/a")</f>
        <v>1.521505376344086</v>
      </c>
      <c r="X46" s="89"/>
      <c r="Y46" s="89">
        <v>33</v>
      </c>
      <c r="Z46" s="70">
        <v>4</v>
      </c>
      <c r="AA46" s="78">
        <v>188</v>
      </c>
    </row>
    <row r="47" spans="2:51" s="9" customFormat="1" ht="15" customHeight="1">
      <c r="C47" s="33"/>
      <c r="D47" s="26" t="s">
        <v>11</v>
      </c>
      <c r="E47" s="32"/>
      <c r="F47" s="74">
        <f t="shared" si="59"/>
        <v>3235</v>
      </c>
      <c r="G47" s="74">
        <f t="shared" ref="G47" si="66">G20</f>
        <v>814</v>
      </c>
      <c r="H47" s="74">
        <f t="shared" si="59"/>
        <v>0</v>
      </c>
      <c r="I47" s="74">
        <f t="shared" si="59"/>
        <v>823</v>
      </c>
      <c r="J47" s="74">
        <f t="shared" si="59"/>
        <v>0</v>
      </c>
      <c r="K47" s="64">
        <f>IFERROR(F47/G47-1,"n/a")</f>
        <v>2.9742014742014744</v>
      </c>
      <c r="L47" s="64" t="str">
        <f t="shared" si="61"/>
        <v>n/a</v>
      </c>
      <c r="M47" s="64">
        <f t="shared" si="62"/>
        <v>2.9307411907654921</v>
      </c>
      <c r="N47" s="60" t="str">
        <f t="shared" ref="N47" si="67">IFERROR(F47/J47-1,"n/a")</f>
        <v>n/a</v>
      </c>
      <c r="O47" s="109"/>
      <c r="P47" s="70">
        <f>+O20-'Mar-22'!M17+'Dec-22'!M20</f>
        <v>563747</v>
      </c>
      <c r="Q47" s="70">
        <f>+P20-'Mar-22'!N17+'Dec-22'!N20</f>
        <v>9425</v>
      </c>
      <c r="R47" s="70">
        <f>+Q20-'Mar-22'!O17+'Dec-22'!O20</f>
        <v>111</v>
      </c>
      <c r="S47" s="70">
        <f>+R20-'Mar-22'!P17+'Dec-22'!P20</f>
        <v>250106</v>
      </c>
      <c r="T47" s="108"/>
      <c r="U47" s="64">
        <f t="shared" si="63"/>
        <v>58.814005305039785</v>
      </c>
      <c r="V47" s="64">
        <f t="shared" si="64"/>
        <v>5077.801801801802</v>
      </c>
      <c r="W47" s="60">
        <f t="shared" si="65"/>
        <v>1.2540322903089089</v>
      </c>
      <c r="X47" s="82"/>
      <c r="Y47" s="82">
        <v>10083</v>
      </c>
      <c r="Z47" s="84">
        <v>1753</v>
      </c>
      <c r="AA47" s="78">
        <f>176097+74816</f>
        <v>250913</v>
      </c>
    </row>
    <row r="48" spans="2:51" s="9" customFormat="1" ht="15" customHeight="1">
      <c r="C48" s="31" t="s">
        <v>10</v>
      </c>
      <c r="D48" s="26"/>
      <c r="E48" s="34"/>
      <c r="F48" s="72"/>
      <c r="G48" s="72"/>
      <c r="H48" s="72"/>
      <c r="I48" s="72"/>
      <c r="J48" s="72"/>
      <c r="K48" s="64"/>
      <c r="L48" s="64"/>
      <c r="M48" s="64"/>
      <c r="N48" s="60"/>
      <c r="O48" s="110"/>
      <c r="P48" s="87"/>
      <c r="Q48" s="87"/>
      <c r="R48" s="87"/>
      <c r="S48" s="87"/>
      <c r="T48" s="110"/>
      <c r="U48" s="64"/>
      <c r="V48" s="64"/>
      <c r="W48" s="60"/>
      <c r="X48" s="90"/>
      <c r="Y48" s="90"/>
      <c r="Z48" s="44"/>
      <c r="AA48" s="79"/>
    </row>
    <row r="49" spans="1:51" s="9" customFormat="1" ht="15" customHeight="1">
      <c r="C49" s="33"/>
      <c r="D49" s="26" t="s">
        <v>5</v>
      </c>
      <c r="E49" s="34"/>
      <c r="F49" s="74">
        <f t="shared" ref="F49:J50" si="68">F22</f>
        <v>120</v>
      </c>
      <c r="G49" s="74">
        <f t="shared" ref="G49" si="69">G22</f>
        <v>100</v>
      </c>
      <c r="H49" s="74">
        <f t="shared" si="68"/>
        <v>0</v>
      </c>
      <c r="I49" s="74">
        <f t="shared" si="68"/>
        <v>126</v>
      </c>
      <c r="J49" s="74">
        <f t="shared" si="68"/>
        <v>113</v>
      </c>
      <c r="K49" s="64">
        <f>IFERROR(F49/G49-1,"n/a")</f>
        <v>0.19999999999999996</v>
      </c>
      <c r="L49" s="64" t="str">
        <f t="shared" ref="L49:L50" si="70">IFERROR(F49/H49-1,"n/a")</f>
        <v>n/a</v>
      </c>
      <c r="M49" s="64">
        <f t="shared" ref="M49:M50" si="71">IFERROR(F49/I49-1,"n/a")</f>
        <v>-4.7619047619047672E-2</v>
      </c>
      <c r="N49" s="60">
        <f t="shared" ref="N49:N50" si="72">IFERROR(F49/J49-1,"n/a")</f>
        <v>6.1946902654867353E-2</v>
      </c>
      <c r="O49" s="108"/>
      <c r="P49" s="70">
        <f>+O22-'Mar-22'!M19+'Dec-22'!M22</f>
        <v>927</v>
      </c>
      <c r="Q49" s="70">
        <f>+P22-'Mar-22'!N19+'Dec-22'!N22</f>
        <v>511</v>
      </c>
      <c r="R49" s="70">
        <f>+Q22-'Mar-22'!O19+'Dec-22'!O22</f>
        <v>42</v>
      </c>
      <c r="S49" s="70">
        <f>+R22-'Mar-22'!P19+'Dec-22'!P22</f>
        <v>1015</v>
      </c>
      <c r="T49" s="108"/>
      <c r="U49" s="64">
        <f t="shared" ref="U49:U50" si="73">IFERROR(P49/Q49-1,"n/a")</f>
        <v>0.81409001956947158</v>
      </c>
      <c r="V49" s="64">
        <f t="shared" ref="V49:V50" si="74">IFERROR(P49/R49-1,"n/a")</f>
        <v>21.071428571428573</v>
      </c>
      <c r="W49" s="60">
        <f t="shared" ref="W49:W50" si="75">IFERROR(P49/S49-1,"n/a")</f>
        <v>-8.6699507389162545E-2</v>
      </c>
      <c r="X49" s="89"/>
      <c r="Y49" s="89">
        <v>744</v>
      </c>
      <c r="Z49" s="84">
        <v>406</v>
      </c>
      <c r="AA49" s="78">
        <v>1253</v>
      </c>
    </row>
    <row r="50" spans="1:51" s="9" customFormat="1" ht="15" customHeight="1">
      <c r="C50" s="33"/>
      <c r="D50" s="26" t="s">
        <v>11</v>
      </c>
      <c r="E50" s="32"/>
      <c r="F50" s="74">
        <f t="shared" si="68"/>
        <v>406985</v>
      </c>
      <c r="G50" s="74">
        <f t="shared" ref="G50" si="76">G23</f>
        <v>144818</v>
      </c>
      <c r="H50" s="74">
        <f t="shared" si="68"/>
        <v>0</v>
      </c>
      <c r="I50" s="74">
        <f t="shared" si="68"/>
        <v>357284</v>
      </c>
      <c r="J50" s="74">
        <f t="shared" si="68"/>
        <v>368396</v>
      </c>
      <c r="K50" s="64">
        <f>IFERROR(F50/G50-1,"n/a")</f>
        <v>1.8103205402643319</v>
      </c>
      <c r="L50" s="64" t="str">
        <f t="shared" si="70"/>
        <v>n/a</v>
      </c>
      <c r="M50" s="64">
        <f t="shared" si="71"/>
        <v>0.13910782458772286</v>
      </c>
      <c r="N50" s="60">
        <f t="shared" si="72"/>
        <v>0.10474869433978662</v>
      </c>
      <c r="O50" s="109"/>
      <c r="P50" s="70">
        <f>+O23-'Mar-22'!M20+'Dec-22'!M23</f>
        <v>3016301</v>
      </c>
      <c r="Q50" s="70">
        <f>+P23-'Mar-22'!N20+'Dec-22'!N23</f>
        <v>832267</v>
      </c>
      <c r="R50" s="70">
        <f>+Q23-'Mar-22'!O20+'Dec-22'!O23</f>
        <v>0</v>
      </c>
      <c r="S50" s="70">
        <f>+R23-'Mar-22'!P20+'Dec-22'!P23</f>
        <v>3150743</v>
      </c>
      <c r="T50" s="108"/>
      <c r="U50" s="64">
        <f t="shared" si="73"/>
        <v>2.6241987246881111</v>
      </c>
      <c r="V50" s="64" t="str">
        <f t="shared" si="74"/>
        <v>n/a</v>
      </c>
      <c r="W50" s="60">
        <f t="shared" si="75"/>
        <v>-4.2669935313670471E-2</v>
      </c>
      <c r="X50" s="82"/>
      <c r="Y50" s="82">
        <v>1290779</v>
      </c>
      <c r="Z50" s="84">
        <v>833999</v>
      </c>
      <c r="AA50" s="78">
        <v>3627458</v>
      </c>
    </row>
    <row r="51" spans="1:51" s="9" customFormat="1" ht="15" customHeight="1">
      <c r="C51" s="31" t="s">
        <v>16</v>
      </c>
      <c r="D51" s="26"/>
      <c r="E51" s="32"/>
      <c r="F51" s="72"/>
      <c r="G51" s="72"/>
      <c r="H51" s="72"/>
      <c r="I51" s="72"/>
      <c r="J51" s="72"/>
      <c r="K51" s="64"/>
      <c r="L51" s="64"/>
      <c r="M51" s="64"/>
      <c r="N51" s="60"/>
      <c r="O51" s="110"/>
      <c r="P51" s="87"/>
      <c r="Q51" s="87"/>
      <c r="R51" s="87"/>
      <c r="S51" s="87"/>
      <c r="T51" s="110"/>
      <c r="U51" s="64"/>
      <c r="V51" s="64"/>
      <c r="W51" s="60"/>
      <c r="X51" s="90"/>
      <c r="Y51" s="90"/>
      <c r="Z51" s="44"/>
      <c r="AA51" s="79"/>
    </row>
    <row r="52" spans="1:51" s="9" customFormat="1" ht="15" customHeight="1">
      <c r="C52" s="33"/>
      <c r="D52" s="26" t="s">
        <v>5</v>
      </c>
      <c r="E52" s="32"/>
      <c r="F52" s="74">
        <f t="shared" ref="F52:J53" si="77">F25</f>
        <v>4</v>
      </c>
      <c r="G52" s="74">
        <f t="shared" ref="G52" si="78">G25</f>
        <v>3</v>
      </c>
      <c r="H52" s="74">
        <f t="shared" si="77"/>
        <v>1</v>
      </c>
      <c r="I52" s="74">
        <f t="shared" si="77"/>
        <v>5</v>
      </c>
      <c r="J52" s="74">
        <f t="shared" si="77"/>
        <v>4</v>
      </c>
      <c r="K52" s="64">
        <f>IFERROR(F52/G52-1,"n/a")</f>
        <v>0.33333333333333326</v>
      </c>
      <c r="L52" s="64">
        <f t="shared" ref="L52:L53" si="79">IFERROR(F52/H52-1,"n/a")</f>
        <v>3</v>
      </c>
      <c r="M52" s="64">
        <f t="shared" ref="M52:M53" si="80">IFERROR(F52/I52-1,"n/a")</f>
        <v>-0.19999999999999996</v>
      </c>
      <c r="N52" s="60">
        <f t="shared" ref="N52:N53" si="81">IFERROR(F52/J52-1,"n/a")</f>
        <v>0</v>
      </c>
      <c r="O52" s="108"/>
      <c r="P52" s="70">
        <f>+O25-'Mar-22'!M22+'Dec-22'!M25</f>
        <v>264</v>
      </c>
      <c r="Q52" s="70">
        <f>+P25-'Mar-22'!N22+'Dec-22'!N25</f>
        <v>101</v>
      </c>
      <c r="R52" s="70">
        <f>+Q25-'Mar-22'!O22+'Dec-22'!O25</f>
        <v>24</v>
      </c>
      <c r="S52" s="70">
        <f>+R25-'Mar-22'!P22+'Dec-22'!P25</f>
        <v>357</v>
      </c>
      <c r="T52" s="108"/>
      <c r="U52" s="64">
        <f t="shared" ref="U52:U53" si="82">IFERROR(P52/Q52-1,"n/a")</f>
        <v>1.613861386138614</v>
      </c>
      <c r="V52" s="64">
        <f t="shared" ref="V52:V53" si="83">IFERROR(P52/R52-1,"n/a")</f>
        <v>10</v>
      </c>
      <c r="W52" s="60">
        <f t="shared" ref="W52:W53" si="84">IFERROR(P52/S52-1,"n/a")</f>
        <v>-0.26050420168067223</v>
      </c>
      <c r="X52" s="89"/>
      <c r="Y52" s="89">
        <v>121</v>
      </c>
      <c r="Z52" s="70">
        <v>41</v>
      </c>
      <c r="AA52" s="78">
        <v>361</v>
      </c>
    </row>
    <row r="53" spans="1:51" s="9" customFormat="1" ht="15" customHeight="1">
      <c r="C53" s="33"/>
      <c r="D53" s="26" t="s">
        <v>11</v>
      </c>
      <c r="E53" s="32"/>
      <c r="F53" s="74">
        <f t="shared" si="77"/>
        <v>14845</v>
      </c>
      <c r="G53" s="74">
        <f t="shared" ref="G53" si="85">G26</f>
        <v>1702</v>
      </c>
      <c r="H53" s="74">
        <f t="shared" si="77"/>
        <v>644</v>
      </c>
      <c r="I53" s="74">
        <f t="shared" si="77"/>
        <v>23141</v>
      </c>
      <c r="J53" s="74">
        <f t="shared" si="77"/>
        <v>19715</v>
      </c>
      <c r="K53" s="64">
        <f>IFERROR(F53/G53-1,"n/a")</f>
        <v>7.7220916568742659</v>
      </c>
      <c r="L53" s="64">
        <f t="shared" si="79"/>
        <v>22.051242236024844</v>
      </c>
      <c r="M53" s="64">
        <f t="shared" si="80"/>
        <v>-0.35849790415280236</v>
      </c>
      <c r="N53" s="60">
        <f t="shared" si="81"/>
        <v>-0.24702003550595997</v>
      </c>
      <c r="O53" s="109"/>
      <c r="P53" s="70">
        <f>+O26-'Mar-22'!M23+'Dec-22'!M26</f>
        <v>518729</v>
      </c>
      <c r="Q53" s="70">
        <f>+P26-'Mar-22'!N23+'Dec-22'!N26</f>
        <v>140870</v>
      </c>
      <c r="R53" s="70">
        <f>+Q26-'Mar-22'!O23+'Dec-22'!O26</f>
        <v>19603</v>
      </c>
      <c r="S53" s="70">
        <f>+R26-'Mar-22'!P23+'Dec-22'!P26</f>
        <v>848881</v>
      </c>
      <c r="T53" s="108"/>
      <c r="U53" s="64">
        <f t="shared" si="82"/>
        <v>2.6823241286292325</v>
      </c>
      <c r="V53" s="64">
        <f t="shared" si="83"/>
        <v>25.461715043615772</v>
      </c>
      <c r="W53" s="60">
        <f t="shared" si="84"/>
        <v>-0.38892612745484934</v>
      </c>
      <c r="X53" s="82"/>
      <c r="Y53" s="82">
        <v>165689</v>
      </c>
      <c r="Z53" s="84">
        <v>67144</v>
      </c>
      <c r="AA53" s="78">
        <v>865961</v>
      </c>
    </row>
    <row r="54" spans="1:51" s="9" customFormat="1" ht="15" customHeight="1">
      <c r="A54"/>
      <c r="B54"/>
      <c r="C54" s="31" t="s">
        <v>17</v>
      </c>
      <c r="D54" s="26"/>
      <c r="E54" s="32"/>
      <c r="F54" s="72"/>
      <c r="G54" s="72"/>
      <c r="H54" s="72"/>
      <c r="I54" s="72"/>
      <c r="J54" s="72"/>
      <c r="K54" s="64"/>
      <c r="L54" s="64"/>
      <c r="M54" s="64"/>
      <c r="N54" s="60"/>
      <c r="O54" s="110"/>
      <c r="P54" s="87"/>
      <c r="Q54" s="87"/>
      <c r="R54" s="87"/>
      <c r="S54" s="87"/>
      <c r="T54" s="110"/>
      <c r="U54" s="64"/>
      <c r="V54" s="64"/>
      <c r="W54" s="60"/>
      <c r="X54" s="90"/>
      <c r="Y54" s="90"/>
      <c r="Z54" s="44"/>
      <c r="AA54" s="79"/>
      <c r="AR54"/>
      <c r="AS54"/>
      <c r="AT54"/>
      <c r="AU54"/>
      <c r="AV54"/>
      <c r="AW54"/>
      <c r="AX54"/>
      <c r="AY54"/>
    </row>
    <row r="55" spans="1:51" s="9" customFormat="1" ht="15.45" customHeight="1">
      <c r="A55"/>
      <c r="B55"/>
      <c r="C55" s="33"/>
      <c r="D55" s="26" t="s">
        <v>5</v>
      </c>
      <c r="E55" s="32"/>
      <c r="F55" s="74">
        <f t="shared" ref="F55:J56" si="86">F28</f>
        <v>84</v>
      </c>
      <c r="G55" s="74">
        <f t="shared" ref="G55" si="87">G28</f>
        <v>0</v>
      </c>
      <c r="H55" s="74">
        <f t="shared" si="86"/>
        <v>1</v>
      </c>
      <c r="I55" s="74">
        <f t="shared" si="86"/>
        <v>0</v>
      </c>
      <c r="J55" s="74">
        <f t="shared" si="86"/>
        <v>1</v>
      </c>
      <c r="K55" s="64" t="str">
        <f>IFERROR(F55/G55-1,"n/a")</f>
        <v>n/a</v>
      </c>
      <c r="L55" s="64">
        <f t="shared" ref="L55:L58" si="88">IFERROR(F55/H55-1,"n/a")</f>
        <v>83</v>
      </c>
      <c r="M55" s="64" t="str">
        <f t="shared" ref="M55:M58" si="89">IFERROR(F55/I55-1,"n/a")</f>
        <v>n/a</v>
      </c>
      <c r="N55" s="60">
        <f t="shared" ref="N55:N58" si="90">IFERROR(F55/J55-1,"n/a")</f>
        <v>83</v>
      </c>
      <c r="O55" s="108"/>
      <c r="P55" s="70">
        <f>+O28-'Mar-22'!M25+'Dec-22'!M28</f>
        <v>673</v>
      </c>
      <c r="Q55" s="70">
        <f>+P28-'Mar-22'!N25+'Dec-22'!N28</f>
        <v>124</v>
      </c>
      <c r="R55" s="70">
        <f>+Q28-'Mar-22'!O25+'Dec-22'!O28</f>
        <v>37</v>
      </c>
      <c r="S55" s="70">
        <f>+R28-'Mar-22'!P25+'Dec-22'!P28</f>
        <v>359</v>
      </c>
      <c r="T55" s="108"/>
      <c r="U55" s="64">
        <f t="shared" ref="U55" si="91">IFERROR(P55/Q55-1,"n/a")</f>
        <v>4.42741935483871</v>
      </c>
      <c r="V55" s="64">
        <f t="shared" ref="V55" si="92">IFERROR(P55/R55-1,"n/a")</f>
        <v>17.189189189189189</v>
      </c>
      <c r="W55" s="60">
        <f t="shared" ref="W55" si="93">IFERROR(P55/S55-1,"n/a")</f>
        <v>0.87465181058495811</v>
      </c>
      <c r="X55" s="89"/>
      <c r="Y55" s="89">
        <v>140</v>
      </c>
      <c r="Z55" s="70">
        <v>40</v>
      </c>
      <c r="AA55" s="78">
        <v>360</v>
      </c>
      <c r="AR55"/>
      <c r="AS55"/>
      <c r="AT55"/>
      <c r="AU55"/>
      <c r="AV55"/>
      <c r="AW55"/>
      <c r="AX55"/>
      <c r="AY55"/>
    </row>
    <row r="56" spans="1:51" s="9" customFormat="1" ht="15.45" customHeight="1">
      <c r="A56"/>
      <c r="B56"/>
      <c r="C56" s="33"/>
      <c r="D56" s="26" t="s">
        <v>11</v>
      </c>
      <c r="E56" s="32"/>
      <c r="F56" s="74">
        <f t="shared" si="86"/>
        <v>219418</v>
      </c>
      <c r="G56" s="74">
        <f t="shared" ref="G56" si="94">G29</f>
        <v>0</v>
      </c>
      <c r="H56" s="74">
        <f t="shared" si="86"/>
        <v>644</v>
      </c>
      <c r="I56" s="74">
        <f t="shared" si="86"/>
        <v>0</v>
      </c>
      <c r="J56" s="74">
        <f t="shared" si="86"/>
        <v>1352</v>
      </c>
      <c r="K56" s="64" t="str">
        <f>IFERROR(F56/G56-1,"n/a")</f>
        <v>n/a</v>
      </c>
      <c r="L56" s="64">
        <f t="shared" si="88"/>
        <v>339.71118012422357</v>
      </c>
      <c r="M56" s="64" t="str">
        <f t="shared" si="89"/>
        <v>n/a</v>
      </c>
      <c r="N56" s="60">
        <f t="shared" si="90"/>
        <v>161.29142011834318</v>
      </c>
      <c r="O56" s="109"/>
      <c r="P56" s="82">
        <f>+O29-'Mar-22'!M26+'Dec-22'!M29</f>
        <v>1306061</v>
      </c>
      <c r="Q56" s="82">
        <f>+P29-'Mar-22'!N26+'Dec-22'!N29</f>
        <v>162944</v>
      </c>
      <c r="R56" s="82">
        <f>+Q29-'Mar-22'!O26+'Dec-22'!O29</f>
        <v>28814</v>
      </c>
      <c r="S56" s="82">
        <f>+R29-'Mar-22'!P26+'Dec-22'!P29</f>
        <v>861055</v>
      </c>
      <c r="T56" s="109"/>
      <c r="U56" s="64">
        <f>IFERROR(P56/Q56-1,"n/a")</f>
        <v>7.015397928122546</v>
      </c>
      <c r="V56" s="64">
        <f>IFERROR(P56/R56-1,"n/a")</f>
        <v>44.327306170611507</v>
      </c>
      <c r="W56" s="60">
        <f>IFERROR(P56/S56-1,"n/a")</f>
        <v>0.5168148376119992</v>
      </c>
      <c r="X56" s="82"/>
      <c r="Y56" s="82">
        <v>174336</v>
      </c>
      <c r="Z56" s="84">
        <v>21928</v>
      </c>
      <c r="AA56" s="78">
        <f>706948+155011</f>
        <v>861959</v>
      </c>
      <c r="AR56"/>
      <c r="AS56"/>
      <c r="AT56"/>
      <c r="AU56"/>
      <c r="AV56"/>
      <c r="AW56"/>
      <c r="AX56"/>
      <c r="AY56"/>
    </row>
    <row r="57" spans="1:51" s="9" customFormat="1" ht="26.7" customHeight="1" thickBot="1">
      <c r="A57"/>
      <c r="B57"/>
      <c r="C57" s="35" t="s">
        <v>12</v>
      </c>
      <c r="D57" s="36"/>
      <c r="E57" s="37"/>
      <c r="F57" s="75">
        <f t="shared" ref="F57:J58" si="95">F40+F43+F46+F49+F52+F55</f>
        <v>303</v>
      </c>
      <c r="G57" s="75">
        <f t="shared" ref="G57" si="96">G40+G43+G46+G49+G52+G55</f>
        <v>186</v>
      </c>
      <c r="H57" s="75">
        <f t="shared" si="95"/>
        <v>2</v>
      </c>
      <c r="I57" s="75">
        <f t="shared" si="95"/>
        <v>212</v>
      </c>
      <c r="J57" s="75">
        <f t="shared" si="95"/>
        <v>218</v>
      </c>
      <c r="K57" s="66">
        <f>IFERROR(F57/G57-1,"n/a")</f>
        <v>0.62903225806451624</v>
      </c>
      <c r="L57" s="66">
        <f t="shared" si="88"/>
        <v>150.5</v>
      </c>
      <c r="M57" s="66">
        <f t="shared" si="89"/>
        <v>0.429245283018868</v>
      </c>
      <c r="N57" s="62">
        <f t="shared" si="90"/>
        <v>0.38990825688073394</v>
      </c>
      <c r="O57" s="46"/>
      <c r="P57" s="46">
        <f t="shared" ref="P57" si="97">P40+P43+P46+P49+P52+P55</f>
        <v>3298</v>
      </c>
      <c r="Q57" s="46">
        <f t="shared" ref="Q57:S58" si="98">Q40+Q43+Q46+Q49+Q52+Q55</f>
        <v>1236</v>
      </c>
      <c r="R57" s="46">
        <f t="shared" si="98"/>
        <v>104</v>
      </c>
      <c r="S57" s="46">
        <f t="shared" si="98"/>
        <v>2921</v>
      </c>
      <c r="T57" s="46"/>
      <c r="U57" s="66">
        <f>IFERROR(P57/Q57-1,"n/a")</f>
        <v>1.6682847896440132</v>
      </c>
      <c r="V57" s="66">
        <f>IFERROR(P57/R57-1,"n/a")</f>
        <v>30.71153846153846</v>
      </c>
      <c r="W57" s="62">
        <f>IFERROR(P57/S57-1,"n/a")</f>
        <v>0.12906538856555971</v>
      </c>
      <c r="X57" s="46"/>
      <c r="Y57" s="46">
        <f t="shared" ref="Y57" si="99">Y40+Y43+Y46+Y49+Y52+Y55</f>
        <v>1682</v>
      </c>
      <c r="Z57" s="46">
        <f t="shared" ref="Z57:AA58" si="100">Z40+Z43+Z46+Z49+Z52+Z55</f>
        <v>679</v>
      </c>
      <c r="AA57" s="80">
        <f t="shared" si="100"/>
        <v>3274</v>
      </c>
      <c r="AR57"/>
      <c r="AS57"/>
      <c r="AT57"/>
      <c r="AU57"/>
      <c r="AV57"/>
      <c r="AW57"/>
      <c r="AX57"/>
      <c r="AY57"/>
    </row>
    <row r="58" spans="1:51" s="9" customFormat="1" ht="26.7" customHeight="1" thickTop="1" thickBot="1">
      <c r="A58"/>
      <c r="B58"/>
      <c r="C58" s="38" t="s">
        <v>13</v>
      </c>
      <c r="D58" s="39"/>
      <c r="E58" s="40"/>
      <c r="F58" s="76">
        <f t="shared" si="95"/>
        <v>833405</v>
      </c>
      <c r="G58" s="76">
        <f t="shared" ref="G58" si="101">G41+G44+G47+G50+G53+G56</f>
        <v>219956</v>
      </c>
      <c r="H58" s="76">
        <f t="shared" si="95"/>
        <v>1288</v>
      </c>
      <c r="I58" s="76">
        <f t="shared" si="95"/>
        <v>555038</v>
      </c>
      <c r="J58" s="76">
        <f t="shared" si="95"/>
        <v>620852</v>
      </c>
      <c r="K58" s="67">
        <f>IFERROR(F58/G58-1,"n/a")</f>
        <v>2.78896233792213</v>
      </c>
      <c r="L58" s="67">
        <f t="shared" si="88"/>
        <v>646.05357142857144</v>
      </c>
      <c r="M58" s="67">
        <f t="shared" si="89"/>
        <v>0.50152782332020518</v>
      </c>
      <c r="N58" s="63">
        <f t="shared" si="90"/>
        <v>0.34235695463653171</v>
      </c>
      <c r="O58" s="47"/>
      <c r="P58" s="47">
        <f t="shared" ref="P58" si="102">P41+P44+P47+P50+P53+P56</f>
        <v>7592784</v>
      </c>
      <c r="Q58" s="47">
        <f t="shared" si="98"/>
        <v>1764100</v>
      </c>
      <c r="R58" s="47">
        <f t="shared" si="98"/>
        <v>48528</v>
      </c>
      <c r="S58" s="47">
        <f t="shared" si="98"/>
        <v>7933533</v>
      </c>
      <c r="T58" s="47"/>
      <c r="U58" s="67">
        <f>IFERROR(P58/Q58-1,"n/a")</f>
        <v>3.3040553256618104</v>
      </c>
      <c r="V58" s="67">
        <f>IFERROR(P58/R58-1,"n/a")</f>
        <v>155.46191889218596</v>
      </c>
      <c r="W58" s="63">
        <f>IFERROR(P58/S58-1,"n/a")</f>
        <v>-4.2950473641440667E-2</v>
      </c>
      <c r="X58" s="47"/>
      <c r="Y58" s="47">
        <f t="shared" ref="Y58" si="103">Y41+Y44+Y47+Y50+Y53+Y56</f>
        <v>2411641</v>
      </c>
      <c r="Z58" s="47">
        <f t="shared" si="100"/>
        <v>1324261</v>
      </c>
      <c r="AA58" s="81">
        <f t="shared" si="100"/>
        <v>8654686</v>
      </c>
      <c r="AR58"/>
      <c r="AS58"/>
      <c r="AT58"/>
      <c r="AU58"/>
      <c r="AV58"/>
      <c r="AW58"/>
      <c r="AX58"/>
      <c r="AY58"/>
    </row>
    <row r="59" spans="1:51" s="9" customFormat="1" ht="12" customHeight="1" thickTop="1">
      <c r="A59"/>
      <c r="B59"/>
      <c r="C59"/>
      <c r="D59"/>
      <c r="E59"/>
      <c r="F59"/>
      <c r="G59"/>
      <c r="H59"/>
      <c r="I59"/>
      <c r="J59"/>
      <c r="K59"/>
      <c r="L59"/>
      <c r="M59"/>
      <c r="N59"/>
      <c r="O59"/>
      <c r="P59"/>
      <c r="Q59"/>
      <c r="R59"/>
      <c r="S59"/>
      <c r="T59"/>
      <c r="U59"/>
      <c r="V59"/>
      <c r="W59"/>
      <c r="X59"/>
      <c r="Y59"/>
      <c r="Z59"/>
      <c r="AA59"/>
      <c r="AR59"/>
      <c r="AS59"/>
      <c r="AT59"/>
      <c r="AU59"/>
      <c r="AV59"/>
      <c r="AW59"/>
      <c r="AX59"/>
      <c r="AY59"/>
    </row>
    <row r="60" spans="1:51" ht="26.7" customHeight="1">
      <c r="P60" s="111"/>
      <c r="Q60" s="111"/>
      <c r="R60" s="111"/>
      <c r="S60" s="111"/>
    </row>
    <row r="61" spans="1:51" ht="26.7" customHeight="1">
      <c r="P61" s="111"/>
      <c r="Q61" s="111"/>
      <c r="R61" s="111"/>
      <c r="S61" s="111"/>
    </row>
    <row r="62" spans="1:51" ht="26.7" customHeight="1">
      <c r="P62" s="111"/>
      <c r="Q62" s="111"/>
      <c r="R62" s="111"/>
      <c r="S62" s="111"/>
    </row>
    <row r="63" spans="1:51" ht="26.7" customHeight="1">
      <c r="P63" s="111"/>
      <c r="Q63" s="111"/>
      <c r="R63" s="111"/>
      <c r="S63" s="111"/>
    </row>
    <row r="64" spans="1:51" ht="26.7" customHeight="1"/>
    <row r="65" ht="26.7" customHeight="1"/>
    <row r="66" ht="26.7" customHeight="1"/>
    <row r="67" ht="26.7" customHeight="1"/>
    <row r="68" ht="26.7" customHeight="1"/>
  </sheetData>
  <mergeCells count="6">
    <mergeCell ref="F9:N9"/>
    <mergeCell ref="O9:W9"/>
    <mergeCell ref="X9:AA9"/>
    <mergeCell ref="F36:N36"/>
    <mergeCell ref="O36:W36"/>
    <mergeCell ref="X36:AA36"/>
  </mergeCells>
  <pageMargins left="0.7" right="0.7" top="0.75" bottom="0.75" header="0.3" footer="0.3"/>
  <pageSetup paperSize="9" scale="45" orientation="landscape" horizontalDpi="4294967293" verticalDpi="4294967293" r:id="rId1"/>
  <colBreaks count="2" manualBreakCount="2">
    <brk id="3" max="1048575" man="1"/>
    <brk id="5"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T68"/>
  <sheetViews>
    <sheetView showGridLines="0" zoomScaleNormal="100" zoomScalePageLayoutView="40" workbookViewId="0"/>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9" customWidth="1"/>
    <col min="24" max="38" width="0" style="9" hidden="1" customWidth="1"/>
    <col min="39" max="46" width="0" hidden="1" customWidth="1"/>
    <col min="47"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v>44941</v>
      </c>
    </row>
    <row r="4" spans="1:38" ht="16.2">
      <c r="A4" s="9"/>
      <c r="B4" s="11" t="s">
        <v>7</v>
      </c>
      <c r="C4" s="26"/>
      <c r="D4" s="24"/>
      <c r="E4" s="58" t="s">
        <v>95</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ht="14.4">
      <c r="A6" s="9"/>
      <c r="B6" s="10"/>
      <c r="C6" s="24"/>
      <c r="D6" s="24"/>
      <c r="E6" s="24"/>
      <c r="F6" s="24"/>
      <c r="G6" s="24"/>
      <c r="H6" s="24"/>
      <c r="I6" s="24"/>
      <c r="J6" s="24"/>
      <c r="K6" s="24"/>
      <c r="L6" s="24"/>
      <c r="M6" s="24"/>
      <c r="N6" s="24"/>
      <c r="O6" s="24"/>
      <c r="P6" s="24"/>
      <c r="Q6" s="24"/>
      <c r="R6" s="24"/>
      <c r="S6" s="24"/>
      <c r="T6" s="24"/>
      <c r="U6" s="24"/>
      <c r="V6" s="24"/>
    </row>
    <row r="7" spans="1:38" ht="14.4">
      <c r="A7" s="9"/>
      <c r="B7" s="10"/>
      <c r="C7" s="86" t="s">
        <v>62</v>
      </c>
      <c r="D7" s="24"/>
      <c r="E7" s="24"/>
      <c r="F7" s="24"/>
      <c r="G7" s="24"/>
      <c r="H7" s="24"/>
      <c r="I7" s="24"/>
      <c r="J7" s="24"/>
      <c r="K7" s="24"/>
      <c r="L7" s="24"/>
      <c r="M7" s="24"/>
      <c r="N7" s="24"/>
      <c r="O7" s="24"/>
      <c r="P7" s="24"/>
      <c r="Q7" s="24"/>
      <c r="R7" s="24"/>
      <c r="S7" s="24"/>
      <c r="T7" s="24"/>
      <c r="U7" s="24"/>
      <c r="V7" s="24"/>
    </row>
    <row r="8" spans="1:38" ht="14.4">
      <c r="A8" s="9"/>
      <c r="B8" s="10"/>
      <c r="C8" s="24"/>
      <c r="D8" s="24"/>
      <c r="E8" s="24"/>
      <c r="F8" s="24"/>
      <c r="G8" s="24"/>
      <c r="H8" s="24"/>
      <c r="I8" s="24"/>
      <c r="J8" s="24"/>
      <c r="K8" s="24"/>
      <c r="L8" s="24"/>
      <c r="M8" s="24"/>
      <c r="N8" s="24"/>
      <c r="O8" s="24"/>
      <c r="P8" s="24"/>
      <c r="Q8" s="24"/>
      <c r="R8" s="24"/>
      <c r="S8" s="24"/>
      <c r="T8" s="24"/>
      <c r="U8" s="24"/>
      <c r="V8" s="24"/>
    </row>
    <row r="9" spans="1:38" s="20" customFormat="1" ht="14.4">
      <c r="A9" s="9"/>
      <c r="B9"/>
      <c r="C9" s="27" t="s">
        <v>7</v>
      </c>
      <c r="D9" s="28"/>
      <c r="E9" s="28"/>
      <c r="F9" s="128" t="s">
        <v>31</v>
      </c>
      <c r="G9" s="128"/>
      <c r="H9" s="128"/>
      <c r="I9" s="128"/>
      <c r="J9" s="128"/>
      <c r="K9" s="128"/>
      <c r="L9" s="129"/>
      <c r="M9" s="130" t="s">
        <v>96</v>
      </c>
      <c r="N9" s="128"/>
      <c r="O9" s="128"/>
      <c r="P9" s="128"/>
      <c r="Q9" s="128"/>
      <c r="R9" s="128"/>
      <c r="S9" s="129"/>
      <c r="T9" s="130" t="s">
        <v>57</v>
      </c>
      <c r="U9" s="128"/>
      <c r="V9" s="131"/>
      <c r="W9" s="9"/>
      <c r="X9" s="19"/>
      <c r="Y9" s="19"/>
      <c r="Z9" s="19"/>
      <c r="AA9" s="19"/>
      <c r="AB9" s="19"/>
      <c r="AC9" s="19"/>
      <c r="AD9" s="19"/>
      <c r="AE9" s="19"/>
      <c r="AF9" s="19"/>
      <c r="AG9" s="19"/>
      <c r="AH9" s="19"/>
      <c r="AI9" s="19"/>
      <c r="AJ9" s="19"/>
      <c r="AK9" s="19"/>
      <c r="AL9" s="19"/>
    </row>
    <row r="10" spans="1:38" ht="14.4">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4.4">
      <c r="A12" s="9"/>
      <c r="B12" s="12"/>
      <c r="C12" s="31" t="s">
        <v>14</v>
      </c>
      <c r="D12" s="26"/>
      <c r="E12" s="32"/>
      <c r="F12" s="26"/>
      <c r="G12" s="26"/>
      <c r="H12" s="26"/>
      <c r="I12" s="26"/>
      <c r="J12" s="26"/>
      <c r="K12" s="26"/>
      <c r="L12" s="32"/>
      <c r="M12" s="26"/>
      <c r="N12" s="26"/>
      <c r="O12" s="26"/>
      <c r="P12" s="26"/>
      <c r="Q12" s="26"/>
      <c r="R12" s="26"/>
      <c r="S12" s="32"/>
      <c r="T12" s="26"/>
      <c r="U12" s="26"/>
      <c r="V12" s="32"/>
    </row>
    <row r="13" spans="1:38" ht="14.4">
      <c r="A13" s="9"/>
      <c r="B13" s="12"/>
      <c r="C13" s="33"/>
      <c r="D13" s="26" t="s">
        <v>5</v>
      </c>
      <c r="E13" s="32"/>
      <c r="F13" s="96">
        <v>73</v>
      </c>
      <c r="G13" s="96">
        <v>70</v>
      </c>
      <c r="H13" s="96">
        <v>0</v>
      </c>
      <c r="I13" s="96">
        <v>69</v>
      </c>
      <c r="J13" s="64">
        <f t="shared" ref="J13:J31" si="0">IFERROR(F13/G13-1,"n/a")</f>
        <v>4.2857142857142927E-2</v>
      </c>
      <c r="K13" s="64" t="str">
        <f>IFERROR(F13/H13-1,"n/a")</f>
        <v>n/a</v>
      </c>
      <c r="L13" s="60">
        <f t="shared" ref="L13:L14" si="1">IFERROR(F13/I13-1,"n/a")</f>
        <v>5.7971014492753659E-2</v>
      </c>
      <c r="M13" s="68">
        <f>F13+'Nov-22'!M13</f>
        <v>346</v>
      </c>
      <c r="N13" s="68">
        <f>G13+'Nov-22'!N13</f>
        <v>111</v>
      </c>
      <c r="O13" s="68">
        <f>H13+'Nov-22'!O13</f>
        <v>145</v>
      </c>
      <c r="P13" s="68">
        <f>I13+'Nov-22'!P13</f>
        <v>386</v>
      </c>
      <c r="Q13" s="64">
        <f>IFERROR(M13/N13-1,"n/a")</f>
        <v>2.1171171171171173</v>
      </c>
      <c r="R13" s="64">
        <f>IFERROR(M13/O13-1,"n/a")</f>
        <v>1.386206896551724</v>
      </c>
      <c r="S13" s="60">
        <f>IFERROR(M13/P13-1,"n/a")</f>
        <v>-0.10362694300518138</v>
      </c>
      <c r="T13" s="68">
        <v>111</v>
      </c>
      <c r="U13" s="70">
        <v>145</v>
      </c>
      <c r="V13" s="78">
        <v>386</v>
      </c>
    </row>
    <row r="14" spans="1:38" ht="14.4">
      <c r="A14" s="9"/>
      <c r="B14" s="12"/>
      <c r="C14" s="33"/>
      <c r="D14" s="26" t="s">
        <v>11</v>
      </c>
      <c r="E14" s="32"/>
      <c r="F14" s="96">
        <f>108803+415</f>
        <v>109218</v>
      </c>
      <c r="G14" s="96">
        <v>52767</v>
      </c>
      <c r="H14" s="96">
        <v>0</v>
      </c>
      <c r="I14" s="96">
        <v>120203</v>
      </c>
      <c r="J14" s="64">
        <f t="shared" si="0"/>
        <v>1.0698163624992891</v>
      </c>
      <c r="K14" s="64" t="str">
        <f t="shared" ref="K14" si="2">IFERROR(F14/H14-1,"n/a")</f>
        <v>n/a</v>
      </c>
      <c r="L14" s="60">
        <f t="shared" si="1"/>
        <v>-9.1387070206234489E-2</v>
      </c>
      <c r="M14" s="68">
        <f>F14+'Nov-22'!M14</f>
        <v>380182</v>
      </c>
      <c r="N14" s="68">
        <f>G14+'Nov-22'!N14</f>
        <v>80863</v>
      </c>
      <c r="O14" s="68">
        <f>H14+'Nov-22'!O14</f>
        <v>258885</v>
      </c>
      <c r="P14" s="68">
        <f>I14+'Nov-22'!P14</f>
        <v>733296</v>
      </c>
      <c r="Q14" s="64">
        <f>IFERROR(M14/N14-1,"n/a")</f>
        <v>3.7015569543548965</v>
      </c>
      <c r="R14" s="64">
        <f>IFERROR(M14/O14-1,"n/a")</f>
        <v>0.46853622264712125</v>
      </c>
      <c r="S14" s="60">
        <f>IFERROR(M14/P14-1,"n/a")</f>
        <v>-0.48154360585629818</v>
      </c>
      <c r="T14" s="68">
        <v>80863</v>
      </c>
      <c r="U14" s="70">
        <v>258885</v>
      </c>
      <c r="V14" s="78">
        <v>733296</v>
      </c>
    </row>
    <row r="15" spans="1:38" ht="14.4">
      <c r="A15" s="9"/>
      <c r="B15" s="12"/>
      <c r="C15" s="31" t="s">
        <v>74</v>
      </c>
      <c r="D15" s="26"/>
      <c r="E15" s="32"/>
      <c r="F15" s="97"/>
      <c r="G15" s="97"/>
      <c r="H15" s="97"/>
      <c r="I15" s="97"/>
      <c r="J15" s="64"/>
      <c r="K15" s="64"/>
      <c r="L15" s="61"/>
      <c r="M15" s="87"/>
      <c r="N15" s="87"/>
      <c r="O15" s="87"/>
      <c r="P15" s="87"/>
      <c r="Q15" s="64"/>
      <c r="R15" s="65"/>
      <c r="S15" s="61"/>
      <c r="T15" s="43"/>
      <c r="U15" s="44"/>
      <c r="V15" s="79"/>
    </row>
    <row r="16" spans="1:38" ht="14.4">
      <c r="A16" s="9"/>
      <c r="B16" s="12"/>
      <c r="C16" s="33"/>
      <c r="D16" s="26" t="s">
        <v>5</v>
      </c>
      <c r="E16" s="32"/>
      <c r="F16" s="96">
        <v>31</v>
      </c>
      <c r="G16" s="96">
        <v>25</v>
      </c>
      <c r="H16" s="96">
        <v>0</v>
      </c>
      <c r="I16" s="96">
        <v>20</v>
      </c>
      <c r="J16" s="64">
        <f t="shared" si="0"/>
        <v>0.24</v>
      </c>
      <c r="K16" s="64" t="str">
        <f t="shared" ref="K16:K17" si="3">IFERROR(F16/H16-1,"n/a")</f>
        <v>n/a</v>
      </c>
      <c r="L16" s="60">
        <f t="shared" ref="L16:L17" si="4">IFERROR(F16/I16-1,"n/a")</f>
        <v>0.55000000000000004</v>
      </c>
      <c r="M16" s="68">
        <f>F16+'Nov-22'!M16</f>
        <v>778</v>
      </c>
      <c r="N16" s="68">
        <f>G16+'Nov-22'!N16</f>
        <v>283</v>
      </c>
      <c r="O16" s="68">
        <f>H16+'Nov-22'!O16</f>
        <v>43</v>
      </c>
      <c r="P16" s="68">
        <f>I16+'Nov-22'!P16</f>
        <v>827</v>
      </c>
      <c r="Q16" s="64">
        <f t="shared" ref="Q16:Q17" si="5">IFERROR(M16/N16-1,"n/a")</f>
        <v>1.7491166077738516</v>
      </c>
      <c r="R16" s="64">
        <f t="shared" ref="R16:R17" si="6">IFERROR(M16/O16-1,"n/a")</f>
        <v>17.093023255813954</v>
      </c>
      <c r="S16" s="60">
        <f t="shared" ref="S16:S17" si="7">IFERROR(M16/P16-1,"n/a")</f>
        <v>-5.9250302297460755E-2</v>
      </c>
      <c r="T16" s="68">
        <v>283</v>
      </c>
      <c r="U16" s="70">
        <v>43</v>
      </c>
      <c r="V16" s="78">
        <v>827</v>
      </c>
    </row>
    <row r="17" spans="1:46" ht="14.4">
      <c r="A17" s="9"/>
      <c r="B17" s="12"/>
      <c r="C17" s="33"/>
      <c r="D17" s="26" t="s">
        <v>11</v>
      </c>
      <c r="E17" s="32"/>
      <c r="F17" s="96">
        <v>88390</v>
      </c>
      <c r="G17" s="96">
        <v>39214</v>
      </c>
      <c r="H17" s="96">
        <v>0</v>
      </c>
      <c r="I17" s="96">
        <v>58943</v>
      </c>
      <c r="J17" s="64">
        <f t="shared" si="0"/>
        <v>1.2540419238027236</v>
      </c>
      <c r="K17" s="64" t="str">
        <f t="shared" si="3"/>
        <v>n/a</v>
      </c>
      <c r="L17" s="60">
        <f t="shared" si="4"/>
        <v>0.49958434419693609</v>
      </c>
      <c r="M17" s="68">
        <f>F17+'Nov-22'!M17</f>
        <v>1843624</v>
      </c>
      <c r="N17" s="68">
        <f>G17+'Nov-22'!N17</f>
        <v>465109</v>
      </c>
      <c r="O17" s="68">
        <f>H17+'Nov-22'!O17</f>
        <v>140552</v>
      </c>
      <c r="P17" s="68">
        <f>I17+'Nov-22'!P17</f>
        <v>2552942</v>
      </c>
      <c r="Q17" s="64">
        <f t="shared" si="5"/>
        <v>2.9638536343093769</v>
      </c>
      <c r="R17" s="64">
        <f t="shared" si="6"/>
        <v>12.117024304172121</v>
      </c>
      <c r="S17" s="60">
        <f t="shared" si="7"/>
        <v>-0.27784336659430575</v>
      </c>
      <c r="T17" s="68">
        <v>465109</v>
      </c>
      <c r="U17" s="70">
        <v>140552</v>
      </c>
      <c r="V17" s="78">
        <v>2552942</v>
      </c>
    </row>
    <row r="18" spans="1:46" ht="14.4">
      <c r="A18" s="9"/>
      <c r="B18" s="12"/>
      <c r="C18" s="31" t="s">
        <v>15</v>
      </c>
      <c r="D18" s="26"/>
      <c r="E18" s="32"/>
      <c r="F18" s="72"/>
      <c r="G18" s="98"/>
      <c r="H18" s="98"/>
      <c r="I18" s="98"/>
      <c r="J18" s="64"/>
      <c r="K18" s="64"/>
      <c r="L18" s="60"/>
      <c r="M18" s="87"/>
      <c r="N18" s="87"/>
      <c r="O18" s="87"/>
      <c r="P18" s="87"/>
      <c r="Q18" s="64"/>
      <c r="R18" s="64"/>
      <c r="S18" s="60"/>
      <c r="T18" s="43"/>
      <c r="U18" s="44"/>
      <c r="V18" s="79"/>
    </row>
    <row r="19" spans="1:46" ht="14.4">
      <c r="A19" s="9"/>
      <c r="B19" s="12"/>
      <c r="C19" s="33"/>
      <c r="D19" s="26" t="s">
        <v>5</v>
      </c>
      <c r="E19" s="32"/>
      <c r="F19" s="74">
        <v>9</v>
      </c>
      <c r="G19" s="96">
        <v>3</v>
      </c>
      <c r="H19" s="96">
        <v>0</v>
      </c>
      <c r="I19" s="96">
        <v>9</v>
      </c>
      <c r="J19" s="64">
        <f t="shared" si="0"/>
        <v>2</v>
      </c>
      <c r="K19" s="64" t="str">
        <f t="shared" ref="K19:K20" si="8">IFERROR(F19/H19-1,"n/a")</f>
        <v>n/a</v>
      </c>
      <c r="L19" s="60">
        <f>IFERROR(F19/I19-1,"n/a")</f>
        <v>0</v>
      </c>
      <c r="M19" s="68">
        <f>F19+'Nov-22'!M19</f>
        <v>475</v>
      </c>
      <c r="N19" s="68">
        <f>G19+'Nov-22'!N19</f>
        <v>23</v>
      </c>
      <c r="O19" s="68">
        <f>H19+'Nov-22'!O19</f>
        <v>4</v>
      </c>
      <c r="P19" s="68">
        <f>I19+'Nov-22'!P19</f>
        <v>191</v>
      </c>
      <c r="Q19" s="64">
        <f t="shared" ref="Q19:Q20" si="9">IFERROR(M19/N19-1,"n/a")</f>
        <v>19.652173913043477</v>
      </c>
      <c r="R19" s="64">
        <f t="shared" ref="R19:R20" si="10">IFERROR(M19/O19-1,"n/a")</f>
        <v>117.75</v>
      </c>
      <c r="S19" s="60">
        <f t="shared" ref="S19:S20" si="11">IFERROR(M19/P19-1,"n/a")</f>
        <v>1.4869109947643979</v>
      </c>
      <c r="T19" s="68">
        <v>23</v>
      </c>
      <c r="U19" s="70">
        <v>4</v>
      </c>
      <c r="V19" s="78">
        <v>191</v>
      </c>
    </row>
    <row r="20" spans="1:46" ht="14.4">
      <c r="A20" s="9"/>
      <c r="B20" s="12"/>
      <c r="C20" s="33"/>
      <c r="D20" s="26" t="s">
        <v>11</v>
      </c>
      <c r="E20" s="32"/>
      <c r="F20" s="74">
        <v>6157</v>
      </c>
      <c r="G20" s="96">
        <v>864</v>
      </c>
      <c r="H20" s="96">
        <v>0</v>
      </c>
      <c r="I20" s="96">
        <v>9825</v>
      </c>
      <c r="J20" s="64">
        <f t="shared" si="0"/>
        <v>6.1261574074074074</v>
      </c>
      <c r="K20" s="64" t="str">
        <f t="shared" si="8"/>
        <v>n/a</v>
      </c>
      <c r="L20" s="60">
        <f t="shared" ref="L20:L31" si="12">IFERROR(F20/I20-1,"n/a")</f>
        <v>-0.37333333333333329</v>
      </c>
      <c r="M20" s="68">
        <f>F20+'Nov-22'!M20</f>
        <v>561984</v>
      </c>
      <c r="N20" s="68">
        <f>G20+'Nov-22'!N20</f>
        <v>8611</v>
      </c>
      <c r="O20" s="68">
        <f>H20+'Nov-22'!O20</f>
        <v>1753</v>
      </c>
      <c r="P20" s="68">
        <f>I20+'Nov-22'!P20</f>
        <v>254421</v>
      </c>
      <c r="Q20" s="64">
        <f t="shared" si="9"/>
        <v>64.263500174195798</v>
      </c>
      <c r="R20" s="64">
        <f t="shared" si="10"/>
        <v>319.58414147176268</v>
      </c>
      <c r="S20" s="60">
        <f t="shared" si="11"/>
        <v>1.2088742674543376</v>
      </c>
      <c r="T20" s="68">
        <v>8611</v>
      </c>
      <c r="U20" s="70">
        <v>1753</v>
      </c>
      <c r="V20" s="78">
        <v>254421</v>
      </c>
    </row>
    <row r="21" spans="1:46" ht="14.4">
      <c r="A21" s="9"/>
      <c r="B21" s="12"/>
      <c r="C21" s="31" t="s">
        <v>10</v>
      </c>
      <c r="D21" s="26"/>
      <c r="E21" s="34"/>
      <c r="F21" s="72"/>
      <c r="G21" s="98"/>
      <c r="H21" s="98"/>
      <c r="I21" s="98"/>
      <c r="J21" s="64"/>
      <c r="K21" s="64"/>
      <c r="L21" s="60"/>
      <c r="M21" s="87"/>
      <c r="N21" s="87"/>
      <c r="O21" s="87"/>
      <c r="P21" s="87"/>
      <c r="Q21" s="64"/>
      <c r="R21" s="64"/>
      <c r="S21" s="60"/>
      <c r="T21" s="43"/>
      <c r="U21" s="44"/>
      <c r="V21" s="79"/>
    </row>
    <row r="22" spans="1:46" ht="14.4">
      <c r="A22" s="9"/>
      <c r="B22" s="12"/>
      <c r="C22" s="33"/>
      <c r="D22" s="26" t="s">
        <v>5</v>
      </c>
      <c r="E22" s="34"/>
      <c r="F22" s="74">
        <v>118</v>
      </c>
      <c r="G22" s="96">
        <v>102</v>
      </c>
      <c r="H22" s="96">
        <v>0</v>
      </c>
      <c r="I22" s="96">
        <v>131</v>
      </c>
      <c r="J22" s="64">
        <f t="shared" si="0"/>
        <v>0.15686274509803932</v>
      </c>
      <c r="K22" s="64" t="str">
        <f t="shared" ref="K22:K23" si="13">IFERROR(F22/H22-1,"n/a")</f>
        <v>n/a</v>
      </c>
      <c r="L22" s="60">
        <f t="shared" si="12"/>
        <v>-9.92366412213741E-2</v>
      </c>
      <c r="M22" s="68">
        <f>F22+'Nov-22'!M22</f>
        <v>1140</v>
      </c>
      <c r="N22" s="68">
        <f>G22+'Nov-22'!N22</f>
        <v>411</v>
      </c>
      <c r="O22" s="68">
        <f>H22+'Nov-22'!O22</f>
        <v>406</v>
      </c>
      <c r="P22" s="68">
        <f>I22+'Nov-22'!P22</f>
        <v>1205</v>
      </c>
      <c r="Q22" s="64">
        <f t="shared" ref="Q22:Q23" si="14">IFERROR(M22/N22-1,"n/a")</f>
        <v>1.7737226277372264</v>
      </c>
      <c r="R22" s="64">
        <f t="shared" ref="R22:R23" si="15">IFERROR(M22/O22-1,"n/a")</f>
        <v>1.8078817733990147</v>
      </c>
      <c r="S22" s="60">
        <f t="shared" ref="S22:S23" si="16">IFERROR(M22/P22-1,"n/a")</f>
        <v>-5.3941908713692976E-2</v>
      </c>
      <c r="T22" s="68">
        <v>411</v>
      </c>
      <c r="U22" s="70">
        <v>406</v>
      </c>
      <c r="V22" s="78">
        <v>1205</v>
      </c>
    </row>
    <row r="23" spans="1:46" ht="14.4">
      <c r="A23" s="9"/>
      <c r="B23" s="12"/>
      <c r="C23" s="33"/>
      <c r="D23" s="26" t="s">
        <v>11</v>
      </c>
      <c r="E23" s="32"/>
      <c r="F23" s="74">
        <v>409516</v>
      </c>
      <c r="G23" s="96">
        <v>200450</v>
      </c>
      <c r="H23" s="96">
        <v>0</v>
      </c>
      <c r="I23" s="96">
        <v>386408</v>
      </c>
      <c r="J23" s="64">
        <f t="shared" si="0"/>
        <v>1.0429832876028935</v>
      </c>
      <c r="K23" s="64" t="str">
        <f t="shared" si="13"/>
        <v>n/a</v>
      </c>
      <c r="L23" s="60">
        <f t="shared" si="12"/>
        <v>5.9802074491211332E-2</v>
      </c>
      <c r="M23" s="68">
        <f>F23+'Nov-22'!M23</f>
        <v>3212646</v>
      </c>
      <c r="N23" s="68">
        <f>G23+'Nov-22'!N23</f>
        <v>687449</v>
      </c>
      <c r="O23" s="68">
        <f>H23+'Nov-22'!O23</f>
        <v>833999</v>
      </c>
      <c r="P23" s="68">
        <f>I23+'Nov-22'!P23</f>
        <v>3859183</v>
      </c>
      <c r="Q23" s="64">
        <f t="shared" si="14"/>
        <v>3.6732863092389403</v>
      </c>
      <c r="R23" s="64">
        <f t="shared" si="15"/>
        <v>2.8520981440025706</v>
      </c>
      <c r="S23" s="60">
        <f t="shared" si="16"/>
        <v>-0.16753209163701233</v>
      </c>
      <c r="T23" s="68">
        <v>687449</v>
      </c>
      <c r="U23" s="70">
        <v>833999</v>
      </c>
      <c r="V23" s="78">
        <v>3859183</v>
      </c>
    </row>
    <row r="24" spans="1:46" ht="14.4">
      <c r="A24" s="9"/>
      <c r="B24" s="12"/>
      <c r="C24" s="31" t="s">
        <v>16</v>
      </c>
      <c r="D24" s="26"/>
      <c r="E24" s="32"/>
      <c r="F24" s="72"/>
      <c r="G24" s="98"/>
      <c r="H24" s="98"/>
      <c r="I24" s="98"/>
      <c r="J24" s="64"/>
      <c r="K24" s="64"/>
      <c r="L24" s="60"/>
      <c r="M24" s="87"/>
      <c r="N24" s="87"/>
      <c r="O24" s="87"/>
      <c r="P24" s="87"/>
      <c r="Q24" s="64"/>
      <c r="R24" s="64"/>
      <c r="S24" s="60"/>
      <c r="T24" s="43"/>
      <c r="U24" s="44"/>
      <c r="V24" s="79"/>
    </row>
    <row r="25" spans="1:46" ht="14.4">
      <c r="A25" s="9"/>
      <c r="B25" s="12"/>
      <c r="C25" s="33"/>
      <c r="D25" s="26" t="s">
        <v>5</v>
      </c>
      <c r="E25" s="32"/>
      <c r="F25" s="74">
        <v>5</v>
      </c>
      <c r="G25" s="96">
        <v>7</v>
      </c>
      <c r="H25" s="96">
        <v>3</v>
      </c>
      <c r="I25" s="96">
        <v>44</v>
      </c>
      <c r="J25" s="64">
        <f t="shared" si="0"/>
        <v>-0.2857142857142857</v>
      </c>
      <c r="K25" s="64">
        <f t="shared" ref="K25:K26" si="17">IFERROR(F25/H25-1,"n/a")</f>
        <v>0.66666666666666674</v>
      </c>
      <c r="L25" s="60">
        <f t="shared" si="12"/>
        <v>-0.88636363636363635</v>
      </c>
      <c r="M25" s="68">
        <f>F25+'Nov-22'!M25</f>
        <v>283</v>
      </c>
      <c r="N25" s="68">
        <f>G25+'Nov-22'!N25</f>
        <v>107</v>
      </c>
      <c r="O25" s="68">
        <f>H25+'Nov-22'!O25</f>
        <v>32</v>
      </c>
      <c r="P25" s="68">
        <f>I25+'Nov-22'!P25</f>
        <v>372</v>
      </c>
      <c r="Q25" s="64">
        <f t="shared" ref="Q25:Q26" si="18">IFERROR(M25/N25-1,"n/a")</f>
        <v>1.6448598130841123</v>
      </c>
      <c r="R25" s="64">
        <f t="shared" ref="R25:R26" si="19">IFERROR(M25/O25-1,"n/a")</f>
        <v>7.84375</v>
      </c>
      <c r="S25" s="60">
        <f t="shared" ref="S25:S26" si="20">IFERROR(M25/P25-1,"n/a")</f>
        <v>-0.239247311827957</v>
      </c>
      <c r="T25" s="68">
        <v>107</v>
      </c>
      <c r="U25" s="70">
        <v>32</v>
      </c>
      <c r="V25" s="78">
        <v>372</v>
      </c>
    </row>
    <row r="26" spans="1:46" ht="14.4">
      <c r="A26" s="9"/>
      <c r="B26" s="12"/>
      <c r="C26" s="33"/>
      <c r="D26" s="26" t="s">
        <v>11</v>
      </c>
      <c r="E26" s="32"/>
      <c r="F26" s="74">
        <v>20252</v>
      </c>
      <c r="G26" s="96">
        <v>13748</v>
      </c>
      <c r="H26" s="96">
        <v>1045</v>
      </c>
      <c r="I26" s="96">
        <v>52611</v>
      </c>
      <c r="J26" s="64">
        <f t="shared" si="0"/>
        <v>0.47308699447192315</v>
      </c>
      <c r="K26" s="64">
        <f t="shared" si="17"/>
        <v>18.379904306220094</v>
      </c>
      <c r="L26" s="60">
        <f t="shared" si="12"/>
        <v>-0.61506148904221547</v>
      </c>
      <c r="M26" s="68">
        <f>F26+'Nov-22'!M26</f>
        <v>530405</v>
      </c>
      <c r="N26" s="68">
        <f>G26+'Nov-22'!N26</f>
        <v>147132</v>
      </c>
      <c r="O26" s="68">
        <f>H26+'Nov-22'!O26</f>
        <v>59180</v>
      </c>
      <c r="P26" s="68">
        <f>I26+'Nov-22'!P26</f>
        <v>902015</v>
      </c>
      <c r="Q26" s="64">
        <f t="shared" si="18"/>
        <v>2.6049601718185031</v>
      </c>
      <c r="R26" s="64">
        <f t="shared" si="19"/>
        <v>7.9625718148022973</v>
      </c>
      <c r="S26" s="60">
        <f t="shared" si="20"/>
        <v>-0.41197762786649894</v>
      </c>
      <c r="T26" s="68">
        <v>147132</v>
      </c>
      <c r="U26" s="70">
        <v>59180</v>
      </c>
      <c r="V26" s="78">
        <v>902015</v>
      </c>
    </row>
    <row r="27" spans="1:46" ht="14.4">
      <c r="A27" s="9"/>
      <c r="B27" s="12"/>
      <c r="C27" s="31" t="s">
        <v>17</v>
      </c>
      <c r="D27" s="26"/>
      <c r="E27" s="32"/>
      <c r="F27" s="72"/>
      <c r="G27" s="98"/>
      <c r="H27" s="98"/>
      <c r="I27" s="98"/>
      <c r="J27" s="64"/>
      <c r="K27" s="64"/>
      <c r="L27" s="60"/>
      <c r="M27" s="87"/>
      <c r="N27" s="87"/>
      <c r="O27" s="87"/>
      <c r="P27" s="87"/>
      <c r="Q27" s="64"/>
      <c r="R27" s="64"/>
      <c r="S27" s="60"/>
      <c r="T27" s="43"/>
      <c r="U27" s="44"/>
      <c r="V27" s="79"/>
    </row>
    <row r="28" spans="1:46" ht="14.4">
      <c r="B28" s="12"/>
      <c r="C28" s="33"/>
      <c r="D28" s="26" t="s">
        <v>5</v>
      </c>
      <c r="E28" s="32"/>
      <c r="F28" s="74">
        <f>1+36</f>
        <v>37</v>
      </c>
      <c r="G28" s="96">
        <v>0</v>
      </c>
      <c r="H28" s="96">
        <v>5</v>
      </c>
      <c r="I28" s="96">
        <v>18</v>
      </c>
      <c r="J28" s="64" t="str">
        <f t="shared" si="0"/>
        <v>n/a</v>
      </c>
      <c r="K28" s="64">
        <f t="shared" ref="K28:K31" si="21">IFERROR(F28/H28-1,"n/a")</f>
        <v>6.4</v>
      </c>
      <c r="L28" s="60">
        <f t="shared" si="12"/>
        <v>1.0555555555555554</v>
      </c>
      <c r="M28" s="68">
        <f>F28+'Nov-22'!M28</f>
        <v>605</v>
      </c>
      <c r="N28" s="68">
        <f>G28+'Nov-22'!N28</f>
        <v>127</v>
      </c>
      <c r="O28" s="68">
        <f>H28+'Nov-22'!O28</f>
        <v>37</v>
      </c>
      <c r="P28" s="68">
        <f>I28+'Nov-22'!P28</f>
        <v>363</v>
      </c>
      <c r="Q28" s="64">
        <f t="shared" ref="Q28:Q31" si="22">IFERROR(M28/N28-1,"n/a")</f>
        <v>3.7637795275590555</v>
      </c>
      <c r="R28" s="64">
        <f t="shared" ref="R28:R31" si="23">IFERROR(M28/O28-1,"n/a")</f>
        <v>15.351351351351351</v>
      </c>
      <c r="S28" s="60">
        <f t="shared" ref="S28:S31" si="24">IFERROR(M28/P28-1,"n/a")</f>
        <v>0.66666666666666674</v>
      </c>
      <c r="T28" s="68">
        <v>127</v>
      </c>
      <c r="U28" s="70">
        <v>37</v>
      </c>
      <c r="V28" s="78">
        <f>282+81</f>
        <v>363</v>
      </c>
    </row>
    <row r="29" spans="1:46" ht="14.4">
      <c r="A29" s="9"/>
      <c r="B29" s="12"/>
      <c r="C29" s="33"/>
      <c r="D29" s="26" t="s">
        <v>11</v>
      </c>
      <c r="E29" s="32"/>
      <c r="F29" s="74">
        <f>2108+606+127100</f>
        <v>129814</v>
      </c>
      <c r="G29" s="96">
        <v>0</v>
      </c>
      <c r="H29" s="96">
        <v>10369</v>
      </c>
      <c r="I29" s="96">
        <v>10666</v>
      </c>
      <c r="J29" s="64" t="str">
        <f t="shared" si="0"/>
        <v>n/a</v>
      </c>
      <c r="K29" s="64">
        <f t="shared" si="21"/>
        <v>11.519432925065098</v>
      </c>
      <c r="L29" s="60">
        <f t="shared" si="12"/>
        <v>11.170823176448527</v>
      </c>
      <c r="M29" s="68">
        <f>F29+'Nov-22'!M29</f>
        <v>1098243</v>
      </c>
      <c r="N29" s="68">
        <f>G29+'Nov-22'!N29</f>
        <v>165083</v>
      </c>
      <c r="O29" s="68">
        <f>H29+'Nov-22'!O29</f>
        <v>29062</v>
      </c>
      <c r="P29" s="68">
        <f>I29+'Nov-22'!P29</f>
        <v>867164</v>
      </c>
      <c r="Q29" s="64">
        <f t="shared" si="22"/>
        <v>5.6526716863638287</v>
      </c>
      <c r="R29" s="64">
        <f t="shared" si="23"/>
        <v>36.789656596242516</v>
      </c>
      <c r="S29" s="60">
        <f t="shared" si="24"/>
        <v>0.2664766987559446</v>
      </c>
      <c r="T29" s="68">
        <v>165083</v>
      </c>
      <c r="U29" s="70">
        <f>20768+8294</f>
        <v>29062</v>
      </c>
      <c r="V29" s="78">
        <f>659951+168729+38484</f>
        <v>867164</v>
      </c>
    </row>
    <row r="30" spans="1:46" ht="15" customHeight="1" thickBot="1">
      <c r="A30" s="9"/>
      <c r="B30" s="12"/>
      <c r="C30" s="35" t="s">
        <v>12</v>
      </c>
      <c r="D30" s="36"/>
      <c r="E30" s="37"/>
      <c r="F30" s="75">
        <f t="shared" ref="F30:I31" si="25">F13+F16+F19+F22+F25+F28</f>
        <v>273</v>
      </c>
      <c r="G30" s="75">
        <f>G13+G16+G19+G22+G25+G28</f>
        <v>207</v>
      </c>
      <c r="H30" s="75">
        <f t="shared" si="25"/>
        <v>8</v>
      </c>
      <c r="I30" s="75">
        <f t="shared" si="25"/>
        <v>291</v>
      </c>
      <c r="J30" s="66">
        <f t="shared" si="0"/>
        <v>0.31884057971014501</v>
      </c>
      <c r="K30" s="66">
        <f t="shared" si="21"/>
        <v>33.125</v>
      </c>
      <c r="L30" s="62">
        <f t="shared" si="12"/>
        <v>-6.1855670103092786E-2</v>
      </c>
      <c r="M30" s="46">
        <f t="shared" ref="M30:P31" si="26">M13+M16+M19+M22+M25+M28</f>
        <v>3627</v>
      </c>
      <c r="N30" s="46">
        <f t="shared" si="26"/>
        <v>1062</v>
      </c>
      <c r="O30" s="46">
        <f t="shared" si="26"/>
        <v>667</v>
      </c>
      <c r="P30" s="46">
        <f t="shared" si="26"/>
        <v>3344</v>
      </c>
      <c r="Q30" s="66">
        <f t="shared" si="22"/>
        <v>2.4152542372881354</v>
      </c>
      <c r="R30" s="66">
        <f t="shared" si="23"/>
        <v>4.437781109445277</v>
      </c>
      <c r="S30" s="62">
        <f t="shared" si="24"/>
        <v>8.4629186602870776E-2</v>
      </c>
      <c r="T30" s="46">
        <f t="shared" ref="T30:V31" si="27">T13+T16+T19+T22+T25+T28</f>
        <v>1062</v>
      </c>
      <c r="U30" s="46">
        <f t="shared" si="27"/>
        <v>667</v>
      </c>
      <c r="V30" s="80">
        <f t="shared" si="27"/>
        <v>3344</v>
      </c>
    </row>
    <row r="31" spans="1:46" s="22" customFormat="1" ht="15" customHeight="1" thickTop="1" thickBot="1">
      <c r="A31" s="9"/>
      <c r="B31" s="12"/>
      <c r="C31" s="38" t="s">
        <v>13</v>
      </c>
      <c r="D31" s="39"/>
      <c r="E31" s="40"/>
      <c r="F31" s="76">
        <f t="shared" si="25"/>
        <v>763347</v>
      </c>
      <c r="G31" s="76">
        <f t="shared" si="25"/>
        <v>307043</v>
      </c>
      <c r="H31" s="76">
        <f t="shared" si="25"/>
        <v>11414</v>
      </c>
      <c r="I31" s="76">
        <f t="shared" si="25"/>
        <v>638656</v>
      </c>
      <c r="J31" s="67">
        <f t="shared" si="0"/>
        <v>1.48612409336803</v>
      </c>
      <c r="K31" s="67">
        <f t="shared" si="21"/>
        <v>65.87813211845102</v>
      </c>
      <c r="L31" s="63">
        <f t="shared" si="12"/>
        <v>0.19523969085078674</v>
      </c>
      <c r="M31" s="47">
        <f t="shared" si="26"/>
        <v>7627084</v>
      </c>
      <c r="N31" s="47">
        <f t="shared" si="26"/>
        <v>1554247</v>
      </c>
      <c r="O31" s="47">
        <f t="shared" si="26"/>
        <v>1323431</v>
      </c>
      <c r="P31" s="47">
        <f t="shared" si="26"/>
        <v>9169021</v>
      </c>
      <c r="Q31" s="67">
        <f t="shared" si="22"/>
        <v>3.9072534803026802</v>
      </c>
      <c r="R31" s="67">
        <f t="shared" si="23"/>
        <v>4.7631142084475879</v>
      </c>
      <c r="S31" s="63">
        <f t="shared" si="24"/>
        <v>-0.16816811740315574</v>
      </c>
      <c r="T31" s="47">
        <f t="shared" si="27"/>
        <v>1554247</v>
      </c>
      <c r="U31" s="47">
        <f t="shared" si="27"/>
        <v>1323431</v>
      </c>
      <c r="V31" s="81">
        <f t="shared" si="27"/>
        <v>9169021</v>
      </c>
      <c r="W31" s="9"/>
      <c r="X31" s="21"/>
      <c r="Y31" s="21"/>
      <c r="Z31" s="21"/>
      <c r="AA31" s="21"/>
      <c r="AB31" s="21"/>
      <c r="AC31" s="21"/>
      <c r="AD31" s="21"/>
      <c r="AE31" s="21"/>
      <c r="AF31" s="21"/>
      <c r="AG31" s="21"/>
      <c r="AH31" s="21"/>
      <c r="AI31" s="21"/>
      <c r="AJ31" s="21"/>
      <c r="AK31" s="21"/>
      <c r="AL31" s="21"/>
    </row>
    <row r="32" spans="1:46" s="9" customFormat="1" ht="15" customHeight="1" thickTop="1">
      <c r="F32" s="41"/>
      <c r="G32" s="41"/>
      <c r="H32" s="41"/>
      <c r="I32" s="41"/>
      <c r="J32" s="41"/>
      <c r="K32" s="41"/>
      <c r="AM32"/>
      <c r="AN32"/>
      <c r="AO32"/>
      <c r="AP32"/>
      <c r="AQ32"/>
      <c r="AR32"/>
      <c r="AS32"/>
      <c r="AT32"/>
    </row>
    <row r="33" spans="2:46" s="9" customFormat="1" ht="22.95" customHeight="1">
      <c r="F33" s="41"/>
      <c r="G33" s="41"/>
      <c r="H33" s="41"/>
      <c r="I33" s="41"/>
      <c r="J33" s="41"/>
      <c r="K33" s="41"/>
      <c r="AM33"/>
      <c r="AN33"/>
      <c r="AO33"/>
      <c r="AP33"/>
      <c r="AQ33"/>
      <c r="AR33"/>
      <c r="AS33"/>
      <c r="AT33"/>
    </row>
    <row r="34" spans="2:46" s="9" customFormat="1" ht="14.4">
      <c r="B34" s="10"/>
      <c r="C34" s="86" t="s">
        <v>63</v>
      </c>
      <c r="D34" s="24"/>
      <c r="E34" s="24"/>
      <c r="F34" s="24"/>
      <c r="G34" s="24"/>
      <c r="H34" s="24"/>
      <c r="I34" s="95"/>
      <c r="J34" s="95"/>
      <c r="K34" s="95"/>
      <c r="L34" s="24"/>
      <c r="M34" s="24"/>
      <c r="N34" s="24"/>
      <c r="O34" s="24"/>
      <c r="P34" s="24"/>
      <c r="Q34" s="24"/>
      <c r="R34" s="24"/>
      <c r="S34" s="24"/>
      <c r="T34" s="24"/>
      <c r="U34" s="24"/>
      <c r="V34" s="24"/>
      <c r="AM34"/>
      <c r="AN34"/>
      <c r="AO34"/>
      <c r="AP34"/>
      <c r="AQ34"/>
      <c r="AR34"/>
      <c r="AS34"/>
      <c r="AT34"/>
    </row>
    <row r="35" spans="2:46" s="9" customFormat="1" ht="14.4">
      <c r="B35" s="10"/>
      <c r="C35" s="24"/>
      <c r="D35" s="24"/>
      <c r="E35" s="24"/>
      <c r="F35" s="24"/>
      <c r="G35" s="24"/>
      <c r="H35" s="24"/>
      <c r="I35" s="95"/>
      <c r="J35" s="95"/>
      <c r="K35" s="95"/>
      <c r="L35" s="24"/>
      <c r="M35" s="24"/>
      <c r="N35" s="24"/>
      <c r="O35" s="24"/>
      <c r="P35" s="24"/>
      <c r="Q35" s="24"/>
      <c r="R35" s="24"/>
      <c r="S35" s="24"/>
      <c r="T35" s="24"/>
      <c r="U35" s="24"/>
      <c r="V35" s="24"/>
      <c r="AM35"/>
      <c r="AN35"/>
      <c r="AO35"/>
      <c r="AP35"/>
      <c r="AQ35"/>
      <c r="AR35"/>
      <c r="AS35"/>
      <c r="AT35"/>
    </row>
    <row r="36" spans="2:46" s="9" customFormat="1" ht="15" customHeight="1">
      <c r="C36" s="27" t="s">
        <v>7</v>
      </c>
      <c r="D36" s="28"/>
      <c r="E36" s="28"/>
      <c r="F36" s="128" t="str">
        <f>F9</f>
        <v>December</v>
      </c>
      <c r="G36" s="128"/>
      <c r="H36" s="128"/>
      <c r="I36" s="128"/>
      <c r="J36" s="128"/>
      <c r="K36" s="128"/>
      <c r="L36" s="129"/>
      <c r="M36" s="130" t="s">
        <v>97</v>
      </c>
      <c r="N36" s="128"/>
      <c r="O36" s="128"/>
      <c r="P36" s="128"/>
      <c r="Q36" s="128"/>
      <c r="R36" s="128"/>
      <c r="S36" s="129"/>
      <c r="T36" s="130" t="s">
        <v>58</v>
      </c>
      <c r="U36" s="128"/>
      <c r="V36" s="131"/>
      <c r="AM36"/>
      <c r="AN36"/>
      <c r="AO36"/>
      <c r="AP36"/>
      <c r="AQ36"/>
      <c r="AR36"/>
      <c r="AS36"/>
      <c r="AT36"/>
    </row>
    <row r="37" spans="2:46" s="9" customFormat="1" ht="15" customHeight="1">
      <c r="C37" s="29"/>
      <c r="D37" s="30"/>
      <c r="E37" s="30"/>
      <c r="F37" s="29"/>
      <c r="G37" s="30"/>
      <c r="H37" s="30"/>
      <c r="I37" s="30"/>
      <c r="J37" s="30"/>
      <c r="K37" s="30"/>
      <c r="L37" s="56"/>
      <c r="M37" s="30"/>
      <c r="N37" s="30"/>
      <c r="O37" s="30"/>
      <c r="P37" s="30"/>
      <c r="Q37" s="30"/>
      <c r="R37" s="30"/>
      <c r="S37" s="56"/>
      <c r="T37" s="30"/>
      <c r="U37" s="30"/>
      <c r="V37" s="56"/>
      <c r="AM37"/>
      <c r="AN37"/>
      <c r="AO37"/>
      <c r="AP37"/>
      <c r="AQ37"/>
      <c r="AR37"/>
      <c r="AS37"/>
      <c r="AT37"/>
    </row>
    <row r="38" spans="2:46" s="9" customFormat="1" ht="33.6"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2:46" s="9" customFormat="1" ht="15" customHeight="1">
      <c r="C39" s="31" t="s">
        <v>14</v>
      </c>
      <c r="D39" s="26"/>
      <c r="E39" s="32"/>
      <c r="F39" s="26"/>
      <c r="G39" s="26"/>
      <c r="H39" s="26"/>
      <c r="I39" s="26"/>
      <c r="J39" s="26"/>
      <c r="K39" s="26"/>
      <c r="L39" s="32"/>
      <c r="M39" s="26"/>
      <c r="N39" s="26"/>
      <c r="O39" s="26"/>
      <c r="Q39" s="26"/>
      <c r="R39" s="26"/>
      <c r="S39" s="32"/>
      <c r="T39" s="33"/>
      <c r="U39" s="88"/>
      <c r="V39" s="85"/>
    </row>
    <row r="40" spans="2:46" s="9" customFormat="1" ht="15" customHeight="1">
      <c r="C40" s="33"/>
      <c r="D40" s="26" t="s">
        <v>5</v>
      </c>
      <c r="E40" s="32"/>
      <c r="F40" s="74">
        <f t="shared" ref="F40:I41" si="28">F13</f>
        <v>73</v>
      </c>
      <c r="G40" s="74">
        <f t="shared" si="28"/>
        <v>70</v>
      </c>
      <c r="H40" s="74">
        <f t="shared" si="28"/>
        <v>0</v>
      </c>
      <c r="I40" s="74">
        <f t="shared" si="28"/>
        <v>69</v>
      </c>
      <c r="J40" s="64">
        <f t="shared" ref="J40:J41" si="29">IFERROR(F40/G40-1,"n/a")</f>
        <v>4.2857142857142927E-2</v>
      </c>
      <c r="K40" s="64" t="str">
        <f>IFERROR(F40/H40-1,"n/a")</f>
        <v>n/a</v>
      </c>
      <c r="L40" s="60">
        <f t="shared" ref="L40:L41" si="30">IFERROR(F40/I40-1,"n/a")</f>
        <v>5.7971014492753659E-2</v>
      </c>
      <c r="M40" s="70">
        <f>+M13-'Mar-22'!M10</f>
        <v>149</v>
      </c>
      <c r="N40" s="70">
        <f>+N13-'Mar-22'!N10</f>
        <v>111</v>
      </c>
      <c r="O40" s="82">
        <f>+O13-'Mar-22'!O10</f>
        <v>0</v>
      </c>
      <c r="P40" s="70">
        <f>+P13-'Mar-22'!P10</f>
        <v>186</v>
      </c>
      <c r="Q40" s="64">
        <f>IFERROR(M40/N40-1,"n/a")</f>
        <v>0.3423423423423424</v>
      </c>
      <c r="R40" s="64" t="str">
        <f>IFERROR(M40/O40-1,"n/a")</f>
        <v>n/a</v>
      </c>
      <c r="S40" s="60">
        <f>IFERROR(M40/P40-1,"n/a")</f>
        <v>-0.19892473118279574</v>
      </c>
      <c r="T40" s="89">
        <v>308</v>
      </c>
      <c r="U40" s="70">
        <v>145</v>
      </c>
      <c r="V40" s="78">
        <v>331</v>
      </c>
    </row>
    <row r="41" spans="2:46" s="9" customFormat="1" ht="15" customHeight="1">
      <c r="C41" s="33"/>
      <c r="D41" s="26" t="s">
        <v>11</v>
      </c>
      <c r="E41" s="32"/>
      <c r="F41" s="74">
        <f t="shared" si="28"/>
        <v>109218</v>
      </c>
      <c r="G41" s="74">
        <f t="shared" si="28"/>
        <v>52767</v>
      </c>
      <c r="H41" s="74">
        <f t="shared" si="28"/>
        <v>0</v>
      </c>
      <c r="I41" s="74">
        <f t="shared" si="28"/>
        <v>120203</v>
      </c>
      <c r="J41" s="64">
        <f t="shared" si="29"/>
        <v>1.0698163624992891</v>
      </c>
      <c r="K41" s="64" t="str">
        <f t="shared" ref="K41" si="31">IFERROR(F41/H41-1,"n/a")</f>
        <v>n/a</v>
      </c>
      <c r="L41" s="60">
        <f t="shared" si="30"/>
        <v>-9.1387070206234489E-2</v>
      </c>
      <c r="M41" s="82">
        <f>+M14-'Mar-22'!M11</f>
        <v>223854</v>
      </c>
      <c r="N41" s="82">
        <f>+N14-'Mar-22'!N11</f>
        <v>80863</v>
      </c>
      <c r="O41" s="82">
        <f>+O14-'Mar-22'!O11</f>
        <v>0</v>
      </c>
      <c r="P41" s="82">
        <f>+P14-'Mar-22'!P11</f>
        <v>347916</v>
      </c>
      <c r="Q41" s="64">
        <f>IFERROR(M41/N41-1,"n/a")</f>
        <v>1.768311836068412</v>
      </c>
      <c r="R41" s="64" t="str">
        <f>IFERROR(M41/O41-1,"n/a")</f>
        <v>n/a</v>
      </c>
      <c r="S41" s="60">
        <f>IFERROR(M41/P41-1,"n/a")</f>
        <v>-0.35658607250025864</v>
      </c>
      <c r="T41" s="89">
        <v>237191</v>
      </c>
      <c r="U41" s="84">
        <v>258885</v>
      </c>
      <c r="V41" s="78">
        <v>606801</v>
      </c>
    </row>
    <row r="42" spans="2:46" s="9" customFormat="1" ht="15" customHeight="1">
      <c r="C42" s="31" t="s">
        <v>20</v>
      </c>
      <c r="D42" s="26"/>
      <c r="E42" s="32"/>
      <c r="F42" s="26"/>
      <c r="G42" s="26"/>
      <c r="H42" s="26"/>
      <c r="I42" s="26"/>
      <c r="J42" s="64"/>
      <c r="K42" s="64"/>
      <c r="L42" s="61"/>
      <c r="M42" s="87"/>
      <c r="N42" s="87"/>
      <c r="O42" s="87"/>
      <c r="P42" s="87"/>
      <c r="Q42" s="65"/>
      <c r="R42" s="65"/>
      <c r="S42" s="61"/>
      <c r="T42" s="90"/>
      <c r="U42" s="44"/>
      <c r="V42" s="79"/>
    </row>
    <row r="43" spans="2:46" s="9" customFormat="1" ht="15" customHeight="1">
      <c r="C43" s="33"/>
      <c r="D43" s="26" t="s">
        <v>5</v>
      </c>
      <c r="E43" s="32"/>
      <c r="F43" s="74">
        <f t="shared" ref="F43:I44" si="32">F16</f>
        <v>31</v>
      </c>
      <c r="G43" s="74">
        <f t="shared" si="32"/>
        <v>25</v>
      </c>
      <c r="H43" s="74">
        <f t="shared" si="32"/>
        <v>0</v>
      </c>
      <c r="I43" s="74">
        <f t="shared" si="32"/>
        <v>20</v>
      </c>
      <c r="J43" s="64">
        <f t="shared" ref="J43:J44" si="33">IFERROR(F43/G43-1,"n/a")</f>
        <v>0.24</v>
      </c>
      <c r="K43" s="64" t="str">
        <f t="shared" ref="K43:K44" si="34">IFERROR(F43/H43-1,"n/a")</f>
        <v>n/a</v>
      </c>
      <c r="L43" s="60">
        <f t="shared" ref="L43:L44" si="35">IFERROR(F43/I43-1,"n/a")</f>
        <v>0.55000000000000004</v>
      </c>
      <c r="M43" s="70">
        <f>+M16-'Mar-22'!M13</f>
        <v>725</v>
      </c>
      <c r="N43" s="70">
        <f>+N16-'Mar-22'!N13</f>
        <v>283</v>
      </c>
      <c r="O43" s="82">
        <f>+O16-'Mar-22'!O13</f>
        <v>0</v>
      </c>
      <c r="P43" s="70">
        <f>+P16-'Mar-22'!P13</f>
        <v>738</v>
      </c>
      <c r="Q43" s="64">
        <f>IFERROR(M43/N43-1,"n/a")</f>
        <v>1.5618374558303887</v>
      </c>
      <c r="R43" s="64" t="str">
        <f>IFERROR(M43/O43-1,"n/a")</f>
        <v>n/a</v>
      </c>
      <c r="S43" s="60">
        <f t="shared" ref="S43:S44" si="36">IFERROR(M43/P43-1,"n/a")</f>
        <v>-1.7615176151761558E-2</v>
      </c>
      <c r="T43" s="89">
        <v>336</v>
      </c>
      <c r="U43" s="70">
        <v>43</v>
      </c>
      <c r="V43" s="78">
        <v>781</v>
      </c>
    </row>
    <row r="44" spans="2:46" s="9" customFormat="1" ht="15" customHeight="1">
      <c r="C44" s="33"/>
      <c r="D44" s="26" t="s">
        <v>11</v>
      </c>
      <c r="E44" s="32"/>
      <c r="F44" s="74">
        <f t="shared" si="32"/>
        <v>88390</v>
      </c>
      <c r="G44" s="74">
        <f t="shared" si="32"/>
        <v>39214</v>
      </c>
      <c r="H44" s="74">
        <f t="shared" si="32"/>
        <v>0</v>
      </c>
      <c r="I44" s="74">
        <f t="shared" si="32"/>
        <v>58943</v>
      </c>
      <c r="J44" s="64">
        <f t="shared" si="33"/>
        <v>1.2540419238027236</v>
      </c>
      <c r="K44" s="64" t="str">
        <f t="shared" si="34"/>
        <v>n/a</v>
      </c>
      <c r="L44" s="60">
        <f t="shared" si="35"/>
        <v>0.49958434419693609</v>
      </c>
      <c r="M44" s="82">
        <f>+M17-'Mar-22'!M14</f>
        <v>1775170</v>
      </c>
      <c r="N44" s="82">
        <f>+N17-'Mar-22'!N14</f>
        <v>465109</v>
      </c>
      <c r="O44" s="82">
        <f>+O17-'Mar-22'!O14</f>
        <v>0</v>
      </c>
      <c r="P44" s="82">
        <f>+P17-'Mar-22'!P14</f>
        <v>2301042</v>
      </c>
      <c r="Q44" s="64">
        <f>IFERROR(M44/N44-1,"n/a")</f>
        <v>2.8166752309673648</v>
      </c>
      <c r="R44" s="64" t="str">
        <f>IFERROR(M44/O44-1,"n/a")</f>
        <v>n/a</v>
      </c>
      <c r="S44" s="60">
        <f t="shared" si="36"/>
        <v>-0.22853646304587227</v>
      </c>
      <c r="T44" s="89">
        <v>533563</v>
      </c>
      <c r="U44" s="84">
        <v>140552</v>
      </c>
      <c r="V44" s="78">
        <v>2441594</v>
      </c>
    </row>
    <row r="45" spans="2:46"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2:46" s="9" customFormat="1" ht="15" customHeight="1">
      <c r="C46" s="33"/>
      <c r="D46" s="26" t="s">
        <v>5</v>
      </c>
      <c r="E46" s="32"/>
      <c r="F46" s="74">
        <f t="shared" ref="F46:I47" si="37">F19</f>
        <v>9</v>
      </c>
      <c r="G46" s="74">
        <f t="shared" si="37"/>
        <v>3</v>
      </c>
      <c r="H46" s="74">
        <f t="shared" si="37"/>
        <v>0</v>
      </c>
      <c r="I46" s="74">
        <f t="shared" si="37"/>
        <v>9</v>
      </c>
      <c r="J46" s="64">
        <f t="shared" ref="J46:J47" si="38">IFERROR(F46/G46-1,"n/a")</f>
        <v>2</v>
      </c>
      <c r="K46" s="64" t="str">
        <f t="shared" ref="K46:K47" si="39">IFERROR(F46/H46-1,"n/a")</f>
        <v>n/a</v>
      </c>
      <c r="L46" s="60">
        <f>IFERROR(F46/I46-1,"n/a")</f>
        <v>0</v>
      </c>
      <c r="M46" s="70">
        <f>+M19-'Mar-22'!M16</f>
        <v>465</v>
      </c>
      <c r="N46" s="82">
        <f>+N19-'Mar-22'!N16</f>
        <v>23</v>
      </c>
      <c r="O46" s="82">
        <f>+O19-'Mar-22'!O16</f>
        <v>1</v>
      </c>
      <c r="P46" s="82">
        <f>+P19-'Mar-22'!P16</f>
        <v>185</v>
      </c>
      <c r="Q46" s="64">
        <f>IFERROR(M46/N46-1,"n/a")</f>
        <v>19.217391304347824</v>
      </c>
      <c r="R46" s="64">
        <f>IFERROR(M46/O46-1,"n/a")</f>
        <v>464</v>
      </c>
      <c r="S46" s="60">
        <f t="shared" ref="S46:S47" si="40">IFERROR(M46/P46-1,"n/a")</f>
        <v>1.5135135135135136</v>
      </c>
      <c r="T46" s="89">
        <v>33</v>
      </c>
      <c r="U46" s="70">
        <v>4</v>
      </c>
      <c r="V46" s="78">
        <v>188</v>
      </c>
    </row>
    <row r="47" spans="2:46" s="9" customFormat="1" ht="15" customHeight="1">
      <c r="C47" s="33"/>
      <c r="D47" s="26" t="s">
        <v>11</v>
      </c>
      <c r="E47" s="32"/>
      <c r="F47" s="74">
        <f t="shared" si="37"/>
        <v>6157</v>
      </c>
      <c r="G47" s="74">
        <f t="shared" si="37"/>
        <v>864</v>
      </c>
      <c r="H47" s="74">
        <f t="shared" si="37"/>
        <v>0</v>
      </c>
      <c r="I47" s="74">
        <f t="shared" si="37"/>
        <v>9825</v>
      </c>
      <c r="J47" s="64">
        <f t="shared" si="38"/>
        <v>6.1261574074074074</v>
      </c>
      <c r="K47" s="64" t="str">
        <f t="shared" si="39"/>
        <v>n/a</v>
      </c>
      <c r="L47" s="60">
        <f t="shared" ref="L47" si="41">IFERROR(F47/I47-1,"n/a")</f>
        <v>-0.37333333333333329</v>
      </c>
      <c r="M47" s="82">
        <f>+M20-'Mar-22'!M17</f>
        <v>560512</v>
      </c>
      <c r="N47" s="82">
        <f>+N20-'Mar-22'!N17</f>
        <v>8611</v>
      </c>
      <c r="O47" s="82">
        <f>+O20-'Mar-22'!O17</f>
        <v>111</v>
      </c>
      <c r="P47" s="82">
        <f>+P20-'Mar-22'!P17</f>
        <v>249283</v>
      </c>
      <c r="Q47" s="64">
        <f>IFERROR(M47/N47-1,"n/a")</f>
        <v>64.092556032981065</v>
      </c>
      <c r="R47" s="64">
        <f>IFERROR(M47/O47-1,"n/a")</f>
        <v>5048.6576576576581</v>
      </c>
      <c r="S47" s="60">
        <f t="shared" si="40"/>
        <v>1.2484966885026254</v>
      </c>
      <c r="T47" s="82">
        <v>10083</v>
      </c>
      <c r="U47" s="84">
        <v>1753</v>
      </c>
      <c r="V47" s="78">
        <f>176097+74816</f>
        <v>250913</v>
      </c>
    </row>
    <row r="48" spans="2:46"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1:46" s="9" customFormat="1" ht="15" customHeight="1">
      <c r="C49" s="33"/>
      <c r="D49" s="26" t="s">
        <v>5</v>
      </c>
      <c r="E49" s="34"/>
      <c r="F49" s="74">
        <f t="shared" ref="F49:I50" si="42">F22</f>
        <v>118</v>
      </c>
      <c r="G49" s="74">
        <f t="shared" si="42"/>
        <v>102</v>
      </c>
      <c r="H49" s="74">
        <f t="shared" si="42"/>
        <v>0</v>
      </c>
      <c r="I49" s="74">
        <f t="shared" si="42"/>
        <v>131</v>
      </c>
      <c r="J49" s="64">
        <f t="shared" ref="J49:J50" si="43">IFERROR(F49/G49-1,"n/a")</f>
        <v>0.15686274509803932</v>
      </c>
      <c r="K49" s="64" t="str">
        <f t="shared" ref="K49:K50" si="44">IFERROR(F49/H49-1,"n/a")</f>
        <v>n/a</v>
      </c>
      <c r="L49" s="60">
        <f t="shared" ref="L49:L50" si="45">IFERROR(F49/I49-1,"n/a")</f>
        <v>-9.92366412213741E-2</v>
      </c>
      <c r="M49" s="70">
        <f>+M22-'Mar-22'!M19</f>
        <v>807</v>
      </c>
      <c r="N49" s="70">
        <f>+N22-'Mar-22'!N19</f>
        <v>411</v>
      </c>
      <c r="O49" s="70">
        <f>+O22-'Mar-22'!O19</f>
        <v>42</v>
      </c>
      <c r="P49" s="70">
        <f>+P22-'Mar-22'!P19</f>
        <v>889</v>
      </c>
      <c r="Q49" s="64">
        <f>IFERROR(M49/N49-1,"n/a")</f>
        <v>0.96350364963503643</v>
      </c>
      <c r="R49" s="64">
        <f>IFERROR(M49/O49-1,"n/a")</f>
        <v>18.214285714285715</v>
      </c>
      <c r="S49" s="60">
        <f>IFERROR(M49/P49-1,"n/a")</f>
        <v>-9.2238470191226107E-2</v>
      </c>
      <c r="T49" s="89">
        <v>744</v>
      </c>
      <c r="U49" s="84">
        <v>406</v>
      </c>
      <c r="V49" s="78">
        <v>1253</v>
      </c>
    </row>
    <row r="50" spans="1:46" s="9" customFormat="1" ht="15" customHeight="1">
      <c r="C50" s="33"/>
      <c r="D50" s="26" t="s">
        <v>11</v>
      </c>
      <c r="E50" s="32"/>
      <c r="F50" s="74">
        <f t="shared" si="42"/>
        <v>409516</v>
      </c>
      <c r="G50" s="74">
        <f t="shared" si="42"/>
        <v>200450</v>
      </c>
      <c r="H50" s="74">
        <f t="shared" si="42"/>
        <v>0</v>
      </c>
      <c r="I50" s="74">
        <f t="shared" si="42"/>
        <v>386408</v>
      </c>
      <c r="J50" s="64">
        <f t="shared" si="43"/>
        <v>1.0429832876028935</v>
      </c>
      <c r="K50" s="64" t="str">
        <f t="shared" si="44"/>
        <v>n/a</v>
      </c>
      <c r="L50" s="60">
        <f t="shared" si="45"/>
        <v>5.9802074491211332E-2</v>
      </c>
      <c r="M50" s="82">
        <f>+M23-'Mar-22'!M20</f>
        <v>2609316</v>
      </c>
      <c r="N50" s="82">
        <f>+N23-'Mar-22'!N20</f>
        <v>687449</v>
      </c>
      <c r="O50" s="82">
        <f>+O23-'Mar-22'!O20</f>
        <v>0</v>
      </c>
      <c r="P50" s="82">
        <f>+P23-'Mar-22'!P20</f>
        <v>2793459</v>
      </c>
      <c r="Q50" s="64">
        <f>IFERROR(M50/N50-1,"n/a")</f>
        <v>2.7956502955128308</v>
      </c>
      <c r="R50" s="64" t="str">
        <f>IFERROR(M50/O50-1,"n/a")</f>
        <v>n/a</v>
      </c>
      <c r="S50" s="60">
        <f t="shared" ref="S50" si="46">IFERROR(M50/P50-1,"n/a")</f>
        <v>-6.5919349451701303E-2</v>
      </c>
      <c r="T50" s="82">
        <v>1290779</v>
      </c>
      <c r="U50" s="84">
        <v>833999</v>
      </c>
      <c r="V50" s="78">
        <v>3627458</v>
      </c>
    </row>
    <row r="51" spans="1:46"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1:46" s="9" customFormat="1" ht="15" customHeight="1">
      <c r="C52" s="33"/>
      <c r="D52" s="26" t="s">
        <v>5</v>
      </c>
      <c r="E52" s="32"/>
      <c r="F52" s="74">
        <f t="shared" ref="F52:I53" si="47">F25</f>
        <v>5</v>
      </c>
      <c r="G52" s="74">
        <f t="shared" si="47"/>
        <v>7</v>
      </c>
      <c r="H52" s="74">
        <f t="shared" si="47"/>
        <v>3</v>
      </c>
      <c r="I52" s="74">
        <f t="shared" si="47"/>
        <v>44</v>
      </c>
      <c r="J52" s="64">
        <f t="shared" ref="J52:J53" si="48">IFERROR(F52/G52-1,"n/a")</f>
        <v>-0.2857142857142857</v>
      </c>
      <c r="K52" s="64">
        <f t="shared" ref="K52:K53" si="49">IFERROR(F52/H52-1,"n/a")</f>
        <v>0.66666666666666674</v>
      </c>
      <c r="L52" s="60">
        <f t="shared" ref="L52:L53" si="50">IFERROR(F52/I52-1,"n/a")</f>
        <v>-0.88636363636363635</v>
      </c>
      <c r="M52" s="70">
        <f>+M25-'Mar-22'!M22</f>
        <v>260</v>
      </c>
      <c r="N52" s="70">
        <f>+N25-'Mar-22'!N22</f>
        <v>98</v>
      </c>
      <c r="O52" s="82">
        <f>+O25-'Mar-22'!O22</f>
        <v>23</v>
      </c>
      <c r="P52" s="70">
        <f>+P25-'Mar-22'!P22</f>
        <v>352</v>
      </c>
      <c r="Q52" s="64">
        <f>IFERROR(M52/N52-1,"n/a")</f>
        <v>1.6530612244897958</v>
      </c>
      <c r="R52" s="64">
        <f>IFERROR(M52/O52-1,"n/a")</f>
        <v>10.304347826086957</v>
      </c>
      <c r="S52" s="60">
        <f t="shared" ref="S52:S53" si="51">IFERROR(M52/P52-1,"n/a")</f>
        <v>-0.26136363636363635</v>
      </c>
      <c r="T52" s="89">
        <v>121</v>
      </c>
      <c r="U52" s="70">
        <v>41</v>
      </c>
      <c r="V52" s="78">
        <v>361</v>
      </c>
    </row>
    <row r="53" spans="1:46" s="9" customFormat="1" ht="15" customHeight="1">
      <c r="C53" s="33"/>
      <c r="D53" s="26" t="s">
        <v>11</v>
      </c>
      <c r="E53" s="32"/>
      <c r="F53" s="74">
        <f t="shared" si="47"/>
        <v>20252</v>
      </c>
      <c r="G53" s="74">
        <f t="shared" si="47"/>
        <v>13748</v>
      </c>
      <c r="H53" s="74">
        <f t="shared" si="47"/>
        <v>1045</v>
      </c>
      <c r="I53" s="74">
        <f t="shared" si="47"/>
        <v>52611</v>
      </c>
      <c r="J53" s="64">
        <f t="shared" si="48"/>
        <v>0.47308699447192315</v>
      </c>
      <c r="K53" s="64">
        <f t="shared" si="49"/>
        <v>18.379904306220094</v>
      </c>
      <c r="L53" s="60">
        <f t="shared" si="50"/>
        <v>-0.61506148904221547</v>
      </c>
      <c r="M53" s="82">
        <f>+M26-'Mar-22'!M23</f>
        <v>503884</v>
      </c>
      <c r="N53" s="82">
        <f>+N26-'Mar-22'!N23</f>
        <v>139168</v>
      </c>
      <c r="O53" s="82">
        <f>+O26-'Mar-22'!O23</f>
        <v>18959</v>
      </c>
      <c r="P53" s="82">
        <f>+P26-'Mar-22'!P23</f>
        <v>825740</v>
      </c>
      <c r="Q53" s="64">
        <f>IFERROR(M53/N53-1,"n/a")</f>
        <v>2.6206886640607037</v>
      </c>
      <c r="R53" s="64">
        <f>IFERROR(M53/O53-1,"n/a")</f>
        <v>25.577562107706104</v>
      </c>
      <c r="S53" s="60">
        <f t="shared" si="51"/>
        <v>-0.38977886501804437</v>
      </c>
      <c r="T53" s="82">
        <v>165689</v>
      </c>
      <c r="U53" s="84">
        <v>67144</v>
      </c>
      <c r="V53" s="78">
        <v>865961</v>
      </c>
    </row>
    <row r="54" spans="1:46" s="9" customFormat="1" ht="15" customHeight="1">
      <c r="A54"/>
      <c r="B54"/>
      <c r="C54" s="31" t="s">
        <v>17</v>
      </c>
      <c r="D54" s="26"/>
      <c r="E54" s="32"/>
      <c r="F54" s="72"/>
      <c r="G54" s="72"/>
      <c r="H54" s="72"/>
      <c r="I54" s="72"/>
      <c r="J54" s="64"/>
      <c r="K54" s="64"/>
      <c r="L54" s="60"/>
      <c r="M54" s="87"/>
      <c r="N54" s="87"/>
      <c r="O54" s="87"/>
      <c r="P54" s="87"/>
      <c r="Q54" s="64"/>
      <c r="R54" s="64"/>
      <c r="S54" s="60"/>
      <c r="T54" s="90"/>
      <c r="U54" s="44"/>
      <c r="V54" s="79"/>
      <c r="AM54"/>
      <c r="AN54"/>
      <c r="AO54"/>
      <c r="AP54"/>
      <c r="AQ54"/>
      <c r="AR54"/>
      <c r="AS54"/>
      <c r="AT54"/>
    </row>
    <row r="55" spans="1:46" s="9" customFormat="1" ht="15.45" customHeight="1">
      <c r="A55"/>
      <c r="B55"/>
      <c r="C55" s="33"/>
      <c r="D55" s="26" t="s">
        <v>5</v>
      </c>
      <c r="E55" s="32"/>
      <c r="F55" s="74">
        <f t="shared" ref="F55:I56" si="52">F28</f>
        <v>37</v>
      </c>
      <c r="G55" s="74">
        <f t="shared" si="52"/>
        <v>0</v>
      </c>
      <c r="H55" s="74">
        <f t="shared" si="52"/>
        <v>5</v>
      </c>
      <c r="I55" s="74">
        <f t="shared" si="52"/>
        <v>18</v>
      </c>
      <c r="J55" s="64" t="str">
        <f t="shared" ref="J55:J58" si="53">IFERROR(F55/G55-1,"n/a")</f>
        <v>n/a</v>
      </c>
      <c r="K55" s="64">
        <f t="shared" ref="K55:K58" si="54">IFERROR(F55/H55-1,"n/a")</f>
        <v>6.4</v>
      </c>
      <c r="L55" s="60">
        <f t="shared" ref="L55:L58" si="55">IFERROR(F55/I55-1,"n/a")</f>
        <v>1.0555555555555554</v>
      </c>
      <c r="M55" s="70">
        <f>+M28-'Mar-22'!M25</f>
        <v>589</v>
      </c>
      <c r="N55" s="70">
        <f>+N28-'Mar-22'!N25</f>
        <v>124</v>
      </c>
      <c r="O55" s="70">
        <f>+O28-'Mar-22'!O25</f>
        <v>36</v>
      </c>
      <c r="P55" s="70">
        <f>+P28-'Mar-22'!P25</f>
        <v>359</v>
      </c>
      <c r="Q55" s="64">
        <f>IFERROR(M55/N55-1,"n/a")</f>
        <v>3.75</v>
      </c>
      <c r="R55" s="64">
        <f>IFERROR(M55/O55-1,"n/a")</f>
        <v>15.361111111111111</v>
      </c>
      <c r="S55" s="60">
        <f t="shared" ref="S55:S58" si="56">IFERROR(M55/P55-1,"n/a")</f>
        <v>0.64066852367688032</v>
      </c>
      <c r="T55" s="89">
        <v>140</v>
      </c>
      <c r="U55" s="70">
        <v>40</v>
      </c>
      <c r="V55" s="78">
        <v>360</v>
      </c>
      <c r="AM55"/>
      <c r="AN55"/>
      <c r="AO55"/>
      <c r="AP55"/>
      <c r="AQ55"/>
      <c r="AR55"/>
      <c r="AS55"/>
      <c r="AT55"/>
    </row>
    <row r="56" spans="1:46" s="9" customFormat="1" ht="15.45" customHeight="1">
      <c r="A56"/>
      <c r="B56"/>
      <c r="C56" s="33"/>
      <c r="D56" s="26" t="s">
        <v>11</v>
      </c>
      <c r="E56" s="32"/>
      <c r="F56" s="74">
        <f t="shared" si="52"/>
        <v>129814</v>
      </c>
      <c r="G56" s="74">
        <f t="shared" si="52"/>
        <v>0</v>
      </c>
      <c r="H56" s="74">
        <f t="shared" si="52"/>
        <v>10369</v>
      </c>
      <c r="I56" s="74">
        <f t="shared" si="52"/>
        <v>10666</v>
      </c>
      <c r="J56" s="64" t="str">
        <f t="shared" si="53"/>
        <v>n/a</v>
      </c>
      <c r="K56" s="64">
        <f t="shared" si="54"/>
        <v>11.519432925065098</v>
      </c>
      <c r="L56" s="60">
        <f t="shared" si="55"/>
        <v>11.170823176448527</v>
      </c>
      <c r="M56" s="82">
        <f>+M29-'Mar-22'!M26</f>
        <v>1086643</v>
      </c>
      <c r="N56" s="82">
        <f>+N29-'Mar-22'!N26</f>
        <v>162944</v>
      </c>
      <c r="O56" s="82">
        <f>+O29-'Mar-22'!O26</f>
        <v>28170</v>
      </c>
      <c r="P56" s="82">
        <f>+P29-'Mar-22'!P26</f>
        <v>861055</v>
      </c>
      <c r="Q56" s="64">
        <f>IFERROR(M56/N56-1,"n/a")</f>
        <v>5.6688125981932442</v>
      </c>
      <c r="R56" s="64">
        <f>IFERROR(M56/O56-1,"n/a")</f>
        <v>37.574476393326236</v>
      </c>
      <c r="S56" s="60">
        <f t="shared" si="56"/>
        <v>0.261990232911951</v>
      </c>
      <c r="T56" s="82">
        <v>174336</v>
      </c>
      <c r="U56" s="84">
        <v>21928</v>
      </c>
      <c r="V56" s="78">
        <f>706948+155011</f>
        <v>861959</v>
      </c>
      <c r="AM56"/>
      <c r="AN56"/>
      <c r="AO56"/>
      <c r="AP56"/>
      <c r="AQ56"/>
      <c r="AR56"/>
      <c r="AS56"/>
      <c r="AT56"/>
    </row>
    <row r="57" spans="1:46" s="9" customFormat="1" ht="26.7" customHeight="1" thickBot="1">
      <c r="A57"/>
      <c r="B57"/>
      <c r="C57" s="35" t="s">
        <v>12</v>
      </c>
      <c r="D57" s="36"/>
      <c r="E57" s="37"/>
      <c r="F57" s="75">
        <f t="shared" ref="F57:I58" si="57">F40+F43+F46+F49+F52+F55</f>
        <v>273</v>
      </c>
      <c r="G57" s="75">
        <f t="shared" si="57"/>
        <v>207</v>
      </c>
      <c r="H57" s="75">
        <f t="shared" si="57"/>
        <v>8</v>
      </c>
      <c r="I57" s="75">
        <f t="shared" si="57"/>
        <v>291</v>
      </c>
      <c r="J57" s="66">
        <f t="shared" si="53"/>
        <v>0.31884057971014501</v>
      </c>
      <c r="K57" s="66">
        <f t="shared" si="54"/>
        <v>33.125</v>
      </c>
      <c r="L57" s="62">
        <f t="shared" si="55"/>
        <v>-6.1855670103092786E-2</v>
      </c>
      <c r="M57" s="46">
        <f t="shared" ref="M57:P58" si="58">M40+M43+M46+M49+M52+M55</f>
        <v>2995</v>
      </c>
      <c r="N57" s="46">
        <f t="shared" si="58"/>
        <v>1050</v>
      </c>
      <c r="O57" s="46">
        <f t="shared" si="58"/>
        <v>102</v>
      </c>
      <c r="P57" s="46">
        <f t="shared" si="58"/>
        <v>2709</v>
      </c>
      <c r="Q57" s="66">
        <f>IFERROR(M57/N57-1,"n/a")</f>
        <v>1.8523809523809525</v>
      </c>
      <c r="R57" s="66">
        <f>IFERROR(M57/O57-1,"n/a")</f>
        <v>28.362745098039216</v>
      </c>
      <c r="S57" s="62">
        <f t="shared" si="56"/>
        <v>0.10557401255075671</v>
      </c>
      <c r="T57" s="46">
        <f t="shared" ref="T57:V58" si="59">T40+T43+T46+T49+T52+T55</f>
        <v>1682</v>
      </c>
      <c r="U57" s="46">
        <f t="shared" si="59"/>
        <v>679</v>
      </c>
      <c r="V57" s="80">
        <f t="shared" si="59"/>
        <v>3274</v>
      </c>
      <c r="AM57"/>
      <c r="AN57"/>
      <c r="AO57"/>
      <c r="AP57"/>
      <c r="AQ57"/>
      <c r="AR57"/>
      <c r="AS57"/>
      <c r="AT57"/>
    </row>
    <row r="58" spans="1:46" s="9" customFormat="1" ht="26.7" customHeight="1" thickTop="1" thickBot="1">
      <c r="A58"/>
      <c r="B58"/>
      <c r="C58" s="38" t="s">
        <v>13</v>
      </c>
      <c r="D58" s="39"/>
      <c r="E58" s="40"/>
      <c r="F58" s="76">
        <f t="shared" si="57"/>
        <v>763347</v>
      </c>
      <c r="G58" s="76">
        <f t="shared" si="57"/>
        <v>307043</v>
      </c>
      <c r="H58" s="76">
        <f t="shared" si="57"/>
        <v>11414</v>
      </c>
      <c r="I58" s="76">
        <f t="shared" si="57"/>
        <v>638656</v>
      </c>
      <c r="J58" s="67">
        <f t="shared" si="53"/>
        <v>1.48612409336803</v>
      </c>
      <c r="K58" s="67">
        <f t="shared" si="54"/>
        <v>65.87813211845102</v>
      </c>
      <c r="L58" s="63">
        <f t="shared" si="55"/>
        <v>0.19523969085078674</v>
      </c>
      <c r="M58" s="47">
        <f t="shared" si="58"/>
        <v>6759379</v>
      </c>
      <c r="N58" s="47">
        <f t="shared" si="58"/>
        <v>1544144</v>
      </c>
      <c r="O58" s="47">
        <f t="shared" si="58"/>
        <v>47240</v>
      </c>
      <c r="P58" s="47">
        <f t="shared" si="58"/>
        <v>7378495</v>
      </c>
      <c r="Q58" s="67">
        <f>IFERROR(M58/N58-1,"n/a")</f>
        <v>3.3774278823736648</v>
      </c>
      <c r="R58" s="67">
        <f>IFERROR(M58/O58-1,"n/a")</f>
        <v>142.08592294665539</v>
      </c>
      <c r="S58" s="63">
        <f t="shared" si="56"/>
        <v>-8.3908168264666405E-2</v>
      </c>
      <c r="T58" s="47">
        <f t="shared" si="59"/>
        <v>2411641</v>
      </c>
      <c r="U58" s="47">
        <f t="shared" si="59"/>
        <v>1324261</v>
      </c>
      <c r="V58" s="81">
        <f t="shared" si="59"/>
        <v>8654686</v>
      </c>
      <c r="AM58"/>
      <c r="AN58"/>
      <c r="AO58"/>
      <c r="AP58"/>
      <c r="AQ58"/>
      <c r="AR58"/>
      <c r="AS58"/>
      <c r="AT58"/>
    </row>
    <row r="59" spans="1:46" s="9" customFormat="1" ht="12" customHeight="1" thickTop="1">
      <c r="A59"/>
      <c r="B59"/>
      <c r="C59"/>
      <c r="D59"/>
      <c r="E59"/>
      <c r="F59"/>
      <c r="G59"/>
      <c r="H59"/>
      <c r="I59"/>
      <c r="J59"/>
      <c r="K59"/>
      <c r="L59"/>
      <c r="M59"/>
      <c r="N59"/>
      <c r="O59"/>
      <c r="P59"/>
      <c r="Q59"/>
      <c r="R59"/>
      <c r="S59"/>
      <c r="T59"/>
      <c r="U59"/>
      <c r="V59"/>
      <c r="AM59"/>
      <c r="AN59"/>
      <c r="AO59"/>
      <c r="AP59"/>
      <c r="AQ59"/>
      <c r="AR59"/>
      <c r="AS59"/>
      <c r="AT59"/>
    </row>
    <row r="60" spans="1:46" ht="26.7" customHeight="1"/>
    <row r="61" spans="1:46" ht="26.7" customHeight="1"/>
    <row r="62" spans="1:46" ht="26.7" customHeight="1"/>
    <row r="63" spans="1:46" ht="26.7" customHeight="1"/>
    <row r="64" spans="1:46" ht="26.7" customHeight="1"/>
    <row r="65" ht="26.7" customHeight="1"/>
    <row r="66" ht="26.7" customHeight="1"/>
    <row r="67" ht="26.7" customHeight="1"/>
    <row r="68" ht="26.7" customHeight="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T68"/>
  <sheetViews>
    <sheetView showGridLines="0" topLeftCell="F17" zoomScale="87" zoomScaleNormal="110" zoomScalePageLayoutView="40" workbookViewId="0"/>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9" customWidth="1"/>
    <col min="24" max="38" width="0" style="9" hidden="1" customWidth="1"/>
    <col min="39" max="46" width="0" hidden="1" customWidth="1"/>
    <col min="47"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v>44910</v>
      </c>
    </row>
    <row r="4" spans="1:38" ht="16.2">
      <c r="A4" s="9"/>
      <c r="B4" s="11" t="s">
        <v>7</v>
      </c>
      <c r="C4" s="26"/>
      <c r="D4" s="24"/>
      <c r="E4" s="58" t="s">
        <v>92</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ht="14.4">
      <c r="A6" s="9"/>
      <c r="B6" s="10"/>
      <c r="C6" s="24"/>
      <c r="D6" s="24"/>
      <c r="E6" s="24"/>
      <c r="F6" s="24"/>
      <c r="G6" s="24"/>
      <c r="H6" s="24"/>
      <c r="I6" s="24"/>
      <c r="J6" s="24"/>
      <c r="K6" s="24"/>
      <c r="L6" s="24"/>
      <c r="M6" s="24"/>
      <c r="N6" s="24"/>
      <c r="O6" s="24"/>
      <c r="P6" s="24"/>
      <c r="Q6" s="24"/>
      <c r="R6" s="24"/>
      <c r="S6" s="24"/>
      <c r="T6" s="24"/>
      <c r="U6" s="24"/>
      <c r="V6" s="24"/>
    </row>
    <row r="7" spans="1:38" ht="14.4">
      <c r="A7" s="9"/>
      <c r="B7" s="10"/>
      <c r="C7" s="86" t="s">
        <v>62</v>
      </c>
      <c r="D7" s="24"/>
      <c r="E7" s="24"/>
      <c r="F7" s="24"/>
      <c r="G7" s="24"/>
      <c r="H7" s="24"/>
      <c r="I7" s="24"/>
      <c r="J7" s="24"/>
      <c r="K7" s="24"/>
      <c r="L7" s="24"/>
      <c r="M7" s="24"/>
      <c r="N7" s="24"/>
      <c r="O7" s="24"/>
      <c r="P7" s="24"/>
      <c r="Q7" s="24"/>
      <c r="R7" s="24"/>
      <c r="S7" s="24"/>
      <c r="T7" s="24"/>
      <c r="U7" s="24"/>
      <c r="V7" s="24"/>
    </row>
    <row r="8" spans="1:38" ht="14.4">
      <c r="A8" s="9"/>
      <c r="B8" s="10"/>
      <c r="C8" s="24"/>
      <c r="D8" s="24"/>
      <c r="E8" s="24"/>
      <c r="F8" s="24"/>
      <c r="G8" s="24"/>
      <c r="H8" s="24"/>
      <c r="I8" s="24"/>
      <c r="J8" s="24"/>
      <c r="K8" s="24"/>
      <c r="L8" s="24"/>
      <c r="M8" s="24"/>
      <c r="N8" s="24"/>
      <c r="O8" s="24"/>
      <c r="P8" s="24"/>
      <c r="Q8" s="24"/>
      <c r="R8" s="24"/>
      <c r="S8" s="24"/>
      <c r="T8" s="24"/>
      <c r="U8" s="24"/>
      <c r="V8" s="24"/>
    </row>
    <row r="9" spans="1:38" s="20" customFormat="1" ht="14.4">
      <c r="A9" s="9"/>
      <c r="B9"/>
      <c r="C9" s="27" t="s">
        <v>7</v>
      </c>
      <c r="D9" s="28"/>
      <c r="E9" s="28"/>
      <c r="F9" s="128" t="s">
        <v>27</v>
      </c>
      <c r="G9" s="128"/>
      <c r="H9" s="128"/>
      <c r="I9" s="128"/>
      <c r="J9" s="128"/>
      <c r="K9" s="128"/>
      <c r="L9" s="129"/>
      <c r="M9" s="130" t="s">
        <v>93</v>
      </c>
      <c r="N9" s="128"/>
      <c r="O9" s="128"/>
      <c r="P9" s="128"/>
      <c r="Q9" s="128"/>
      <c r="R9" s="128"/>
      <c r="S9" s="129"/>
      <c r="T9" s="130" t="s">
        <v>57</v>
      </c>
      <c r="U9" s="128"/>
      <c r="V9" s="131"/>
      <c r="W9" s="9"/>
      <c r="X9" s="19"/>
      <c r="Y9" s="19"/>
      <c r="Z9" s="19"/>
      <c r="AA9" s="19"/>
      <c r="AB9" s="19"/>
      <c r="AC9" s="19"/>
      <c r="AD9" s="19"/>
      <c r="AE9" s="19"/>
      <c r="AF9" s="19"/>
      <c r="AG9" s="19"/>
      <c r="AH9" s="19"/>
      <c r="AI9" s="19"/>
      <c r="AJ9" s="19"/>
      <c r="AK9" s="19"/>
      <c r="AL9" s="19"/>
    </row>
    <row r="10" spans="1:38" ht="14.4">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4.4">
      <c r="A12" s="9"/>
      <c r="B12" s="12"/>
      <c r="C12" s="31" t="s">
        <v>14</v>
      </c>
      <c r="D12" s="26"/>
      <c r="E12" s="32"/>
      <c r="F12" s="26"/>
      <c r="G12" s="26"/>
      <c r="H12" s="26"/>
      <c r="I12" s="26"/>
      <c r="J12" s="26"/>
      <c r="K12" s="26"/>
      <c r="L12" s="32"/>
      <c r="M12" s="26"/>
      <c r="N12" s="26"/>
      <c r="O12" s="26"/>
      <c r="P12" s="26"/>
      <c r="Q12" s="26"/>
      <c r="R12" s="26"/>
      <c r="S12" s="32"/>
      <c r="T12" s="26"/>
      <c r="U12" s="26"/>
      <c r="V12" s="32"/>
    </row>
    <row r="13" spans="1:38" ht="14.4">
      <c r="A13" s="9"/>
      <c r="B13" s="12"/>
      <c r="C13" s="33"/>
      <c r="D13" s="26" t="s">
        <v>5</v>
      </c>
      <c r="E13" s="32"/>
      <c r="F13" s="73">
        <v>40</v>
      </c>
      <c r="G13" s="71">
        <v>21</v>
      </c>
      <c r="H13" s="71">
        <v>0</v>
      </c>
      <c r="I13" s="71">
        <v>51</v>
      </c>
      <c r="J13" s="64">
        <f t="shared" ref="J13:J31" si="0">IFERROR(F13/G13-1,"n/a")</f>
        <v>0.90476190476190466</v>
      </c>
      <c r="K13" s="64" t="str">
        <f>IFERROR(F13/H13-1,"n/a")</f>
        <v>n/a</v>
      </c>
      <c r="L13" s="60">
        <f t="shared" ref="L13:L14" si="1">IFERROR(F13/I13-1,"n/a")</f>
        <v>-0.21568627450980393</v>
      </c>
      <c r="M13" s="68">
        <f>F13+'Oct-22'!M13</f>
        <v>273</v>
      </c>
      <c r="N13" s="68">
        <f>G13+'Oct-22'!N13</f>
        <v>41</v>
      </c>
      <c r="O13" s="68">
        <f>H13+'Oct-22'!O13</f>
        <v>145</v>
      </c>
      <c r="P13" s="68">
        <f>I13+'Oct-22'!P13</f>
        <v>317</v>
      </c>
      <c r="Q13" s="64">
        <f>IFERROR(M13/N13-1,"n/a")</f>
        <v>5.6585365853658534</v>
      </c>
      <c r="R13" s="64">
        <f>IFERROR(M13/O13-1,"n/a")</f>
        <v>0.88275862068965516</v>
      </c>
      <c r="S13" s="60">
        <f>IFERROR(M13/P13-1,"n/a")</f>
        <v>-0.13880126182965302</v>
      </c>
      <c r="T13" s="68">
        <v>111</v>
      </c>
      <c r="U13" s="70">
        <v>145</v>
      </c>
      <c r="V13" s="78">
        <v>386</v>
      </c>
    </row>
    <row r="14" spans="1:38" ht="14.4">
      <c r="A14" s="9"/>
      <c r="B14" s="12"/>
      <c r="C14" s="33"/>
      <c r="D14" s="26" t="s">
        <v>11</v>
      </c>
      <c r="E14" s="32"/>
      <c r="F14" s="73">
        <v>64272</v>
      </c>
      <c r="G14" s="71">
        <v>23175</v>
      </c>
      <c r="H14" s="71">
        <v>0</v>
      </c>
      <c r="I14" s="71">
        <v>89764</v>
      </c>
      <c r="J14" s="64">
        <f t="shared" si="0"/>
        <v>1.7733333333333334</v>
      </c>
      <c r="K14" s="64" t="str">
        <f t="shared" ref="K14" si="2">IFERROR(F14/H14-1,"n/a")</f>
        <v>n/a</v>
      </c>
      <c r="L14" s="60">
        <f t="shared" si="1"/>
        <v>-0.28398912704424939</v>
      </c>
      <c r="M14" s="68">
        <f>F14+'Oct-22'!M14</f>
        <v>270964</v>
      </c>
      <c r="N14" s="68">
        <f>G14+'Oct-22'!N14</f>
        <v>28096</v>
      </c>
      <c r="O14" s="68">
        <f>H14+'Oct-22'!O14</f>
        <v>258885</v>
      </c>
      <c r="P14" s="68">
        <f>I14+'Oct-22'!P14</f>
        <v>613093</v>
      </c>
      <c r="Q14" s="64">
        <f>IFERROR(M14/N14-1,"n/a")</f>
        <v>8.6442198177676541</v>
      </c>
      <c r="R14" s="64">
        <f>IFERROR(M14/O14-1,"n/a")</f>
        <v>4.6657782413040527E-2</v>
      </c>
      <c r="S14" s="60">
        <f>IFERROR(M14/P14-1,"n/a")</f>
        <v>-0.55803768759388861</v>
      </c>
      <c r="T14" s="68">
        <v>80863</v>
      </c>
      <c r="U14" s="70">
        <v>258885</v>
      </c>
      <c r="V14" s="78">
        <v>733296</v>
      </c>
    </row>
    <row r="15" spans="1:38" ht="14.4">
      <c r="A15" s="9"/>
      <c r="B15" s="12"/>
      <c r="C15" s="31" t="s">
        <v>74</v>
      </c>
      <c r="D15" s="26"/>
      <c r="E15" s="32"/>
      <c r="F15" s="26"/>
      <c r="G15" s="26"/>
      <c r="H15" s="26"/>
      <c r="I15" s="26"/>
      <c r="J15" s="64"/>
      <c r="K15" s="64"/>
      <c r="L15" s="61"/>
      <c r="M15" s="87"/>
      <c r="N15" s="87"/>
      <c r="O15" s="87"/>
      <c r="P15" s="87"/>
      <c r="Q15" s="64"/>
      <c r="R15" s="65"/>
      <c r="S15" s="61"/>
      <c r="T15" s="43"/>
      <c r="U15" s="44"/>
      <c r="V15" s="79"/>
    </row>
    <row r="16" spans="1:38" ht="14.4">
      <c r="A16" s="9"/>
      <c r="B16" s="12"/>
      <c r="C16" s="33"/>
      <c r="D16" s="26" t="s">
        <v>5</v>
      </c>
      <c r="E16" s="32"/>
      <c r="F16" s="74">
        <v>91</v>
      </c>
      <c r="G16" s="71">
        <v>67</v>
      </c>
      <c r="H16" s="71">
        <v>0</v>
      </c>
      <c r="I16" s="71">
        <v>95</v>
      </c>
      <c r="J16" s="64">
        <f t="shared" si="0"/>
        <v>0.35820895522388052</v>
      </c>
      <c r="K16" s="64" t="str">
        <f t="shared" ref="K16:K17" si="3">IFERROR(F16/H16-1,"n/a")</f>
        <v>n/a</v>
      </c>
      <c r="L16" s="60">
        <f t="shared" ref="L16:L17" si="4">IFERROR(F16/I16-1,"n/a")</f>
        <v>-4.2105263157894757E-2</v>
      </c>
      <c r="M16" s="68">
        <f>F16+'Oct-22'!M16</f>
        <v>747</v>
      </c>
      <c r="N16" s="68">
        <f>G16+'Oct-22'!N16</f>
        <v>258</v>
      </c>
      <c r="O16" s="68">
        <f>H16+'Oct-22'!O16</f>
        <v>43</v>
      </c>
      <c r="P16" s="68">
        <f>I16+'Oct-22'!P16</f>
        <v>807</v>
      </c>
      <c r="Q16" s="64">
        <f t="shared" ref="Q16:Q17" si="5">IFERROR(M16/N16-1,"n/a")</f>
        <v>1.8953488372093021</v>
      </c>
      <c r="R16" s="64">
        <f t="shared" ref="R16:R17" si="6">IFERROR(M16/O16-1,"n/a")</f>
        <v>16.372093023255815</v>
      </c>
      <c r="S16" s="60">
        <f t="shared" ref="S16:S17" si="7">IFERROR(M16/P16-1,"n/a")</f>
        <v>-7.4349442379182173E-2</v>
      </c>
      <c r="T16" s="68">
        <v>283</v>
      </c>
      <c r="U16" s="70">
        <v>43</v>
      </c>
      <c r="V16" s="78">
        <v>827</v>
      </c>
    </row>
    <row r="17" spans="1:46" ht="14.4">
      <c r="A17" s="9"/>
      <c r="B17" s="12"/>
      <c r="C17" s="33"/>
      <c r="D17" s="26" t="s">
        <v>11</v>
      </c>
      <c r="E17" s="32"/>
      <c r="F17" s="74">
        <v>175248</v>
      </c>
      <c r="G17" s="71">
        <v>83507</v>
      </c>
      <c r="H17" s="71">
        <v>0</v>
      </c>
      <c r="I17" s="71">
        <v>263747</v>
      </c>
      <c r="J17" s="64">
        <f t="shared" si="0"/>
        <v>1.0986025123642329</v>
      </c>
      <c r="K17" s="64" t="str">
        <f t="shared" si="3"/>
        <v>n/a</v>
      </c>
      <c r="L17" s="60">
        <f t="shared" si="4"/>
        <v>-0.33554504885363623</v>
      </c>
      <c r="M17" s="68">
        <f>F17+'Oct-22'!M17</f>
        <v>1755234</v>
      </c>
      <c r="N17" s="68">
        <f>G17+'Oct-22'!N17</f>
        <v>425895</v>
      </c>
      <c r="O17" s="68">
        <f>H17+'Oct-22'!O17</f>
        <v>140552</v>
      </c>
      <c r="P17" s="68">
        <f>I17+'Oct-22'!P17</f>
        <v>2493999</v>
      </c>
      <c r="Q17" s="64">
        <f t="shared" si="5"/>
        <v>3.1212834149262143</v>
      </c>
      <c r="R17" s="64">
        <f t="shared" si="6"/>
        <v>11.488146735727701</v>
      </c>
      <c r="S17" s="60">
        <f t="shared" si="7"/>
        <v>-0.29621703938133093</v>
      </c>
      <c r="T17" s="68">
        <v>465109</v>
      </c>
      <c r="U17" s="70">
        <v>140552</v>
      </c>
      <c r="V17" s="78">
        <v>2552942</v>
      </c>
    </row>
    <row r="18" spans="1:46" ht="14.4">
      <c r="A18" s="9"/>
      <c r="B18" s="12"/>
      <c r="C18" s="31" t="s">
        <v>15</v>
      </c>
      <c r="D18" s="26"/>
      <c r="E18" s="32"/>
      <c r="F18" s="72"/>
      <c r="G18" s="72"/>
      <c r="H18" s="72"/>
      <c r="I18" s="72"/>
      <c r="J18" s="64"/>
      <c r="K18" s="64"/>
      <c r="L18" s="60"/>
      <c r="M18" s="87"/>
      <c r="N18" s="87"/>
      <c r="O18" s="87"/>
      <c r="P18" s="87"/>
      <c r="Q18" s="64"/>
      <c r="R18" s="64"/>
      <c r="S18" s="60"/>
      <c r="T18" s="43"/>
      <c r="U18" s="44"/>
      <c r="V18" s="79"/>
    </row>
    <row r="19" spans="1:46" ht="14.4">
      <c r="A19" s="9"/>
      <c r="B19" s="12"/>
      <c r="C19" s="33"/>
      <c r="D19" s="26" t="s">
        <v>5</v>
      </c>
      <c r="E19" s="32"/>
      <c r="F19" s="74">
        <v>32</v>
      </c>
      <c r="G19" s="71">
        <v>9</v>
      </c>
      <c r="H19" s="71">
        <v>0</v>
      </c>
      <c r="I19" s="71">
        <v>10</v>
      </c>
      <c r="J19" s="64">
        <f t="shared" si="0"/>
        <v>2.5555555555555554</v>
      </c>
      <c r="K19" s="64" t="str">
        <f t="shared" ref="K19:K20" si="8">IFERROR(F19/H19-1,"n/a")</f>
        <v>n/a</v>
      </c>
      <c r="L19" s="60">
        <f>IFERROR(F19/I19-1,"n/a")</f>
        <v>2.2000000000000002</v>
      </c>
      <c r="M19" s="68">
        <f>F19+'Oct-22'!M19</f>
        <v>466</v>
      </c>
      <c r="N19" s="68">
        <f>G19+'Oct-22'!N19</f>
        <v>20</v>
      </c>
      <c r="O19" s="68">
        <f>H19+'Oct-22'!O19</f>
        <v>4</v>
      </c>
      <c r="P19" s="68">
        <f>I19+'Oct-22'!P19</f>
        <v>182</v>
      </c>
      <c r="Q19" s="64">
        <f t="shared" ref="Q19:Q20" si="9">IFERROR(M19/N19-1,"n/a")</f>
        <v>22.3</v>
      </c>
      <c r="R19" s="64">
        <f t="shared" ref="R19:R20" si="10">IFERROR(M19/O19-1,"n/a")</f>
        <v>115.5</v>
      </c>
      <c r="S19" s="60">
        <f t="shared" ref="S19:S20" si="11">IFERROR(M19/P19-1,"n/a")</f>
        <v>1.5604395604395602</v>
      </c>
      <c r="T19" s="68">
        <v>23</v>
      </c>
      <c r="U19" s="70">
        <v>4</v>
      </c>
      <c r="V19" s="78">
        <v>191</v>
      </c>
    </row>
    <row r="20" spans="1:46" ht="14.4">
      <c r="A20" s="9"/>
      <c r="B20" s="12"/>
      <c r="C20" s="33"/>
      <c r="D20" s="26" t="s">
        <v>11</v>
      </c>
      <c r="E20" s="32"/>
      <c r="F20" s="74">
        <f>31191+116</f>
        <v>31307</v>
      </c>
      <c r="G20" s="71">
        <v>4212</v>
      </c>
      <c r="H20" s="71">
        <v>0</v>
      </c>
      <c r="I20" s="71">
        <v>13055</v>
      </c>
      <c r="J20" s="64">
        <f t="shared" si="0"/>
        <v>6.4328110161443499</v>
      </c>
      <c r="K20" s="64" t="str">
        <f t="shared" si="8"/>
        <v>n/a</v>
      </c>
      <c r="L20" s="60">
        <f t="shared" ref="L20:L31" si="12">IFERROR(F20/I20-1,"n/a")</f>
        <v>1.3980850248946766</v>
      </c>
      <c r="M20" s="68">
        <f>F20+'Oct-22'!M20</f>
        <v>555827</v>
      </c>
      <c r="N20" s="68">
        <f>G20+'Oct-22'!N20</f>
        <v>7747</v>
      </c>
      <c r="O20" s="68">
        <f>H20+'Oct-22'!O20</f>
        <v>1753</v>
      </c>
      <c r="P20" s="68">
        <f>I20+'Oct-22'!P20</f>
        <v>244596</v>
      </c>
      <c r="Q20" s="64">
        <f t="shared" si="9"/>
        <v>70.74738608493611</v>
      </c>
      <c r="R20" s="64">
        <f t="shared" si="10"/>
        <v>316.07187678265831</v>
      </c>
      <c r="S20" s="60">
        <f t="shared" si="11"/>
        <v>1.2724288214034569</v>
      </c>
      <c r="T20" s="68">
        <v>8611</v>
      </c>
      <c r="U20" s="70">
        <v>1753</v>
      </c>
      <c r="V20" s="78">
        <v>254421</v>
      </c>
    </row>
    <row r="21" spans="1:46" ht="14.4">
      <c r="A21" s="9"/>
      <c r="B21" s="12"/>
      <c r="C21" s="31" t="s">
        <v>10</v>
      </c>
      <c r="D21" s="26"/>
      <c r="E21" s="34"/>
      <c r="F21" s="72"/>
      <c r="G21" s="72"/>
      <c r="H21" s="72"/>
      <c r="I21" s="72"/>
      <c r="J21" s="64"/>
      <c r="K21" s="64"/>
      <c r="L21" s="60"/>
      <c r="M21" s="87"/>
      <c r="N21" s="87"/>
      <c r="O21" s="87"/>
      <c r="P21" s="87"/>
      <c r="Q21" s="64"/>
      <c r="R21" s="64"/>
      <c r="S21" s="60"/>
      <c r="T21" s="43"/>
      <c r="U21" s="44"/>
      <c r="V21" s="79"/>
    </row>
    <row r="22" spans="1:46" ht="14.4">
      <c r="A22" s="9"/>
      <c r="B22" s="12"/>
      <c r="C22" s="33"/>
      <c r="D22" s="26" t="s">
        <v>5</v>
      </c>
      <c r="E22" s="34"/>
      <c r="F22" s="74">
        <v>104</v>
      </c>
      <c r="G22" s="71">
        <v>94</v>
      </c>
      <c r="H22" s="71">
        <v>0</v>
      </c>
      <c r="I22" s="71">
        <v>121</v>
      </c>
      <c r="J22" s="64">
        <f t="shared" si="0"/>
        <v>0.1063829787234043</v>
      </c>
      <c r="K22" s="64" t="str">
        <f t="shared" ref="K22:K23" si="13">IFERROR(F22/H22-1,"n/a")</f>
        <v>n/a</v>
      </c>
      <c r="L22" s="60">
        <f t="shared" si="12"/>
        <v>-0.14049586776859502</v>
      </c>
      <c r="M22" s="68">
        <f>F22+'Oct-22'!M22</f>
        <v>1022</v>
      </c>
      <c r="N22" s="68">
        <f>G22+'Oct-22'!N22</f>
        <v>309</v>
      </c>
      <c r="O22" s="68">
        <f>H22+'Oct-22'!O22</f>
        <v>406</v>
      </c>
      <c r="P22" s="68">
        <f>I22+'Oct-22'!P22</f>
        <v>1074</v>
      </c>
      <c r="Q22" s="64">
        <f t="shared" ref="Q22:Q23" si="14">IFERROR(M22/N22-1,"n/a")</f>
        <v>2.3074433656957929</v>
      </c>
      <c r="R22" s="64">
        <f t="shared" ref="R22:R23" si="15">IFERROR(M22/O22-1,"n/a")</f>
        <v>1.5172413793103448</v>
      </c>
      <c r="S22" s="60">
        <f t="shared" ref="S22:S23" si="16">IFERROR(M22/P22-1,"n/a")</f>
        <v>-4.8417132216014847E-2</v>
      </c>
      <c r="T22" s="68">
        <v>411</v>
      </c>
      <c r="U22" s="70">
        <v>406</v>
      </c>
      <c r="V22" s="78">
        <v>1205</v>
      </c>
    </row>
    <row r="23" spans="1:46" ht="14.4">
      <c r="A23" s="9"/>
      <c r="B23" s="12"/>
      <c r="C23" s="33"/>
      <c r="D23" s="26" t="s">
        <v>11</v>
      </c>
      <c r="E23" s="32"/>
      <c r="F23" s="74">
        <v>345933</v>
      </c>
      <c r="G23" s="71">
        <v>162789</v>
      </c>
      <c r="H23" s="71">
        <v>0</v>
      </c>
      <c r="I23" s="71">
        <v>331420</v>
      </c>
      <c r="J23" s="64">
        <f t="shared" si="0"/>
        <v>1.1250391611226802</v>
      </c>
      <c r="K23" s="64" t="str">
        <f t="shared" si="13"/>
        <v>n/a</v>
      </c>
      <c r="L23" s="60">
        <f t="shared" si="12"/>
        <v>4.3790356647154693E-2</v>
      </c>
      <c r="M23" s="68">
        <f>F23+'Oct-22'!M23</f>
        <v>2803130</v>
      </c>
      <c r="N23" s="68">
        <f>G23+'Oct-22'!N23</f>
        <v>486999</v>
      </c>
      <c r="O23" s="68">
        <f>H23+'Oct-22'!O23</f>
        <v>833999</v>
      </c>
      <c r="P23" s="68">
        <f>I23+'Oct-22'!P23</f>
        <v>3472775</v>
      </c>
      <c r="Q23" s="64">
        <f t="shared" si="14"/>
        <v>4.7559255768492337</v>
      </c>
      <c r="R23" s="64">
        <f t="shared" si="15"/>
        <v>2.3610711763443359</v>
      </c>
      <c r="S23" s="60">
        <f t="shared" si="16"/>
        <v>-0.19282706193174048</v>
      </c>
      <c r="T23" s="68">
        <v>687449</v>
      </c>
      <c r="U23" s="70">
        <v>833999</v>
      </c>
      <c r="V23" s="78">
        <v>3859183</v>
      </c>
    </row>
    <row r="24" spans="1:46" ht="14.4">
      <c r="A24" s="9"/>
      <c r="B24" s="12"/>
      <c r="C24" s="31" t="s">
        <v>16</v>
      </c>
      <c r="D24" s="26"/>
      <c r="E24" s="32"/>
      <c r="F24" s="72"/>
      <c r="G24" s="72"/>
      <c r="H24" s="72"/>
      <c r="I24" s="72"/>
      <c r="J24" s="64"/>
      <c r="K24" s="64"/>
      <c r="L24" s="60"/>
      <c r="M24" s="87"/>
      <c r="N24" s="87"/>
      <c r="O24" s="87"/>
      <c r="P24" s="87"/>
      <c r="Q24" s="64"/>
      <c r="R24" s="64"/>
      <c r="S24" s="60"/>
      <c r="T24" s="43"/>
      <c r="U24" s="44"/>
      <c r="V24" s="79"/>
    </row>
    <row r="25" spans="1:46" ht="14.4">
      <c r="A25" s="9"/>
      <c r="B25" s="12"/>
      <c r="C25" s="33"/>
      <c r="D25" s="26" t="s">
        <v>5</v>
      </c>
      <c r="E25" s="32"/>
      <c r="F25" s="74">
        <v>11</v>
      </c>
      <c r="G25" s="71">
        <v>13</v>
      </c>
      <c r="H25" s="71">
        <v>5</v>
      </c>
      <c r="I25" s="71">
        <v>20</v>
      </c>
      <c r="J25" s="64">
        <f t="shared" si="0"/>
        <v>-0.15384615384615385</v>
      </c>
      <c r="K25" s="64">
        <f t="shared" ref="K25:K26" si="17">IFERROR(F25/H25-1,"n/a")</f>
        <v>1.2000000000000002</v>
      </c>
      <c r="L25" s="60">
        <f t="shared" si="12"/>
        <v>-0.44999999999999996</v>
      </c>
      <c r="M25" s="68">
        <f>F25+'Oct-22'!M25</f>
        <v>278</v>
      </c>
      <c r="N25" s="68">
        <f>G25+'Oct-22'!N25</f>
        <v>100</v>
      </c>
      <c r="O25" s="68">
        <f>H25+'Oct-22'!O25</f>
        <v>29</v>
      </c>
      <c r="P25" s="68">
        <f>I25+'Oct-22'!P25</f>
        <v>328</v>
      </c>
      <c r="Q25" s="64">
        <f t="shared" ref="Q25:Q26" si="18">IFERROR(M25/N25-1,"n/a")</f>
        <v>1.7799999999999998</v>
      </c>
      <c r="R25" s="64">
        <f t="shared" ref="R25:R26" si="19">IFERROR(M25/O25-1,"n/a")</f>
        <v>8.5862068965517242</v>
      </c>
      <c r="S25" s="60">
        <f t="shared" ref="S25:S26" si="20">IFERROR(M25/P25-1,"n/a")</f>
        <v>-0.15243902439024393</v>
      </c>
      <c r="T25" s="68">
        <v>107</v>
      </c>
      <c r="U25" s="70">
        <v>32</v>
      </c>
      <c r="V25" s="78">
        <v>372</v>
      </c>
    </row>
    <row r="26" spans="1:46" ht="14.4">
      <c r="A26" s="9"/>
      <c r="B26" s="12"/>
      <c r="C26" s="33"/>
      <c r="D26" s="26" t="s">
        <v>11</v>
      </c>
      <c r="E26" s="32"/>
      <c r="F26" s="74">
        <v>26816</v>
      </c>
      <c r="G26" s="71">
        <v>16166</v>
      </c>
      <c r="H26" s="71">
        <v>2473</v>
      </c>
      <c r="I26" s="71">
        <v>30720</v>
      </c>
      <c r="J26" s="64">
        <f t="shared" si="0"/>
        <v>0.65879005319806994</v>
      </c>
      <c r="K26" s="64">
        <f t="shared" si="17"/>
        <v>9.8435099069955516</v>
      </c>
      <c r="L26" s="60">
        <f t="shared" si="12"/>
        <v>-0.12708333333333333</v>
      </c>
      <c r="M26" s="68">
        <f>F26+'Oct-22'!M26</f>
        <v>510153</v>
      </c>
      <c r="N26" s="68">
        <f>G26+'Oct-22'!N26</f>
        <v>133384</v>
      </c>
      <c r="O26" s="68">
        <f>H26+'Oct-22'!O26</f>
        <v>58135</v>
      </c>
      <c r="P26" s="68">
        <f>I26+'Oct-22'!P26</f>
        <v>849404</v>
      </c>
      <c r="Q26" s="64">
        <f t="shared" si="18"/>
        <v>2.8246941162358303</v>
      </c>
      <c r="R26" s="64">
        <f t="shared" si="19"/>
        <v>7.7753160746538228</v>
      </c>
      <c r="S26" s="60">
        <f t="shared" si="20"/>
        <v>-0.39939887262127327</v>
      </c>
      <c r="T26" s="68">
        <v>147132</v>
      </c>
      <c r="U26" s="70">
        <v>59180</v>
      </c>
      <c r="V26" s="78">
        <v>902015</v>
      </c>
    </row>
    <row r="27" spans="1:46" ht="14.4">
      <c r="A27" s="9"/>
      <c r="B27" s="12"/>
      <c r="C27" s="31" t="s">
        <v>17</v>
      </c>
      <c r="D27" s="26"/>
      <c r="E27" s="32"/>
      <c r="F27" s="72"/>
      <c r="G27" s="72"/>
      <c r="H27" s="72"/>
      <c r="I27" s="72"/>
      <c r="J27" s="64"/>
      <c r="K27" s="64"/>
      <c r="L27" s="60"/>
      <c r="M27" s="87"/>
      <c r="N27" s="87"/>
      <c r="O27" s="87"/>
      <c r="P27" s="87"/>
      <c r="Q27" s="64"/>
      <c r="R27" s="64"/>
      <c r="S27" s="60"/>
      <c r="T27" s="43"/>
      <c r="U27" s="44"/>
      <c r="V27" s="79"/>
    </row>
    <row r="28" spans="1:46" ht="14.4">
      <c r="B28" s="12"/>
      <c r="C28" s="33"/>
      <c r="D28" s="26" t="s">
        <v>5</v>
      </c>
      <c r="E28" s="32"/>
      <c r="F28" s="74">
        <f>24+38</f>
        <v>62</v>
      </c>
      <c r="G28" s="71">
        <v>20</v>
      </c>
      <c r="H28" s="71">
        <v>8</v>
      </c>
      <c r="I28" s="71">
        <v>17</v>
      </c>
      <c r="J28" s="64">
        <f t="shared" si="0"/>
        <v>2.1</v>
      </c>
      <c r="K28" s="64">
        <f t="shared" ref="K28:K31" si="21">IFERROR(F28/H28-1,"n/a")</f>
        <v>6.75</v>
      </c>
      <c r="L28" s="60">
        <f t="shared" si="12"/>
        <v>2.6470588235294117</v>
      </c>
      <c r="M28" s="68">
        <f>F28+'Oct-22'!M28</f>
        <v>568</v>
      </c>
      <c r="N28" s="68">
        <f>G28+'Oct-22'!N28</f>
        <v>127</v>
      </c>
      <c r="O28" s="68">
        <f>H28+'Oct-22'!O28</f>
        <v>32</v>
      </c>
      <c r="P28" s="68">
        <f>I28+'Oct-22'!P28</f>
        <v>345</v>
      </c>
      <c r="Q28" s="64">
        <f t="shared" ref="Q28:Q31" si="22">IFERROR(M28/N28-1,"n/a")</f>
        <v>3.4724409448818898</v>
      </c>
      <c r="R28" s="64">
        <f t="shared" ref="R28:R31" si="23">IFERROR(M28/O28-1,"n/a")</f>
        <v>16.75</v>
      </c>
      <c r="S28" s="60">
        <f t="shared" ref="S28:S31" si="24">IFERROR(M28/P28-1,"n/a")</f>
        <v>0.64637681159420279</v>
      </c>
      <c r="T28" s="68">
        <v>127</v>
      </c>
      <c r="U28" s="70">
        <v>37</v>
      </c>
      <c r="V28" s="78">
        <f>282+81</f>
        <v>363</v>
      </c>
    </row>
    <row r="29" spans="1:46" ht="14.4">
      <c r="A29" s="9"/>
      <c r="B29" s="12"/>
      <c r="C29" s="33"/>
      <c r="D29" s="26" t="s">
        <v>11</v>
      </c>
      <c r="E29" s="32"/>
      <c r="F29" s="74">
        <f>35743+775+99553</f>
        <v>136071</v>
      </c>
      <c r="G29" s="71">
        <v>14810</v>
      </c>
      <c r="H29" s="71">
        <v>2381</v>
      </c>
      <c r="I29" s="71">
        <v>16811</v>
      </c>
      <c r="J29" s="64">
        <f t="shared" si="0"/>
        <v>8.1877785280216067</v>
      </c>
      <c r="K29" s="64">
        <f t="shared" si="21"/>
        <v>56.148677026459474</v>
      </c>
      <c r="L29" s="60">
        <f t="shared" si="12"/>
        <v>7.0941645351258114</v>
      </c>
      <c r="M29" s="68">
        <f>F29+'Oct-22'!M29</f>
        <v>968429</v>
      </c>
      <c r="N29" s="68">
        <f>G29+'Oct-22'!N29</f>
        <v>165083</v>
      </c>
      <c r="O29" s="68">
        <f>H29+'Oct-22'!O29</f>
        <v>18693</v>
      </c>
      <c r="P29" s="68">
        <f>I29+'Oct-22'!P29</f>
        <v>856498</v>
      </c>
      <c r="Q29" s="64">
        <f t="shared" si="22"/>
        <v>4.8663157320862842</v>
      </c>
      <c r="R29" s="64">
        <f t="shared" si="23"/>
        <v>50.807040068474834</v>
      </c>
      <c r="S29" s="60">
        <f t="shared" si="24"/>
        <v>0.13068448496085217</v>
      </c>
      <c r="T29" s="68">
        <v>165083</v>
      </c>
      <c r="U29" s="70">
        <f>20768+8294</f>
        <v>29062</v>
      </c>
      <c r="V29" s="78">
        <f>659951+168729+38484</f>
        <v>867164</v>
      </c>
    </row>
    <row r="30" spans="1:46" ht="15" customHeight="1" thickBot="1">
      <c r="A30" s="9"/>
      <c r="B30" s="12"/>
      <c r="C30" s="35" t="s">
        <v>12</v>
      </c>
      <c r="D30" s="36"/>
      <c r="E30" s="37"/>
      <c r="F30" s="75">
        <f t="shared" ref="F30:I31" si="25">F13+F16+F19+F22+F25+F28</f>
        <v>340</v>
      </c>
      <c r="G30" s="75">
        <f>G13+G16+G19+G22+G25+G28</f>
        <v>224</v>
      </c>
      <c r="H30" s="75">
        <f t="shared" si="25"/>
        <v>13</v>
      </c>
      <c r="I30" s="75">
        <f t="shared" si="25"/>
        <v>314</v>
      </c>
      <c r="J30" s="66">
        <f t="shared" si="0"/>
        <v>0.51785714285714279</v>
      </c>
      <c r="K30" s="66">
        <f t="shared" si="21"/>
        <v>25.153846153846153</v>
      </c>
      <c r="L30" s="62">
        <f t="shared" si="12"/>
        <v>8.2802547770700619E-2</v>
      </c>
      <c r="M30" s="46">
        <f t="shared" ref="M30:P31" si="26">M13+M16+M19+M22+M25+M28</f>
        <v>3354</v>
      </c>
      <c r="N30" s="46">
        <f t="shared" si="26"/>
        <v>855</v>
      </c>
      <c r="O30" s="46">
        <f t="shared" si="26"/>
        <v>659</v>
      </c>
      <c r="P30" s="46">
        <f t="shared" si="26"/>
        <v>3053</v>
      </c>
      <c r="Q30" s="66">
        <f t="shared" si="22"/>
        <v>2.9228070175438599</v>
      </c>
      <c r="R30" s="66">
        <f t="shared" si="23"/>
        <v>4.0895295902883158</v>
      </c>
      <c r="S30" s="62">
        <f t="shared" si="24"/>
        <v>9.8591549295774739E-2</v>
      </c>
      <c r="T30" s="46">
        <f t="shared" ref="T30:V31" si="27">T13+T16+T19+T22+T25+T28</f>
        <v>1062</v>
      </c>
      <c r="U30" s="46">
        <f t="shared" si="27"/>
        <v>667</v>
      </c>
      <c r="V30" s="80">
        <f t="shared" si="27"/>
        <v>3344</v>
      </c>
    </row>
    <row r="31" spans="1:46" s="22" customFormat="1" ht="15" customHeight="1" thickTop="1" thickBot="1">
      <c r="A31" s="9"/>
      <c r="B31" s="12"/>
      <c r="C31" s="38" t="s">
        <v>13</v>
      </c>
      <c r="D31" s="39"/>
      <c r="E31" s="40"/>
      <c r="F31" s="76">
        <f t="shared" si="25"/>
        <v>779647</v>
      </c>
      <c r="G31" s="76">
        <f t="shared" si="25"/>
        <v>304659</v>
      </c>
      <c r="H31" s="76">
        <f t="shared" si="25"/>
        <v>4854</v>
      </c>
      <c r="I31" s="76">
        <f t="shared" si="25"/>
        <v>745517</v>
      </c>
      <c r="J31" s="67">
        <f t="shared" si="0"/>
        <v>1.5590808083792043</v>
      </c>
      <c r="K31" s="67">
        <f t="shared" si="21"/>
        <v>159.61948908117017</v>
      </c>
      <c r="L31" s="63">
        <f t="shared" si="12"/>
        <v>4.5780310844689032E-2</v>
      </c>
      <c r="M31" s="47">
        <f t="shared" si="26"/>
        <v>6863737</v>
      </c>
      <c r="N31" s="47">
        <f t="shared" si="26"/>
        <v>1247204</v>
      </c>
      <c r="O31" s="47">
        <f t="shared" si="26"/>
        <v>1312017</v>
      </c>
      <c r="P31" s="47">
        <f t="shared" si="26"/>
        <v>8530365</v>
      </c>
      <c r="Q31" s="67">
        <f t="shared" si="22"/>
        <v>4.5032993800533037</v>
      </c>
      <c r="R31" s="67">
        <f t="shared" si="23"/>
        <v>4.231439074341262</v>
      </c>
      <c r="S31" s="63">
        <f t="shared" si="24"/>
        <v>-0.19537593057272462</v>
      </c>
      <c r="T31" s="47">
        <f t="shared" si="27"/>
        <v>1554247</v>
      </c>
      <c r="U31" s="47">
        <f t="shared" si="27"/>
        <v>1323431</v>
      </c>
      <c r="V31" s="81">
        <f t="shared" si="27"/>
        <v>9169021</v>
      </c>
      <c r="W31" s="9"/>
      <c r="X31" s="21"/>
      <c r="Y31" s="21"/>
      <c r="Z31" s="21"/>
      <c r="AA31" s="21"/>
      <c r="AB31" s="21"/>
      <c r="AC31" s="21"/>
      <c r="AD31" s="21"/>
      <c r="AE31" s="21"/>
      <c r="AF31" s="21"/>
      <c r="AG31" s="21"/>
      <c r="AH31" s="21"/>
      <c r="AI31" s="21"/>
      <c r="AJ31" s="21"/>
      <c r="AK31" s="21"/>
      <c r="AL31" s="21"/>
    </row>
    <row r="32" spans="1:46" s="9" customFormat="1" ht="15" customHeight="1" thickTop="1">
      <c r="F32" s="41"/>
      <c r="G32" s="41"/>
      <c r="H32" s="41"/>
      <c r="I32" s="41"/>
      <c r="J32" s="41"/>
      <c r="K32" s="41"/>
      <c r="AM32"/>
      <c r="AN32"/>
      <c r="AO32"/>
      <c r="AP32"/>
      <c r="AQ32"/>
      <c r="AR32"/>
      <c r="AS32"/>
      <c r="AT32"/>
    </row>
    <row r="33" spans="2:46" s="9" customFormat="1" ht="22.95" customHeight="1">
      <c r="F33" s="41"/>
      <c r="G33" s="41"/>
      <c r="H33" s="41"/>
      <c r="I33" s="41"/>
      <c r="J33" s="41"/>
      <c r="K33" s="41"/>
      <c r="AM33"/>
      <c r="AN33"/>
      <c r="AO33"/>
      <c r="AP33"/>
      <c r="AQ33"/>
      <c r="AR33"/>
      <c r="AS33"/>
      <c r="AT33"/>
    </row>
    <row r="34" spans="2:46" s="9" customFormat="1" ht="14.4">
      <c r="B34" s="10"/>
      <c r="C34" s="86" t="s">
        <v>63</v>
      </c>
      <c r="D34" s="24"/>
      <c r="E34" s="24"/>
      <c r="F34" s="24"/>
      <c r="G34" s="24"/>
      <c r="H34" s="24"/>
      <c r="I34" s="95"/>
      <c r="J34" s="95"/>
      <c r="K34" s="95"/>
      <c r="L34" s="24"/>
      <c r="M34" s="24"/>
      <c r="N34" s="24"/>
      <c r="O34" s="24"/>
      <c r="P34" s="24"/>
      <c r="Q34" s="24"/>
      <c r="R34" s="24"/>
      <c r="S34" s="24"/>
      <c r="T34" s="24"/>
      <c r="U34" s="24"/>
      <c r="V34" s="24"/>
      <c r="AM34"/>
      <c r="AN34"/>
      <c r="AO34"/>
      <c r="AP34"/>
      <c r="AQ34"/>
      <c r="AR34"/>
      <c r="AS34"/>
      <c r="AT34"/>
    </row>
    <row r="35" spans="2:46" s="9" customFormat="1" ht="14.4">
      <c r="B35" s="10"/>
      <c r="C35" s="24"/>
      <c r="D35" s="24"/>
      <c r="E35" s="24"/>
      <c r="F35" s="24"/>
      <c r="G35" s="24"/>
      <c r="H35" s="24"/>
      <c r="I35" s="95"/>
      <c r="J35" s="95"/>
      <c r="K35" s="95"/>
      <c r="L35" s="24"/>
      <c r="M35" s="24"/>
      <c r="N35" s="24"/>
      <c r="O35" s="24"/>
      <c r="P35" s="24"/>
      <c r="Q35" s="24"/>
      <c r="R35" s="24"/>
      <c r="S35" s="24"/>
      <c r="T35" s="24"/>
      <c r="U35" s="24"/>
      <c r="V35" s="24"/>
      <c r="AM35"/>
      <c r="AN35"/>
      <c r="AO35"/>
      <c r="AP35"/>
      <c r="AQ35"/>
      <c r="AR35"/>
      <c r="AS35"/>
      <c r="AT35"/>
    </row>
    <row r="36" spans="2:46" s="9" customFormat="1" ht="15" customHeight="1">
      <c r="C36" s="27" t="s">
        <v>7</v>
      </c>
      <c r="D36" s="28"/>
      <c r="E36" s="28"/>
      <c r="F36" s="128" t="str">
        <f>F9</f>
        <v>November</v>
      </c>
      <c r="G36" s="128"/>
      <c r="H36" s="128"/>
      <c r="I36" s="128"/>
      <c r="J36" s="128"/>
      <c r="K36" s="128"/>
      <c r="L36" s="129"/>
      <c r="M36" s="130" t="s">
        <v>94</v>
      </c>
      <c r="N36" s="128"/>
      <c r="O36" s="128"/>
      <c r="P36" s="128"/>
      <c r="Q36" s="128"/>
      <c r="R36" s="128"/>
      <c r="S36" s="129"/>
      <c r="T36" s="130" t="s">
        <v>58</v>
      </c>
      <c r="U36" s="128"/>
      <c r="V36" s="131"/>
      <c r="AM36"/>
      <c r="AN36"/>
      <c r="AO36"/>
      <c r="AP36"/>
      <c r="AQ36"/>
      <c r="AR36"/>
      <c r="AS36"/>
      <c r="AT36"/>
    </row>
    <row r="37" spans="2:46" s="9" customFormat="1" ht="15" customHeight="1">
      <c r="C37" s="29"/>
      <c r="D37" s="30"/>
      <c r="E37" s="30"/>
      <c r="F37" s="29"/>
      <c r="G37" s="30"/>
      <c r="H37" s="30"/>
      <c r="I37" s="30"/>
      <c r="J37" s="30"/>
      <c r="K37" s="30"/>
      <c r="L37" s="56"/>
      <c r="M37" s="30"/>
      <c r="N37" s="30"/>
      <c r="O37" s="30"/>
      <c r="P37" s="30"/>
      <c r="Q37" s="30"/>
      <c r="R37" s="30"/>
      <c r="S37" s="56"/>
      <c r="T37" s="30"/>
      <c r="U37" s="30"/>
      <c r="V37" s="56"/>
      <c r="AM37"/>
      <c r="AN37"/>
      <c r="AO37"/>
      <c r="AP37"/>
      <c r="AQ37"/>
      <c r="AR37"/>
      <c r="AS37"/>
      <c r="AT37"/>
    </row>
    <row r="38" spans="2:46" s="9" customFormat="1" ht="33.6"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2:46" s="9" customFormat="1" ht="15" customHeight="1">
      <c r="C39" s="31" t="s">
        <v>14</v>
      </c>
      <c r="D39" s="26"/>
      <c r="E39" s="32"/>
      <c r="F39" s="26"/>
      <c r="G39" s="26"/>
      <c r="H39" s="26"/>
      <c r="I39" s="26"/>
      <c r="J39" s="26"/>
      <c r="K39" s="26"/>
      <c r="L39" s="32"/>
      <c r="M39" s="26"/>
      <c r="N39" s="26"/>
      <c r="O39" s="26"/>
      <c r="Q39" s="26"/>
      <c r="R39" s="26"/>
      <c r="S39" s="32"/>
      <c r="T39" s="33"/>
      <c r="U39" s="88"/>
      <c r="V39" s="85"/>
    </row>
    <row r="40" spans="2:46" s="9" customFormat="1" ht="15" customHeight="1">
      <c r="C40" s="33"/>
      <c r="D40" s="26" t="s">
        <v>5</v>
      </c>
      <c r="E40" s="32"/>
      <c r="F40" s="74">
        <f t="shared" ref="F40:I41" si="28">F13</f>
        <v>40</v>
      </c>
      <c r="G40" s="74">
        <f t="shared" si="28"/>
        <v>21</v>
      </c>
      <c r="H40" s="74">
        <f t="shared" si="28"/>
        <v>0</v>
      </c>
      <c r="I40" s="74">
        <f t="shared" si="28"/>
        <v>51</v>
      </c>
      <c r="J40" s="64">
        <f t="shared" ref="J40:J41" si="29">IFERROR(F40/G40-1,"n/a")</f>
        <v>0.90476190476190466</v>
      </c>
      <c r="K40" s="64" t="str">
        <f>IFERROR(F40/H40-1,"n/a")</f>
        <v>n/a</v>
      </c>
      <c r="L40" s="60">
        <f t="shared" ref="L40:L41" si="30">IFERROR(F40/I40-1,"n/a")</f>
        <v>-0.21568627450980393</v>
      </c>
      <c r="M40" s="70">
        <f>+M13-'Mar-22'!M10</f>
        <v>76</v>
      </c>
      <c r="N40" s="70">
        <f>+N13-'Mar-22'!N10</f>
        <v>41</v>
      </c>
      <c r="O40" s="82">
        <f>+O13-'Mar-22'!O10</f>
        <v>0</v>
      </c>
      <c r="P40" s="70">
        <f>+P13-'Mar-22'!P10</f>
        <v>117</v>
      </c>
      <c r="Q40" s="64">
        <f>IFERROR(M40/N40-1,"n/a")</f>
        <v>0.85365853658536595</v>
      </c>
      <c r="R40" s="64" t="str">
        <f>IFERROR(M40/O40-1,"n/a")</f>
        <v>n/a</v>
      </c>
      <c r="S40" s="60">
        <f>IFERROR(M40/P40-1,"n/a")</f>
        <v>-0.3504273504273504</v>
      </c>
      <c r="T40" s="89">
        <v>308</v>
      </c>
      <c r="U40" s="70">
        <v>145</v>
      </c>
      <c r="V40" s="78">
        <v>331</v>
      </c>
    </row>
    <row r="41" spans="2:46" s="9" customFormat="1" ht="15" customHeight="1">
      <c r="C41" s="33"/>
      <c r="D41" s="26" t="s">
        <v>11</v>
      </c>
      <c r="E41" s="32"/>
      <c r="F41" s="74">
        <f t="shared" si="28"/>
        <v>64272</v>
      </c>
      <c r="G41" s="74">
        <f t="shared" si="28"/>
        <v>23175</v>
      </c>
      <c r="H41" s="74">
        <f t="shared" si="28"/>
        <v>0</v>
      </c>
      <c r="I41" s="74">
        <f t="shared" si="28"/>
        <v>89764</v>
      </c>
      <c r="J41" s="64">
        <f t="shared" si="29"/>
        <v>1.7733333333333334</v>
      </c>
      <c r="K41" s="64" t="str">
        <f t="shared" ref="K41" si="31">IFERROR(F41/H41-1,"n/a")</f>
        <v>n/a</v>
      </c>
      <c r="L41" s="60">
        <f t="shared" si="30"/>
        <v>-0.28398912704424939</v>
      </c>
      <c r="M41" s="82">
        <f>+M14-'Mar-22'!M11</f>
        <v>114636</v>
      </c>
      <c r="N41" s="82">
        <f>+N14-'Mar-22'!N11</f>
        <v>28096</v>
      </c>
      <c r="O41" s="82">
        <f>+O14-'Mar-22'!O11</f>
        <v>0</v>
      </c>
      <c r="P41" s="82">
        <f>+P14-'Mar-22'!P11</f>
        <v>227713</v>
      </c>
      <c r="Q41" s="64">
        <f>IFERROR(M41/N41-1,"n/a")</f>
        <v>3.0801537585421412</v>
      </c>
      <c r="R41" s="64" t="str">
        <f>IFERROR(M41/O41-1,"n/a")</f>
        <v>n/a</v>
      </c>
      <c r="S41" s="60">
        <f>IFERROR(M41/P41-1,"n/a")</f>
        <v>-0.49657683136228503</v>
      </c>
      <c r="T41" s="89">
        <v>237191</v>
      </c>
      <c r="U41" s="84">
        <v>258885</v>
      </c>
      <c r="V41" s="78">
        <v>606801</v>
      </c>
    </row>
    <row r="42" spans="2:46" s="9" customFormat="1" ht="15" customHeight="1">
      <c r="C42" s="31" t="s">
        <v>20</v>
      </c>
      <c r="D42" s="26"/>
      <c r="E42" s="32"/>
      <c r="F42" s="26"/>
      <c r="G42" s="26"/>
      <c r="H42" s="26"/>
      <c r="I42" s="26"/>
      <c r="J42" s="64"/>
      <c r="K42" s="64"/>
      <c r="L42" s="61"/>
      <c r="M42" s="87"/>
      <c r="N42" s="87"/>
      <c r="O42" s="87"/>
      <c r="P42" s="87"/>
      <c r="Q42" s="65"/>
      <c r="R42" s="65"/>
      <c r="S42" s="61"/>
      <c r="T42" s="90"/>
      <c r="U42" s="44"/>
      <c r="V42" s="79"/>
    </row>
    <row r="43" spans="2:46" s="9" customFormat="1" ht="15" customHeight="1">
      <c r="C43" s="33"/>
      <c r="D43" s="26" t="s">
        <v>5</v>
      </c>
      <c r="E43" s="32"/>
      <c r="F43" s="74">
        <f t="shared" ref="F43:I44" si="32">F16</f>
        <v>91</v>
      </c>
      <c r="G43" s="74">
        <f t="shared" si="32"/>
        <v>67</v>
      </c>
      <c r="H43" s="74">
        <f t="shared" si="32"/>
        <v>0</v>
      </c>
      <c r="I43" s="74">
        <f t="shared" si="32"/>
        <v>95</v>
      </c>
      <c r="J43" s="64">
        <f t="shared" ref="J43:J44" si="33">IFERROR(F43/G43-1,"n/a")</f>
        <v>0.35820895522388052</v>
      </c>
      <c r="K43" s="64" t="str">
        <f t="shared" ref="K43:K44" si="34">IFERROR(F43/H43-1,"n/a")</f>
        <v>n/a</v>
      </c>
      <c r="L43" s="60">
        <f t="shared" ref="L43:L44" si="35">IFERROR(F43/I43-1,"n/a")</f>
        <v>-4.2105263157894757E-2</v>
      </c>
      <c r="M43" s="70">
        <f>+M16-'Mar-22'!M13</f>
        <v>694</v>
      </c>
      <c r="N43" s="70">
        <f>+N16-'Mar-22'!N13</f>
        <v>258</v>
      </c>
      <c r="O43" s="82">
        <f>+O16-'Mar-22'!O13</f>
        <v>0</v>
      </c>
      <c r="P43" s="70">
        <f>+P16-'Mar-22'!P13</f>
        <v>718</v>
      </c>
      <c r="Q43" s="64">
        <f>IFERROR(M43/N43-1,"n/a")</f>
        <v>1.6899224806201549</v>
      </c>
      <c r="R43" s="64" t="str">
        <f>IFERROR(M43/O43-1,"n/a")</f>
        <v>n/a</v>
      </c>
      <c r="S43" s="60">
        <f t="shared" ref="S43:S44" si="36">IFERROR(M43/P43-1,"n/a")</f>
        <v>-3.3426183844011192E-2</v>
      </c>
      <c r="T43" s="89">
        <v>336</v>
      </c>
      <c r="U43" s="70">
        <v>43</v>
      </c>
      <c r="V43" s="78">
        <v>781</v>
      </c>
    </row>
    <row r="44" spans="2:46" s="9" customFormat="1" ht="15" customHeight="1">
      <c r="C44" s="33"/>
      <c r="D44" s="26" t="s">
        <v>11</v>
      </c>
      <c r="E44" s="32"/>
      <c r="F44" s="74">
        <f t="shared" si="32"/>
        <v>175248</v>
      </c>
      <c r="G44" s="74">
        <f t="shared" si="32"/>
        <v>83507</v>
      </c>
      <c r="H44" s="74">
        <f t="shared" si="32"/>
        <v>0</v>
      </c>
      <c r="I44" s="74">
        <f t="shared" si="32"/>
        <v>263747</v>
      </c>
      <c r="J44" s="64">
        <f t="shared" si="33"/>
        <v>1.0986025123642329</v>
      </c>
      <c r="K44" s="64" t="str">
        <f t="shared" si="34"/>
        <v>n/a</v>
      </c>
      <c r="L44" s="60">
        <f t="shared" si="35"/>
        <v>-0.33554504885363623</v>
      </c>
      <c r="M44" s="82">
        <f>+M17-'Mar-22'!M14</f>
        <v>1686780</v>
      </c>
      <c r="N44" s="82">
        <f>+N17-'Mar-22'!N14</f>
        <v>425895</v>
      </c>
      <c r="O44" s="82">
        <f>+O17-'Mar-22'!O14</f>
        <v>0</v>
      </c>
      <c r="P44" s="82">
        <f>+P17-'Mar-22'!P14</f>
        <v>2242099</v>
      </c>
      <c r="Q44" s="64">
        <f>IFERROR(M44/N44-1,"n/a")</f>
        <v>2.9605536575916598</v>
      </c>
      <c r="R44" s="64" t="str">
        <f>IFERROR(M44/O44-1,"n/a")</f>
        <v>n/a</v>
      </c>
      <c r="S44" s="60">
        <f t="shared" si="36"/>
        <v>-0.24767818013388343</v>
      </c>
      <c r="T44" s="89">
        <v>533563</v>
      </c>
      <c r="U44" s="84">
        <v>140552</v>
      </c>
      <c r="V44" s="78">
        <v>2441594</v>
      </c>
    </row>
    <row r="45" spans="2:46"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2:46" s="9" customFormat="1" ht="15" customHeight="1">
      <c r="C46" s="33"/>
      <c r="D46" s="26" t="s">
        <v>5</v>
      </c>
      <c r="E46" s="32"/>
      <c r="F46" s="74">
        <f t="shared" ref="F46:I47" si="37">F19</f>
        <v>32</v>
      </c>
      <c r="G46" s="74">
        <f t="shared" si="37"/>
        <v>9</v>
      </c>
      <c r="H46" s="74">
        <f t="shared" si="37"/>
        <v>0</v>
      </c>
      <c r="I46" s="74">
        <f t="shared" si="37"/>
        <v>10</v>
      </c>
      <c r="J46" s="64">
        <f t="shared" ref="J46:J47" si="38">IFERROR(F46/G46-1,"n/a")</f>
        <v>2.5555555555555554</v>
      </c>
      <c r="K46" s="64" t="str">
        <f t="shared" ref="K46:K47" si="39">IFERROR(F46/H46-1,"n/a")</f>
        <v>n/a</v>
      </c>
      <c r="L46" s="60">
        <f>IFERROR(F46/I46-1,"n/a")</f>
        <v>2.2000000000000002</v>
      </c>
      <c r="M46" s="70">
        <f>+M19-'Mar-22'!M16</f>
        <v>456</v>
      </c>
      <c r="N46" s="82">
        <f>+N19-'Mar-22'!N16</f>
        <v>20</v>
      </c>
      <c r="O46" s="82">
        <f>+O19-'Mar-22'!O16</f>
        <v>1</v>
      </c>
      <c r="P46" s="82">
        <f>+P19-'Mar-22'!P16</f>
        <v>176</v>
      </c>
      <c r="Q46" s="64">
        <f>IFERROR(M46/N46-1,"n/a")</f>
        <v>21.8</v>
      </c>
      <c r="R46" s="64">
        <f>IFERROR(M46/O46-1,"n/a")</f>
        <v>455</v>
      </c>
      <c r="S46" s="60">
        <f t="shared" ref="S46:S47" si="40">IFERROR(M46/P46-1,"n/a")</f>
        <v>1.5909090909090908</v>
      </c>
      <c r="T46" s="89">
        <v>33</v>
      </c>
      <c r="U46" s="70">
        <v>4</v>
      </c>
      <c r="V46" s="78">
        <v>188</v>
      </c>
    </row>
    <row r="47" spans="2:46" s="9" customFormat="1" ht="15" customHeight="1">
      <c r="C47" s="33"/>
      <c r="D47" s="26" t="s">
        <v>11</v>
      </c>
      <c r="E47" s="32"/>
      <c r="F47" s="74">
        <f t="shared" si="37"/>
        <v>31307</v>
      </c>
      <c r="G47" s="74">
        <f t="shared" si="37"/>
        <v>4212</v>
      </c>
      <c r="H47" s="74">
        <f t="shared" si="37"/>
        <v>0</v>
      </c>
      <c r="I47" s="74">
        <f t="shared" si="37"/>
        <v>13055</v>
      </c>
      <c r="J47" s="64">
        <f t="shared" si="38"/>
        <v>6.4328110161443499</v>
      </c>
      <c r="K47" s="64" t="str">
        <f t="shared" si="39"/>
        <v>n/a</v>
      </c>
      <c r="L47" s="60">
        <f t="shared" ref="L47" si="41">IFERROR(F47/I47-1,"n/a")</f>
        <v>1.3980850248946766</v>
      </c>
      <c r="M47" s="82">
        <f>+M20-'Mar-22'!M17</f>
        <v>554355</v>
      </c>
      <c r="N47" s="82">
        <f>+N20-'Mar-22'!N17</f>
        <v>7747</v>
      </c>
      <c r="O47" s="82">
        <f>+O20-'Mar-22'!O17</f>
        <v>111</v>
      </c>
      <c r="P47" s="82">
        <f>+P20-'Mar-22'!P17</f>
        <v>239458</v>
      </c>
      <c r="Q47" s="64">
        <f>IFERROR(M47/N47-1,"n/a")</f>
        <v>70.557377049180332</v>
      </c>
      <c r="R47" s="64">
        <f>IFERROR(M47/O47-1,"n/a")</f>
        <v>4993.1891891891892</v>
      </c>
      <c r="S47" s="60">
        <f t="shared" si="40"/>
        <v>1.3150406334304972</v>
      </c>
      <c r="T47" s="82">
        <v>10083</v>
      </c>
      <c r="U47" s="84">
        <v>1753</v>
      </c>
      <c r="V47" s="78">
        <f>176097+74816</f>
        <v>250913</v>
      </c>
    </row>
    <row r="48" spans="2:46"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1:46" s="9" customFormat="1" ht="15" customHeight="1">
      <c r="C49" s="33"/>
      <c r="D49" s="26" t="s">
        <v>5</v>
      </c>
      <c r="E49" s="34"/>
      <c r="F49" s="74">
        <f t="shared" ref="F49:I50" si="42">F22</f>
        <v>104</v>
      </c>
      <c r="G49" s="74">
        <f t="shared" si="42"/>
        <v>94</v>
      </c>
      <c r="H49" s="74">
        <f t="shared" si="42"/>
        <v>0</v>
      </c>
      <c r="I49" s="74">
        <f t="shared" si="42"/>
        <v>121</v>
      </c>
      <c r="J49" s="64">
        <f t="shared" ref="J49:J50" si="43">IFERROR(F49/G49-1,"n/a")</f>
        <v>0.1063829787234043</v>
      </c>
      <c r="K49" s="64" t="str">
        <f t="shared" ref="K49:K50" si="44">IFERROR(F49/H49-1,"n/a")</f>
        <v>n/a</v>
      </c>
      <c r="L49" s="60">
        <f t="shared" ref="L49:L50" si="45">IFERROR(F49/I49-1,"n/a")</f>
        <v>-0.14049586776859502</v>
      </c>
      <c r="M49" s="70">
        <f>+M22-'Mar-22'!M19</f>
        <v>689</v>
      </c>
      <c r="N49" s="70">
        <f>+N22-'Mar-22'!N19</f>
        <v>309</v>
      </c>
      <c r="O49" s="70">
        <f>+O22-'Mar-22'!O19</f>
        <v>42</v>
      </c>
      <c r="P49" s="70">
        <f>+P22-'Mar-22'!P19</f>
        <v>758</v>
      </c>
      <c r="Q49" s="64">
        <f>IFERROR(M49/N49-1,"n/a")</f>
        <v>1.2297734627831716</v>
      </c>
      <c r="R49" s="64">
        <f>IFERROR(M49/O49-1,"n/a")</f>
        <v>15.404761904761905</v>
      </c>
      <c r="S49" s="60">
        <f>IFERROR(M49/P49-1,"n/a")</f>
        <v>-9.1029023746701854E-2</v>
      </c>
      <c r="T49" s="89">
        <v>744</v>
      </c>
      <c r="U49" s="84">
        <v>406</v>
      </c>
      <c r="V49" s="78">
        <v>1253</v>
      </c>
    </row>
    <row r="50" spans="1:46" s="9" customFormat="1" ht="15" customHeight="1">
      <c r="C50" s="33"/>
      <c r="D50" s="26" t="s">
        <v>11</v>
      </c>
      <c r="E50" s="32"/>
      <c r="F50" s="74">
        <f t="shared" si="42"/>
        <v>345933</v>
      </c>
      <c r="G50" s="74">
        <f t="shared" si="42"/>
        <v>162789</v>
      </c>
      <c r="H50" s="74">
        <f t="shared" si="42"/>
        <v>0</v>
      </c>
      <c r="I50" s="74">
        <f t="shared" si="42"/>
        <v>331420</v>
      </c>
      <c r="J50" s="64">
        <f t="shared" si="43"/>
        <v>1.1250391611226802</v>
      </c>
      <c r="K50" s="64" t="str">
        <f t="shared" si="44"/>
        <v>n/a</v>
      </c>
      <c r="L50" s="60">
        <f t="shared" si="45"/>
        <v>4.3790356647154693E-2</v>
      </c>
      <c r="M50" s="82">
        <f>+M23-'Mar-22'!M20</f>
        <v>2199800</v>
      </c>
      <c r="N50" s="82">
        <f>+N23-'Mar-22'!N20</f>
        <v>486999</v>
      </c>
      <c r="O50" s="82">
        <f>+O23-'Mar-22'!O20</f>
        <v>0</v>
      </c>
      <c r="P50" s="82">
        <f>+P23-'Mar-22'!P20</f>
        <v>2407051</v>
      </c>
      <c r="Q50" s="64">
        <f>IFERROR(M50/N50-1,"n/a")</f>
        <v>3.5170523964114917</v>
      </c>
      <c r="R50" s="64" t="str">
        <f>IFERROR(M50/O50-1,"n/a")</f>
        <v>n/a</v>
      </c>
      <c r="S50" s="60">
        <f t="shared" ref="S50" si="46">IFERROR(M50/P50-1,"n/a")</f>
        <v>-8.6101623937340777E-2</v>
      </c>
      <c r="T50" s="82">
        <v>1290779</v>
      </c>
      <c r="U50" s="84">
        <v>833999</v>
      </c>
      <c r="V50" s="78">
        <v>3627458</v>
      </c>
    </row>
    <row r="51" spans="1:46"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1:46" s="9" customFormat="1" ht="15" customHeight="1">
      <c r="C52" s="33"/>
      <c r="D52" s="26" t="s">
        <v>5</v>
      </c>
      <c r="E52" s="32"/>
      <c r="F52" s="74">
        <f t="shared" ref="F52:I53" si="47">F25</f>
        <v>11</v>
      </c>
      <c r="G52" s="74">
        <f t="shared" si="47"/>
        <v>13</v>
      </c>
      <c r="H52" s="74">
        <f t="shared" si="47"/>
        <v>5</v>
      </c>
      <c r="I52" s="74">
        <f t="shared" si="47"/>
        <v>20</v>
      </c>
      <c r="J52" s="64">
        <f t="shared" ref="J52:J53" si="48">IFERROR(F52/G52-1,"n/a")</f>
        <v>-0.15384615384615385</v>
      </c>
      <c r="K52" s="64">
        <f t="shared" ref="K52:K53" si="49">IFERROR(F52/H52-1,"n/a")</f>
        <v>1.2000000000000002</v>
      </c>
      <c r="L52" s="60">
        <f t="shared" ref="L52:L53" si="50">IFERROR(F52/I52-1,"n/a")</f>
        <v>-0.44999999999999996</v>
      </c>
      <c r="M52" s="70">
        <f>+M25-'Mar-22'!M22</f>
        <v>255</v>
      </c>
      <c r="N52" s="70">
        <f>+N25-'Mar-22'!N22</f>
        <v>91</v>
      </c>
      <c r="O52" s="82">
        <f>+O25-'Mar-22'!O22</f>
        <v>20</v>
      </c>
      <c r="P52" s="70">
        <f>+P25-'Mar-22'!P22</f>
        <v>308</v>
      </c>
      <c r="Q52" s="64">
        <f>IFERROR(M52/N52-1,"n/a")</f>
        <v>1.802197802197802</v>
      </c>
      <c r="R52" s="64">
        <f>IFERROR(M52/O52-1,"n/a")</f>
        <v>11.75</v>
      </c>
      <c r="S52" s="60">
        <f t="shared" ref="S52:S53" si="51">IFERROR(M52/P52-1,"n/a")</f>
        <v>-0.17207792207792205</v>
      </c>
      <c r="T52" s="89">
        <v>121</v>
      </c>
      <c r="U52" s="70">
        <v>41</v>
      </c>
      <c r="V52" s="78">
        <v>361</v>
      </c>
    </row>
    <row r="53" spans="1:46" s="9" customFormat="1" ht="15" customHeight="1">
      <c r="C53" s="33"/>
      <c r="D53" s="26" t="s">
        <v>11</v>
      </c>
      <c r="E53" s="32"/>
      <c r="F53" s="74">
        <f t="shared" si="47"/>
        <v>26816</v>
      </c>
      <c r="G53" s="74">
        <f t="shared" si="47"/>
        <v>16166</v>
      </c>
      <c r="H53" s="74">
        <f t="shared" si="47"/>
        <v>2473</v>
      </c>
      <c r="I53" s="74">
        <f t="shared" si="47"/>
        <v>30720</v>
      </c>
      <c r="J53" s="64">
        <f t="shared" si="48"/>
        <v>0.65879005319806994</v>
      </c>
      <c r="K53" s="64">
        <f t="shared" si="49"/>
        <v>9.8435099069955516</v>
      </c>
      <c r="L53" s="60">
        <f t="shared" si="50"/>
        <v>-0.12708333333333333</v>
      </c>
      <c r="M53" s="82">
        <f>+M26-'Mar-22'!M23</f>
        <v>483632</v>
      </c>
      <c r="N53" s="82">
        <f>+N26-'Mar-22'!N23</f>
        <v>125420</v>
      </c>
      <c r="O53" s="82">
        <f>+O26-'Mar-22'!O23</f>
        <v>17914</v>
      </c>
      <c r="P53" s="82">
        <f>+P26-'Mar-22'!P23</f>
        <v>773129</v>
      </c>
      <c r="Q53" s="64">
        <f>IFERROR(M53/N53-1,"n/a")</f>
        <v>2.8560995056609793</v>
      </c>
      <c r="R53" s="64">
        <f>IFERROR(M53/O53-1,"n/a")</f>
        <v>25.997432175951769</v>
      </c>
      <c r="S53" s="60">
        <f t="shared" si="51"/>
        <v>-0.37444850729955803</v>
      </c>
      <c r="T53" s="82">
        <v>165689</v>
      </c>
      <c r="U53" s="84">
        <v>67144</v>
      </c>
      <c r="V53" s="78">
        <v>865961</v>
      </c>
    </row>
    <row r="54" spans="1:46" s="9" customFormat="1" ht="15" customHeight="1">
      <c r="A54"/>
      <c r="B54"/>
      <c r="C54" s="31" t="s">
        <v>17</v>
      </c>
      <c r="D54" s="26"/>
      <c r="E54" s="32"/>
      <c r="F54" s="72"/>
      <c r="G54" s="72"/>
      <c r="H54" s="72"/>
      <c r="I54" s="72"/>
      <c r="J54" s="64"/>
      <c r="K54" s="64"/>
      <c r="L54" s="60"/>
      <c r="M54" s="87"/>
      <c r="N54" s="87"/>
      <c r="O54" s="87"/>
      <c r="P54" s="87"/>
      <c r="Q54" s="64"/>
      <c r="R54" s="64"/>
      <c r="S54" s="60"/>
      <c r="T54" s="90"/>
      <c r="U54" s="44"/>
      <c r="V54" s="79"/>
      <c r="AM54"/>
      <c r="AN54"/>
      <c r="AO54"/>
      <c r="AP54"/>
      <c r="AQ54"/>
      <c r="AR54"/>
      <c r="AS54"/>
      <c r="AT54"/>
    </row>
    <row r="55" spans="1:46" s="9" customFormat="1" ht="15.45" customHeight="1">
      <c r="A55"/>
      <c r="B55"/>
      <c r="C55" s="33"/>
      <c r="D55" s="26" t="s">
        <v>5</v>
      </c>
      <c r="E55" s="32"/>
      <c r="F55" s="74">
        <f t="shared" ref="F55:I56" si="52">F28</f>
        <v>62</v>
      </c>
      <c r="G55" s="74">
        <f t="shared" si="52"/>
        <v>20</v>
      </c>
      <c r="H55" s="74">
        <f t="shared" si="52"/>
        <v>8</v>
      </c>
      <c r="I55" s="74">
        <f t="shared" si="52"/>
        <v>17</v>
      </c>
      <c r="J55" s="64">
        <f t="shared" ref="J55:J58" si="53">IFERROR(F55/G55-1,"n/a")</f>
        <v>2.1</v>
      </c>
      <c r="K55" s="64">
        <f t="shared" ref="K55:K58" si="54">IFERROR(F55/H55-1,"n/a")</f>
        <v>6.75</v>
      </c>
      <c r="L55" s="60">
        <f t="shared" ref="L55:L58" si="55">IFERROR(F55/I55-1,"n/a")</f>
        <v>2.6470588235294117</v>
      </c>
      <c r="M55" s="70">
        <f>+M28-'Mar-22'!M25</f>
        <v>552</v>
      </c>
      <c r="N55" s="70">
        <f>+N28-'Mar-22'!N25</f>
        <v>124</v>
      </c>
      <c r="O55" s="70">
        <f>+O28-'Mar-22'!O25</f>
        <v>31</v>
      </c>
      <c r="P55" s="70">
        <f>+P28-'Mar-22'!P25</f>
        <v>341</v>
      </c>
      <c r="Q55" s="64">
        <f>IFERROR(M55/N55-1,"n/a")</f>
        <v>3.4516129032258061</v>
      </c>
      <c r="R55" s="64">
        <f>IFERROR(M55/O55-1,"n/a")</f>
        <v>16.806451612903224</v>
      </c>
      <c r="S55" s="60">
        <f t="shared" ref="S55:S58" si="56">IFERROR(M55/P55-1,"n/a")</f>
        <v>0.6187683284457477</v>
      </c>
      <c r="T55" s="89">
        <v>140</v>
      </c>
      <c r="U55" s="70">
        <v>40</v>
      </c>
      <c r="V55" s="78">
        <v>360</v>
      </c>
      <c r="AM55"/>
      <c r="AN55"/>
      <c r="AO55"/>
      <c r="AP55"/>
      <c r="AQ55"/>
      <c r="AR55"/>
      <c r="AS55"/>
      <c r="AT55"/>
    </row>
    <row r="56" spans="1:46" s="9" customFormat="1" ht="15.45" customHeight="1">
      <c r="A56"/>
      <c r="B56"/>
      <c r="C56" s="33"/>
      <c r="D56" s="26" t="s">
        <v>11</v>
      </c>
      <c r="E56" s="32"/>
      <c r="F56" s="74">
        <f t="shared" si="52"/>
        <v>136071</v>
      </c>
      <c r="G56" s="74">
        <f t="shared" si="52"/>
        <v>14810</v>
      </c>
      <c r="H56" s="74">
        <f t="shared" si="52"/>
        <v>2381</v>
      </c>
      <c r="I56" s="74">
        <f t="shared" si="52"/>
        <v>16811</v>
      </c>
      <c r="J56" s="64">
        <f t="shared" si="53"/>
        <v>8.1877785280216067</v>
      </c>
      <c r="K56" s="64">
        <f t="shared" si="54"/>
        <v>56.148677026459474</v>
      </c>
      <c r="L56" s="60">
        <f t="shared" si="55"/>
        <v>7.0941645351258114</v>
      </c>
      <c r="M56" s="82">
        <f>+M29-'Mar-22'!M26</f>
        <v>956829</v>
      </c>
      <c r="N56" s="82">
        <f>+N29-'Mar-22'!N26</f>
        <v>162944</v>
      </c>
      <c r="O56" s="82">
        <f>+O29-'Mar-22'!O26</f>
        <v>17801</v>
      </c>
      <c r="P56" s="82">
        <f>+P29-'Mar-22'!P26</f>
        <v>850389</v>
      </c>
      <c r="Q56" s="64">
        <f>IFERROR(M56/N56-1,"n/a")</f>
        <v>4.8721339846818541</v>
      </c>
      <c r="R56" s="64">
        <f>IFERROR(M56/O56-1,"n/a")</f>
        <v>52.751418459637101</v>
      </c>
      <c r="S56" s="60">
        <f t="shared" si="56"/>
        <v>0.12516624744675675</v>
      </c>
      <c r="T56" s="82">
        <v>174336</v>
      </c>
      <c r="U56" s="84">
        <v>21928</v>
      </c>
      <c r="V56" s="78">
        <f>706948+155011</f>
        <v>861959</v>
      </c>
      <c r="AM56"/>
      <c r="AN56"/>
      <c r="AO56"/>
      <c r="AP56"/>
      <c r="AQ56"/>
      <c r="AR56"/>
      <c r="AS56"/>
      <c r="AT56"/>
    </row>
    <row r="57" spans="1:46" s="9" customFormat="1" ht="26.7" customHeight="1" thickBot="1">
      <c r="A57"/>
      <c r="B57"/>
      <c r="C57" s="35" t="s">
        <v>12</v>
      </c>
      <c r="D57" s="36"/>
      <c r="E57" s="37"/>
      <c r="F57" s="75">
        <f t="shared" ref="F57:I58" si="57">F40+F43+F46+F49+F52+F55</f>
        <v>340</v>
      </c>
      <c r="G57" s="75">
        <f t="shared" si="57"/>
        <v>224</v>
      </c>
      <c r="H57" s="75">
        <f t="shared" si="57"/>
        <v>13</v>
      </c>
      <c r="I57" s="75">
        <f t="shared" si="57"/>
        <v>314</v>
      </c>
      <c r="J57" s="66">
        <f t="shared" si="53"/>
        <v>0.51785714285714279</v>
      </c>
      <c r="K57" s="66">
        <f t="shared" si="54"/>
        <v>25.153846153846153</v>
      </c>
      <c r="L57" s="62">
        <f t="shared" si="55"/>
        <v>8.2802547770700619E-2</v>
      </c>
      <c r="M57" s="46">
        <f t="shared" ref="M57:P58" si="58">M40+M43+M46+M49+M52+M55</f>
        <v>2722</v>
      </c>
      <c r="N57" s="46">
        <f t="shared" si="58"/>
        <v>843</v>
      </c>
      <c r="O57" s="46">
        <f t="shared" si="58"/>
        <v>94</v>
      </c>
      <c r="P57" s="46">
        <f t="shared" si="58"/>
        <v>2418</v>
      </c>
      <c r="Q57" s="66">
        <f>IFERROR(M57/N57-1,"n/a")</f>
        <v>2.2289442467378411</v>
      </c>
      <c r="R57" s="66">
        <f>IFERROR(M57/O57-1,"n/a")</f>
        <v>27.957446808510639</v>
      </c>
      <c r="S57" s="62">
        <f t="shared" si="56"/>
        <v>0.12572373862696451</v>
      </c>
      <c r="T57" s="46">
        <f t="shared" ref="T57:V58" si="59">T40+T43+T46+T49+T52+T55</f>
        <v>1682</v>
      </c>
      <c r="U57" s="46">
        <f t="shared" si="59"/>
        <v>679</v>
      </c>
      <c r="V57" s="80">
        <f t="shared" si="59"/>
        <v>3274</v>
      </c>
      <c r="AM57"/>
      <c r="AN57"/>
      <c r="AO57"/>
      <c r="AP57"/>
      <c r="AQ57"/>
      <c r="AR57"/>
      <c r="AS57"/>
      <c r="AT57"/>
    </row>
    <row r="58" spans="1:46" s="9" customFormat="1" ht="26.7" customHeight="1" thickTop="1" thickBot="1">
      <c r="A58"/>
      <c r="B58"/>
      <c r="C58" s="38" t="s">
        <v>13</v>
      </c>
      <c r="D58" s="39"/>
      <c r="E58" s="40"/>
      <c r="F58" s="76">
        <f t="shared" si="57"/>
        <v>779647</v>
      </c>
      <c r="G58" s="76">
        <f t="shared" si="57"/>
        <v>304659</v>
      </c>
      <c r="H58" s="76">
        <f t="shared" si="57"/>
        <v>4854</v>
      </c>
      <c r="I58" s="76">
        <f t="shared" si="57"/>
        <v>745517</v>
      </c>
      <c r="J58" s="67">
        <f t="shared" si="53"/>
        <v>1.5590808083792043</v>
      </c>
      <c r="K58" s="67">
        <f t="shared" si="54"/>
        <v>159.61948908117017</v>
      </c>
      <c r="L58" s="63">
        <f t="shared" si="55"/>
        <v>4.5780310844689032E-2</v>
      </c>
      <c r="M58" s="47">
        <f t="shared" si="58"/>
        <v>5996032</v>
      </c>
      <c r="N58" s="47">
        <f t="shared" si="58"/>
        <v>1237101</v>
      </c>
      <c r="O58" s="47">
        <f t="shared" si="58"/>
        <v>35826</v>
      </c>
      <c r="P58" s="47">
        <f t="shared" si="58"/>
        <v>6739839</v>
      </c>
      <c r="Q58" s="67">
        <f>IFERROR(M58/N58-1,"n/a")</f>
        <v>3.846841122915591</v>
      </c>
      <c r="R58" s="67">
        <f>IFERROR(M58/O58-1,"n/a")</f>
        <v>166.36537710042987</v>
      </c>
      <c r="S58" s="63">
        <f t="shared" si="56"/>
        <v>-0.11035975785178254</v>
      </c>
      <c r="T58" s="47">
        <f t="shared" si="59"/>
        <v>2411641</v>
      </c>
      <c r="U58" s="47">
        <f t="shared" si="59"/>
        <v>1324261</v>
      </c>
      <c r="V58" s="81">
        <f t="shared" si="59"/>
        <v>8654686</v>
      </c>
      <c r="AM58"/>
      <c r="AN58"/>
      <c r="AO58"/>
      <c r="AP58"/>
      <c r="AQ58"/>
      <c r="AR58"/>
      <c r="AS58"/>
      <c r="AT58"/>
    </row>
    <row r="59" spans="1:46" s="9" customFormat="1" ht="12" customHeight="1" thickTop="1">
      <c r="A59"/>
      <c r="B59"/>
      <c r="C59"/>
      <c r="D59"/>
      <c r="E59"/>
      <c r="F59"/>
      <c r="G59"/>
      <c r="H59"/>
      <c r="I59"/>
      <c r="J59"/>
      <c r="K59"/>
      <c r="L59"/>
      <c r="M59"/>
      <c r="N59"/>
      <c r="O59"/>
      <c r="P59"/>
      <c r="Q59"/>
      <c r="R59"/>
      <c r="S59"/>
      <c r="T59"/>
      <c r="U59"/>
      <c r="V59"/>
      <c r="AM59"/>
      <c r="AN59"/>
      <c r="AO59"/>
      <c r="AP59"/>
      <c r="AQ59"/>
      <c r="AR59"/>
      <c r="AS59"/>
      <c r="AT59"/>
    </row>
    <row r="60" spans="1:46" ht="26.7" customHeight="1"/>
    <row r="61" spans="1:46" ht="26.7" customHeight="1"/>
    <row r="62" spans="1:46" ht="26.7" customHeight="1"/>
    <row r="63" spans="1:46" ht="26.7" customHeight="1"/>
    <row r="64" spans="1:46" ht="26.7" customHeight="1"/>
    <row r="65" ht="26.7" customHeight="1"/>
    <row r="66" ht="26.7" customHeight="1"/>
    <row r="67" ht="26.7" customHeight="1"/>
    <row r="68" ht="26.7" customHeight="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T65"/>
  <sheetViews>
    <sheetView showGridLines="0" topLeftCell="A11" zoomScale="110" zoomScaleNormal="110" zoomScalePageLayoutView="40" workbookViewId="0"/>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9" customWidth="1"/>
    <col min="24" max="38" width="0" style="9" hidden="1" customWidth="1"/>
    <col min="39" max="46" width="0" hidden="1" customWidth="1"/>
    <col min="47"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v>44880</v>
      </c>
    </row>
    <row r="4" spans="1:38" ht="16.2">
      <c r="A4" s="9"/>
      <c r="B4" s="11" t="s">
        <v>7</v>
      </c>
      <c r="C4" s="26"/>
      <c r="D4" s="24"/>
      <c r="E4" s="58" t="s">
        <v>89</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ht="14.4">
      <c r="A6" s="9"/>
      <c r="B6" s="10"/>
      <c r="C6" s="24"/>
      <c r="D6" s="24"/>
      <c r="E6" s="24"/>
      <c r="F6" s="24"/>
      <c r="G6" s="24"/>
      <c r="H6" s="24"/>
      <c r="I6" s="24"/>
      <c r="J6" s="24"/>
      <c r="K6" s="24"/>
      <c r="L6" s="24"/>
      <c r="M6" s="24"/>
      <c r="N6" s="24"/>
      <c r="O6" s="24"/>
      <c r="P6" s="24"/>
      <c r="Q6" s="24"/>
      <c r="R6" s="24"/>
      <c r="S6" s="24"/>
      <c r="T6" s="24"/>
      <c r="U6" s="24"/>
      <c r="V6" s="24"/>
    </row>
    <row r="7" spans="1:38" ht="14.4">
      <c r="A7" s="9"/>
      <c r="B7" s="10"/>
      <c r="C7" s="86" t="s">
        <v>62</v>
      </c>
      <c r="D7" s="24"/>
      <c r="E7" s="24"/>
      <c r="F7" s="24"/>
      <c r="G7" s="24"/>
      <c r="H7" s="24"/>
      <c r="I7" s="24"/>
      <c r="J7" s="24"/>
      <c r="K7" s="24"/>
      <c r="L7" s="24"/>
      <c r="M7" s="24"/>
      <c r="N7" s="24"/>
      <c r="O7" s="24"/>
      <c r="P7" s="24"/>
      <c r="Q7" s="24"/>
      <c r="R7" s="24"/>
      <c r="S7" s="24"/>
      <c r="T7" s="24"/>
      <c r="U7" s="24"/>
      <c r="V7" s="24"/>
    </row>
    <row r="8" spans="1:38" ht="14.4">
      <c r="A8" s="9"/>
      <c r="B8" s="10"/>
      <c r="C8" s="24"/>
      <c r="D8" s="24"/>
      <c r="E8" s="24"/>
      <c r="F8" s="24"/>
      <c r="G8" s="24"/>
      <c r="H8" s="24"/>
      <c r="I8" s="24"/>
      <c r="J8" s="24"/>
      <c r="K8" s="24"/>
      <c r="L8" s="24"/>
      <c r="M8" s="24"/>
      <c r="N8" s="24"/>
      <c r="O8" s="24"/>
      <c r="P8" s="24"/>
      <c r="Q8" s="24"/>
      <c r="R8" s="24"/>
      <c r="S8" s="24"/>
      <c r="T8" s="24"/>
      <c r="U8" s="24"/>
      <c r="V8" s="24"/>
    </row>
    <row r="9" spans="1:38" s="20" customFormat="1" ht="14.4">
      <c r="A9" s="9"/>
      <c r="B9"/>
      <c r="C9" s="27" t="s">
        <v>7</v>
      </c>
      <c r="D9" s="28"/>
      <c r="E9" s="28"/>
      <c r="F9" s="128" t="s">
        <v>24</v>
      </c>
      <c r="G9" s="128"/>
      <c r="H9" s="128"/>
      <c r="I9" s="128"/>
      <c r="J9" s="128"/>
      <c r="K9" s="128"/>
      <c r="L9" s="129"/>
      <c r="M9" s="130" t="s">
        <v>90</v>
      </c>
      <c r="N9" s="128"/>
      <c r="O9" s="128"/>
      <c r="P9" s="128"/>
      <c r="Q9" s="128"/>
      <c r="R9" s="128"/>
      <c r="S9" s="129"/>
      <c r="T9" s="130" t="s">
        <v>57</v>
      </c>
      <c r="U9" s="128"/>
      <c r="V9" s="131"/>
      <c r="W9" s="9"/>
      <c r="X9" s="19"/>
      <c r="Y9" s="19"/>
      <c r="Z9" s="19"/>
      <c r="AA9" s="19"/>
      <c r="AB9" s="19"/>
      <c r="AC9" s="19"/>
      <c r="AD9" s="19"/>
      <c r="AE9" s="19"/>
      <c r="AF9" s="19"/>
      <c r="AG9" s="19"/>
      <c r="AH9" s="19"/>
      <c r="AI9" s="19"/>
      <c r="AJ9" s="19"/>
      <c r="AK9" s="19"/>
      <c r="AL9" s="19"/>
    </row>
    <row r="10" spans="1:38" ht="14.4">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4.4">
      <c r="A12" s="9"/>
      <c r="B12" s="12"/>
      <c r="C12" s="31" t="s">
        <v>14</v>
      </c>
      <c r="D12" s="26"/>
      <c r="E12" s="32"/>
      <c r="F12" s="26"/>
      <c r="G12" s="26"/>
      <c r="H12" s="26"/>
      <c r="I12" s="26"/>
      <c r="J12" s="26"/>
      <c r="K12" s="26"/>
      <c r="L12" s="32"/>
      <c r="M12" s="26"/>
      <c r="N12" s="26"/>
      <c r="O12" s="26"/>
      <c r="P12" s="26"/>
      <c r="Q12" s="26"/>
      <c r="R12" s="26"/>
      <c r="S12" s="32"/>
      <c r="T12" s="26"/>
      <c r="U12" s="26"/>
      <c r="V12" s="32"/>
    </row>
    <row r="13" spans="1:38" ht="14.4">
      <c r="A13" s="9"/>
      <c r="B13" s="12"/>
      <c r="C13" s="33"/>
      <c r="D13" s="26" t="s">
        <v>5</v>
      </c>
      <c r="E13" s="32"/>
      <c r="F13" s="74">
        <v>4</v>
      </c>
      <c r="G13" s="71">
        <v>4</v>
      </c>
      <c r="H13" s="71">
        <v>0</v>
      </c>
      <c r="I13" s="71">
        <v>13</v>
      </c>
      <c r="J13" s="64">
        <f t="shared" ref="J13:J31" si="0">IFERROR(F13/G13-1,"n/a")</f>
        <v>0</v>
      </c>
      <c r="K13" s="64" t="str">
        <f>IFERROR(F13/H13-1,"n/a")</f>
        <v>n/a</v>
      </c>
      <c r="L13" s="60">
        <f t="shared" ref="L13:L14" si="1">IFERROR(F13/I13-1,"n/a")</f>
        <v>-0.69230769230769229</v>
      </c>
      <c r="M13" s="68">
        <f>F13+'Sep-22'!M13</f>
        <v>233</v>
      </c>
      <c r="N13" s="68">
        <f>G13+'Sep-22'!N13</f>
        <v>20</v>
      </c>
      <c r="O13" s="68">
        <f>H13+'Sep-22'!O13</f>
        <v>145</v>
      </c>
      <c r="P13" s="68">
        <f>I13+'Sep-22'!P13</f>
        <v>266</v>
      </c>
      <c r="Q13" s="64">
        <f>IFERROR(M13/N13-1,"n/a")</f>
        <v>10.65</v>
      </c>
      <c r="R13" s="64">
        <f>IFERROR(M13/O13-1,"n/a")</f>
        <v>0.60689655172413803</v>
      </c>
      <c r="S13" s="60">
        <f>IFERROR(M13/P13-1,"n/a")</f>
        <v>-0.12406015037593987</v>
      </c>
      <c r="T13" s="68">
        <v>111</v>
      </c>
      <c r="U13" s="70">
        <v>145</v>
      </c>
      <c r="V13" s="78">
        <v>386</v>
      </c>
    </row>
    <row r="14" spans="1:38" ht="14.4">
      <c r="A14" s="9"/>
      <c r="B14" s="12"/>
      <c r="C14" s="33"/>
      <c r="D14" s="26" t="s">
        <v>11</v>
      </c>
      <c r="E14" s="32"/>
      <c r="F14" s="74">
        <v>7610</v>
      </c>
      <c r="G14" s="71">
        <v>720</v>
      </c>
      <c r="H14" s="71">
        <v>0</v>
      </c>
      <c r="I14" s="71">
        <v>31050</v>
      </c>
      <c r="J14" s="64">
        <f t="shared" si="0"/>
        <v>9.5694444444444446</v>
      </c>
      <c r="K14" s="64" t="str">
        <f t="shared" ref="K14" si="2">IFERROR(F14/H14-1,"n/a")</f>
        <v>n/a</v>
      </c>
      <c r="L14" s="60">
        <f t="shared" si="1"/>
        <v>-0.7549114331723028</v>
      </c>
      <c r="M14" s="68">
        <f>F14+'Sep-22'!M14</f>
        <v>206692</v>
      </c>
      <c r="N14" s="68">
        <f>G14+'Sep-22'!N14</f>
        <v>4921</v>
      </c>
      <c r="O14" s="68">
        <f>H14+'Sep-22'!O14</f>
        <v>258885</v>
      </c>
      <c r="P14" s="68">
        <f>I14+'Sep-22'!P14</f>
        <v>523329</v>
      </c>
      <c r="Q14" s="64">
        <f>IFERROR(M14/N14-1,"n/a")</f>
        <v>41.002032107295264</v>
      </c>
      <c r="R14" s="64">
        <f>IFERROR(M14/O14-1,"n/a")</f>
        <v>-0.20160689109063867</v>
      </c>
      <c r="S14" s="60">
        <f>IFERROR(M14/P14-1,"n/a")</f>
        <v>-0.60504386342052507</v>
      </c>
      <c r="T14" s="68">
        <v>80863</v>
      </c>
      <c r="U14" s="70">
        <v>258885</v>
      </c>
      <c r="V14" s="78">
        <v>733296</v>
      </c>
    </row>
    <row r="15" spans="1:38" ht="14.4">
      <c r="A15" s="9"/>
      <c r="B15" s="12"/>
      <c r="C15" s="31" t="s">
        <v>74</v>
      </c>
      <c r="D15" s="26"/>
      <c r="E15" s="32"/>
      <c r="F15" s="26"/>
      <c r="G15" s="26"/>
      <c r="H15" s="26"/>
      <c r="I15" s="26"/>
      <c r="J15" s="64"/>
      <c r="K15" s="64"/>
      <c r="L15" s="61"/>
      <c r="M15" s="87"/>
      <c r="N15" s="87"/>
      <c r="O15" s="87"/>
      <c r="P15" s="87"/>
      <c r="Q15" s="64"/>
      <c r="R15" s="65"/>
      <c r="S15" s="61"/>
      <c r="T15" s="43"/>
      <c r="U15" s="44"/>
      <c r="V15" s="79"/>
    </row>
    <row r="16" spans="1:38" ht="14.4">
      <c r="A16" s="9"/>
      <c r="B16" s="12"/>
      <c r="C16" s="33"/>
      <c r="D16" s="26" t="s">
        <v>5</v>
      </c>
      <c r="E16" s="32"/>
      <c r="F16" s="74">
        <v>129</v>
      </c>
      <c r="G16" s="71">
        <v>107</v>
      </c>
      <c r="H16" s="71">
        <v>0</v>
      </c>
      <c r="I16" s="71">
        <v>127</v>
      </c>
      <c r="J16" s="64">
        <f t="shared" si="0"/>
        <v>0.20560747663551404</v>
      </c>
      <c r="K16" s="64" t="str">
        <f t="shared" ref="K16:K17" si="3">IFERROR(F16/H16-1,"n/a")</f>
        <v>n/a</v>
      </c>
      <c r="L16" s="60">
        <f t="shared" ref="L16:L17" si="4">IFERROR(F16/I16-1,"n/a")</f>
        <v>1.5748031496062964E-2</v>
      </c>
      <c r="M16" s="68">
        <f>F16+'Sep-22'!M16</f>
        <v>656</v>
      </c>
      <c r="N16" s="68">
        <f>G16+'Sep-22'!N16</f>
        <v>191</v>
      </c>
      <c r="O16" s="68">
        <f>H16+'Sep-22'!O16</f>
        <v>43</v>
      </c>
      <c r="P16" s="68">
        <f>I16+'Sep-22'!P16</f>
        <v>712</v>
      </c>
      <c r="Q16" s="64">
        <f t="shared" ref="Q16:Q17" si="5">IFERROR(M16/N16-1,"n/a")</f>
        <v>2.4345549738219896</v>
      </c>
      <c r="R16" s="64">
        <f t="shared" ref="R16:R17" si="6">IFERROR(M16/O16-1,"n/a")</f>
        <v>14.255813953488373</v>
      </c>
      <c r="S16" s="60">
        <f t="shared" ref="S16:S17" si="7">IFERROR(M16/P16-1,"n/a")</f>
        <v>-7.8651685393258397E-2</v>
      </c>
      <c r="T16" s="68">
        <v>283</v>
      </c>
      <c r="U16" s="70">
        <v>43</v>
      </c>
      <c r="V16" s="78">
        <v>827</v>
      </c>
    </row>
    <row r="17" spans="1:38" ht="14.4">
      <c r="A17" s="9"/>
      <c r="B17" s="12"/>
      <c r="C17" s="33"/>
      <c r="D17" s="26" t="s">
        <v>11</v>
      </c>
      <c r="E17" s="32"/>
      <c r="F17" s="74">
        <v>298256</v>
      </c>
      <c r="G17" s="71">
        <v>174505</v>
      </c>
      <c r="H17" s="71">
        <v>0</v>
      </c>
      <c r="I17" s="71">
        <v>332808</v>
      </c>
      <c r="J17" s="64">
        <f t="shared" si="0"/>
        <v>0.7091544654880948</v>
      </c>
      <c r="K17" s="64" t="str">
        <f t="shared" si="3"/>
        <v>n/a</v>
      </c>
      <c r="L17" s="60">
        <f t="shared" si="4"/>
        <v>-0.10381961972067977</v>
      </c>
      <c r="M17" s="68">
        <f>F17+'Sep-22'!M17</f>
        <v>1579986</v>
      </c>
      <c r="N17" s="68">
        <f>G17+'Sep-22'!N17</f>
        <v>342388</v>
      </c>
      <c r="O17" s="68">
        <f>H17+'Sep-22'!O17</f>
        <v>140552</v>
      </c>
      <c r="P17" s="68">
        <f>I17+'Sep-22'!P17</f>
        <v>2230252</v>
      </c>
      <c r="Q17" s="64">
        <f t="shared" si="5"/>
        <v>3.6146068203324884</v>
      </c>
      <c r="R17" s="64">
        <f t="shared" si="6"/>
        <v>10.241291479310149</v>
      </c>
      <c r="S17" s="60">
        <f t="shared" si="7"/>
        <v>-0.2915661548560432</v>
      </c>
      <c r="T17" s="68">
        <v>465109</v>
      </c>
      <c r="U17" s="70">
        <v>140552</v>
      </c>
      <c r="V17" s="78">
        <v>2552942</v>
      </c>
    </row>
    <row r="18" spans="1:38" ht="14.4">
      <c r="A18" s="9"/>
      <c r="B18" s="12"/>
      <c r="C18" s="31" t="s">
        <v>15</v>
      </c>
      <c r="D18" s="26"/>
      <c r="E18" s="32"/>
      <c r="F18" s="72"/>
      <c r="G18" s="72"/>
      <c r="H18" s="72"/>
      <c r="I18" s="72"/>
      <c r="J18" s="64"/>
      <c r="K18" s="64"/>
      <c r="L18" s="60"/>
      <c r="M18" s="87"/>
      <c r="N18" s="87"/>
      <c r="O18" s="87"/>
      <c r="P18" s="87"/>
      <c r="Q18" s="64"/>
      <c r="R18" s="64"/>
      <c r="S18" s="60"/>
      <c r="T18" s="43"/>
      <c r="U18" s="44"/>
      <c r="V18" s="79"/>
    </row>
    <row r="19" spans="1:38" ht="14.4">
      <c r="A19" s="9"/>
      <c r="B19" s="12"/>
      <c r="C19" s="33"/>
      <c r="D19" s="26" t="s">
        <v>5</v>
      </c>
      <c r="E19" s="32"/>
      <c r="F19" s="74">
        <v>75</v>
      </c>
      <c r="G19" s="71">
        <v>9</v>
      </c>
      <c r="H19" s="71">
        <v>0</v>
      </c>
      <c r="I19" s="71">
        <v>21</v>
      </c>
      <c r="J19" s="64">
        <f t="shared" si="0"/>
        <v>7.3333333333333339</v>
      </c>
      <c r="K19" s="64" t="str">
        <f t="shared" ref="K19:K20" si="8">IFERROR(F19/H19-1,"n/a")</f>
        <v>n/a</v>
      </c>
      <c r="L19" s="60">
        <f>IFERROR(F19/I19-1,"n/a")</f>
        <v>2.5714285714285716</v>
      </c>
      <c r="M19" s="68">
        <f>F19+'Sep-22'!M19</f>
        <v>434</v>
      </c>
      <c r="N19" s="68">
        <f>G19+'Sep-22'!N19</f>
        <v>11</v>
      </c>
      <c r="O19" s="68">
        <f>H19+'Sep-22'!O19</f>
        <v>4</v>
      </c>
      <c r="P19" s="68">
        <f>I19+'Sep-22'!P19</f>
        <v>172</v>
      </c>
      <c r="Q19" s="64">
        <f t="shared" ref="Q19:Q20" si="9">IFERROR(M19/N19-1,"n/a")</f>
        <v>38.454545454545453</v>
      </c>
      <c r="R19" s="64">
        <f t="shared" ref="R19:R20" si="10">IFERROR(M19/O19-1,"n/a")</f>
        <v>107.5</v>
      </c>
      <c r="S19" s="60">
        <f t="shared" ref="S19:S20" si="11">IFERROR(M19/P19-1,"n/a")</f>
        <v>1.5232558139534884</v>
      </c>
      <c r="T19" s="68">
        <v>23</v>
      </c>
      <c r="U19" s="70">
        <v>4</v>
      </c>
      <c r="V19" s="78">
        <v>191</v>
      </c>
    </row>
    <row r="20" spans="1:38" ht="14.4">
      <c r="A20" s="9"/>
      <c r="B20" s="12"/>
      <c r="C20" s="33"/>
      <c r="D20" s="26" t="s">
        <v>11</v>
      </c>
      <c r="E20" s="32"/>
      <c r="F20" s="74">
        <f>94583+7545</f>
        <v>102128</v>
      </c>
      <c r="G20" s="71">
        <v>3111</v>
      </c>
      <c r="H20" s="71">
        <v>0</v>
      </c>
      <c r="I20" s="71">
        <v>28163</v>
      </c>
      <c r="J20" s="64">
        <f t="shared" si="0"/>
        <v>31.828029572484731</v>
      </c>
      <c r="K20" s="64" t="str">
        <f t="shared" si="8"/>
        <v>n/a</v>
      </c>
      <c r="L20" s="60">
        <f t="shared" ref="L20:L31" si="12">IFERROR(F20/I20-1,"n/a")</f>
        <v>2.6263182189397436</v>
      </c>
      <c r="M20" s="68">
        <f>F20+'Sep-22'!M20</f>
        <v>524520</v>
      </c>
      <c r="N20" s="68">
        <f>G20+'Sep-22'!N20</f>
        <v>3535</v>
      </c>
      <c r="O20" s="68">
        <f>H20+'Sep-22'!O20</f>
        <v>1753</v>
      </c>
      <c r="P20" s="68">
        <f>I20+'Sep-22'!P20</f>
        <v>231541</v>
      </c>
      <c r="Q20" s="64">
        <f t="shared" si="9"/>
        <v>147.37906647807637</v>
      </c>
      <c r="R20" s="64">
        <f t="shared" si="10"/>
        <v>298.21277809469478</v>
      </c>
      <c r="S20" s="60">
        <f t="shared" si="11"/>
        <v>1.2653439347674924</v>
      </c>
      <c r="T20" s="68">
        <v>8611</v>
      </c>
      <c r="U20" s="70">
        <v>1753</v>
      </c>
      <c r="V20" s="78">
        <v>254421</v>
      </c>
    </row>
    <row r="21" spans="1:38" ht="14.4">
      <c r="A21" s="9"/>
      <c r="B21" s="12"/>
      <c r="C21" s="31" t="s">
        <v>10</v>
      </c>
      <c r="D21" s="26"/>
      <c r="E21" s="34"/>
      <c r="F21" s="72"/>
      <c r="G21" s="72"/>
      <c r="H21" s="72"/>
      <c r="I21" s="72"/>
      <c r="J21" s="64"/>
      <c r="K21" s="64"/>
      <c r="L21" s="60"/>
      <c r="M21" s="87"/>
      <c r="N21" s="87"/>
      <c r="O21" s="87"/>
      <c r="P21" s="87"/>
      <c r="Q21" s="64"/>
      <c r="R21" s="64"/>
      <c r="S21" s="60"/>
      <c r="T21" s="43"/>
      <c r="U21" s="44"/>
      <c r="V21" s="79"/>
    </row>
    <row r="22" spans="1:38" ht="14.4">
      <c r="A22" s="9"/>
      <c r="B22" s="12"/>
      <c r="C22" s="33"/>
      <c r="D22" s="26" t="s">
        <v>5</v>
      </c>
      <c r="E22" s="34"/>
      <c r="F22" s="74">
        <v>74</v>
      </c>
      <c r="G22" s="71">
        <v>85</v>
      </c>
      <c r="H22" s="71">
        <v>0</v>
      </c>
      <c r="I22" s="71">
        <v>97</v>
      </c>
      <c r="J22" s="64">
        <f t="shared" si="0"/>
        <v>-0.12941176470588234</v>
      </c>
      <c r="K22" s="64" t="str">
        <f t="shared" ref="K22:K23" si="13">IFERROR(F22/H22-1,"n/a")</f>
        <v>n/a</v>
      </c>
      <c r="L22" s="60">
        <f t="shared" si="12"/>
        <v>-0.23711340206185572</v>
      </c>
      <c r="M22" s="68">
        <f>F22+'Sep-22'!M22</f>
        <v>918</v>
      </c>
      <c r="N22" s="68">
        <f>G22+'Sep-22'!N22</f>
        <v>215</v>
      </c>
      <c r="O22" s="68">
        <f>H22+'Sep-22'!O22</f>
        <v>406</v>
      </c>
      <c r="P22" s="68">
        <f>I22+'Sep-22'!P22</f>
        <v>953</v>
      </c>
      <c r="Q22" s="64">
        <f t="shared" ref="Q22:Q23" si="14">IFERROR(M22/N22-1,"n/a")</f>
        <v>3.2697674418604654</v>
      </c>
      <c r="R22" s="64">
        <f t="shared" ref="R22:R23" si="15">IFERROR(M22/O22-1,"n/a")</f>
        <v>1.2610837438423643</v>
      </c>
      <c r="S22" s="60">
        <f t="shared" ref="S22:S23" si="16">IFERROR(M22/P22-1,"n/a")</f>
        <v>-3.6726128016789095E-2</v>
      </c>
      <c r="T22" s="68">
        <v>411</v>
      </c>
      <c r="U22" s="70">
        <v>406</v>
      </c>
      <c r="V22" s="78">
        <v>1205</v>
      </c>
    </row>
    <row r="23" spans="1:38" ht="14.4">
      <c r="A23" s="9"/>
      <c r="B23" s="12"/>
      <c r="C23" s="33"/>
      <c r="D23" s="26" t="s">
        <v>11</v>
      </c>
      <c r="E23" s="32"/>
      <c r="F23" s="74">
        <v>260968</v>
      </c>
      <c r="G23" s="71">
        <v>142400</v>
      </c>
      <c r="H23" s="71">
        <v>0</v>
      </c>
      <c r="I23" s="71">
        <v>268813</v>
      </c>
      <c r="J23" s="64">
        <f t="shared" si="0"/>
        <v>0.83264044943820226</v>
      </c>
      <c r="K23" s="64" t="str">
        <f t="shared" si="13"/>
        <v>n/a</v>
      </c>
      <c r="L23" s="60">
        <f t="shared" si="12"/>
        <v>-2.9183856435514688E-2</v>
      </c>
      <c r="M23" s="68">
        <f>F23+'Sep-22'!M23</f>
        <v>2457197</v>
      </c>
      <c r="N23" s="68">
        <f>G23+'Sep-22'!N23</f>
        <v>324210</v>
      </c>
      <c r="O23" s="68">
        <f>H23+'Sep-22'!O23</f>
        <v>833999</v>
      </c>
      <c r="P23" s="68">
        <f>I23+'Sep-22'!P23</f>
        <v>3141355</v>
      </c>
      <c r="Q23" s="64">
        <f t="shared" si="14"/>
        <v>6.5790290243977667</v>
      </c>
      <c r="R23" s="64">
        <f t="shared" si="15"/>
        <v>1.9462829092121212</v>
      </c>
      <c r="S23" s="60">
        <f t="shared" si="16"/>
        <v>-0.21779073043320474</v>
      </c>
      <c r="T23" s="68">
        <v>687449</v>
      </c>
      <c r="U23" s="70">
        <v>833999</v>
      </c>
      <c r="V23" s="78">
        <v>3859183</v>
      </c>
    </row>
    <row r="24" spans="1:38" ht="14.4">
      <c r="A24" s="9"/>
      <c r="B24" s="12"/>
      <c r="C24" s="31" t="s">
        <v>16</v>
      </c>
      <c r="D24" s="26"/>
      <c r="E24" s="32"/>
      <c r="F24" s="72"/>
      <c r="G24" s="72"/>
      <c r="H24" s="72"/>
      <c r="I24" s="72"/>
      <c r="J24" s="64"/>
      <c r="K24" s="64"/>
      <c r="L24" s="60"/>
      <c r="M24" s="87"/>
      <c r="N24" s="87"/>
      <c r="O24" s="87"/>
      <c r="P24" s="87"/>
      <c r="Q24" s="64"/>
      <c r="R24" s="64"/>
      <c r="S24" s="60"/>
      <c r="T24" s="43"/>
      <c r="U24" s="44"/>
      <c r="V24" s="79"/>
    </row>
    <row r="25" spans="1:38" ht="14.4">
      <c r="A25" s="9"/>
      <c r="B25" s="12"/>
      <c r="C25" s="33"/>
      <c r="D25" s="26" t="s">
        <v>5</v>
      </c>
      <c r="E25" s="32"/>
      <c r="F25" s="74">
        <v>45</v>
      </c>
      <c r="G25" s="71">
        <v>16</v>
      </c>
      <c r="H25" s="71">
        <v>8</v>
      </c>
      <c r="I25" s="71">
        <v>64</v>
      </c>
      <c r="J25" s="64">
        <f t="shared" si="0"/>
        <v>1.8125</v>
      </c>
      <c r="K25" s="64">
        <f t="shared" ref="K25:K26" si="17">IFERROR(F25/H25-1,"n/a")</f>
        <v>4.625</v>
      </c>
      <c r="L25" s="60">
        <f t="shared" si="12"/>
        <v>-0.296875</v>
      </c>
      <c r="M25" s="68">
        <f>F25+'Sep-22'!M25</f>
        <v>267</v>
      </c>
      <c r="N25" s="68">
        <f>G25+'Sep-22'!N25</f>
        <v>87</v>
      </c>
      <c r="O25" s="68">
        <f>H25+'Sep-22'!O25</f>
        <v>24</v>
      </c>
      <c r="P25" s="68">
        <f>I25+'Sep-22'!P25</f>
        <v>308</v>
      </c>
      <c r="Q25" s="64">
        <f t="shared" ref="Q25:Q26" si="18">IFERROR(M25/N25-1,"n/a")</f>
        <v>2.0689655172413794</v>
      </c>
      <c r="R25" s="64">
        <f t="shared" ref="R25:R26" si="19">IFERROR(M25/O25-1,"n/a")</f>
        <v>10.125</v>
      </c>
      <c r="S25" s="60">
        <f t="shared" ref="S25:S26" si="20">IFERROR(M25/P25-1,"n/a")</f>
        <v>-0.13311688311688308</v>
      </c>
      <c r="T25" s="68">
        <v>107</v>
      </c>
      <c r="U25" s="70">
        <v>32</v>
      </c>
      <c r="V25" s="78">
        <v>372</v>
      </c>
    </row>
    <row r="26" spans="1:38" ht="14.4">
      <c r="A26" s="9"/>
      <c r="B26" s="12"/>
      <c r="C26" s="33"/>
      <c r="D26" s="26" t="s">
        <v>11</v>
      </c>
      <c r="E26" s="32"/>
      <c r="F26" s="74">
        <v>59330</v>
      </c>
      <c r="G26" s="71">
        <v>16203</v>
      </c>
      <c r="H26" s="71">
        <v>8362</v>
      </c>
      <c r="I26" s="71">
        <v>130501</v>
      </c>
      <c r="J26" s="64">
        <f t="shared" si="0"/>
        <v>2.6616675924211566</v>
      </c>
      <c r="K26" s="64">
        <f t="shared" si="17"/>
        <v>6.0951925376704139</v>
      </c>
      <c r="L26" s="60">
        <f t="shared" si="12"/>
        <v>-0.54536746844851769</v>
      </c>
      <c r="M26" s="68">
        <f>F26+'Sep-22'!M26</f>
        <v>483337</v>
      </c>
      <c r="N26" s="68">
        <f>G26+'Sep-22'!N26</f>
        <v>117218</v>
      </c>
      <c r="O26" s="68">
        <f>H26+'Sep-22'!O26</f>
        <v>55662</v>
      </c>
      <c r="P26" s="68">
        <f>I26+'Sep-22'!P26</f>
        <v>818684</v>
      </c>
      <c r="Q26" s="64">
        <f t="shared" si="18"/>
        <v>3.1234025490965553</v>
      </c>
      <c r="R26" s="64">
        <f t="shared" si="19"/>
        <v>7.6834285508964815</v>
      </c>
      <c r="S26" s="60">
        <f t="shared" si="20"/>
        <v>-0.4096171416566099</v>
      </c>
      <c r="T26" s="68">
        <v>147132</v>
      </c>
      <c r="U26" s="70">
        <v>59180</v>
      </c>
      <c r="V26" s="78">
        <v>902015</v>
      </c>
    </row>
    <row r="27" spans="1:38" ht="14.4">
      <c r="A27" s="9"/>
      <c r="B27" s="12"/>
      <c r="C27" s="31" t="s">
        <v>17</v>
      </c>
      <c r="D27" s="26"/>
      <c r="E27" s="32"/>
      <c r="F27" s="72"/>
      <c r="G27" s="72"/>
      <c r="H27" s="72"/>
      <c r="I27" s="72"/>
      <c r="J27" s="64"/>
      <c r="K27" s="64"/>
      <c r="L27" s="60"/>
      <c r="M27" s="87"/>
      <c r="N27" s="87"/>
      <c r="O27" s="87"/>
      <c r="P27" s="87"/>
      <c r="Q27" s="64"/>
      <c r="R27" s="64"/>
      <c r="S27" s="60"/>
      <c r="T27" s="43"/>
      <c r="U27" s="44"/>
      <c r="V27" s="79"/>
    </row>
    <row r="28" spans="1:38" ht="14.4">
      <c r="B28" s="12"/>
      <c r="C28" s="33"/>
      <c r="D28" s="26" t="s">
        <v>5</v>
      </c>
      <c r="E28" s="32"/>
      <c r="F28" s="74">
        <f>79+6</f>
        <v>85</v>
      </c>
      <c r="G28" s="71">
        <v>28</v>
      </c>
      <c r="H28" s="71">
        <v>12</v>
      </c>
      <c r="I28" s="71">
        <v>71</v>
      </c>
      <c r="J28" s="64">
        <f t="shared" si="0"/>
        <v>2.0357142857142856</v>
      </c>
      <c r="K28" s="64">
        <f t="shared" ref="K28:K31" si="21">IFERROR(F28/H28-1,"n/a")</f>
        <v>6.083333333333333</v>
      </c>
      <c r="L28" s="60">
        <f t="shared" si="12"/>
        <v>0.19718309859154926</v>
      </c>
      <c r="M28" s="68">
        <f>F28+'Sep-22'!M28</f>
        <v>506</v>
      </c>
      <c r="N28" s="68">
        <f>G28+'Sep-22'!N28</f>
        <v>107</v>
      </c>
      <c r="O28" s="68">
        <f>H28+'Sep-22'!O28</f>
        <v>24</v>
      </c>
      <c r="P28" s="68">
        <f>I28+'Sep-22'!P28</f>
        <v>328</v>
      </c>
      <c r="Q28" s="64">
        <f t="shared" ref="Q28:Q31" si="22">IFERROR(M28/N28-1,"n/a")</f>
        <v>3.7289719626168223</v>
      </c>
      <c r="R28" s="64">
        <f t="shared" ref="R28:R31" si="23">IFERROR(M28/O28-1,"n/a")</f>
        <v>20.083333333333332</v>
      </c>
      <c r="S28" s="60">
        <f t="shared" ref="S28:S31" si="24">IFERROR(M28/P28-1,"n/a")</f>
        <v>0.54268292682926833</v>
      </c>
      <c r="T28" s="68">
        <v>127</v>
      </c>
      <c r="U28" s="70">
        <v>37</v>
      </c>
      <c r="V28" s="78">
        <f>282+81</f>
        <v>363</v>
      </c>
    </row>
    <row r="29" spans="1:38" ht="14.4">
      <c r="A29" s="9"/>
      <c r="B29" s="12"/>
      <c r="C29" s="33"/>
      <c r="D29" s="26" t="s">
        <v>11</v>
      </c>
      <c r="E29" s="32"/>
      <c r="F29" s="74">
        <f>111830+10869+16371</f>
        <v>139070</v>
      </c>
      <c r="G29" s="71">
        <v>32614</v>
      </c>
      <c r="H29" s="71">
        <v>5592</v>
      </c>
      <c r="I29" s="71">
        <v>138907</v>
      </c>
      <c r="J29" s="64">
        <f t="shared" si="0"/>
        <v>3.2641197031949467</v>
      </c>
      <c r="K29" s="64">
        <f t="shared" si="21"/>
        <v>23.869456366237483</v>
      </c>
      <c r="L29" s="60">
        <f t="shared" si="12"/>
        <v>1.1734469825135374E-3</v>
      </c>
      <c r="M29" s="68">
        <f>F29+'Sep-22'!M29</f>
        <v>832358</v>
      </c>
      <c r="N29" s="68">
        <f>G29+'Sep-22'!N29</f>
        <v>150273</v>
      </c>
      <c r="O29" s="68">
        <f>H29+'Sep-22'!O29</f>
        <v>16312</v>
      </c>
      <c r="P29" s="68">
        <f>I29+'Sep-22'!P29</f>
        <v>839687</v>
      </c>
      <c r="Q29" s="64">
        <f t="shared" si="22"/>
        <v>4.5389724035588559</v>
      </c>
      <c r="R29" s="64">
        <f t="shared" si="23"/>
        <v>50.027341834232466</v>
      </c>
      <c r="S29" s="60">
        <f t="shared" si="24"/>
        <v>-8.7282523130642886E-3</v>
      </c>
      <c r="T29" s="68">
        <v>165083</v>
      </c>
      <c r="U29" s="70">
        <f>20768+8294</f>
        <v>29062</v>
      </c>
      <c r="V29" s="78">
        <f>659951+168729+38484</f>
        <v>867164</v>
      </c>
    </row>
    <row r="30" spans="1:38" ht="15" customHeight="1" thickBot="1">
      <c r="A30" s="9"/>
      <c r="B30" s="12"/>
      <c r="C30" s="35" t="s">
        <v>12</v>
      </c>
      <c r="D30" s="36"/>
      <c r="E30" s="37"/>
      <c r="F30" s="75">
        <f t="shared" ref="F30:I31" si="25">F13+F16+F19+F22+F25+F28</f>
        <v>412</v>
      </c>
      <c r="G30" s="75">
        <f t="shared" si="25"/>
        <v>249</v>
      </c>
      <c r="H30" s="75">
        <f t="shared" si="25"/>
        <v>20</v>
      </c>
      <c r="I30" s="75">
        <f t="shared" si="25"/>
        <v>393</v>
      </c>
      <c r="J30" s="66">
        <f t="shared" si="0"/>
        <v>0.65461847389558225</v>
      </c>
      <c r="K30" s="66">
        <f t="shared" si="21"/>
        <v>19.600000000000001</v>
      </c>
      <c r="L30" s="62">
        <f t="shared" si="12"/>
        <v>4.8346055979643809E-2</v>
      </c>
      <c r="M30" s="46">
        <f t="shared" ref="M30:P31" si="26">M13+M16+M19+M22+M25+M28</f>
        <v>3014</v>
      </c>
      <c r="N30" s="46">
        <f t="shared" si="26"/>
        <v>631</v>
      </c>
      <c r="O30" s="46">
        <f t="shared" si="26"/>
        <v>646</v>
      </c>
      <c r="P30" s="46">
        <f t="shared" si="26"/>
        <v>2739</v>
      </c>
      <c r="Q30" s="66">
        <f t="shared" si="22"/>
        <v>3.7765451664025358</v>
      </c>
      <c r="R30" s="66">
        <f t="shared" si="23"/>
        <v>3.6656346749226003</v>
      </c>
      <c r="S30" s="62">
        <f t="shared" si="24"/>
        <v>0.10040160642570273</v>
      </c>
      <c r="T30" s="46">
        <f t="shared" ref="T30:V31" si="27">T13+T16+T19+T22+T25+T28</f>
        <v>1062</v>
      </c>
      <c r="U30" s="46">
        <f t="shared" si="27"/>
        <v>667</v>
      </c>
      <c r="V30" s="80">
        <f t="shared" si="27"/>
        <v>3344</v>
      </c>
    </row>
    <row r="31" spans="1:38" s="22" customFormat="1" ht="15" customHeight="1" thickTop="1" thickBot="1">
      <c r="A31" s="9"/>
      <c r="B31" s="12"/>
      <c r="C31" s="38" t="s">
        <v>13</v>
      </c>
      <c r="D31" s="39"/>
      <c r="E31" s="40"/>
      <c r="F31" s="76">
        <f t="shared" si="25"/>
        <v>867362</v>
      </c>
      <c r="G31" s="76">
        <f t="shared" si="25"/>
        <v>369553</v>
      </c>
      <c r="H31" s="76">
        <f t="shared" si="25"/>
        <v>13954</v>
      </c>
      <c r="I31" s="76">
        <f t="shared" si="25"/>
        <v>930242</v>
      </c>
      <c r="J31" s="67">
        <f t="shared" si="0"/>
        <v>1.3470571203589201</v>
      </c>
      <c r="K31" s="67">
        <f t="shared" si="21"/>
        <v>61.158664182313316</v>
      </c>
      <c r="L31" s="63">
        <f t="shared" si="12"/>
        <v>-6.7595313907563792E-2</v>
      </c>
      <c r="M31" s="47">
        <f t="shared" si="26"/>
        <v>6084090</v>
      </c>
      <c r="N31" s="47">
        <f t="shared" si="26"/>
        <v>942545</v>
      </c>
      <c r="O31" s="47">
        <f t="shared" si="26"/>
        <v>1307163</v>
      </c>
      <c r="P31" s="47">
        <f t="shared" si="26"/>
        <v>7784848</v>
      </c>
      <c r="Q31" s="67">
        <f t="shared" si="22"/>
        <v>5.4549597101464649</v>
      </c>
      <c r="R31" s="67">
        <f t="shared" si="23"/>
        <v>3.6544233580662855</v>
      </c>
      <c r="S31" s="63">
        <f t="shared" si="24"/>
        <v>-0.21847028997868678</v>
      </c>
      <c r="T31" s="47">
        <f t="shared" si="27"/>
        <v>1554247</v>
      </c>
      <c r="U31" s="47">
        <f t="shared" si="27"/>
        <v>1323431</v>
      </c>
      <c r="V31" s="81">
        <f t="shared" si="27"/>
        <v>9169021</v>
      </c>
      <c r="W31" s="9"/>
      <c r="X31" s="21"/>
      <c r="Y31" s="21"/>
      <c r="Z31" s="21"/>
      <c r="AA31" s="21"/>
      <c r="AB31" s="21"/>
      <c r="AC31" s="21"/>
      <c r="AD31" s="21"/>
      <c r="AE31" s="21"/>
      <c r="AF31" s="21"/>
      <c r="AG31" s="21"/>
      <c r="AH31" s="21"/>
      <c r="AI31" s="21"/>
      <c r="AJ31" s="21"/>
      <c r="AK31" s="21"/>
      <c r="AL31" s="21"/>
    </row>
    <row r="32" spans="1:38" ht="15" customHeight="1" thickTop="1">
      <c r="A32" s="9"/>
      <c r="B32" s="9"/>
      <c r="C32" s="9"/>
      <c r="D32" s="9"/>
      <c r="E32" s="9"/>
      <c r="F32" s="9"/>
      <c r="G32" s="41"/>
      <c r="H32" s="41"/>
      <c r="I32" s="41"/>
      <c r="J32" s="41"/>
      <c r="K32" s="41"/>
      <c r="L32" s="9"/>
      <c r="M32" s="9"/>
      <c r="N32" s="9"/>
      <c r="O32" s="9"/>
      <c r="P32" s="9"/>
      <c r="Q32" s="9"/>
      <c r="R32" s="9"/>
      <c r="S32" s="9"/>
      <c r="T32" s="83"/>
      <c r="U32" s="9"/>
      <c r="V32" s="9"/>
    </row>
    <row r="33" spans="1:22" ht="22.95" customHeight="1">
      <c r="A33" s="9"/>
      <c r="B33" s="9"/>
      <c r="C33" s="9"/>
      <c r="D33" s="9"/>
      <c r="E33" s="9"/>
      <c r="F33" s="41"/>
      <c r="G33" s="41"/>
      <c r="H33" s="41"/>
      <c r="I33" s="41"/>
      <c r="J33" s="41"/>
      <c r="K33" s="41"/>
      <c r="L33" s="9"/>
      <c r="M33" s="9"/>
      <c r="N33" s="9"/>
      <c r="O33" s="9"/>
      <c r="P33" s="9"/>
      <c r="Q33" s="9"/>
      <c r="R33" s="9"/>
      <c r="S33" s="9"/>
      <c r="T33" s="9"/>
      <c r="U33" s="9"/>
      <c r="V33" s="9"/>
    </row>
    <row r="34" spans="1:22" ht="14.4">
      <c r="A34" s="9"/>
      <c r="B34" s="10"/>
      <c r="C34" s="86" t="s">
        <v>63</v>
      </c>
      <c r="D34" s="24"/>
      <c r="E34" s="24"/>
      <c r="F34" s="24"/>
      <c r="G34" s="24"/>
      <c r="H34" s="24"/>
      <c r="I34" s="95"/>
      <c r="J34" s="95"/>
      <c r="K34" s="95"/>
      <c r="L34" s="24"/>
      <c r="M34" s="24"/>
      <c r="N34" s="24"/>
      <c r="O34" s="24"/>
      <c r="P34" s="24"/>
      <c r="Q34" s="24"/>
      <c r="R34" s="24"/>
      <c r="S34" s="24"/>
      <c r="T34" s="24"/>
      <c r="U34" s="24"/>
      <c r="V34" s="24"/>
    </row>
    <row r="35" spans="1:22" ht="14.4">
      <c r="A35" s="9"/>
      <c r="B35" s="10"/>
      <c r="C35" s="24"/>
      <c r="D35" s="24"/>
      <c r="E35" s="24"/>
      <c r="F35" s="24"/>
      <c r="G35" s="24"/>
      <c r="H35" s="24"/>
      <c r="I35" s="95"/>
      <c r="J35" s="95"/>
      <c r="K35" s="95"/>
      <c r="L35" s="24"/>
      <c r="M35" s="24"/>
      <c r="N35" s="24"/>
      <c r="O35" s="24"/>
      <c r="P35" s="24"/>
      <c r="Q35" s="24"/>
      <c r="R35" s="24"/>
      <c r="S35" s="24"/>
      <c r="T35" s="24"/>
      <c r="U35" s="24"/>
      <c r="V35" s="24"/>
    </row>
    <row r="36" spans="1:22" ht="15" customHeight="1">
      <c r="A36" s="9"/>
      <c r="B36" s="9"/>
      <c r="C36" s="27" t="s">
        <v>7</v>
      </c>
      <c r="D36" s="28"/>
      <c r="E36" s="28"/>
      <c r="F36" s="128" t="str">
        <f>F9</f>
        <v>October</v>
      </c>
      <c r="G36" s="128"/>
      <c r="H36" s="128"/>
      <c r="I36" s="128"/>
      <c r="J36" s="128"/>
      <c r="K36" s="128"/>
      <c r="L36" s="129"/>
      <c r="M36" s="130" t="s">
        <v>91</v>
      </c>
      <c r="N36" s="128"/>
      <c r="O36" s="128"/>
      <c r="P36" s="128"/>
      <c r="Q36" s="128"/>
      <c r="R36" s="128"/>
      <c r="S36" s="129"/>
      <c r="T36" s="130" t="s">
        <v>58</v>
      </c>
      <c r="U36" s="128"/>
      <c r="V36" s="131"/>
    </row>
    <row r="37" spans="1:22" ht="15" customHeight="1">
      <c r="A37" s="9"/>
      <c r="B37" s="9"/>
      <c r="C37" s="29"/>
      <c r="D37" s="30"/>
      <c r="E37" s="30"/>
      <c r="F37" s="29"/>
      <c r="G37" s="30"/>
      <c r="H37" s="30"/>
      <c r="I37" s="30"/>
      <c r="J37" s="30"/>
      <c r="K37" s="30"/>
      <c r="L37" s="56"/>
      <c r="M37" s="30"/>
      <c r="N37" s="30"/>
      <c r="O37" s="30"/>
      <c r="P37" s="30"/>
      <c r="Q37" s="30"/>
      <c r="R37" s="30"/>
      <c r="S37" s="56"/>
      <c r="T37" s="30"/>
      <c r="U37" s="30"/>
      <c r="V37" s="56"/>
    </row>
    <row r="38" spans="1:22" s="9" customFormat="1" ht="33.6"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1:22" s="9" customFormat="1" ht="15" customHeight="1">
      <c r="C39" s="31" t="s">
        <v>14</v>
      </c>
      <c r="D39" s="26"/>
      <c r="E39" s="32"/>
      <c r="F39" s="26"/>
      <c r="G39" s="26"/>
      <c r="H39" s="26"/>
      <c r="I39" s="26"/>
      <c r="J39" s="26"/>
      <c r="K39" s="26"/>
      <c r="L39" s="32"/>
      <c r="M39" s="26"/>
      <c r="N39" s="26"/>
      <c r="O39" s="26"/>
      <c r="Q39" s="26"/>
      <c r="R39" s="26"/>
      <c r="S39" s="32"/>
      <c r="T39" s="33"/>
      <c r="U39" s="88"/>
      <c r="V39" s="85"/>
    </row>
    <row r="40" spans="1:22" s="9" customFormat="1" ht="15" customHeight="1">
      <c r="C40" s="33"/>
      <c r="D40" s="26" t="s">
        <v>5</v>
      </c>
      <c r="E40" s="32"/>
      <c r="F40" s="74">
        <f>F13</f>
        <v>4</v>
      </c>
      <c r="G40" s="74">
        <f>G13</f>
        <v>4</v>
      </c>
      <c r="H40" s="74">
        <v>0</v>
      </c>
      <c r="I40" s="71">
        <f>I13</f>
        <v>13</v>
      </c>
      <c r="J40" s="64">
        <f t="shared" ref="J40:J41" si="28">IFERROR(F40/G40-1,"n/a")</f>
        <v>0</v>
      </c>
      <c r="K40" s="64" t="str">
        <f>IFERROR(F40/H40-1,"n/a")</f>
        <v>n/a</v>
      </c>
      <c r="L40" s="60">
        <f t="shared" ref="L40:L41" si="29">IFERROR(F40/I40-1,"n/a")</f>
        <v>-0.69230769230769229</v>
      </c>
      <c r="M40" s="70">
        <f>+M13-'Mar-22'!M10</f>
        <v>36</v>
      </c>
      <c r="N40" s="70">
        <f>+N13-'Mar-22'!N10</f>
        <v>20</v>
      </c>
      <c r="O40" s="82">
        <f>+O13-'Mar-22'!O10</f>
        <v>0</v>
      </c>
      <c r="P40" s="70">
        <f>+P13-'Mar-22'!P10</f>
        <v>66</v>
      </c>
      <c r="Q40" s="64">
        <f>IFERROR(M40/N40-1,"n/a")</f>
        <v>0.8</v>
      </c>
      <c r="R40" s="64" t="str">
        <f>IFERROR(M40/O40-1,"n/a")</f>
        <v>n/a</v>
      </c>
      <c r="S40" s="60">
        <f>IFERROR(M40/P40-1,"n/a")</f>
        <v>-0.45454545454545459</v>
      </c>
      <c r="T40" s="89">
        <v>308</v>
      </c>
      <c r="U40" s="70">
        <v>145</v>
      </c>
      <c r="V40" s="78">
        <v>331</v>
      </c>
    </row>
    <row r="41" spans="1:22" s="9" customFormat="1" ht="15" customHeight="1">
      <c r="C41" s="33"/>
      <c r="D41" s="26" t="s">
        <v>11</v>
      </c>
      <c r="E41" s="32"/>
      <c r="F41" s="74">
        <f>F14</f>
        <v>7610</v>
      </c>
      <c r="G41" s="74">
        <f>G14</f>
        <v>720</v>
      </c>
      <c r="H41" s="74">
        <v>0</v>
      </c>
      <c r="I41" s="74">
        <f>I14</f>
        <v>31050</v>
      </c>
      <c r="J41" s="64">
        <f t="shared" si="28"/>
        <v>9.5694444444444446</v>
      </c>
      <c r="K41" s="64" t="str">
        <f t="shared" ref="K41" si="30">IFERROR(F41/H41-1,"n/a")</f>
        <v>n/a</v>
      </c>
      <c r="L41" s="60">
        <f t="shared" si="29"/>
        <v>-0.7549114331723028</v>
      </c>
      <c r="M41" s="82">
        <f>+M14-'Mar-22'!M11</f>
        <v>50364</v>
      </c>
      <c r="N41" s="82">
        <f>+N14-'Mar-22'!N11</f>
        <v>4921</v>
      </c>
      <c r="O41" s="82">
        <f>+O14-'Mar-22'!O11</f>
        <v>0</v>
      </c>
      <c r="P41" s="82">
        <f>+P14-'Mar-22'!P11</f>
        <v>137949</v>
      </c>
      <c r="Q41" s="64">
        <f>IFERROR(M41/N41-1,"n/a")</f>
        <v>9.2345051818736028</v>
      </c>
      <c r="R41" s="64" t="str">
        <f>IFERROR(M41/O41-1,"n/a")</f>
        <v>n/a</v>
      </c>
      <c r="S41" s="60">
        <f>IFERROR(M41/P41-1,"n/a")</f>
        <v>-0.63490855316095085</v>
      </c>
      <c r="T41" s="89">
        <v>237191</v>
      </c>
      <c r="U41" s="84">
        <v>258885</v>
      </c>
      <c r="V41" s="78">
        <v>606801</v>
      </c>
    </row>
    <row r="42" spans="1:22" s="9" customFormat="1" ht="15" customHeight="1">
      <c r="C42" s="31" t="s">
        <v>74</v>
      </c>
      <c r="D42" s="26"/>
      <c r="E42" s="32"/>
      <c r="F42" s="26"/>
      <c r="G42" s="26"/>
      <c r="H42" s="26"/>
      <c r="I42" s="26"/>
      <c r="J42" s="64"/>
      <c r="K42" s="64"/>
      <c r="L42" s="61"/>
      <c r="M42" s="87"/>
      <c r="N42" s="87"/>
      <c r="O42" s="87"/>
      <c r="P42" s="87"/>
      <c r="Q42" s="65"/>
      <c r="R42" s="65"/>
      <c r="S42" s="61"/>
      <c r="T42" s="90"/>
      <c r="U42" s="44"/>
      <c r="V42" s="79"/>
    </row>
    <row r="43" spans="1:22" s="9" customFormat="1" ht="15" customHeight="1">
      <c r="C43" s="33"/>
      <c r="D43" s="26" t="s">
        <v>5</v>
      </c>
      <c r="E43" s="32"/>
      <c r="F43" s="74">
        <f>F16</f>
        <v>129</v>
      </c>
      <c r="G43" s="74">
        <f>G16</f>
        <v>107</v>
      </c>
      <c r="H43" s="74">
        <v>0</v>
      </c>
      <c r="I43" s="74">
        <f>I16</f>
        <v>127</v>
      </c>
      <c r="J43" s="64">
        <f t="shared" ref="J43:J44" si="31">IFERROR(F43/G43-1,"n/a")</f>
        <v>0.20560747663551404</v>
      </c>
      <c r="K43" s="64" t="str">
        <f t="shared" ref="K43:K44" si="32">IFERROR(F43/H43-1,"n/a")</f>
        <v>n/a</v>
      </c>
      <c r="L43" s="60">
        <f t="shared" ref="L43:L44" si="33">IFERROR(F43/I43-1,"n/a")</f>
        <v>1.5748031496062964E-2</v>
      </c>
      <c r="M43" s="70">
        <f>+M16-'Mar-22'!M13</f>
        <v>603</v>
      </c>
      <c r="N43" s="70">
        <f>+N16-'Mar-22'!N13</f>
        <v>191</v>
      </c>
      <c r="O43" s="82">
        <f>+O16-'Mar-22'!O13</f>
        <v>0</v>
      </c>
      <c r="P43" s="70">
        <f>+P16-'Mar-22'!P13</f>
        <v>623</v>
      </c>
      <c r="Q43" s="64">
        <f>IFERROR(M43/N43-1,"n/a")</f>
        <v>2.157068062827225</v>
      </c>
      <c r="R43" s="64" t="str">
        <f>IFERROR(M43/O43-1,"n/a")</f>
        <v>n/a</v>
      </c>
      <c r="S43" s="60">
        <f t="shared" ref="S43:S44" si="34">IFERROR(M43/P43-1,"n/a")</f>
        <v>-3.2102728731942198E-2</v>
      </c>
      <c r="T43" s="89">
        <v>336</v>
      </c>
      <c r="U43" s="70">
        <v>43</v>
      </c>
      <c r="V43" s="78">
        <v>781</v>
      </c>
    </row>
    <row r="44" spans="1:22" s="9" customFormat="1" ht="15" customHeight="1">
      <c r="C44" s="33"/>
      <c r="D44" s="26" t="s">
        <v>11</v>
      </c>
      <c r="E44" s="32"/>
      <c r="F44" s="74">
        <f>F17</f>
        <v>298256</v>
      </c>
      <c r="G44" s="74">
        <f>G17</f>
        <v>174505</v>
      </c>
      <c r="H44" s="74">
        <v>0</v>
      </c>
      <c r="I44" s="74">
        <f>I17</f>
        <v>332808</v>
      </c>
      <c r="J44" s="64">
        <f t="shared" si="31"/>
        <v>0.7091544654880948</v>
      </c>
      <c r="K44" s="64" t="str">
        <f t="shared" si="32"/>
        <v>n/a</v>
      </c>
      <c r="L44" s="60">
        <f t="shared" si="33"/>
        <v>-0.10381961972067977</v>
      </c>
      <c r="M44" s="82">
        <f>+M17-'Mar-22'!M14</f>
        <v>1511532</v>
      </c>
      <c r="N44" s="82">
        <f>+N17-'Mar-22'!N14</f>
        <v>342388</v>
      </c>
      <c r="O44" s="82">
        <f>+O17-'Mar-22'!O14</f>
        <v>0</v>
      </c>
      <c r="P44" s="82">
        <f>+P17-'Mar-22'!P14</f>
        <v>1978352</v>
      </c>
      <c r="Q44" s="64">
        <f>IFERROR(M44/N44-1,"n/a")</f>
        <v>3.4146757479818222</v>
      </c>
      <c r="R44" s="64" t="str">
        <f>IFERROR(M44/O44-1,"n/a")</f>
        <v>n/a</v>
      </c>
      <c r="S44" s="60">
        <f t="shared" si="34"/>
        <v>-0.23596407514941731</v>
      </c>
      <c r="T44" s="89">
        <v>533563</v>
      </c>
      <c r="U44" s="84">
        <v>140552</v>
      </c>
      <c r="V44" s="78">
        <v>2441594</v>
      </c>
    </row>
    <row r="45" spans="1:22"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1:22" s="9" customFormat="1" ht="15" customHeight="1">
      <c r="C46" s="33"/>
      <c r="D46" s="26" t="s">
        <v>5</v>
      </c>
      <c r="E46" s="32"/>
      <c r="F46" s="74">
        <f>F19</f>
        <v>75</v>
      </c>
      <c r="G46" s="71">
        <f>G19</f>
        <v>9</v>
      </c>
      <c r="H46" s="74">
        <v>0</v>
      </c>
      <c r="I46" s="74">
        <f>I19</f>
        <v>21</v>
      </c>
      <c r="J46" s="64">
        <f t="shared" ref="J46:J47" si="35">IFERROR(F46/G46-1,"n/a")</f>
        <v>7.3333333333333339</v>
      </c>
      <c r="K46" s="64" t="str">
        <f t="shared" ref="K46:K47" si="36">IFERROR(F46/H46-1,"n/a")</f>
        <v>n/a</v>
      </c>
      <c r="L46" s="60">
        <f>IFERROR(F46/I46-1,"n/a")</f>
        <v>2.5714285714285716</v>
      </c>
      <c r="M46" s="70">
        <f>+M19-'Mar-22'!M16</f>
        <v>424</v>
      </c>
      <c r="N46" s="82">
        <f>+N19-'Mar-22'!N16</f>
        <v>11</v>
      </c>
      <c r="O46" s="82">
        <f>+O19-'Mar-22'!O16</f>
        <v>1</v>
      </c>
      <c r="P46" s="82">
        <f>+P19-'Mar-22'!P16</f>
        <v>166</v>
      </c>
      <c r="Q46" s="64">
        <f>IFERROR(M46/N46-1,"n/a")</f>
        <v>37.545454545454547</v>
      </c>
      <c r="R46" s="64">
        <f>IFERROR(M46/O46-1,"n/a")</f>
        <v>423</v>
      </c>
      <c r="S46" s="60">
        <f t="shared" ref="S46:S47" si="37">IFERROR(M46/P46-1,"n/a")</f>
        <v>1.5542168674698793</v>
      </c>
      <c r="T46" s="89">
        <v>33</v>
      </c>
      <c r="U46" s="70">
        <v>4</v>
      </c>
      <c r="V46" s="78">
        <v>188</v>
      </c>
    </row>
    <row r="47" spans="1:22" s="9" customFormat="1" ht="15" customHeight="1">
      <c r="C47" s="33"/>
      <c r="D47" s="26" t="s">
        <v>11</v>
      </c>
      <c r="E47" s="32"/>
      <c r="F47" s="74">
        <f>F20</f>
        <v>102128</v>
      </c>
      <c r="G47" s="71">
        <f>G20</f>
        <v>3111</v>
      </c>
      <c r="H47" s="74">
        <v>0</v>
      </c>
      <c r="I47" s="74">
        <f>I20</f>
        <v>28163</v>
      </c>
      <c r="J47" s="64">
        <f t="shared" si="35"/>
        <v>31.828029572484731</v>
      </c>
      <c r="K47" s="64" t="str">
        <f t="shared" si="36"/>
        <v>n/a</v>
      </c>
      <c r="L47" s="60">
        <f t="shared" ref="L47" si="38">IFERROR(F47/I47-1,"n/a")</f>
        <v>2.6263182189397436</v>
      </c>
      <c r="M47" s="82">
        <f>+M20-'Mar-22'!M17</f>
        <v>523048</v>
      </c>
      <c r="N47" s="82">
        <f>+N20-'Mar-22'!N17</f>
        <v>3535</v>
      </c>
      <c r="O47" s="82">
        <f>+O20-'Mar-22'!O17</f>
        <v>111</v>
      </c>
      <c r="P47" s="82">
        <f>+P20-'Mar-22'!P17</f>
        <v>226403</v>
      </c>
      <c r="Q47" s="64">
        <f>IFERROR(M47/N47-1,"n/a")</f>
        <v>146.96265912305518</v>
      </c>
      <c r="R47" s="64">
        <f>IFERROR(M47/O47-1,"n/a")</f>
        <v>4711.1441441441439</v>
      </c>
      <c r="S47" s="60">
        <f t="shared" si="37"/>
        <v>1.3102520726315463</v>
      </c>
      <c r="T47" s="82">
        <v>10083</v>
      </c>
      <c r="U47" s="84">
        <v>1753</v>
      </c>
      <c r="V47" s="78">
        <f>176097+74816</f>
        <v>250913</v>
      </c>
    </row>
    <row r="48" spans="1:22"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3:22" s="9" customFormat="1" ht="15" customHeight="1">
      <c r="C49" s="33"/>
      <c r="D49" s="26" t="s">
        <v>5</v>
      </c>
      <c r="E49" s="34"/>
      <c r="F49" s="73">
        <f>F22</f>
        <v>74</v>
      </c>
      <c r="G49" s="74">
        <f>G22</f>
        <v>85</v>
      </c>
      <c r="H49" s="74">
        <v>0</v>
      </c>
      <c r="I49" s="74">
        <f>I22</f>
        <v>97</v>
      </c>
      <c r="J49" s="64">
        <f t="shared" ref="J49:J50" si="39">IFERROR(F49/G49-1,"n/a")</f>
        <v>-0.12941176470588234</v>
      </c>
      <c r="K49" s="64" t="str">
        <f t="shared" ref="K49:K50" si="40">IFERROR(F49/H49-1,"n/a")</f>
        <v>n/a</v>
      </c>
      <c r="L49" s="60">
        <f t="shared" ref="L49:L50" si="41">IFERROR(F49/I49-1,"n/a")</f>
        <v>-0.23711340206185572</v>
      </c>
      <c r="M49" s="70">
        <f>+M22-'Mar-22'!M19</f>
        <v>585</v>
      </c>
      <c r="N49" s="70">
        <f>+N22-'Mar-22'!N19</f>
        <v>215</v>
      </c>
      <c r="O49" s="70">
        <f>+O22-'Mar-22'!O19</f>
        <v>42</v>
      </c>
      <c r="P49" s="70">
        <f>+P22-'Mar-22'!P19</f>
        <v>637</v>
      </c>
      <c r="Q49" s="64">
        <f>IFERROR(M49/N49-1,"n/a")</f>
        <v>1.7209302325581395</v>
      </c>
      <c r="R49" s="64">
        <f>IFERROR(M49/O49-1,"n/a")</f>
        <v>12.928571428571429</v>
      </c>
      <c r="S49" s="60">
        <f>IFERROR(M49/P49-1,"n/a")</f>
        <v>-8.1632653061224469E-2</v>
      </c>
      <c r="T49" s="89">
        <v>744</v>
      </c>
      <c r="U49" s="84">
        <v>406</v>
      </c>
      <c r="V49" s="78">
        <v>1253</v>
      </c>
    </row>
    <row r="50" spans="3:22" s="9" customFormat="1" ht="15" customHeight="1">
      <c r="C50" s="33"/>
      <c r="D50" s="26" t="s">
        <v>11</v>
      </c>
      <c r="E50" s="32"/>
      <c r="F50" s="73">
        <f>F23</f>
        <v>260968</v>
      </c>
      <c r="G50" s="74">
        <f>G23</f>
        <v>142400</v>
      </c>
      <c r="H50" s="74">
        <v>0</v>
      </c>
      <c r="I50" s="74">
        <f>I23</f>
        <v>268813</v>
      </c>
      <c r="J50" s="64">
        <f t="shared" si="39"/>
        <v>0.83264044943820226</v>
      </c>
      <c r="K50" s="64" t="str">
        <f t="shared" si="40"/>
        <v>n/a</v>
      </c>
      <c r="L50" s="60">
        <f t="shared" si="41"/>
        <v>-2.9183856435514688E-2</v>
      </c>
      <c r="M50" s="82">
        <f>+M23-'Mar-22'!M20</f>
        <v>1853867</v>
      </c>
      <c r="N50" s="82">
        <f>+N23-'Mar-22'!N20</f>
        <v>324210</v>
      </c>
      <c r="O50" s="82">
        <f>+O23-'Mar-22'!O20</f>
        <v>0</v>
      </c>
      <c r="P50" s="82">
        <f>+P23-'Mar-22'!P20</f>
        <v>2075631</v>
      </c>
      <c r="Q50" s="64">
        <f>IFERROR(M50/N50-1,"n/a")</f>
        <v>4.7181055488726447</v>
      </c>
      <c r="R50" s="64" t="str">
        <f>IFERROR(M50/O50-1,"n/a")</f>
        <v>n/a</v>
      </c>
      <c r="S50" s="60">
        <f t="shared" ref="S50" si="42">IFERROR(M50/P50-1,"n/a")</f>
        <v>-0.10684172668456005</v>
      </c>
      <c r="T50" s="82">
        <v>1290779</v>
      </c>
      <c r="U50" s="84">
        <v>833999</v>
      </c>
      <c r="V50" s="78">
        <v>3627458</v>
      </c>
    </row>
    <row r="51" spans="3:22"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3:22" s="9" customFormat="1" ht="15" customHeight="1">
      <c r="C52" s="33"/>
      <c r="D52" s="26" t="s">
        <v>5</v>
      </c>
      <c r="E52" s="32"/>
      <c r="F52" s="74">
        <f t="shared" ref="F52:I53" si="43">F25</f>
        <v>45</v>
      </c>
      <c r="G52" s="74">
        <f t="shared" si="43"/>
        <v>16</v>
      </c>
      <c r="H52" s="71">
        <f t="shared" si="43"/>
        <v>8</v>
      </c>
      <c r="I52" s="74">
        <f t="shared" si="43"/>
        <v>64</v>
      </c>
      <c r="J52" s="64">
        <f t="shared" ref="J52:J53" si="44">IFERROR(F52/G52-1,"n/a")</f>
        <v>1.8125</v>
      </c>
      <c r="K52" s="64">
        <f t="shared" ref="K52:K53" si="45">IFERROR(F52/H52-1,"n/a")</f>
        <v>4.625</v>
      </c>
      <c r="L52" s="60">
        <f t="shared" ref="L52:L53" si="46">IFERROR(F52/I52-1,"n/a")</f>
        <v>-0.296875</v>
      </c>
      <c r="M52" s="70">
        <f>+M25-'Mar-22'!M22</f>
        <v>244</v>
      </c>
      <c r="N52" s="70">
        <f>+N25-'Mar-22'!N22</f>
        <v>78</v>
      </c>
      <c r="O52" s="82">
        <f>+O25-'Mar-22'!O22</f>
        <v>15</v>
      </c>
      <c r="P52" s="70">
        <f>+P25-'Mar-22'!P22</f>
        <v>288</v>
      </c>
      <c r="Q52" s="64">
        <f>IFERROR(M52/N52-1,"n/a")</f>
        <v>2.1282051282051282</v>
      </c>
      <c r="R52" s="64">
        <f>IFERROR(M52/O52-1,"n/a")</f>
        <v>15.266666666666666</v>
      </c>
      <c r="S52" s="60">
        <f t="shared" ref="S52:S53" si="47">IFERROR(M52/P52-1,"n/a")</f>
        <v>-0.15277777777777779</v>
      </c>
      <c r="T52" s="89">
        <v>121</v>
      </c>
      <c r="U52" s="70">
        <v>41</v>
      </c>
      <c r="V52" s="78">
        <v>361</v>
      </c>
    </row>
    <row r="53" spans="3:22" s="9" customFormat="1" ht="15" customHeight="1">
      <c r="C53" s="33"/>
      <c r="D53" s="26" t="s">
        <v>11</v>
      </c>
      <c r="E53" s="32"/>
      <c r="F53" s="74">
        <f t="shared" si="43"/>
        <v>59330</v>
      </c>
      <c r="G53" s="74">
        <f t="shared" si="43"/>
        <v>16203</v>
      </c>
      <c r="H53" s="71">
        <f t="shared" si="43"/>
        <v>8362</v>
      </c>
      <c r="I53" s="74">
        <f t="shared" si="43"/>
        <v>130501</v>
      </c>
      <c r="J53" s="64">
        <f t="shared" si="44"/>
        <v>2.6616675924211566</v>
      </c>
      <c r="K53" s="64">
        <f t="shared" si="45"/>
        <v>6.0951925376704139</v>
      </c>
      <c r="L53" s="60">
        <f t="shared" si="46"/>
        <v>-0.54536746844851769</v>
      </c>
      <c r="M53" s="82">
        <f>+M26-'Mar-22'!M23</f>
        <v>456816</v>
      </c>
      <c r="N53" s="82">
        <f>+N26-'Mar-22'!N23</f>
        <v>109254</v>
      </c>
      <c r="O53" s="82">
        <f>+O26-'Mar-22'!O23</f>
        <v>15441</v>
      </c>
      <c r="P53" s="82">
        <f>+P26-'Mar-22'!P23</f>
        <v>742409</v>
      </c>
      <c r="Q53" s="64">
        <f>IFERROR(M53/N53-1,"n/a")</f>
        <v>3.1812290625514859</v>
      </c>
      <c r="R53" s="64">
        <f>IFERROR(M53/O53-1,"n/a")</f>
        <v>28.584612395570236</v>
      </c>
      <c r="S53" s="60">
        <f t="shared" si="47"/>
        <v>-0.38468418351609424</v>
      </c>
      <c r="T53" s="82">
        <v>165689</v>
      </c>
      <c r="U53" s="84">
        <v>67144</v>
      </c>
      <c r="V53" s="78">
        <v>865961</v>
      </c>
    </row>
    <row r="54" spans="3:22" ht="15" customHeight="1">
      <c r="C54" s="31" t="s">
        <v>17</v>
      </c>
      <c r="D54" s="26"/>
      <c r="E54" s="32"/>
      <c r="F54" s="72"/>
      <c r="G54" s="72"/>
      <c r="H54" s="72"/>
      <c r="I54" s="72"/>
      <c r="J54" s="64"/>
      <c r="K54" s="64"/>
      <c r="L54" s="60"/>
      <c r="M54" s="87"/>
      <c r="N54" s="87"/>
      <c r="O54" s="87"/>
      <c r="P54" s="87"/>
      <c r="Q54" s="64"/>
      <c r="R54" s="64"/>
      <c r="S54" s="60"/>
      <c r="T54" s="90"/>
      <c r="U54" s="44"/>
      <c r="V54" s="79"/>
    </row>
    <row r="55" spans="3:22" ht="15.45" customHeight="1">
      <c r="C55" s="33"/>
      <c r="D55" s="26" t="s">
        <v>5</v>
      </c>
      <c r="E55" s="32"/>
      <c r="F55" s="74">
        <f t="shared" ref="F55:I56" si="48">F28</f>
        <v>85</v>
      </c>
      <c r="G55" s="74">
        <f t="shared" si="48"/>
        <v>28</v>
      </c>
      <c r="H55" s="71">
        <f t="shared" si="48"/>
        <v>12</v>
      </c>
      <c r="I55" s="74">
        <f t="shared" si="48"/>
        <v>71</v>
      </c>
      <c r="J55" s="64">
        <f t="shared" ref="J55:J58" si="49">IFERROR(F55/G55-1,"n/a")</f>
        <v>2.0357142857142856</v>
      </c>
      <c r="K55" s="64">
        <f t="shared" ref="K55:K58" si="50">IFERROR(F55/H55-1,"n/a")</f>
        <v>6.083333333333333</v>
      </c>
      <c r="L55" s="60">
        <f t="shared" ref="L55:L58" si="51">IFERROR(F55/I55-1,"n/a")</f>
        <v>0.19718309859154926</v>
      </c>
      <c r="M55" s="70">
        <f>+M28-'Mar-22'!M25</f>
        <v>490</v>
      </c>
      <c r="N55" s="70">
        <f>+N28-'Mar-22'!N25</f>
        <v>104</v>
      </c>
      <c r="O55" s="70">
        <f>+O28-'Mar-22'!O25</f>
        <v>23</v>
      </c>
      <c r="P55" s="70">
        <f>+P28-'Mar-22'!P25</f>
        <v>324</v>
      </c>
      <c r="Q55" s="64">
        <f>IFERROR(M55/N55-1,"n/a")</f>
        <v>3.7115384615384617</v>
      </c>
      <c r="R55" s="64">
        <f>IFERROR(M55/O55-1,"n/a")</f>
        <v>20.304347826086957</v>
      </c>
      <c r="S55" s="60">
        <f t="shared" ref="S55:S58" si="52">IFERROR(M55/P55-1,"n/a")</f>
        <v>0.51234567901234573</v>
      </c>
      <c r="T55" s="89">
        <v>140</v>
      </c>
      <c r="U55" s="70">
        <v>40</v>
      </c>
      <c r="V55" s="78">
        <v>360</v>
      </c>
    </row>
    <row r="56" spans="3:22" ht="15.45" customHeight="1">
      <c r="C56" s="33"/>
      <c r="D56" s="26" t="s">
        <v>11</v>
      </c>
      <c r="E56" s="32"/>
      <c r="F56" s="74">
        <f t="shared" si="48"/>
        <v>139070</v>
      </c>
      <c r="G56" s="74">
        <f t="shared" si="48"/>
        <v>32614</v>
      </c>
      <c r="H56" s="71">
        <f t="shared" si="48"/>
        <v>5592</v>
      </c>
      <c r="I56" s="74">
        <f t="shared" si="48"/>
        <v>138907</v>
      </c>
      <c r="J56" s="64">
        <f t="shared" si="49"/>
        <v>3.2641197031949467</v>
      </c>
      <c r="K56" s="64">
        <f t="shared" si="50"/>
        <v>23.869456366237483</v>
      </c>
      <c r="L56" s="60">
        <f t="shared" si="51"/>
        <v>1.1734469825135374E-3</v>
      </c>
      <c r="M56" s="82">
        <f>+M29-'Mar-22'!M26</f>
        <v>820758</v>
      </c>
      <c r="N56" s="82">
        <f>+N29-'Mar-22'!N26</f>
        <v>148134</v>
      </c>
      <c r="O56" s="82">
        <f>+O29-'Mar-22'!O26</f>
        <v>15420</v>
      </c>
      <c r="P56" s="82">
        <f>+P29-'Mar-22'!P26</f>
        <v>833578</v>
      </c>
      <c r="Q56" s="64">
        <f>IFERROR(M56/N56-1,"n/a")</f>
        <v>4.5406456316578234</v>
      </c>
      <c r="R56" s="64">
        <f>IFERROR(M56/O56-1,"n/a")</f>
        <v>52.226848249027235</v>
      </c>
      <c r="S56" s="60">
        <f t="shared" si="52"/>
        <v>-1.5379484583326386E-2</v>
      </c>
      <c r="T56" s="82">
        <v>174336</v>
      </c>
      <c r="U56" s="84">
        <v>21928</v>
      </c>
      <c r="V56" s="78">
        <f>706948+155011</f>
        <v>861959</v>
      </c>
    </row>
    <row r="57" spans="3:22" ht="26.7" customHeight="1" thickBot="1">
      <c r="C57" s="35" t="s">
        <v>12</v>
      </c>
      <c r="D57" s="36"/>
      <c r="E57" s="37"/>
      <c r="F57" s="75">
        <f t="shared" ref="F57:I58" si="53">F40+F43+F46+F49+F52+F55</f>
        <v>412</v>
      </c>
      <c r="G57" s="75">
        <f t="shared" si="53"/>
        <v>249</v>
      </c>
      <c r="H57" s="75">
        <f t="shared" si="53"/>
        <v>20</v>
      </c>
      <c r="I57" s="75">
        <f t="shared" si="53"/>
        <v>393</v>
      </c>
      <c r="J57" s="66">
        <f t="shared" si="49"/>
        <v>0.65461847389558225</v>
      </c>
      <c r="K57" s="66">
        <f t="shared" si="50"/>
        <v>19.600000000000001</v>
      </c>
      <c r="L57" s="62">
        <f t="shared" si="51"/>
        <v>4.8346055979643809E-2</v>
      </c>
      <c r="M57" s="46">
        <f t="shared" ref="M57:P58" si="54">M40+M43+M46+M49+M52+M55</f>
        <v>2382</v>
      </c>
      <c r="N57" s="46">
        <f t="shared" si="54"/>
        <v>619</v>
      </c>
      <c r="O57" s="46">
        <f t="shared" si="54"/>
        <v>81</v>
      </c>
      <c r="P57" s="46">
        <f t="shared" si="54"/>
        <v>2104</v>
      </c>
      <c r="Q57" s="66">
        <f>IFERROR(M57/N57-1,"n/a")</f>
        <v>2.8481421647819065</v>
      </c>
      <c r="R57" s="66">
        <f>IFERROR(M57/O57-1,"n/a")</f>
        <v>28.407407407407408</v>
      </c>
      <c r="S57" s="62">
        <f t="shared" si="52"/>
        <v>0.13212927756653992</v>
      </c>
      <c r="T57" s="46">
        <f t="shared" ref="T57:V58" si="55">T40+T43+T46+T49+T52+T55</f>
        <v>1682</v>
      </c>
      <c r="U57" s="46">
        <f t="shared" si="55"/>
        <v>679</v>
      </c>
      <c r="V57" s="80">
        <f t="shared" si="55"/>
        <v>3274</v>
      </c>
    </row>
    <row r="58" spans="3:22" ht="26.7" customHeight="1" thickTop="1" thickBot="1">
      <c r="C58" s="38" t="s">
        <v>13</v>
      </c>
      <c r="D58" s="39"/>
      <c r="E58" s="40"/>
      <c r="F58" s="76">
        <f t="shared" si="53"/>
        <v>867362</v>
      </c>
      <c r="G58" s="76">
        <f t="shared" si="53"/>
        <v>369553</v>
      </c>
      <c r="H58" s="76">
        <f t="shared" si="53"/>
        <v>13954</v>
      </c>
      <c r="I58" s="76">
        <f t="shared" si="53"/>
        <v>930242</v>
      </c>
      <c r="J58" s="67">
        <f t="shared" si="49"/>
        <v>1.3470571203589201</v>
      </c>
      <c r="K58" s="67">
        <f t="shared" si="50"/>
        <v>61.158664182313316</v>
      </c>
      <c r="L58" s="63">
        <f t="shared" si="51"/>
        <v>-6.7595313907563792E-2</v>
      </c>
      <c r="M58" s="47">
        <f t="shared" si="54"/>
        <v>5216385</v>
      </c>
      <c r="N58" s="47">
        <f t="shared" si="54"/>
        <v>932442</v>
      </c>
      <c r="O58" s="47">
        <f t="shared" si="54"/>
        <v>30972</v>
      </c>
      <c r="P58" s="47">
        <f t="shared" si="54"/>
        <v>5994322</v>
      </c>
      <c r="Q58" s="67">
        <f>IFERROR(M58/N58-1,"n/a")</f>
        <v>4.59432651038885</v>
      </c>
      <c r="R58" s="67">
        <f>IFERROR(M58/O58-1,"n/a")</f>
        <v>167.42260751646648</v>
      </c>
      <c r="S58" s="63">
        <f t="shared" si="52"/>
        <v>-0.12977898084220363</v>
      </c>
      <c r="T58" s="47">
        <f t="shared" si="55"/>
        <v>2411641</v>
      </c>
      <c r="U58" s="47">
        <f t="shared" si="55"/>
        <v>1324261</v>
      </c>
      <c r="V58" s="81">
        <f t="shared" si="55"/>
        <v>8654686</v>
      </c>
    </row>
    <row r="59" spans="3:22" ht="12" customHeight="1" thickTop="1"/>
    <row r="60" spans="3:22" ht="26.7" customHeight="1"/>
    <row r="61" spans="3:22" ht="26.7" customHeight="1"/>
    <row r="62" spans="3:22" ht="26.7" customHeight="1"/>
    <row r="63" spans="3:22" ht="26.7" customHeight="1"/>
    <row r="64" spans="3:22" ht="26.7" customHeight="1"/>
    <row r="65" ht="26.7" customHeight="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T59"/>
  <sheetViews>
    <sheetView showGridLines="0" zoomScale="110" zoomScaleNormal="110" zoomScalePageLayoutView="40" workbookViewId="0"/>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9" customWidth="1"/>
    <col min="24" max="38" width="0" style="9" hidden="1" customWidth="1"/>
    <col min="39" max="46" width="0" hidden="1" customWidth="1"/>
    <col min="47"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86</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ht="14.4">
      <c r="A6" s="9"/>
      <c r="B6" s="10"/>
      <c r="C6" s="24"/>
      <c r="D6" s="24"/>
      <c r="E6" s="24"/>
      <c r="F6" s="24"/>
      <c r="G6" s="24"/>
      <c r="H6" s="24"/>
      <c r="I6" s="24"/>
      <c r="J6" s="24"/>
      <c r="K6" s="24"/>
      <c r="L6" s="24"/>
      <c r="M6" s="24"/>
      <c r="N6" s="24"/>
      <c r="O6" s="24"/>
      <c r="P6" s="24"/>
      <c r="Q6" s="24"/>
      <c r="R6" s="24"/>
      <c r="S6" s="24"/>
      <c r="T6" s="24"/>
      <c r="U6" s="24"/>
      <c r="V6" s="24"/>
    </row>
    <row r="7" spans="1:38" ht="14.4">
      <c r="A7" s="9"/>
      <c r="B7" s="10"/>
      <c r="C7" s="86" t="s">
        <v>62</v>
      </c>
      <c r="D7" s="24"/>
      <c r="E7" s="24"/>
      <c r="F7" s="24"/>
      <c r="G7" s="24"/>
      <c r="H7" s="24"/>
      <c r="I7" s="24"/>
      <c r="J7" s="24"/>
      <c r="K7" s="24"/>
      <c r="L7" s="24"/>
      <c r="M7" s="24"/>
      <c r="N7" s="24"/>
      <c r="O7" s="24"/>
      <c r="P7" s="24"/>
      <c r="Q7" s="24"/>
      <c r="R7" s="24"/>
      <c r="S7" s="24"/>
      <c r="T7" s="24"/>
      <c r="U7" s="24"/>
      <c r="V7" s="24"/>
    </row>
    <row r="8" spans="1:38" ht="14.4">
      <c r="A8" s="9"/>
      <c r="B8" s="10"/>
      <c r="C8" s="24"/>
      <c r="D8" s="24"/>
      <c r="E8" s="24"/>
      <c r="F8" s="24"/>
      <c r="G8" s="24"/>
      <c r="H8" s="24"/>
      <c r="I8" s="24"/>
      <c r="J8" s="24"/>
      <c r="K8" s="24"/>
      <c r="L8" s="24"/>
      <c r="M8" s="24"/>
      <c r="N8" s="24"/>
      <c r="O8" s="24"/>
      <c r="P8" s="24"/>
      <c r="Q8" s="24"/>
      <c r="R8" s="24"/>
      <c r="S8" s="24"/>
      <c r="T8" s="24"/>
      <c r="U8" s="24"/>
      <c r="V8" s="24"/>
    </row>
    <row r="9" spans="1:38" s="20" customFormat="1" ht="14.4">
      <c r="A9" s="9"/>
      <c r="B9"/>
      <c r="C9" s="27" t="s">
        <v>7</v>
      </c>
      <c r="D9" s="28"/>
      <c r="E9" s="28"/>
      <c r="F9" s="128" t="s">
        <v>22</v>
      </c>
      <c r="G9" s="128"/>
      <c r="H9" s="128"/>
      <c r="I9" s="128"/>
      <c r="J9" s="128"/>
      <c r="K9" s="128"/>
      <c r="L9" s="129"/>
      <c r="M9" s="130" t="s">
        <v>87</v>
      </c>
      <c r="N9" s="128"/>
      <c r="O9" s="128"/>
      <c r="P9" s="128"/>
      <c r="Q9" s="128"/>
      <c r="R9" s="128"/>
      <c r="S9" s="129"/>
      <c r="T9" s="130" t="s">
        <v>57</v>
      </c>
      <c r="U9" s="128"/>
      <c r="V9" s="131"/>
      <c r="W9" s="9"/>
      <c r="X9" s="19"/>
      <c r="Y9" s="19"/>
      <c r="Z9" s="19"/>
      <c r="AA9" s="19"/>
      <c r="AB9" s="19"/>
      <c r="AC9" s="19"/>
      <c r="AD9" s="19"/>
      <c r="AE9" s="19"/>
      <c r="AF9" s="19"/>
      <c r="AG9" s="19"/>
      <c r="AH9" s="19"/>
      <c r="AI9" s="19"/>
      <c r="AJ9" s="19"/>
      <c r="AK9" s="19"/>
      <c r="AL9" s="19"/>
    </row>
    <row r="10" spans="1:38" ht="14.4">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4.4">
      <c r="A12" s="9"/>
      <c r="B12" s="12"/>
      <c r="C12" s="31" t="s">
        <v>14</v>
      </c>
      <c r="D12" s="26"/>
      <c r="E12" s="32"/>
      <c r="F12" s="26"/>
      <c r="G12" s="26"/>
      <c r="H12" s="26"/>
      <c r="I12" s="26"/>
      <c r="J12" s="26"/>
      <c r="K12" s="26"/>
      <c r="L12" s="32"/>
      <c r="M12" s="26"/>
      <c r="N12" s="26"/>
      <c r="O12" s="26"/>
      <c r="P12" s="26"/>
      <c r="Q12" s="26"/>
      <c r="R12" s="26"/>
      <c r="S12" s="32"/>
      <c r="T12" s="26"/>
      <c r="U12" s="26"/>
      <c r="V12" s="32"/>
    </row>
    <row r="13" spans="1:38" ht="14.4">
      <c r="A13" s="9"/>
      <c r="B13" s="12"/>
      <c r="C13" s="33"/>
      <c r="D13" s="26" t="s">
        <v>5</v>
      </c>
      <c r="E13" s="32"/>
      <c r="F13" s="74">
        <v>2</v>
      </c>
      <c r="G13" s="71">
        <v>3</v>
      </c>
      <c r="H13" s="71">
        <v>0</v>
      </c>
      <c r="I13" s="71">
        <v>3</v>
      </c>
      <c r="J13" s="64">
        <f t="shared" ref="J13:J31" si="0">IFERROR(F13/G13-1,"n/a")</f>
        <v>-0.33333333333333337</v>
      </c>
      <c r="K13" s="64" t="str">
        <f>IFERROR(F13/H13-1,"n/a")</f>
        <v>n/a</v>
      </c>
      <c r="L13" s="60">
        <f t="shared" ref="L13:L14" si="1">IFERROR(F13/I13-1,"n/a")</f>
        <v>-0.33333333333333337</v>
      </c>
      <c r="M13" s="68">
        <f>F13+'Aug-22'!M13</f>
        <v>229</v>
      </c>
      <c r="N13" s="68">
        <f>G13+'Aug-22'!N13</f>
        <v>16</v>
      </c>
      <c r="O13" s="68">
        <f>H13+'Aug-22'!O13</f>
        <v>145</v>
      </c>
      <c r="P13" s="68">
        <f>I13+'Aug-22'!P13</f>
        <v>253</v>
      </c>
      <c r="Q13" s="64">
        <f>IFERROR(M13/N13-1,"n/a")</f>
        <v>13.3125</v>
      </c>
      <c r="R13" s="64">
        <f>IFERROR(M13/O13-1,"n/a")</f>
        <v>0.57931034482758625</v>
      </c>
      <c r="S13" s="60">
        <f>IFERROR(M13/P13-1,"n/a")</f>
        <v>-9.4861660079051391E-2</v>
      </c>
      <c r="T13" s="68">
        <v>111</v>
      </c>
      <c r="U13" s="70">
        <v>145</v>
      </c>
      <c r="V13" s="78">
        <v>386</v>
      </c>
    </row>
    <row r="14" spans="1:38" ht="14.4">
      <c r="A14" s="9"/>
      <c r="B14" s="12"/>
      <c r="C14" s="33"/>
      <c r="D14" s="26" t="s">
        <v>11</v>
      </c>
      <c r="E14" s="32"/>
      <c r="F14" s="74">
        <v>4913</v>
      </c>
      <c r="G14" s="71">
        <v>1618</v>
      </c>
      <c r="H14" s="71">
        <v>0</v>
      </c>
      <c r="I14" s="71">
        <v>11148</v>
      </c>
      <c r="J14" s="64">
        <f t="shared" si="0"/>
        <v>2.0364647713226205</v>
      </c>
      <c r="K14" s="64" t="str">
        <f t="shared" ref="K14" si="2">IFERROR(F14/H14-1,"n/a")</f>
        <v>n/a</v>
      </c>
      <c r="L14" s="60">
        <f t="shared" si="1"/>
        <v>-0.55929314675278075</v>
      </c>
      <c r="M14" s="68">
        <f>F14+'Aug-22'!M14</f>
        <v>199082</v>
      </c>
      <c r="N14" s="68">
        <f>G14+'Aug-22'!N14</f>
        <v>4201</v>
      </c>
      <c r="O14" s="68">
        <f>H14+'Aug-22'!O14</f>
        <v>258885</v>
      </c>
      <c r="P14" s="68">
        <f>I14+'Aug-22'!P14</f>
        <v>492279</v>
      </c>
      <c r="Q14" s="64">
        <f>IFERROR(M14/N14-1,"n/a")</f>
        <v>46.389193049273985</v>
      </c>
      <c r="R14" s="64">
        <f>IFERROR(M14/O14-1,"n/a")</f>
        <v>-0.23100218243621684</v>
      </c>
      <c r="S14" s="60">
        <f>IFERROR(M14/P14-1,"n/a")</f>
        <v>-0.59559111804484854</v>
      </c>
      <c r="T14" s="68">
        <v>80863</v>
      </c>
      <c r="U14" s="70">
        <v>258885</v>
      </c>
      <c r="V14" s="78">
        <v>733296</v>
      </c>
    </row>
    <row r="15" spans="1:38" ht="14.4">
      <c r="A15" s="9"/>
      <c r="B15" s="12"/>
      <c r="C15" s="31" t="s">
        <v>74</v>
      </c>
      <c r="D15" s="26"/>
      <c r="E15" s="32"/>
      <c r="F15" s="26"/>
      <c r="G15" s="26"/>
      <c r="H15" s="26"/>
      <c r="I15" s="26"/>
      <c r="J15" s="64"/>
      <c r="K15" s="64"/>
      <c r="L15" s="61"/>
      <c r="M15" s="87"/>
      <c r="N15" s="87"/>
      <c r="O15" s="87"/>
      <c r="P15" s="87"/>
      <c r="Q15" s="64"/>
      <c r="R15" s="65"/>
      <c r="S15" s="61"/>
      <c r="T15" s="43"/>
      <c r="U15" s="44"/>
      <c r="V15" s="79"/>
    </row>
    <row r="16" spans="1:38" ht="14.4">
      <c r="A16" s="9"/>
      <c r="B16" s="12"/>
      <c r="C16" s="33"/>
      <c r="D16" s="26" t="s">
        <v>5</v>
      </c>
      <c r="E16" s="32"/>
      <c r="F16" s="74">
        <v>79</v>
      </c>
      <c r="G16" s="71">
        <v>46</v>
      </c>
      <c r="H16" s="71">
        <v>0</v>
      </c>
      <c r="I16" s="71">
        <v>86</v>
      </c>
      <c r="J16" s="64">
        <f t="shared" si="0"/>
        <v>0.71739130434782616</v>
      </c>
      <c r="K16" s="64" t="str">
        <f t="shared" ref="K16:K17" si="3">IFERROR(F16/H16-1,"n/a")</f>
        <v>n/a</v>
      </c>
      <c r="L16" s="60">
        <f t="shared" ref="L16:L17" si="4">IFERROR(F16/I16-1,"n/a")</f>
        <v>-8.1395348837209336E-2</v>
      </c>
      <c r="M16" s="68">
        <f>F16+'Aug-22'!M16</f>
        <v>527</v>
      </c>
      <c r="N16" s="68">
        <f>G16+'Aug-22'!N16</f>
        <v>84</v>
      </c>
      <c r="O16" s="68">
        <f>H16+'Aug-22'!O16</f>
        <v>43</v>
      </c>
      <c r="P16" s="68">
        <f>I16+'Aug-22'!P16</f>
        <v>585</v>
      </c>
      <c r="Q16" s="64">
        <f t="shared" ref="Q16:Q17" si="5">IFERROR(M16/N16-1,"n/a")</f>
        <v>5.2738095238095237</v>
      </c>
      <c r="R16" s="64">
        <f t="shared" ref="R16:R17" si="6">IFERROR(M16/O16-1,"n/a")</f>
        <v>11.255813953488373</v>
      </c>
      <c r="S16" s="60">
        <f t="shared" ref="S16:S17" si="7">IFERROR(M16/P16-1,"n/a")</f>
        <v>-9.9145299145299126E-2</v>
      </c>
      <c r="T16" s="68">
        <v>283</v>
      </c>
      <c r="U16" s="70">
        <v>43</v>
      </c>
      <c r="V16" s="78">
        <v>827</v>
      </c>
    </row>
    <row r="17" spans="1:38" ht="14.4">
      <c r="A17" s="9"/>
      <c r="B17" s="12"/>
      <c r="C17" s="33"/>
      <c r="D17" s="26" t="s">
        <v>11</v>
      </c>
      <c r="E17" s="32"/>
      <c r="F17" s="74">
        <v>249427</v>
      </c>
      <c r="G17" s="71">
        <v>89719</v>
      </c>
      <c r="H17" s="71">
        <v>0</v>
      </c>
      <c r="I17" s="71">
        <v>304036</v>
      </c>
      <c r="J17" s="64">
        <f t="shared" si="0"/>
        <v>1.7800911735529823</v>
      </c>
      <c r="K17" s="64" t="str">
        <f t="shared" si="3"/>
        <v>n/a</v>
      </c>
      <c r="L17" s="60">
        <f t="shared" si="4"/>
        <v>-0.1796135983896644</v>
      </c>
      <c r="M17" s="68">
        <f>F17+'Aug-22'!M17</f>
        <v>1281730</v>
      </c>
      <c r="N17" s="68">
        <f>G17+'Aug-22'!N17</f>
        <v>167883</v>
      </c>
      <c r="O17" s="68">
        <f>H17+'Aug-22'!O17</f>
        <v>140552</v>
      </c>
      <c r="P17" s="68">
        <f>I17+'Aug-22'!P17</f>
        <v>1897444</v>
      </c>
      <c r="Q17" s="64">
        <f t="shared" si="5"/>
        <v>6.6346622350089053</v>
      </c>
      <c r="R17" s="64">
        <f t="shared" si="6"/>
        <v>8.1192583527804665</v>
      </c>
      <c r="S17" s="60">
        <f t="shared" si="7"/>
        <v>-0.32449653323102023</v>
      </c>
      <c r="T17" s="68">
        <v>465109</v>
      </c>
      <c r="U17" s="70">
        <v>140552</v>
      </c>
      <c r="V17" s="78">
        <v>2552942</v>
      </c>
    </row>
    <row r="18" spans="1:38" ht="14.4">
      <c r="A18" s="9"/>
      <c r="B18" s="12"/>
      <c r="C18" s="31" t="s">
        <v>15</v>
      </c>
      <c r="D18" s="26"/>
      <c r="E18" s="32"/>
      <c r="F18" s="72"/>
      <c r="G18" s="72"/>
      <c r="H18" s="72"/>
      <c r="I18" s="72"/>
      <c r="J18" s="64"/>
      <c r="K18" s="64"/>
      <c r="L18" s="60"/>
      <c r="M18" s="87"/>
      <c r="N18" s="87"/>
      <c r="O18" s="87"/>
      <c r="P18" s="87"/>
      <c r="Q18" s="64"/>
      <c r="R18" s="64"/>
      <c r="S18" s="60"/>
      <c r="T18" s="43"/>
      <c r="U18" s="44"/>
      <c r="V18" s="79"/>
    </row>
    <row r="19" spans="1:38" ht="14.4">
      <c r="A19" s="9"/>
      <c r="B19" s="12"/>
      <c r="C19" s="33"/>
      <c r="D19" s="26" t="s">
        <v>5</v>
      </c>
      <c r="E19" s="32"/>
      <c r="F19" s="74">
        <v>64</v>
      </c>
      <c r="G19" s="71">
        <v>2</v>
      </c>
      <c r="H19" s="71">
        <v>0</v>
      </c>
      <c r="I19" s="71">
        <v>23</v>
      </c>
      <c r="J19" s="64">
        <f t="shared" si="0"/>
        <v>31</v>
      </c>
      <c r="K19" s="64" t="str">
        <f t="shared" ref="K19:K20" si="8">IFERROR(F19/H19-1,"n/a")</f>
        <v>n/a</v>
      </c>
      <c r="L19" s="60">
        <f>IFERROR(F19/I19-1,"n/a")</f>
        <v>1.7826086956521738</v>
      </c>
      <c r="M19" s="68">
        <f>F19+'Aug-22'!M19</f>
        <v>359</v>
      </c>
      <c r="N19" s="68">
        <f>G19+'Aug-22'!N19</f>
        <v>2</v>
      </c>
      <c r="O19" s="68">
        <f>H19+'Aug-22'!O19</f>
        <v>4</v>
      </c>
      <c r="P19" s="68">
        <f>I19+'Aug-22'!P19</f>
        <v>151</v>
      </c>
      <c r="Q19" s="64">
        <f t="shared" ref="Q19:Q20" si="9">IFERROR(M19/N19-1,"n/a")</f>
        <v>178.5</v>
      </c>
      <c r="R19" s="64">
        <f t="shared" ref="R19:R20" si="10">IFERROR(M19/O19-1,"n/a")</f>
        <v>88.75</v>
      </c>
      <c r="S19" s="60">
        <f t="shared" ref="S19:S20" si="11">IFERROR(M19/P19-1,"n/a")</f>
        <v>1.3774834437086092</v>
      </c>
      <c r="T19" s="68">
        <v>23</v>
      </c>
      <c r="U19" s="70">
        <v>4</v>
      </c>
      <c r="V19" s="78">
        <v>191</v>
      </c>
    </row>
    <row r="20" spans="1:38" ht="14.4">
      <c r="A20" s="9"/>
      <c r="B20" s="12"/>
      <c r="C20" s="33"/>
      <c r="D20" s="26" t="s">
        <v>11</v>
      </c>
      <c r="E20" s="32"/>
      <c r="F20" s="74">
        <f>66521+13725</f>
        <v>80246</v>
      </c>
      <c r="G20" s="71">
        <v>424</v>
      </c>
      <c r="H20" s="71">
        <v>0</v>
      </c>
      <c r="I20" s="71">
        <v>35836</v>
      </c>
      <c r="J20" s="64">
        <f t="shared" si="0"/>
        <v>188.25943396226415</v>
      </c>
      <c r="K20" s="64" t="str">
        <f t="shared" si="8"/>
        <v>n/a</v>
      </c>
      <c r="L20" s="60">
        <f t="shared" ref="L20:L31" si="12">IFERROR(F20/I20-1,"n/a")</f>
        <v>1.2392566134613237</v>
      </c>
      <c r="M20" s="68">
        <f>F20+'Aug-22'!M20</f>
        <v>422392</v>
      </c>
      <c r="N20" s="68">
        <f>G20+'Aug-22'!N20</f>
        <v>424</v>
      </c>
      <c r="O20" s="68">
        <f>H20+'Aug-22'!O20</f>
        <v>1753</v>
      </c>
      <c r="P20" s="68">
        <f>I20+'Aug-22'!P20</f>
        <v>203378</v>
      </c>
      <c r="Q20" s="64">
        <f t="shared" si="9"/>
        <v>995.20754716981128</v>
      </c>
      <c r="R20" s="64">
        <f t="shared" si="10"/>
        <v>239.95379349686252</v>
      </c>
      <c r="S20" s="60">
        <f t="shared" si="11"/>
        <v>1.0768814719389512</v>
      </c>
      <c r="T20" s="68">
        <v>8611</v>
      </c>
      <c r="U20" s="70">
        <v>1753</v>
      </c>
      <c r="V20" s="78">
        <v>254421</v>
      </c>
    </row>
    <row r="21" spans="1:38" ht="14.4">
      <c r="A21" s="9"/>
      <c r="B21" s="12"/>
      <c r="C21" s="31" t="s">
        <v>10</v>
      </c>
      <c r="D21" s="26"/>
      <c r="E21" s="34"/>
      <c r="F21" s="72"/>
      <c r="G21" s="72"/>
      <c r="H21" s="72"/>
      <c r="I21" s="72"/>
      <c r="J21" s="64"/>
      <c r="K21" s="64"/>
      <c r="L21" s="60"/>
      <c r="M21" s="87"/>
      <c r="N21" s="87"/>
      <c r="O21" s="87"/>
      <c r="P21" s="87"/>
      <c r="Q21" s="64"/>
      <c r="R21" s="64"/>
      <c r="S21" s="60"/>
      <c r="T21" s="43"/>
      <c r="U21" s="44"/>
      <c r="V21" s="79"/>
    </row>
    <row r="22" spans="1:38" ht="14.4">
      <c r="A22" s="9"/>
      <c r="B22" s="12"/>
      <c r="C22" s="33"/>
      <c r="D22" s="26" t="s">
        <v>5</v>
      </c>
      <c r="E22" s="34"/>
      <c r="F22" s="74">
        <v>80</v>
      </c>
      <c r="G22" s="71">
        <v>57</v>
      </c>
      <c r="H22" s="71">
        <v>0</v>
      </c>
      <c r="I22" s="71">
        <v>76</v>
      </c>
      <c r="J22" s="64">
        <f t="shared" si="0"/>
        <v>0.40350877192982448</v>
      </c>
      <c r="K22" s="64" t="str">
        <f t="shared" ref="K22:K23" si="13">IFERROR(F22/H22-1,"n/a")</f>
        <v>n/a</v>
      </c>
      <c r="L22" s="60">
        <f t="shared" si="12"/>
        <v>5.2631578947368363E-2</v>
      </c>
      <c r="M22" s="68">
        <f>F22+'Aug-22'!M22</f>
        <v>844</v>
      </c>
      <c r="N22" s="68">
        <f>G22+'Aug-22'!N22</f>
        <v>130</v>
      </c>
      <c r="O22" s="68">
        <f>H22+'Aug-22'!O22</f>
        <v>406</v>
      </c>
      <c r="P22" s="68">
        <f>I22+'Aug-22'!P22</f>
        <v>856</v>
      </c>
      <c r="Q22" s="64">
        <f t="shared" ref="Q22:Q23" si="14">IFERROR(M22/N22-1,"n/a")</f>
        <v>5.4923076923076923</v>
      </c>
      <c r="R22" s="64">
        <f t="shared" ref="R22:R23" si="15">IFERROR(M22/O22-1,"n/a")</f>
        <v>1.0788177339901477</v>
      </c>
      <c r="S22" s="60">
        <f t="shared" ref="S22:S23" si="16">IFERROR(M22/P22-1,"n/a")</f>
        <v>-1.4018691588784993E-2</v>
      </c>
      <c r="T22" s="68">
        <v>411</v>
      </c>
      <c r="U22" s="70">
        <v>406</v>
      </c>
      <c r="V22" s="78">
        <v>1205</v>
      </c>
    </row>
    <row r="23" spans="1:38" ht="14.4">
      <c r="A23" s="9"/>
      <c r="B23" s="12"/>
      <c r="C23" s="33"/>
      <c r="D23" s="26" t="s">
        <v>11</v>
      </c>
      <c r="E23" s="32"/>
      <c r="F23" s="74">
        <v>275667</v>
      </c>
      <c r="G23" s="71">
        <v>81777</v>
      </c>
      <c r="H23" s="71">
        <v>0</v>
      </c>
      <c r="I23" s="71">
        <v>223305</v>
      </c>
      <c r="J23" s="64">
        <f t="shared" si="0"/>
        <v>2.3709600498917789</v>
      </c>
      <c r="K23" s="64" t="str">
        <f t="shared" si="13"/>
        <v>n/a</v>
      </c>
      <c r="L23" s="60">
        <f t="shared" si="12"/>
        <v>0.23448646470074563</v>
      </c>
      <c r="M23" s="68">
        <f>F23+'Aug-22'!M23</f>
        <v>2196229</v>
      </c>
      <c r="N23" s="68">
        <f>G23+'Aug-22'!N23</f>
        <v>181810</v>
      </c>
      <c r="O23" s="68">
        <f>H23+'Aug-22'!O23</f>
        <v>833999</v>
      </c>
      <c r="P23" s="68">
        <f>I23+'Aug-22'!P23</f>
        <v>2872542</v>
      </c>
      <c r="Q23" s="64">
        <f t="shared" si="14"/>
        <v>11.079803091139102</v>
      </c>
      <c r="R23" s="64">
        <f t="shared" si="15"/>
        <v>1.6333712630350874</v>
      </c>
      <c r="S23" s="60">
        <f t="shared" si="16"/>
        <v>-0.2354405958207052</v>
      </c>
      <c r="T23" s="68">
        <v>687449</v>
      </c>
      <c r="U23" s="70">
        <v>833999</v>
      </c>
      <c r="V23" s="78">
        <v>3859183</v>
      </c>
    </row>
    <row r="24" spans="1:38" ht="14.4">
      <c r="A24" s="9"/>
      <c r="B24" s="12"/>
      <c r="C24" s="31" t="s">
        <v>16</v>
      </c>
      <c r="D24" s="26"/>
      <c r="E24" s="32"/>
      <c r="F24" s="72"/>
      <c r="G24" s="72"/>
      <c r="H24" s="72"/>
      <c r="I24" s="72"/>
      <c r="J24" s="64"/>
      <c r="K24" s="64"/>
      <c r="L24" s="60"/>
      <c r="M24" s="87"/>
      <c r="N24" s="87"/>
      <c r="O24" s="87"/>
      <c r="P24" s="87"/>
      <c r="Q24" s="64"/>
      <c r="R24" s="64"/>
      <c r="S24" s="60"/>
      <c r="T24" s="43"/>
      <c r="U24" s="44"/>
      <c r="V24" s="79"/>
    </row>
    <row r="25" spans="1:38" ht="14.4">
      <c r="A25" s="9"/>
      <c r="B25" s="12"/>
      <c r="C25" s="33"/>
      <c r="D25" s="26" t="s">
        <v>5</v>
      </c>
      <c r="E25" s="32"/>
      <c r="F25" s="73">
        <v>34</v>
      </c>
      <c r="G25" s="71">
        <v>17</v>
      </c>
      <c r="H25" s="71">
        <v>5</v>
      </c>
      <c r="I25" s="71">
        <v>40</v>
      </c>
      <c r="J25" s="64">
        <f t="shared" si="0"/>
        <v>1</v>
      </c>
      <c r="K25" s="64">
        <f t="shared" ref="K25:K26" si="17">IFERROR(F25/H25-1,"n/a")</f>
        <v>5.8</v>
      </c>
      <c r="L25" s="60">
        <f t="shared" si="12"/>
        <v>-0.15000000000000002</v>
      </c>
      <c r="M25" s="68">
        <f>F25+'Aug-22'!M25</f>
        <v>222</v>
      </c>
      <c r="N25" s="68">
        <f>G25+'Aug-22'!N25</f>
        <v>71</v>
      </c>
      <c r="O25" s="68">
        <f>H25+'Aug-22'!O25</f>
        <v>16</v>
      </c>
      <c r="P25" s="68">
        <f>I25+'Aug-22'!P25</f>
        <v>244</v>
      </c>
      <c r="Q25" s="64">
        <f t="shared" ref="Q25:Q26" si="18">IFERROR(M25/N25-1,"n/a")</f>
        <v>2.1267605633802815</v>
      </c>
      <c r="R25" s="64">
        <f t="shared" ref="R25:R26" si="19">IFERROR(M25/O25-1,"n/a")</f>
        <v>12.875</v>
      </c>
      <c r="S25" s="60">
        <f t="shared" ref="S25:S26" si="20">IFERROR(M25/P25-1,"n/a")</f>
        <v>-9.0163934426229497E-2</v>
      </c>
      <c r="T25" s="68">
        <v>107</v>
      </c>
      <c r="U25" s="70">
        <v>32</v>
      </c>
      <c r="V25" s="78">
        <v>372</v>
      </c>
    </row>
    <row r="26" spans="1:38" ht="14.4">
      <c r="A26" s="9"/>
      <c r="B26" s="12"/>
      <c r="C26" s="33"/>
      <c r="D26" s="26" t="s">
        <v>11</v>
      </c>
      <c r="E26" s="32"/>
      <c r="F26" s="73">
        <v>77500</v>
      </c>
      <c r="G26" s="71">
        <v>31465</v>
      </c>
      <c r="H26" s="71">
        <v>4538</v>
      </c>
      <c r="I26" s="71">
        <v>102143</v>
      </c>
      <c r="J26" s="64">
        <f t="shared" si="0"/>
        <v>1.4630541871921183</v>
      </c>
      <c r="K26" s="64">
        <f t="shared" si="17"/>
        <v>16.078007933010138</v>
      </c>
      <c r="L26" s="60">
        <f t="shared" si="12"/>
        <v>-0.24125980243384271</v>
      </c>
      <c r="M26" s="68">
        <f>F26+'Aug-22'!M26</f>
        <v>424007</v>
      </c>
      <c r="N26" s="68">
        <f>G26+'Aug-22'!N26</f>
        <v>101015</v>
      </c>
      <c r="O26" s="68">
        <f>H26+'Aug-22'!O26</f>
        <v>47300</v>
      </c>
      <c r="P26" s="68">
        <f>I26+'Aug-22'!P26</f>
        <v>688183</v>
      </c>
      <c r="Q26" s="64">
        <f t="shared" si="18"/>
        <v>3.1974657229124386</v>
      </c>
      <c r="R26" s="64">
        <f t="shared" si="19"/>
        <v>7.9642071881606764</v>
      </c>
      <c r="S26" s="60">
        <f t="shared" si="20"/>
        <v>-0.38387463799599819</v>
      </c>
      <c r="T26" s="68">
        <v>147132</v>
      </c>
      <c r="U26" s="70">
        <v>59180</v>
      </c>
      <c r="V26" s="78">
        <v>902015</v>
      </c>
    </row>
    <row r="27" spans="1:38" ht="14.4">
      <c r="A27" s="9"/>
      <c r="B27" s="12"/>
      <c r="C27" s="31" t="s">
        <v>17</v>
      </c>
      <c r="D27" s="26"/>
      <c r="E27" s="32"/>
      <c r="F27" s="72"/>
      <c r="G27" s="72"/>
      <c r="H27" s="72"/>
      <c r="I27" s="72"/>
      <c r="J27" s="64"/>
      <c r="K27" s="64"/>
      <c r="L27" s="60"/>
      <c r="M27" s="87"/>
      <c r="N27" s="87"/>
      <c r="O27" s="87"/>
      <c r="P27" s="87"/>
      <c r="Q27" s="64"/>
      <c r="R27" s="64"/>
      <c r="S27" s="60"/>
      <c r="T27" s="43"/>
      <c r="U27" s="44"/>
      <c r="V27" s="79"/>
    </row>
    <row r="28" spans="1:38" ht="14.4">
      <c r="B28" s="12"/>
      <c r="C28" s="33"/>
      <c r="D28" s="26" t="s">
        <v>5</v>
      </c>
      <c r="E28" s="32"/>
      <c r="F28" s="74">
        <v>75</v>
      </c>
      <c r="G28" s="71">
        <v>23</v>
      </c>
      <c r="H28" s="71">
        <v>7</v>
      </c>
      <c r="I28" s="71">
        <v>41</v>
      </c>
      <c r="J28" s="64">
        <f t="shared" si="0"/>
        <v>2.2608695652173911</v>
      </c>
      <c r="K28" s="64">
        <f t="shared" ref="K28:K31" si="21">IFERROR(F28/H28-1,"n/a")</f>
        <v>9.7142857142857135</v>
      </c>
      <c r="L28" s="60">
        <f t="shared" si="12"/>
        <v>0.8292682926829269</v>
      </c>
      <c r="M28" s="68">
        <f>F28+'Aug-22'!M28</f>
        <v>421</v>
      </c>
      <c r="N28" s="68">
        <f>G28+'Aug-22'!N28</f>
        <v>79</v>
      </c>
      <c r="O28" s="68">
        <f>H28+'Aug-22'!O28</f>
        <v>12</v>
      </c>
      <c r="P28" s="68">
        <f>I28+'Aug-22'!P28</f>
        <v>257</v>
      </c>
      <c r="Q28" s="64">
        <f t="shared" ref="Q28:Q31" si="22">IFERROR(M28/N28-1,"n/a")</f>
        <v>4.3291139240506329</v>
      </c>
      <c r="R28" s="64">
        <f t="shared" ref="R28:R31" si="23">IFERROR(M28/O28-1,"n/a")</f>
        <v>34.083333333333336</v>
      </c>
      <c r="S28" s="60">
        <f t="shared" ref="S28:S31" si="24">IFERROR(M28/P28-1,"n/a")</f>
        <v>0.63813229571984431</v>
      </c>
      <c r="T28" s="68">
        <v>127</v>
      </c>
      <c r="U28" s="70">
        <v>37</v>
      </c>
      <c r="V28" s="78">
        <f>282+81</f>
        <v>363</v>
      </c>
    </row>
    <row r="29" spans="1:38" ht="14.4">
      <c r="A29" s="9"/>
      <c r="B29" s="12"/>
      <c r="C29" s="33"/>
      <c r="D29" s="26" t="s">
        <v>11</v>
      </c>
      <c r="E29" s="32"/>
      <c r="F29" s="74">
        <f>130831+18300+983</f>
        <v>150114</v>
      </c>
      <c r="G29" s="71">
        <v>35845</v>
      </c>
      <c r="H29" s="71">
        <v>1534</v>
      </c>
      <c r="I29" s="71">
        <v>107800</v>
      </c>
      <c r="J29" s="64">
        <f t="shared" si="0"/>
        <v>3.1878644162365743</v>
      </c>
      <c r="K29" s="64">
        <f t="shared" si="21"/>
        <v>96.857887874837033</v>
      </c>
      <c r="L29" s="60">
        <f t="shared" si="12"/>
        <v>0.39252319109461964</v>
      </c>
      <c r="M29" s="68">
        <f>F29+'Aug-22'!M29</f>
        <v>693288</v>
      </c>
      <c r="N29" s="68">
        <f>G29+'Aug-22'!N29</f>
        <v>117659</v>
      </c>
      <c r="O29" s="68">
        <f>H29+'Aug-22'!O29</f>
        <v>10720</v>
      </c>
      <c r="P29" s="68">
        <f>I29+'Aug-22'!P29</f>
        <v>700780</v>
      </c>
      <c r="Q29" s="64">
        <f t="shared" si="22"/>
        <v>4.8923499264824617</v>
      </c>
      <c r="R29" s="64">
        <f t="shared" si="23"/>
        <v>63.67238805970149</v>
      </c>
      <c r="S29" s="60">
        <f t="shared" si="24"/>
        <v>-1.0690944376266498E-2</v>
      </c>
      <c r="T29" s="68">
        <v>165083</v>
      </c>
      <c r="U29" s="70">
        <f>20768+8294</f>
        <v>29062</v>
      </c>
      <c r="V29" s="78">
        <f>659951+168729+38484</f>
        <v>867164</v>
      </c>
    </row>
    <row r="30" spans="1:38" ht="15" customHeight="1" thickBot="1">
      <c r="A30" s="9"/>
      <c r="B30" s="12"/>
      <c r="C30" s="35" t="s">
        <v>12</v>
      </c>
      <c r="D30" s="36"/>
      <c r="E30" s="37"/>
      <c r="F30" s="75">
        <f t="shared" ref="F30:I31" si="25">F13+F16+F19+F22+F25+F28</f>
        <v>334</v>
      </c>
      <c r="G30" s="75">
        <f t="shared" si="25"/>
        <v>148</v>
      </c>
      <c r="H30" s="75">
        <f t="shared" si="25"/>
        <v>12</v>
      </c>
      <c r="I30" s="75">
        <f t="shared" si="25"/>
        <v>269</v>
      </c>
      <c r="J30" s="66">
        <f t="shared" si="0"/>
        <v>1.2567567567567566</v>
      </c>
      <c r="K30" s="66">
        <f t="shared" si="21"/>
        <v>26.833333333333332</v>
      </c>
      <c r="L30" s="62">
        <f t="shared" si="12"/>
        <v>0.24163568773234201</v>
      </c>
      <c r="M30" s="46">
        <f t="shared" ref="M30:P31" si="26">M13+M16+M19+M22+M25+M28</f>
        <v>2602</v>
      </c>
      <c r="N30" s="46">
        <f t="shared" si="26"/>
        <v>382</v>
      </c>
      <c r="O30" s="46">
        <f t="shared" si="26"/>
        <v>626</v>
      </c>
      <c r="P30" s="46">
        <f t="shared" si="26"/>
        <v>2346</v>
      </c>
      <c r="Q30" s="66">
        <f t="shared" si="22"/>
        <v>5.8115183246073299</v>
      </c>
      <c r="R30" s="66">
        <f t="shared" si="23"/>
        <v>3.1565495207667729</v>
      </c>
      <c r="S30" s="62">
        <f t="shared" si="24"/>
        <v>0.10912190963341861</v>
      </c>
      <c r="T30" s="46">
        <f t="shared" ref="T30:V31" si="27">T13+T16+T19+T22+T25+T28</f>
        <v>1062</v>
      </c>
      <c r="U30" s="46">
        <f t="shared" si="27"/>
        <v>667</v>
      </c>
      <c r="V30" s="80">
        <f t="shared" si="27"/>
        <v>3344</v>
      </c>
    </row>
    <row r="31" spans="1:38" s="22" customFormat="1" ht="15" customHeight="1" thickTop="1" thickBot="1">
      <c r="A31" s="9"/>
      <c r="B31" s="12"/>
      <c r="C31" s="38" t="s">
        <v>13</v>
      </c>
      <c r="D31" s="39"/>
      <c r="E31" s="40"/>
      <c r="F31" s="76">
        <f t="shared" si="25"/>
        <v>837867</v>
      </c>
      <c r="G31" s="76">
        <f t="shared" si="25"/>
        <v>240848</v>
      </c>
      <c r="H31" s="76">
        <f t="shared" si="25"/>
        <v>6072</v>
      </c>
      <c r="I31" s="76">
        <f t="shared" si="25"/>
        <v>784268</v>
      </c>
      <c r="J31" s="67">
        <f t="shared" si="0"/>
        <v>2.4788206669766826</v>
      </c>
      <c r="K31" s="67">
        <f t="shared" si="21"/>
        <v>136.98863636363637</v>
      </c>
      <c r="L31" s="63">
        <f t="shared" si="12"/>
        <v>6.8342709379956901E-2</v>
      </c>
      <c r="M31" s="47">
        <f t="shared" si="26"/>
        <v>5216728</v>
      </c>
      <c r="N31" s="47">
        <f t="shared" si="26"/>
        <v>572992</v>
      </c>
      <c r="O31" s="47">
        <f t="shared" si="26"/>
        <v>1293209</v>
      </c>
      <c r="P31" s="47">
        <f t="shared" si="26"/>
        <v>6854606</v>
      </c>
      <c r="Q31" s="67">
        <f t="shared" si="22"/>
        <v>8.1043644588406121</v>
      </c>
      <c r="R31" s="67">
        <f t="shared" si="23"/>
        <v>3.0339403762268899</v>
      </c>
      <c r="S31" s="63">
        <f t="shared" si="24"/>
        <v>-0.2389456082523197</v>
      </c>
      <c r="T31" s="47">
        <f t="shared" si="27"/>
        <v>1554247</v>
      </c>
      <c r="U31" s="47">
        <f t="shared" si="27"/>
        <v>1323431</v>
      </c>
      <c r="V31" s="81">
        <f t="shared" si="27"/>
        <v>9169021</v>
      </c>
      <c r="W31" s="9"/>
      <c r="X31" s="21"/>
      <c r="Y31" s="21"/>
      <c r="Z31" s="21"/>
      <c r="AA31" s="21"/>
      <c r="AB31" s="21"/>
      <c r="AC31" s="21"/>
      <c r="AD31" s="21"/>
      <c r="AE31" s="21"/>
      <c r="AF31" s="21"/>
      <c r="AG31" s="21"/>
      <c r="AH31" s="21"/>
      <c r="AI31" s="21"/>
      <c r="AJ31" s="21"/>
      <c r="AK31" s="21"/>
      <c r="AL31" s="21"/>
    </row>
    <row r="32" spans="1:38" ht="15" customHeight="1" thickTop="1">
      <c r="A32" s="9"/>
      <c r="B32" s="9"/>
      <c r="C32" s="9"/>
      <c r="D32" s="9"/>
      <c r="E32" s="9"/>
      <c r="F32" s="9"/>
      <c r="G32" s="41"/>
      <c r="H32" s="41"/>
      <c r="I32" s="41"/>
      <c r="J32" s="41"/>
      <c r="K32" s="41"/>
      <c r="L32" s="9"/>
      <c r="M32" s="9"/>
      <c r="N32" s="9"/>
      <c r="O32" s="9"/>
      <c r="P32" s="9"/>
      <c r="Q32" s="9"/>
      <c r="R32" s="9"/>
      <c r="S32" s="9"/>
      <c r="T32" s="83"/>
      <c r="U32" s="9"/>
      <c r="V32" s="9"/>
    </row>
    <row r="33" spans="1:22" ht="22.95" customHeight="1">
      <c r="A33" s="9"/>
      <c r="B33" s="9"/>
      <c r="C33" s="9"/>
      <c r="D33" s="9"/>
      <c r="E33" s="9"/>
      <c r="F33" s="9"/>
      <c r="G33" s="41"/>
      <c r="H33" s="41"/>
      <c r="I33" s="41"/>
      <c r="J33" s="41"/>
      <c r="K33" s="41"/>
      <c r="L33" s="9"/>
      <c r="M33" s="9"/>
      <c r="N33" s="9"/>
      <c r="O33" s="9"/>
      <c r="P33" s="9"/>
      <c r="Q33" s="9"/>
      <c r="R33" s="9"/>
      <c r="S33" s="9"/>
      <c r="T33" s="9"/>
      <c r="U33" s="9"/>
      <c r="V33" s="9"/>
    </row>
    <row r="34" spans="1:22" ht="14.4">
      <c r="A34" s="9"/>
      <c r="B34" s="10"/>
      <c r="C34" s="86" t="s">
        <v>63</v>
      </c>
      <c r="D34" s="24"/>
      <c r="E34" s="24"/>
      <c r="F34" s="24"/>
      <c r="G34" s="24"/>
      <c r="H34" s="24"/>
      <c r="I34" s="95"/>
      <c r="J34" s="95"/>
      <c r="K34" s="95"/>
      <c r="L34" s="24"/>
      <c r="M34" s="24"/>
      <c r="N34" s="24"/>
      <c r="O34" s="24"/>
      <c r="P34" s="24"/>
      <c r="Q34" s="24"/>
      <c r="R34" s="24"/>
      <c r="S34" s="24"/>
      <c r="T34" s="24"/>
      <c r="U34" s="24"/>
      <c r="V34" s="24"/>
    </row>
    <row r="35" spans="1:22" ht="14.4">
      <c r="A35" s="9"/>
      <c r="B35" s="10"/>
      <c r="C35" s="24"/>
      <c r="D35" s="24"/>
      <c r="E35" s="24"/>
      <c r="F35" s="24"/>
      <c r="G35" s="24"/>
      <c r="H35" s="24"/>
      <c r="I35" s="95"/>
      <c r="J35" s="95"/>
      <c r="K35" s="95"/>
      <c r="L35" s="24"/>
      <c r="M35" s="24"/>
      <c r="N35" s="24"/>
      <c r="O35" s="24"/>
      <c r="P35" s="24"/>
      <c r="Q35" s="24"/>
      <c r="R35" s="24"/>
      <c r="S35" s="24"/>
      <c r="T35" s="24"/>
      <c r="U35" s="24"/>
      <c r="V35" s="24"/>
    </row>
    <row r="36" spans="1:22" ht="15" customHeight="1">
      <c r="A36" s="9"/>
      <c r="B36" s="9"/>
      <c r="C36" s="27" t="s">
        <v>7</v>
      </c>
      <c r="D36" s="28"/>
      <c r="E36" s="28"/>
      <c r="F36" s="128" t="str">
        <f>F9</f>
        <v>September</v>
      </c>
      <c r="G36" s="128"/>
      <c r="H36" s="128"/>
      <c r="I36" s="128"/>
      <c r="J36" s="128"/>
      <c r="K36" s="128"/>
      <c r="L36" s="129"/>
      <c r="M36" s="130" t="s">
        <v>88</v>
      </c>
      <c r="N36" s="128"/>
      <c r="O36" s="128"/>
      <c r="P36" s="128"/>
      <c r="Q36" s="128"/>
      <c r="R36" s="128"/>
      <c r="S36" s="129"/>
      <c r="T36" s="130" t="s">
        <v>58</v>
      </c>
      <c r="U36" s="128"/>
      <c r="V36" s="131"/>
    </row>
    <row r="37" spans="1:22" ht="15" customHeight="1">
      <c r="A37" s="9"/>
      <c r="B37" s="9"/>
      <c r="C37" s="29"/>
      <c r="D37" s="30"/>
      <c r="E37" s="30"/>
      <c r="F37" s="29"/>
      <c r="G37" s="30"/>
      <c r="H37" s="30"/>
      <c r="I37" s="30"/>
      <c r="J37" s="30"/>
      <c r="K37" s="30"/>
      <c r="L37" s="56"/>
      <c r="M37" s="30"/>
      <c r="N37" s="30"/>
      <c r="O37" s="30"/>
      <c r="P37" s="30"/>
      <c r="Q37" s="30"/>
      <c r="R37" s="30"/>
      <c r="S37" s="56"/>
      <c r="T37" s="30"/>
      <c r="U37" s="30"/>
      <c r="V37" s="56"/>
    </row>
    <row r="38" spans="1:22" s="9" customFormat="1" ht="33.6"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1:22" s="9" customFormat="1" ht="15" customHeight="1">
      <c r="C39" s="31" t="s">
        <v>14</v>
      </c>
      <c r="D39" s="26"/>
      <c r="E39" s="32"/>
      <c r="F39" s="26"/>
      <c r="G39" s="26"/>
      <c r="H39" s="26"/>
      <c r="I39" s="26"/>
      <c r="J39" s="26"/>
      <c r="K39" s="26"/>
      <c r="L39" s="32"/>
      <c r="M39" s="26"/>
      <c r="N39" s="26"/>
      <c r="O39" s="26"/>
      <c r="Q39" s="26"/>
      <c r="R39" s="26"/>
      <c r="S39" s="32"/>
      <c r="T39" s="33"/>
      <c r="U39" s="88"/>
      <c r="V39" s="85"/>
    </row>
    <row r="40" spans="1:22" s="9" customFormat="1" ht="15" customHeight="1">
      <c r="C40" s="33"/>
      <c r="D40" s="26" t="s">
        <v>5</v>
      </c>
      <c r="E40" s="32"/>
      <c r="F40" s="74">
        <f>F13</f>
        <v>2</v>
      </c>
      <c r="G40" s="74">
        <f t="shared" ref="G40:I40" si="28">G13</f>
        <v>3</v>
      </c>
      <c r="H40" s="71">
        <f t="shared" si="28"/>
        <v>0</v>
      </c>
      <c r="I40" s="71">
        <f t="shared" si="28"/>
        <v>3</v>
      </c>
      <c r="J40" s="64">
        <f t="shared" ref="J40:J41" si="29">IFERROR(F40/G40-1,"n/a")</f>
        <v>-0.33333333333333337</v>
      </c>
      <c r="K40" s="64" t="str">
        <f>IFERROR(F40/H40-1,"n/a")</f>
        <v>n/a</v>
      </c>
      <c r="L40" s="60">
        <f t="shared" ref="L40:L41" si="30">IFERROR(F40/I40-1,"n/a")</f>
        <v>-0.33333333333333337</v>
      </c>
      <c r="M40" s="70">
        <f>+M13-'Mar-22'!M10</f>
        <v>32</v>
      </c>
      <c r="N40" s="70">
        <f>+N13-'Mar-22'!N10</f>
        <v>16</v>
      </c>
      <c r="O40" s="82">
        <f>+O13-'Mar-22'!O10</f>
        <v>0</v>
      </c>
      <c r="P40" s="70">
        <f>+P13-'Mar-22'!P10</f>
        <v>53</v>
      </c>
      <c r="Q40" s="64">
        <f>IFERROR(M40/N40-1,"n/a")</f>
        <v>1</v>
      </c>
      <c r="R40" s="64" t="str">
        <f>IFERROR(M40/O40-1,"n/a")</f>
        <v>n/a</v>
      </c>
      <c r="S40" s="60">
        <f>IFERROR(M40/P40-1,"n/a")</f>
        <v>-0.39622641509433965</v>
      </c>
      <c r="T40" s="89">
        <v>308</v>
      </c>
      <c r="U40" s="70">
        <v>145</v>
      </c>
      <c r="V40" s="78">
        <v>331</v>
      </c>
    </row>
    <row r="41" spans="1:22" s="9" customFormat="1" ht="15" customHeight="1">
      <c r="C41" s="33"/>
      <c r="D41" s="26" t="s">
        <v>11</v>
      </c>
      <c r="E41" s="32"/>
      <c r="F41" s="74">
        <f t="shared" ref="F41:I41" si="31">F14</f>
        <v>4913</v>
      </c>
      <c r="G41" s="74">
        <f t="shared" si="31"/>
        <v>1618</v>
      </c>
      <c r="H41" s="71">
        <f t="shared" si="31"/>
        <v>0</v>
      </c>
      <c r="I41" s="74">
        <f t="shared" si="31"/>
        <v>11148</v>
      </c>
      <c r="J41" s="64">
        <f t="shared" si="29"/>
        <v>2.0364647713226205</v>
      </c>
      <c r="K41" s="64" t="str">
        <f t="shared" ref="K41" si="32">IFERROR(F41/H41-1,"n/a")</f>
        <v>n/a</v>
      </c>
      <c r="L41" s="60">
        <f t="shared" si="30"/>
        <v>-0.55929314675278075</v>
      </c>
      <c r="M41" s="82">
        <f>+M14-'Mar-22'!M11</f>
        <v>42754</v>
      </c>
      <c r="N41" s="82">
        <f>+N14-'Mar-22'!N11</f>
        <v>4201</v>
      </c>
      <c r="O41" s="82">
        <f>+O14-'Mar-22'!O11</f>
        <v>0</v>
      </c>
      <c r="P41" s="82">
        <f>+P14-'Mar-22'!P11</f>
        <v>106899</v>
      </c>
      <c r="Q41" s="64">
        <f>IFERROR(M41/N41-1,"n/a")</f>
        <v>9.1771006903118302</v>
      </c>
      <c r="R41" s="64" t="str">
        <f>IFERROR(M41/O41-1,"n/a")</f>
        <v>n/a</v>
      </c>
      <c r="S41" s="60">
        <f>IFERROR(M41/P41-1,"n/a")</f>
        <v>-0.60005238589696819</v>
      </c>
      <c r="T41" s="89">
        <v>237191</v>
      </c>
      <c r="U41" s="84">
        <v>258885</v>
      </c>
      <c r="V41" s="78">
        <v>606801</v>
      </c>
    </row>
    <row r="42" spans="1:22" s="9" customFormat="1" ht="15" customHeight="1">
      <c r="C42" s="31" t="s">
        <v>20</v>
      </c>
      <c r="D42" s="26"/>
      <c r="E42" s="32"/>
      <c r="F42" s="26"/>
      <c r="G42" s="26"/>
      <c r="H42" s="26"/>
      <c r="I42" s="26"/>
      <c r="J42" s="64"/>
      <c r="K42" s="64"/>
      <c r="L42" s="61"/>
      <c r="M42" s="87"/>
      <c r="N42" s="87"/>
      <c r="O42" s="87"/>
      <c r="P42" s="87"/>
      <c r="Q42" s="65"/>
      <c r="R42" s="65"/>
      <c r="S42" s="61"/>
      <c r="T42" s="90"/>
      <c r="U42" s="44"/>
      <c r="V42" s="79"/>
    </row>
    <row r="43" spans="1:22" s="9" customFormat="1" ht="15" customHeight="1">
      <c r="C43" s="33"/>
      <c r="D43" s="26" t="s">
        <v>5</v>
      </c>
      <c r="E43" s="32"/>
      <c r="F43" s="74">
        <f t="shared" ref="F43:I44" si="33">F16</f>
        <v>79</v>
      </c>
      <c r="G43" s="74">
        <f t="shared" si="33"/>
        <v>46</v>
      </c>
      <c r="H43" s="71">
        <f t="shared" si="33"/>
        <v>0</v>
      </c>
      <c r="I43" s="74">
        <f t="shared" si="33"/>
        <v>86</v>
      </c>
      <c r="J43" s="64">
        <f t="shared" ref="J43:J44" si="34">IFERROR(F43/G43-1,"n/a")</f>
        <v>0.71739130434782616</v>
      </c>
      <c r="K43" s="64" t="str">
        <f t="shared" ref="K43:K44" si="35">IFERROR(F43/H43-1,"n/a")</f>
        <v>n/a</v>
      </c>
      <c r="L43" s="60">
        <f t="shared" ref="L43:L44" si="36">IFERROR(F43/I43-1,"n/a")</f>
        <v>-8.1395348837209336E-2</v>
      </c>
      <c r="M43" s="70">
        <f>+M16-'Mar-22'!M13</f>
        <v>474</v>
      </c>
      <c r="N43" s="70">
        <f>+N16-'Mar-22'!N13</f>
        <v>84</v>
      </c>
      <c r="O43" s="82">
        <f>+O16-'Mar-22'!O13</f>
        <v>0</v>
      </c>
      <c r="P43" s="70">
        <f>+P16-'Mar-22'!P13</f>
        <v>496</v>
      </c>
      <c r="Q43" s="64">
        <f>IFERROR(M43/N43-1,"n/a")</f>
        <v>4.6428571428571432</v>
      </c>
      <c r="R43" s="64" t="str">
        <f>IFERROR(M43/O43-1,"n/a")</f>
        <v>n/a</v>
      </c>
      <c r="S43" s="60">
        <f t="shared" ref="S43:S44" si="37">IFERROR(M43/P43-1,"n/a")</f>
        <v>-4.435483870967738E-2</v>
      </c>
      <c r="T43" s="89">
        <v>336</v>
      </c>
      <c r="U43" s="70">
        <v>43</v>
      </c>
      <c r="V43" s="78">
        <v>781</v>
      </c>
    </row>
    <row r="44" spans="1:22" s="9" customFormat="1" ht="15" customHeight="1">
      <c r="C44" s="33"/>
      <c r="D44" s="26" t="s">
        <v>11</v>
      </c>
      <c r="E44" s="32"/>
      <c r="F44" s="74">
        <f t="shared" si="33"/>
        <v>249427</v>
      </c>
      <c r="G44" s="74">
        <f t="shared" si="33"/>
        <v>89719</v>
      </c>
      <c r="H44" s="71">
        <f t="shared" si="33"/>
        <v>0</v>
      </c>
      <c r="I44" s="74">
        <f t="shared" si="33"/>
        <v>304036</v>
      </c>
      <c r="J44" s="64">
        <f t="shared" si="34"/>
        <v>1.7800911735529823</v>
      </c>
      <c r="K44" s="64" t="str">
        <f t="shared" si="35"/>
        <v>n/a</v>
      </c>
      <c r="L44" s="60">
        <f t="shared" si="36"/>
        <v>-0.1796135983896644</v>
      </c>
      <c r="M44" s="82">
        <f>+M17-'Mar-22'!M14</f>
        <v>1213276</v>
      </c>
      <c r="N44" s="82">
        <f>+N17-'Mar-22'!N14</f>
        <v>167883</v>
      </c>
      <c r="O44" s="82">
        <f>+O17-'Mar-22'!O14</f>
        <v>0</v>
      </c>
      <c r="P44" s="82">
        <f>+P17-'Mar-22'!P14</f>
        <v>1645544</v>
      </c>
      <c r="Q44" s="64">
        <f>IFERROR(M44/N44-1,"n/a")</f>
        <v>6.2269139817611077</v>
      </c>
      <c r="R44" s="64" t="str">
        <f>IFERROR(M44/O44-1,"n/a")</f>
        <v>n/a</v>
      </c>
      <c r="S44" s="60">
        <f t="shared" si="37"/>
        <v>-0.26269002834321054</v>
      </c>
      <c r="T44" s="89">
        <v>533563</v>
      </c>
      <c r="U44" s="84">
        <v>140552</v>
      </c>
      <c r="V44" s="78">
        <v>2441594</v>
      </c>
    </row>
    <row r="45" spans="1:22"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1:22" s="9" customFormat="1" ht="15" customHeight="1">
      <c r="C46" s="33"/>
      <c r="D46" s="26" t="s">
        <v>5</v>
      </c>
      <c r="E46" s="32"/>
      <c r="F46" s="74">
        <f t="shared" ref="F46:I47" si="38">F19</f>
        <v>64</v>
      </c>
      <c r="G46" s="71">
        <f t="shared" si="38"/>
        <v>2</v>
      </c>
      <c r="H46" s="71">
        <f t="shared" si="38"/>
        <v>0</v>
      </c>
      <c r="I46" s="74">
        <f t="shared" si="38"/>
        <v>23</v>
      </c>
      <c r="J46" s="64">
        <f t="shared" ref="J46:J47" si="39">IFERROR(F46/G46-1,"n/a")</f>
        <v>31</v>
      </c>
      <c r="K46" s="64" t="str">
        <f t="shared" ref="K46:K47" si="40">IFERROR(F46/H46-1,"n/a")</f>
        <v>n/a</v>
      </c>
      <c r="L46" s="60">
        <f>IFERROR(F46/I46-1,"n/a")</f>
        <v>1.7826086956521738</v>
      </c>
      <c r="M46" s="70">
        <f>+M19-'Mar-22'!M16</f>
        <v>349</v>
      </c>
      <c r="N46" s="82">
        <f>+N19-'Mar-22'!N16</f>
        <v>2</v>
      </c>
      <c r="O46" s="82">
        <f>+O19-'Mar-22'!O16</f>
        <v>1</v>
      </c>
      <c r="P46" s="82">
        <f>+P19-'Mar-22'!P16</f>
        <v>145</v>
      </c>
      <c r="Q46" s="64">
        <f>IFERROR(M46/N46-1,"n/a")</f>
        <v>173.5</v>
      </c>
      <c r="R46" s="64">
        <f>IFERROR(M46/O46-1,"n/a")</f>
        <v>348</v>
      </c>
      <c r="S46" s="60">
        <f t="shared" ref="S46:S47" si="41">IFERROR(M46/P46-1,"n/a")</f>
        <v>1.4068965517241381</v>
      </c>
      <c r="T46" s="89">
        <v>33</v>
      </c>
      <c r="U46" s="70">
        <v>4</v>
      </c>
      <c r="V46" s="78">
        <v>188</v>
      </c>
    </row>
    <row r="47" spans="1:22" s="9" customFormat="1" ht="15" customHeight="1">
      <c r="C47" s="33"/>
      <c r="D47" s="26" t="s">
        <v>11</v>
      </c>
      <c r="E47" s="32"/>
      <c r="F47" s="74">
        <f t="shared" si="38"/>
        <v>80246</v>
      </c>
      <c r="G47" s="71">
        <f t="shared" si="38"/>
        <v>424</v>
      </c>
      <c r="H47" s="71">
        <f t="shared" si="38"/>
        <v>0</v>
      </c>
      <c r="I47" s="74">
        <f t="shared" si="38"/>
        <v>35836</v>
      </c>
      <c r="J47" s="64">
        <f t="shared" si="39"/>
        <v>188.25943396226415</v>
      </c>
      <c r="K47" s="64" t="str">
        <f t="shared" si="40"/>
        <v>n/a</v>
      </c>
      <c r="L47" s="60">
        <f t="shared" ref="L47" si="42">IFERROR(F47/I47-1,"n/a")</f>
        <v>1.2392566134613237</v>
      </c>
      <c r="M47" s="82">
        <f>+M20-'Mar-22'!M17</f>
        <v>420920</v>
      </c>
      <c r="N47" s="82">
        <f>+N20-'Mar-22'!N17</f>
        <v>424</v>
      </c>
      <c r="O47" s="82">
        <f>+O20-'Mar-22'!O17</f>
        <v>111</v>
      </c>
      <c r="P47" s="82">
        <f>+P20-'Mar-22'!P17</f>
        <v>198240</v>
      </c>
      <c r="Q47" s="64">
        <f>IFERROR(M47/N47-1,"n/a")</f>
        <v>991.7358490566038</v>
      </c>
      <c r="R47" s="64">
        <f>IFERROR(M47/O47-1,"n/a")</f>
        <v>3791.0720720720719</v>
      </c>
      <c r="S47" s="60">
        <f t="shared" si="41"/>
        <v>1.1232849071832121</v>
      </c>
      <c r="T47" s="82">
        <v>10083</v>
      </c>
      <c r="U47" s="84">
        <v>1753</v>
      </c>
      <c r="V47" s="78">
        <f>176097+74816</f>
        <v>250913</v>
      </c>
    </row>
    <row r="48" spans="1:22"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3:22" s="9" customFormat="1" ht="15" customHeight="1">
      <c r="C49" s="33"/>
      <c r="D49" s="26" t="s">
        <v>5</v>
      </c>
      <c r="E49" s="34"/>
      <c r="F49" s="73">
        <f t="shared" ref="F49:I50" si="43">F22</f>
        <v>80</v>
      </c>
      <c r="G49" s="74">
        <f t="shared" si="43"/>
        <v>57</v>
      </c>
      <c r="H49" s="71">
        <f t="shared" si="43"/>
        <v>0</v>
      </c>
      <c r="I49" s="74">
        <f t="shared" si="43"/>
        <v>76</v>
      </c>
      <c r="J49" s="64">
        <f t="shared" ref="J49:J50" si="44">IFERROR(F49/G49-1,"n/a")</f>
        <v>0.40350877192982448</v>
      </c>
      <c r="K49" s="64" t="str">
        <f t="shared" ref="K49:K50" si="45">IFERROR(F49/H49-1,"n/a")</f>
        <v>n/a</v>
      </c>
      <c r="L49" s="60">
        <f t="shared" ref="L49:L50" si="46">IFERROR(F49/I49-1,"n/a")</f>
        <v>5.2631578947368363E-2</v>
      </c>
      <c r="M49" s="70">
        <f>+M22-'Mar-22'!M19</f>
        <v>511</v>
      </c>
      <c r="N49" s="70">
        <f>+N22-'Mar-22'!N19</f>
        <v>130</v>
      </c>
      <c r="O49" s="70">
        <f>+O22-'Mar-22'!O19</f>
        <v>42</v>
      </c>
      <c r="P49" s="70">
        <f>+P22-'Mar-22'!P19</f>
        <v>540</v>
      </c>
      <c r="Q49" s="64">
        <f>IFERROR(M49/N49-1,"n/a")</f>
        <v>2.9307692307692306</v>
      </c>
      <c r="R49" s="64">
        <f>IFERROR(M49/O49-1,"n/a")</f>
        <v>11.166666666666666</v>
      </c>
      <c r="S49" s="60">
        <f>IFERROR(M49/P49-1,"n/a")</f>
        <v>-5.3703703703703698E-2</v>
      </c>
      <c r="T49" s="89">
        <v>744</v>
      </c>
      <c r="U49" s="84">
        <v>406</v>
      </c>
      <c r="V49" s="78">
        <v>1253</v>
      </c>
    </row>
    <row r="50" spans="3:22" s="9" customFormat="1" ht="15" customHeight="1">
      <c r="C50" s="33"/>
      <c r="D50" s="26" t="s">
        <v>11</v>
      </c>
      <c r="E50" s="32"/>
      <c r="F50" s="73">
        <f t="shared" si="43"/>
        <v>275667</v>
      </c>
      <c r="G50" s="74">
        <f t="shared" si="43"/>
        <v>81777</v>
      </c>
      <c r="H50" s="71">
        <f t="shared" si="43"/>
        <v>0</v>
      </c>
      <c r="I50" s="74">
        <f t="shared" si="43"/>
        <v>223305</v>
      </c>
      <c r="J50" s="64">
        <f t="shared" si="44"/>
        <v>2.3709600498917789</v>
      </c>
      <c r="K50" s="64" t="str">
        <f t="shared" si="45"/>
        <v>n/a</v>
      </c>
      <c r="L50" s="60">
        <f t="shared" si="46"/>
        <v>0.23448646470074563</v>
      </c>
      <c r="M50" s="82">
        <f>+M23-'Mar-22'!M20</f>
        <v>1592899</v>
      </c>
      <c r="N50" s="82">
        <f>+N23-'Mar-22'!N20</f>
        <v>181810</v>
      </c>
      <c r="O50" s="82">
        <f>+O23-'Mar-22'!O20</f>
        <v>0</v>
      </c>
      <c r="P50" s="82">
        <f>+P23-'Mar-22'!P20</f>
        <v>1806818</v>
      </c>
      <c r="Q50" s="64">
        <f>IFERROR(M50/N50-1,"n/a")</f>
        <v>7.761338760244211</v>
      </c>
      <c r="R50" s="64" t="str">
        <f>IFERROR(M50/O50-1,"n/a")</f>
        <v>n/a</v>
      </c>
      <c r="S50" s="60">
        <f t="shared" ref="S50" si="47">IFERROR(M50/P50-1,"n/a")</f>
        <v>-0.11839543329765367</v>
      </c>
      <c r="T50" s="82">
        <v>1290779</v>
      </c>
      <c r="U50" s="84">
        <v>833999</v>
      </c>
      <c r="V50" s="78">
        <v>3627458</v>
      </c>
    </row>
    <row r="51" spans="3:22"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3:22" s="9" customFormat="1" ht="15" customHeight="1">
      <c r="C52" s="33"/>
      <c r="D52" s="26" t="s">
        <v>5</v>
      </c>
      <c r="E52" s="32"/>
      <c r="F52" s="74">
        <f t="shared" ref="F52:I53" si="48">F25</f>
        <v>34</v>
      </c>
      <c r="G52" s="74">
        <f t="shared" si="48"/>
        <v>17</v>
      </c>
      <c r="H52" s="71">
        <f t="shared" si="48"/>
        <v>5</v>
      </c>
      <c r="I52" s="74">
        <f t="shared" si="48"/>
        <v>40</v>
      </c>
      <c r="J52" s="64">
        <f t="shared" ref="J52:J53" si="49">IFERROR(F52/G52-1,"n/a")</f>
        <v>1</v>
      </c>
      <c r="K52" s="64">
        <f t="shared" ref="K52:K53" si="50">IFERROR(F52/H52-1,"n/a")</f>
        <v>5.8</v>
      </c>
      <c r="L52" s="60">
        <f t="shared" ref="L52:L53" si="51">IFERROR(F52/I52-1,"n/a")</f>
        <v>-0.15000000000000002</v>
      </c>
      <c r="M52" s="70">
        <f>+M25-'Mar-22'!M22</f>
        <v>199</v>
      </c>
      <c r="N52" s="70">
        <f>+N25-'Mar-22'!N22</f>
        <v>62</v>
      </c>
      <c r="O52" s="82">
        <f>+O25-'Mar-22'!O22</f>
        <v>7</v>
      </c>
      <c r="P52" s="70">
        <f>+P25-'Mar-22'!P22</f>
        <v>224</v>
      </c>
      <c r="Q52" s="64">
        <f>IFERROR(M52/N52-1,"n/a")</f>
        <v>2.2096774193548385</v>
      </c>
      <c r="R52" s="64">
        <f>IFERROR(M52/O52-1,"n/a")</f>
        <v>27.428571428571427</v>
      </c>
      <c r="S52" s="60">
        <f t="shared" ref="S52:S53" si="52">IFERROR(M52/P52-1,"n/a")</f>
        <v>-0.1116071428571429</v>
      </c>
      <c r="T52" s="89">
        <v>121</v>
      </c>
      <c r="U52" s="70">
        <v>41</v>
      </c>
      <c r="V52" s="78">
        <v>361</v>
      </c>
    </row>
    <row r="53" spans="3:22" s="9" customFormat="1" ht="15" customHeight="1">
      <c r="C53" s="33"/>
      <c r="D53" s="26" t="s">
        <v>11</v>
      </c>
      <c r="E53" s="32"/>
      <c r="F53" s="74">
        <f t="shared" si="48"/>
        <v>77500</v>
      </c>
      <c r="G53" s="74">
        <f t="shared" si="48"/>
        <v>31465</v>
      </c>
      <c r="H53" s="71">
        <f t="shared" si="48"/>
        <v>4538</v>
      </c>
      <c r="I53" s="74">
        <f t="shared" si="48"/>
        <v>102143</v>
      </c>
      <c r="J53" s="64">
        <f t="shared" si="49"/>
        <v>1.4630541871921183</v>
      </c>
      <c r="K53" s="64">
        <f t="shared" si="50"/>
        <v>16.078007933010138</v>
      </c>
      <c r="L53" s="60">
        <f t="shared" si="51"/>
        <v>-0.24125980243384271</v>
      </c>
      <c r="M53" s="82">
        <f>+M26-'Mar-22'!M23</f>
        <v>397486</v>
      </c>
      <c r="N53" s="82">
        <f>+N26-'Mar-22'!N23</f>
        <v>93051</v>
      </c>
      <c r="O53" s="82">
        <f>+O26-'Mar-22'!O23</f>
        <v>7079</v>
      </c>
      <c r="P53" s="82">
        <f>+P26-'Mar-22'!P23</f>
        <v>611908</v>
      </c>
      <c r="Q53" s="64">
        <f>IFERROR(M53/N53-1,"n/a")</f>
        <v>3.2717004653362132</v>
      </c>
      <c r="R53" s="64">
        <f>IFERROR(M53/O53-1,"n/a")</f>
        <v>55.150021189433538</v>
      </c>
      <c r="S53" s="60">
        <f t="shared" si="52"/>
        <v>-0.35041542192617192</v>
      </c>
      <c r="T53" s="82">
        <v>165689</v>
      </c>
      <c r="U53" s="84">
        <v>67144</v>
      </c>
      <c r="V53" s="78">
        <v>865961</v>
      </c>
    </row>
    <row r="54" spans="3:22" ht="15" customHeight="1">
      <c r="C54" s="31" t="s">
        <v>17</v>
      </c>
      <c r="D54" s="26"/>
      <c r="E54" s="32"/>
      <c r="F54" s="72"/>
      <c r="G54" s="72"/>
      <c r="H54" s="72"/>
      <c r="I54" s="72"/>
      <c r="J54" s="64"/>
      <c r="K54" s="64"/>
      <c r="L54" s="60"/>
      <c r="M54" s="87"/>
      <c r="N54" s="87"/>
      <c r="O54" s="87"/>
      <c r="P54" s="87"/>
      <c r="Q54" s="64"/>
      <c r="R54" s="64"/>
      <c r="S54" s="60"/>
      <c r="T54" s="90"/>
      <c r="U54" s="44"/>
      <c r="V54" s="79"/>
    </row>
    <row r="55" spans="3:22" ht="15.45" customHeight="1">
      <c r="C55" s="33"/>
      <c r="D55" s="26" t="s">
        <v>5</v>
      </c>
      <c r="E55" s="32"/>
      <c r="F55" s="74">
        <f t="shared" ref="F55:I56" si="53">F28</f>
        <v>75</v>
      </c>
      <c r="G55" s="74">
        <f t="shared" si="53"/>
        <v>23</v>
      </c>
      <c r="H55" s="71">
        <f t="shared" si="53"/>
        <v>7</v>
      </c>
      <c r="I55" s="74">
        <f t="shared" si="53"/>
        <v>41</v>
      </c>
      <c r="J55" s="64">
        <f t="shared" ref="J55:J58" si="54">IFERROR(F55/G55-1,"n/a")</f>
        <v>2.2608695652173911</v>
      </c>
      <c r="K55" s="64">
        <f t="shared" ref="K55:K58" si="55">IFERROR(F55/H55-1,"n/a")</f>
        <v>9.7142857142857135</v>
      </c>
      <c r="L55" s="60">
        <f t="shared" ref="L55:L58" si="56">IFERROR(F55/I55-1,"n/a")</f>
        <v>0.8292682926829269</v>
      </c>
      <c r="M55" s="70">
        <f>+M28-'Mar-22'!M25</f>
        <v>405</v>
      </c>
      <c r="N55" s="70">
        <f>+N28-'Mar-22'!N25</f>
        <v>76</v>
      </c>
      <c r="O55" s="70">
        <f>+O28-'Mar-22'!O25</f>
        <v>11</v>
      </c>
      <c r="P55" s="70">
        <f>+P28-'Mar-22'!P25</f>
        <v>253</v>
      </c>
      <c r="Q55" s="64">
        <f>IFERROR(M55/N55-1,"n/a")</f>
        <v>4.3289473684210522</v>
      </c>
      <c r="R55" s="64">
        <f>IFERROR(M55/O55-1,"n/a")</f>
        <v>35.81818181818182</v>
      </c>
      <c r="S55" s="60">
        <f t="shared" ref="S55:S58" si="57">IFERROR(M55/P55-1,"n/a")</f>
        <v>0.60079051383399218</v>
      </c>
      <c r="T55" s="89">
        <v>140</v>
      </c>
      <c r="U55" s="70">
        <v>40</v>
      </c>
      <c r="V55" s="78">
        <v>360</v>
      </c>
    </row>
    <row r="56" spans="3:22" ht="15.45" customHeight="1">
      <c r="C56" s="33"/>
      <c r="D56" s="26" t="s">
        <v>11</v>
      </c>
      <c r="E56" s="32"/>
      <c r="F56" s="74">
        <f t="shared" si="53"/>
        <v>150114</v>
      </c>
      <c r="G56" s="74">
        <f t="shared" si="53"/>
        <v>35845</v>
      </c>
      <c r="H56" s="71">
        <f t="shared" si="53"/>
        <v>1534</v>
      </c>
      <c r="I56" s="74">
        <f t="shared" si="53"/>
        <v>107800</v>
      </c>
      <c r="J56" s="64">
        <f t="shared" si="54"/>
        <v>3.1878644162365743</v>
      </c>
      <c r="K56" s="64">
        <f t="shared" si="55"/>
        <v>96.857887874837033</v>
      </c>
      <c r="L56" s="60">
        <f t="shared" si="56"/>
        <v>0.39252319109461964</v>
      </c>
      <c r="M56" s="82">
        <f>+M29-'Mar-22'!M26</f>
        <v>681688</v>
      </c>
      <c r="N56" s="82">
        <f>+N29-'Mar-22'!N26</f>
        <v>115520</v>
      </c>
      <c r="O56" s="82">
        <f>+O29-'Mar-22'!O26</f>
        <v>9828</v>
      </c>
      <c r="P56" s="82">
        <f>+P29-'Mar-22'!P26</f>
        <v>694671</v>
      </c>
      <c r="Q56" s="64">
        <f>IFERROR(M56/N56-1,"n/a")</f>
        <v>4.9010387811634351</v>
      </c>
      <c r="R56" s="64">
        <f>IFERROR(M56/O56-1,"n/a")</f>
        <v>68.361823361823369</v>
      </c>
      <c r="S56" s="60">
        <f t="shared" si="57"/>
        <v>-1.86894227627179E-2</v>
      </c>
      <c r="T56" s="82">
        <v>174336</v>
      </c>
      <c r="U56" s="84">
        <v>21928</v>
      </c>
      <c r="V56" s="78">
        <f>706948+155011</f>
        <v>861959</v>
      </c>
    </row>
    <row r="57" spans="3:22" ht="26.7" customHeight="1" thickBot="1">
      <c r="C57" s="35" t="s">
        <v>12</v>
      </c>
      <c r="D57" s="36"/>
      <c r="E57" s="37"/>
      <c r="F57" s="75">
        <f t="shared" ref="F57:I58" si="58">F40+F43+F46+F49+F52+F55</f>
        <v>334</v>
      </c>
      <c r="G57" s="75">
        <f t="shared" si="58"/>
        <v>148</v>
      </c>
      <c r="H57" s="75">
        <f t="shared" si="58"/>
        <v>12</v>
      </c>
      <c r="I57" s="75">
        <f t="shared" si="58"/>
        <v>269</v>
      </c>
      <c r="J57" s="66">
        <f t="shared" si="54"/>
        <v>1.2567567567567566</v>
      </c>
      <c r="K57" s="66">
        <f t="shared" si="55"/>
        <v>26.833333333333332</v>
      </c>
      <c r="L57" s="62">
        <f t="shared" si="56"/>
        <v>0.24163568773234201</v>
      </c>
      <c r="M57" s="46">
        <f t="shared" ref="M57:P58" si="59">M40+M43+M46+M49+M52+M55</f>
        <v>1970</v>
      </c>
      <c r="N57" s="46">
        <f t="shared" si="59"/>
        <v>370</v>
      </c>
      <c r="O57" s="46">
        <f t="shared" si="59"/>
        <v>61</v>
      </c>
      <c r="P57" s="46">
        <f t="shared" si="59"/>
        <v>1711</v>
      </c>
      <c r="Q57" s="66">
        <f>IFERROR(M57/N57-1,"n/a")</f>
        <v>4.3243243243243246</v>
      </c>
      <c r="R57" s="66">
        <f>IFERROR(M57/O57-1,"n/a")</f>
        <v>31.295081967213115</v>
      </c>
      <c r="S57" s="62">
        <f t="shared" si="57"/>
        <v>0.15137346580946809</v>
      </c>
      <c r="T57" s="46">
        <f t="shared" ref="T57:V58" si="60">T40+T43+T46+T49+T52+T55</f>
        <v>1682</v>
      </c>
      <c r="U57" s="46">
        <f t="shared" si="60"/>
        <v>679</v>
      </c>
      <c r="V57" s="80">
        <f t="shared" si="60"/>
        <v>3274</v>
      </c>
    </row>
    <row r="58" spans="3:22" ht="26.7" customHeight="1" thickTop="1" thickBot="1">
      <c r="C58" s="38" t="s">
        <v>13</v>
      </c>
      <c r="D58" s="39"/>
      <c r="E58" s="40"/>
      <c r="F58" s="76">
        <f t="shared" si="58"/>
        <v>837867</v>
      </c>
      <c r="G58" s="76">
        <f t="shared" si="58"/>
        <v>240848</v>
      </c>
      <c r="H58" s="76">
        <f t="shared" si="58"/>
        <v>6072</v>
      </c>
      <c r="I58" s="76">
        <f t="shared" si="58"/>
        <v>784268</v>
      </c>
      <c r="J58" s="67">
        <f t="shared" si="54"/>
        <v>2.4788206669766826</v>
      </c>
      <c r="K58" s="67">
        <f t="shared" si="55"/>
        <v>136.98863636363637</v>
      </c>
      <c r="L58" s="63">
        <f t="shared" si="56"/>
        <v>6.8342709379956901E-2</v>
      </c>
      <c r="M58" s="47">
        <f t="shared" si="59"/>
        <v>4349023</v>
      </c>
      <c r="N58" s="47">
        <f t="shared" si="59"/>
        <v>562889</v>
      </c>
      <c r="O58" s="47">
        <f t="shared" si="59"/>
        <v>17018</v>
      </c>
      <c r="P58" s="47">
        <f t="shared" si="59"/>
        <v>5064080</v>
      </c>
      <c r="Q58" s="67">
        <f>IFERROR(M58/N58-1,"n/a")</f>
        <v>6.7262533110435632</v>
      </c>
      <c r="R58" s="67">
        <f>IFERROR(M58/O58-1,"n/a")</f>
        <v>254.55429545187448</v>
      </c>
      <c r="S58" s="63">
        <f t="shared" si="57"/>
        <v>-0.14120175826606218</v>
      </c>
      <c r="T58" s="47">
        <f t="shared" si="60"/>
        <v>2411641</v>
      </c>
      <c r="U58" s="47">
        <f t="shared" si="60"/>
        <v>1324261</v>
      </c>
      <c r="V58" s="81">
        <f t="shared" si="60"/>
        <v>8654686</v>
      </c>
    </row>
    <row r="59" spans="3:22" ht="12" customHeight="1" thickTop="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T59"/>
  <sheetViews>
    <sheetView showGridLines="0" zoomScale="85" zoomScaleNormal="85" zoomScalePageLayoutView="40" workbookViewId="0"/>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33203125" bestFit="1" customWidth="1"/>
    <col min="14" max="14" width="10.33203125" bestFit="1" customWidth="1"/>
    <col min="15" max="16" width="12.33203125" bestFit="1" customWidth="1"/>
    <col min="17" max="19" width="8.6640625" customWidth="1"/>
    <col min="20" max="20" width="11.88671875" bestFit="1" customWidth="1"/>
    <col min="21" max="21" width="11.5546875" bestFit="1" customWidth="1"/>
    <col min="22" max="22" width="11.33203125" bestFit="1" customWidth="1"/>
    <col min="23" max="23" width="3.33203125" style="9" customWidth="1"/>
    <col min="24" max="38" width="0" style="9" hidden="1" customWidth="1"/>
    <col min="39" max="46" width="0" hidden="1" customWidth="1"/>
    <col min="47"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72</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ht="14.4">
      <c r="A6" s="9"/>
      <c r="B6" s="10"/>
      <c r="C6" s="24"/>
      <c r="D6" s="24"/>
      <c r="E6" s="24"/>
      <c r="F6" s="24"/>
      <c r="G6" s="24"/>
      <c r="H6" s="24"/>
      <c r="I6" s="24"/>
      <c r="J6" s="24"/>
      <c r="K6" s="24"/>
      <c r="L6" s="24"/>
      <c r="M6" s="24"/>
      <c r="N6" s="24"/>
      <c r="O6" s="24"/>
      <c r="P6" s="24"/>
      <c r="Q6" s="24"/>
      <c r="R6" s="24"/>
      <c r="S6" s="24"/>
      <c r="T6" s="24"/>
      <c r="U6" s="24"/>
      <c r="V6" s="24"/>
    </row>
    <row r="7" spans="1:38" ht="14.4">
      <c r="A7" s="9"/>
      <c r="B7" s="10"/>
      <c r="C7" s="86" t="s">
        <v>62</v>
      </c>
      <c r="D7" s="24"/>
      <c r="E7" s="24"/>
      <c r="F7" s="24"/>
      <c r="G7" s="24"/>
      <c r="H7" s="24"/>
      <c r="I7" s="24"/>
      <c r="J7" s="24"/>
      <c r="K7" s="24"/>
      <c r="L7" s="24"/>
      <c r="M7" s="24"/>
      <c r="N7" s="24"/>
      <c r="O7" s="24"/>
      <c r="P7" s="24"/>
      <c r="Q7" s="24"/>
      <c r="R7" s="24"/>
      <c r="S7" s="24"/>
      <c r="T7" s="24"/>
      <c r="U7" s="24"/>
      <c r="V7" s="24"/>
    </row>
    <row r="8" spans="1:38" ht="14.4">
      <c r="A8" s="9"/>
      <c r="B8" s="10"/>
      <c r="C8" s="24"/>
      <c r="D8" s="24"/>
      <c r="E8" s="24"/>
      <c r="F8" s="24"/>
      <c r="G8" s="24"/>
      <c r="H8" s="24"/>
      <c r="I8" s="24"/>
      <c r="J8" s="24"/>
      <c r="K8" s="24"/>
      <c r="L8" s="24"/>
      <c r="M8" s="24"/>
      <c r="N8" s="24"/>
      <c r="O8" s="24"/>
      <c r="P8" s="24"/>
      <c r="Q8" s="24"/>
      <c r="R8" s="24"/>
      <c r="S8" s="24"/>
      <c r="T8" s="24"/>
      <c r="U8" s="24"/>
      <c r="V8" s="24"/>
    </row>
    <row r="9" spans="1:38" s="20" customFormat="1" ht="14.4">
      <c r="A9" s="9"/>
      <c r="B9"/>
      <c r="C9" s="27" t="s">
        <v>7</v>
      </c>
      <c r="D9" s="28"/>
      <c r="E9" s="28"/>
      <c r="F9" s="128" t="s">
        <v>69</v>
      </c>
      <c r="G9" s="128"/>
      <c r="H9" s="128"/>
      <c r="I9" s="128"/>
      <c r="J9" s="128"/>
      <c r="K9" s="128"/>
      <c r="L9" s="129"/>
      <c r="M9" s="130" t="s">
        <v>71</v>
      </c>
      <c r="N9" s="128"/>
      <c r="O9" s="128"/>
      <c r="P9" s="128"/>
      <c r="Q9" s="128"/>
      <c r="R9" s="128"/>
      <c r="S9" s="129"/>
      <c r="T9" s="130" t="s">
        <v>57</v>
      </c>
      <c r="U9" s="128"/>
      <c r="V9" s="131"/>
      <c r="W9" s="9"/>
      <c r="X9" s="19"/>
      <c r="Y9" s="19"/>
      <c r="Z9" s="19"/>
      <c r="AA9" s="19"/>
      <c r="AB9" s="19"/>
      <c r="AC9" s="19"/>
      <c r="AD9" s="19"/>
      <c r="AE9" s="19"/>
      <c r="AF9" s="19"/>
      <c r="AG9" s="19"/>
      <c r="AH9" s="19"/>
      <c r="AI9" s="19"/>
      <c r="AJ9" s="19"/>
      <c r="AK9" s="19"/>
      <c r="AL9" s="19"/>
    </row>
    <row r="10" spans="1:38" ht="14.4">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4.4">
      <c r="A12" s="9"/>
      <c r="B12" s="12"/>
      <c r="C12" s="31" t="s">
        <v>14</v>
      </c>
      <c r="D12" s="26"/>
      <c r="E12" s="32"/>
      <c r="F12" s="26"/>
      <c r="G12" s="26"/>
      <c r="H12" s="26"/>
      <c r="I12" s="26"/>
      <c r="J12" s="26"/>
      <c r="K12" s="26"/>
      <c r="L12" s="32"/>
      <c r="M12" s="26"/>
      <c r="N12" s="26"/>
      <c r="O12" s="26"/>
      <c r="P12" s="26"/>
      <c r="Q12" s="26"/>
      <c r="R12" s="26"/>
      <c r="S12" s="32"/>
      <c r="T12" s="26"/>
      <c r="U12" s="26"/>
      <c r="V12" s="32"/>
    </row>
    <row r="13" spans="1:38" ht="14.4">
      <c r="A13" s="9"/>
      <c r="B13" s="12"/>
      <c r="C13" s="33"/>
      <c r="D13" s="26" t="s">
        <v>5</v>
      </c>
      <c r="E13" s="32"/>
      <c r="F13" s="74">
        <v>0</v>
      </c>
      <c r="G13" s="74">
        <v>7</v>
      </c>
      <c r="H13" s="71">
        <v>0</v>
      </c>
      <c r="I13" s="71">
        <v>4</v>
      </c>
      <c r="J13" s="64">
        <f t="shared" ref="J13:J31" si="0">IFERROR(F13/G13-1,"n/a")</f>
        <v>-1</v>
      </c>
      <c r="K13" s="64" t="str">
        <f>IFERROR(F13/H13-1,"n/a")</f>
        <v>n/a</v>
      </c>
      <c r="L13" s="60">
        <f t="shared" ref="L13:L14" si="1">IFERROR(F13/I13-1,"n/a")</f>
        <v>-1</v>
      </c>
      <c r="M13" s="68">
        <f>F13+'Jul-22'!M13</f>
        <v>227</v>
      </c>
      <c r="N13" s="68">
        <f>G13+'Jul-22'!N13</f>
        <v>13</v>
      </c>
      <c r="O13" s="68">
        <f>H13+'Jul-22'!O13</f>
        <v>145</v>
      </c>
      <c r="P13" s="68">
        <f>I13+'Jul-22'!P13</f>
        <v>250</v>
      </c>
      <c r="Q13" s="64">
        <f>IFERROR(M13/N13-1,"n/a")</f>
        <v>16.46153846153846</v>
      </c>
      <c r="R13" s="64">
        <f>IFERROR(M13/O13-1,"n/a")</f>
        <v>0.56551724137931036</v>
      </c>
      <c r="S13" s="60">
        <f>IFERROR(M13/P13-1,"n/a")</f>
        <v>-9.1999999999999971E-2</v>
      </c>
      <c r="T13" s="68">
        <v>111</v>
      </c>
      <c r="U13" s="70">
        <v>145</v>
      </c>
      <c r="V13" s="78">
        <v>386</v>
      </c>
    </row>
    <row r="14" spans="1:38" ht="14.4">
      <c r="A14" s="9"/>
      <c r="B14" s="12"/>
      <c r="C14" s="33"/>
      <c r="D14" s="26" t="s">
        <v>11</v>
      </c>
      <c r="E14" s="32"/>
      <c r="F14" s="74">
        <v>0</v>
      </c>
      <c r="G14" s="74">
        <v>1816</v>
      </c>
      <c r="H14" s="71">
        <v>0</v>
      </c>
      <c r="I14" s="74">
        <v>9607</v>
      </c>
      <c r="J14" s="64">
        <f t="shared" si="0"/>
        <v>-1</v>
      </c>
      <c r="K14" s="64" t="str">
        <f t="shared" ref="K14" si="2">IFERROR(F14/H14-1,"n/a")</f>
        <v>n/a</v>
      </c>
      <c r="L14" s="60">
        <f t="shared" si="1"/>
        <v>-1</v>
      </c>
      <c r="M14" s="68">
        <f>F14+'Jul-22'!M14</f>
        <v>194169</v>
      </c>
      <c r="N14" s="68">
        <f>G14+'Jul-22'!N14</f>
        <v>2583</v>
      </c>
      <c r="O14" s="68">
        <f>H14+'Jul-22'!O14</f>
        <v>258885</v>
      </c>
      <c r="P14" s="68">
        <f>I14+'Jul-22'!P14</f>
        <v>481131</v>
      </c>
      <c r="Q14" s="64">
        <f>IFERROR(M14/N14-1,"n/a")</f>
        <v>74.1718931475029</v>
      </c>
      <c r="R14" s="64">
        <f>IFERROR(M14/O14-1,"n/a")</f>
        <v>-0.24997972072541863</v>
      </c>
      <c r="S14" s="60">
        <f>IFERROR(M14/P14-1,"n/a")</f>
        <v>-0.59643215673070327</v>
      </c>
      <c r="T14" s="68">
        <v>80863</v>
      </c>
      <c r="U14" s="70">
        <v>258885</v>
      </c>
      <c r="V14" s="78">
        <v>733296</v>
      </c>
    </row>
    <row r="15" spans="1:38" ht="14.4">
      <c r="A15" s="9"/>
      <c r="B15" s="12"/>
      <c r="C15" s="31" t="s">
        <v>74</v>
      </c>
      <c r="D15" s="26"/>
      <c r="E15" s="32"/>
      <c r="F15" s="26"/>
      <c r="G15" s="26"/>
      <c r="H15" s="26"/>
      <c r="I15" s="26"/>
      <c r="J15" s="64"/>
      <c r="K15" s="64"/>
      <c r="L15" s="61"/>
      <c r="M15" s="87"/>
      <c r="N15" s="87"/>
      <c r="O15" s="87"/>
      <c r="P15" s="87"/>
      <c r="Q15" s="64"/>
      <c r="R15" s="65"/>
      <c r="S15" s="61"/>
      <c r="T15" s="43"/>
      <c r="U15" s="44"/>
      <c r="V15" s="79"/>
    </row>
    <row r="16" spans="1:38" ht="14.4">
      <c r="A16" s="9"/>
      <c r="B16" s="12"/>
      <c r="C16" s="33"/>
      <c r="D16" s="26" t="s">
        <v>5</v>
      </c>
      <c r="E16" s="32"/>
      <c r="F16" s="74">
        <v>57</v>
      </c>
      <c r="G16" s="74">
        <v>24</v>
      </c>
      <c r="H16" s="71">
        <v>0</v>
      </c>
      <c r="I16" s="74">
        <v>69</v>
      </c>
      <c r="J16" s="64">
        <f t="shared" si="0"/>
        <v>1.375</v>
      </c>
      <c r="K16" s="64" t="str">
        <f t="shared" ref="K16:K17" si="3">IFERROR(F16/H16-1,"n/a")</f>
        <v>n/a</v>
      </c>
      <c r="L16" s="60">
        <f t="shared" ref="L16:L17" si="4">IFERROR(F16/I16-1,"n/a")</f>
        <v>-0.17391304347826086</v>
      </c>
      <c r="M16" s="68">
        <f>F16+'Jul-22'!M16</f>
        <v>448</v>
      </c>
      <c r="N16" s="68">
        <f>G16+'Jul-22'!N16</f>
        <v>38</v>
      </c>
      <c r="O16" s="68">
        <f>H16+'Jul-22'!O16</f>
        <v>43</v>
      </c>
      <c r="P16" s="68">
        <f>I16+'Jul-22'!P16</f>
        <v>499</v>
      </c>
      <c r="Q16" s="64">
        <f t="shared" ref="Q16:Q17" si="5">IFERROR(M16/N16-1,"n/a")</f>
        <v>10.789473684210526</v>
      </c>
      <c r="R16" s="64">
        <f t="shared" ref="R16:R17" si="6">IFERROR(M16/O16-1,"n/a")</f>
        <v>9.4186046511627914</v>
      </c>
      <c r="S16" s="60">
        <f t="shared" ref="S16:S17" si="7">IFERROR(M16/P16-1,"n/a")</f>
        <v>-0.10220440881763526</v>
      </c>
      <c r="T16" s="68">
        <v>283</v>
      </c>
      <c r="U16" s="70">
        <v>43</v>
      </c>
      <c r="V16" s="78">
        <v>827</v>
      </c>
    </row>
    <row r="17" spans="1:38" ht="14.4">
      <c r="A17" s="9"/>
      <c r="B17" s="12"/>
      <c r="C17" s="33"/>
      <c r="D17" s="26" t="s">
        <v>11</v>
      </c>
      <c r="E17" s="32"/>
      <c r="F17" s="74">
        <v>227186</v>
      </c>
      <c r="G17" s="74">
        <v>49688</v>
      </c>
      <c r="H17" s="71">
        <v>0</v>
      </c>
      <c r="I17" s="74">
        <v>291759</v>
      </c>
      <c r="J17" s="64">
        <f t="shared" si="0"/>
        <v>3.572250845274513</v>
      </c>
      <c r="K17" s="64" t="str">
        <f t="shared" si="3"/>
        <v>n/a</v>
      </c>
      <c r="L17" s="60">
        <f t="shared" si="4"/>
        <v>-0.2213230782940715</v>
      </c>
      <c r="M17" s="68">
        <f>F17+'Jul-22'!M17</f>
        <v>1032303</v>
      </c>
      <c r="N17" s="68">
        <f>G17+'Jul-22'!N17</f>
        <v>78164</v>
      </c>
      <c r="O17" s="68">
        <f>H17+'Jul-22'!O17</f>
        <v>140552</v>
      </c>
      <c r="P17" s="68">
        <f>I17+'Jul-22'!P17</f>
        <v>1593408</v>
      </c>
      <c r="Q17" s="64">
        <f t="shared" si="5"/>
        <v>12.206885522747045</v>
      </c>
      <c r="R17" s="64">
        <f t="shared" si="6"/>
        <v>6.3446340144572826</v>
      </c>
      <c r="S17" s="60">
        <f t="shared" si="7"/>
        <v>-0.35214144776479095</v>
      </c>
      <c r="T17" s="68">
        <v>465109</v>
      </c>
      <c r="U17" s="70">
        <v>140552</v>
      </c>
      <c r="V17" s="78">
        <v>2552942</v>
      </c>
    </row>
    <row r="18" spans="1:38" ht="14.4">
      <c r="A18" s="9"/>
      <c r="B18" s="12"/>
      <c r="C18" s="31" t="s">
        <v>15</v>
      </c>
      <c r="D18" s="26"/>
      <c r="E18" s="32"/>
      <c r="F18" s="72"/>
      <c r="G18" s="72"/>
      <c r="H18" s="72"/>
      <c r="I18" s="72"/>
      <c r="J18" s="64"/>
      <c r="K18" s="64"/>
      <c r="L18" s="60"/>
      <c r="M18" s="87"/>
      <c r="N18" s="87"/>
      <c r="O18" s="87"/>
      <c r="P18" s="87"/>
      <c r="Q18" s="64"/>
      <c r="R18" s="64"/>
      <c r="S18" s="60"/>
      <c r="T18" s="43"/>
      <c r="U18" s="44"/>
      <c r="V18" s="79"/>
    </row>
    <row r="19" spans="1:38" ht="14.4">
      <c r="A19" s="9"/>
      <c r="B19" s="12"/>
      <c r="C19" s="33"/>
      <c r="D19" s="26" t="s">
        <v>5</v>
      </c>
      <c r="E19" s="32"/>
      <c r="F19" s="74">
        <v>68</v>
      </c>
      <c r="G19" s="71">
        <v>0</v>
      </c>
      <c r="H19" s="71">
        <v>0</v>
      </c>
      <c r="I19" s="74">
        <v>27</v>
      </c>
      <c r="J19" s="64" t="str">
        <f t="shared" si="0"/>
        <v>n/a</v>
      </c>
      <c r="K19" s="64" t="str">
        <f t="shared" ref="K19:K20" si="8">IFERROR(F19/H19-1,"n/a")</f>
        <v>n/a</v>
      </c>
      <c r="L19" s="60">
        <f>IFERROR(F19/I19-1,"n/a")</f>
        <v>1.5185185185185186</v>
      </c>
      <c r="M19" s="68">
        <f>F19+'Jul-22'!M19</f>
        <v>295</v>
      </c>
      <c r="N19" s="68">
        <f>G19+'Jul-22'!N19</f>
        <v>0</v>
      </c>
      <c r="O19" s="68">
        <f>H19+'Jul-22'!O19</f>
        <v>4</v>
      </c>
      <c r="P19" s="68">
        <f>I19+'Jul-22'!P19</f>
        <v>128</v>
      </c>
      <c r="Q19" s="64" t="str">
        <f t="shared" ref="Q19:Q20" si="9">IFERROR(M19/N19-1,"n/a")</f>
        <v>n/a</v>
      </c>
      <c r="R19" s="64">
        <f t="shared" ref="R19:R20" si="10">IFERROR(M19/O19-1,"n/a")</f>
        <v>72.75</v>
      </c>
      <c r="S19" s="60">
        <f t="shared" ref="S19:S20" si="11">IFERROR(M19/P19-1,"n/a")</f>
        <v>1.3046875</v>
      </c>
      <c r="T19" s="68">
        <v>23</v>
      </c>
      <c r="U19" s="70">
        <v>4</v>
      </c>
      <c r="V19" s="78">
        <v>191</v>
      </c>
    </row>
    <row r="20" spans="1:38" ht="14.4">
      <c r="A20" s="9"/>
      <c r="B20" s="12"/>
      <c r="C20" s="33"/>
      <c r="D20" s="26" t="s">
        <v>11</v>
      </c>
      <c r="E20" s="32"/>
      <c r="F20" s="74">
        <f>83975+18581</f>
        <v>102556</v>
      </c>
      <c r="G20" s="71">
        <v>0</v>
      </c>
      <c r="H20" s="71">
        <v>0</v>
      </c>
      <c r="I20" s="74">
        <f>27978+22373</f>
        <v>50351</v>
      </c>
      <c r="J20" s="64" t="str">
        <f t="shared" si="0"/>
        <v>n/a</v>
      </c>
      <c r="K20" s="64" t="str">
        <f t="shared" si="8"/>
        <v>n/a</v>
      </c>
      <c r="L20" s="60">
        <f t="shared" ref="L20:L31" si="12">IFERROR(F20/I20-1,"n/a")</f>
        <v>1.036821512978888</v>
      </c>
      <c r="M20" s="68">
        <f>F20+'Jul-22'!M20</f>
        <v>342146</v>
      </c>
      <c r="N20" s="68">
        <f>G20+'Jul-22'!N20</f>
        <v>0</v>
      </c>
      <c r="O20" s="68">
        <f>H20+'Jul-22'!O20</f>
        <v>1753</v>
      </c>
      <c r="P20" s="68">
        <f>I20+'Jul-22'!P20</f>
        <v>167542</v>
      </c>
      <c r="Q20" s="64" t="str">
        <f t="shared" si="9"/>
        <v>n/a</v>
      </c>
      <c r="R20" s="64">
        <f t="shared" si="10"/>
        <v>194.17741015402169</v>
      </c>
      <c r="S20" s="60">
        <f t="shared" si="11"/>
        <v>1.0421506249179311</v>
      </c>
      <c r="T20" s="68">
        <v>8611</v>
      </c>
      <c r="U20" s="70">
        <v>1753</v>
      </c>
      <c r="V20" s="78">
        <v>254421</v>
      </c>
    </row>
    <row r="21" spans="1:38" ht="14.4">
      <c r="A21" s="9"/>
      <c r="B21" s="12"/>
      <c r="C21" s="31" t="s">
        <v>10</v>
      </c>
      <c r="D21" s="26"/>
      <c r="E21" s="34"/>
      <c r="F21" s="72"/>
      <c r="G21" s="72"/>
      <c r="H21" s="72"/>
      <c r="I21" s="72"/>
      <c r="J21" s="64"/>
      <c r="K21" s="64"/>
      <c r="L21" s="60"/>
      <c r="M21" s="87"/>
      <c r="N21" s="87"/>
      <c r="O21" s="87"/>
      <c r="P21" s="87"/>
      <c r="Q21" s="64"/>
      <c r="R21" s="64"/>
      <c r="S21" s="60"/>
      <c r="T21" s="43"/>
      <c r="U21" s="44"/>
      <c r="V21" s="79"/>
    </row>
    <row r="22" spans="1:38" ht="14.4">
      <c r="A22" s="9"/>
      <c r="B22" s="12"/>
      <c r="C22" s="33"/>
      <c r="D22" s="26" t="s">
        <v>5</v>
      </c>
      <c r="E22" s="34"/>
      <c r="F22" s="73">
        <v>81</v>
      </c>
      <c r="G22" s="74">
        <v>44</v>
      </c>
      <c r="H22" s="71">
        <v>0</v>
      </c>
      <c r="I22" s="74">
        <v>93</v>
      </c>
      <c r="J22" s="64">
        <f t="shared" si="0"/>
        <v>0.84090909090909083</v>
      </c>
      <c r="K22" s="64" t="str">
        <f t="shared" ref="K22:K23" si="13">IFERROR(F22/H22-1,"n/a")</f>
        <v>n/a</v>
      </c>
      <c r="L22" s="60">
        <f t="shared" si="12"/>
        <v>-0.12903225806451613</v>
      </c>
      <c r="M22" s="68">
        <f>F22+'Jul-22'!M22</f>
        <v>764</v>
      </c>
      <c r="N22" s="68">
        <f>G22+'Jul-22'!N22</f>
        <v>73</v>
      </c>
      <c r="O22" s="68">
        <f>H22+'Jul-22'!O22</f>
        <v>406</v>
      </c>
      <c r="P22" s="68">
        <f>I22+'Jul-22'!P22</f>
        <v>780</v>
      </c>
      <c r="Q22" s="64">
        <f t="shared" ref="Q22:Q23" si="14">IFERROR(M22/N22-1,"n/a")</f>
        <v>9.4657534246575334</v>
      </c>
      <c r="R22" s="64">
        <f t="shared" ref="R22:R23" si="15">IFERROR(M22/O22-1,"n/a")</f>
        <v>0.88177339901477825</v>
      </c>
      <c r="S22" s="60">
        <f t="shared" ref="S22:S23" si="16">IFERROR(M22/P22-1,"n/a")</f>
        <v>-2.0512820512820551E-2</v>
      </c>
      <c r="T22" s="68">
        <v>411</v>
      </c>
      <c r="U22" s="70">
        <v>406</v>
      </c>
      <c r="V22" s="78">
        <v>1205</v>
      </c>
    </row>
    <row r="23" spans="1:38" ht="14.4">
      <c r="A23" s="9"/>
      <c r="B23" s="12"/>
      <c r="C23" s="33"/>
      <c r="D23" s="26" t="s">
        <v>11</v>
      </c>
      <c r="E23" s="32"/>
      <c r="F23" s="74">
        <v>278520</v>
      </c>
      <c r="G23" s="74">
        <v>64775</v>
      </c>
      <c r="H23" s="71">
        <v>0</v>
      </c>
      <c r="I23" s="74">
        <v>315639</v>
      </c>
      <c r="J23" s="64">
        <f t="shared" si="0"/>
        <v>3.2998070243149362</v>
      </c>
      <c r="K23" s="64" t="str">
        <f t="shared" si="13"/>
        <v>n/a</v>
      </c>
      <c r="L23" s="60">
        <f t="shared" si="12"/>
        <v>-0.11759953617898933</v>
      </c>
      <c r="M23" s="68">
        <f>F23+'Jul-22'!M23</f>
        <v>1920562</v>
      </c>
      <c r="N23" s="68">
        <f>G23+'Jul-22'!N23</f>
        <v>100033</v>
      </c>
      <c r="O23" s="68">
        <f>H23+'Jul-22'!O23</f>
        <v>833999</v>
      </c>
      <c r="P23" s="68">
        <f>I23+'Jul-22'!P23</f>
        <v>2649237</v>
      </c>
      <c r="Q23" s="64">
        <f t="shared" si="14"/>
        <v>18.199284236202054</v>
      </c>
      <c r="R23" s="64">
        <f t="shared" si="15"/>
        <v>1.302834895485486</v>
      </c>
      <c r="S23" s="60">
        <f t="shared" si="16"/>
        <v>-0.27505089201154898</v>
      </c>
      <c r="T23" s="68">
        <v>687449</v>
      </c>
      <c r="U23" s="70">
        <v>833999</v>
      </c>
      <c r="V23" s="78">
        <v>3859183</v>
      </c>
    </row>
    <row r="24" spans="1:38" ht="14.4">
      <c r="A24" s="9"/>
      <c r="B24" s="12"/>
      <c r="C24" s="31" t="s">
        <v>16</v>
      </c>
      <c r="D24" s="26"/>
      <c r="E24" s="32"/>
      <c r="F24" s="72"/>
      <c r="G24" s="72"/>
      <c r="H24" s="72"/>
      <c r="I24" s="72"/>
      <c r="J24" s="64"/>
      <c r="K24" s="64"/>
      <c r="L24" s="60"/>
      <c r="M24" s="87"/>
      <c r="N24" s="87"/>
      <c r="O24" s="87"/>
      <c r="P24" s="87"/>
      <c r="Q24" s="64"/>
      <c r="R24" s="64"/>
      <c r="S24" s="60"/>
      <c r="T24" s="43"/>
      <c r="U24" s="44"/>
      <c r="V24" s="79"/>
    </row>
    <row r="25" spans="1:38" ht="14.4">
      <c r="A25" s="9"/>
      <c r="B25" s="12"/>
      <c r="C25" s="33"/>
      <c r="D25" s="26" t="s">
        <v>5</v>
      </c>
      <c r="E25" s="32"/>
      <c r="F25" s="74">
        <v>32</v>
      </c>
      <c r="G25" s="74">
        <v>17</v>
      </c>
      <c r="H25" s="74">
        <v>2</v>
      </c>
      <c r="I25" s="74">
        <v>35</v>
      </c>
      <c r="J25" s="64">
        <f t="shared" si="0"/>
        <v>0.88235294117647056</v>
      </c>
      <c r="K25" s="64">
        <f t="shared" ref="K25:K26" si="17">IFERROR(F25/H25-1,"n/a")</f>
        <v>15</v>
      </c>
      <c r="L25" s="60">
        <f t="shared" si="12"/>
        <v>-8.5714285714285743E-2</v>
      </c>
      <c r="M25" s="68">
        <f>F25+'Jul-22'!M25</f>
        <v>188</v>
      </c>
      <c r="N25" s="68">
        <f>G25+'Jul-22'!N25</f>
        <v>54</v>
      </c>
      <c r="O25" s="68">
        <f>H25+'Jul-22'!O25</f>
        <v>11</v>
      </c>
      <c r="P25" s="68">
        <f>I25+'Jul-22'!P25</f>
        <v>204</v>
      </c>
      <c r="Q25" s="64">
        <f t="shared" ref="Q25:Q26" si="18">IFERROR(M25/N25-1,"n/a")</f>
        <v>2.4814814814814814</v>
      </c>
      <c r="R25" s="64">
        <f t="shared" ref="R25:R26" si="19">IFERROR(M25/O25-1,"n/a")</f>
        <v>16.09090909090909</v>
      </c>
      <c r="S25" s="60">
        <f t="shared" ref="S25:S26" si="20">IFERROR(M25/P25-1,"n/a")</f>
        <v>-7.8431372549019662E-2</v>
      </c>
      <c r="T25" s="68">
        <v>107</v>
      </c>
      <c r="U25" s="70">
        <v>32</v>
      </c>
      <c r="V25" s="78">
        <v>372</v>
      </c>
    </row>
    <row r="26" spans="1:38" ht="14.4">
      <c r="A26" s="9"/>
      <c r="B26" s="12"/>
      <c r="C26" s="33"/>
      <c r="D26" s="26" t="s">
        <v>11</v>
      </c>
      <c r="E26" s="32"/>
      <c r="F26" s="74">
        <v>96458</v>
      </c>
      <c r="G26" s="74">
        <v>24100</v>
      </c>
      <c r="H26" s="74">
        <v>2541</v>
      </c>
      <c r="I26" s="74">
        <v>108905</v>
      </c>
      <c r="J26" s="64">
        <f t="shared" si="0"/>
        <v>3.0024066390041497</v>
      </c>
      <c r="K26" s="64">
        <f t="shared" si="17"/>
        <v>36.960645415190868</v>
      </c>
      <c r="L26" s="60">
        <f t="shared" si="12"/>
        <v>-0.11429227308204404</v>
      </c>
      <c r="M26" s="68">
        <f>F26+'Jul-22'!M26</f>
        <v>346507</v>
      </c>
      <c r="N26" s="68">
        <f>G26+'Jul-22'!N26</f>
        <v>69550</v>
      </c>
      <c r="O26" s="68">
        <f>H26+'Jul-22'!O26</f>
        <v>42762</v>
      </c>
      <c r="P26" s="68">
        <f>I26+'Jul-22'!P26</f>
        <v>586040</v>
      </c>
      <c r="Q26" s="64">
        <f t="shared" si="18"/>
        <v>3.9821279654924515</v>
      </c>
      <c r="R26" s="64">
        <f t="shared" si="19"/>
        <v>7.1031523315092837</v>
      </c>
      <c r="S26" s="60">
        <f t="shared" si="20"/>
        <v>-0.40873148590539898</v>
      </c>
      <c r="T26" s="68">
        <v>147132</v>
      </c>
      <c r="U26" s="70">
        <v>59180</v>
      </c>
      <c r="V26" s="78">
        <v>902015</v>
      </c>
    </row>
    <row r="27" spans="1:38" ht="14.4">
      <c r="A27" s="9"/>
      <c r="B27" s="12"/>
      <c r="C27" s="31" t="s">
        <v>17</v>
      </c>
      <c r="D27" s="26"/>
      <c r="E27" s="32"/>
      <c r="F27" s="72"/>
      <c r="G27" s="72"/>
      <c r="H27" s="72"/>
      <c r="I27" s="72"/>
      <c r="J27" s="64"/>
      <c r="K27" s="64"/>
      <c r="L27" s="60"/>
      <c r="M27" s="87"/>
      <c r="N27" s="87"/>
      <c r="O27" s="87"/>
      <c r="P27" s="87"/>
      <c r="Q27" s="64"/>
      <c r="R27" s="64"/>
      <c r="S27" s="60"/>
      <c r="T27" s="43"/>
      <c r="U27" s="44"/>
      <c r="V27" s="79"/>
    </row>
    <row r="28" spans="1:38" ht="14.4">
      <c r="B28" s="12"/>
      <c r="C28" s="33"/>
      <c r="D28" s="26" t="s">
        <v>5</v>
      </c>
      <c r="E28" s="32"/>
      <c r="F28" s="74">
        <v>72</v>
      </c>
      <c r="G28" s="74">
        <v>16</v>
      </c>
      <c r="H28" s="74">
        <v>3</v>
      </c>
      <c r="I28" s="74">
        <v>44</v>
      </c>
      <c r="J28" s="64">
        <f t="shared" si="0"/>
        <v>3.5</v>
      </c>
      <c r="K28" s="64">
        <f t="shared" ref="K28:K31" si="21">IFERROR(F28/H28-1,"n/a")</f>
        <v>23</v>
      </c>
      <c r="L28" s="60">
        <f t="shared" si="12"/>
        <v>0.63636363636363646</v>
      </c>
      <c r="M28" s="68">
        <f>F28+'Jul-22'!M28</f>
        <v>346</v>
      </c>
      <c r="N28" s="68">
        <f>G28+'Jul-22'!N28</f>
        <v>56</v>
      </c>
      <c r="O28" s="68">
        <f>H28+'Jul-22'!O28</f>
        <v>5</v>
      </c>
      <c r="P28" s="68">
        <f>I28+'Jul-22'!P28</f>
        <v>216</v>
      </c>
      <c r="Q28" s="64">
        <f t="shared" ref="Q28:Q31" si="22">IFERROR(M28/N28-1,"n/a")</f>
        <v>5.1785714285714288</v>
      </c>
      <c r="R28" s="64">
        <f t="shared" ref="R28:R31" si="23">IFERROR(M28/O28-1,"n/a")</f>
        <v>68.2</v>
      </c>
      <c r="S28" s="60">
        <f t="shared" ref="S28:S31" si="24">IFERROR(M28/P28-1,"n/a")</f>
        <v>0.60185185185185186</v>
      </c>
      <c r="T28" s="68">
        <v>127</v>
      </c>
      <c r="U28" s="70">
        <v>37</v>
      </c>
      <c r="V28" s="78">
        <f>282+81</f>
        <v>363</v>
      </c>
    </row>
    <row r="29" spans="1:38" ht="14.4">
      <c r="A29" s="9"/>
      <c r="B29" s="12"/>
      <c r="C29" s="33"/>
      <c r="D29" s="26" t="s">
        <v>11</v>
      </c>
      <c r="E29" s="32"/>
      <c r="F29" s="74">
        <f>151084+25399+7611</f>
        <v>184094</v>
      </c>
      <c r="G29" s="74">
        <v>25181</v>
      </c>
      <c r="H29" s="71">
        <v>0</v>
      </c>
      <c r="I29" s="74">
        <f>100123+26729+22999</f>
        <v>149851</v>
      </c>
      <c r="J29" s="64">
        <f t="shared" si="0"/>
        <v>6.310829593741313</v>
      </c>
      <c r="K29" s="64" t="str">
        <f t="shared" si="21"/>
        <v>n/a</v>
      </c>
      <c r="L29" s="60">
        <f t="shared" si="12"/>
        <v>0.22851365689918657</v>
      </c>
      <c r="M29" s="68">
        <f>F29+'Jul-22'!M29</f>
        <v>543174</v>
      </c>
      <c r="N29" s="68">
        <f>G29+'Jul-22'!N29</f>
        <v>81814</v>
      </c>
      <c r="O29" s="68">
        <f>H29+'Jul-22'!O29</f>
        <v>9186</v>
      </c>
      <c r="P29" s="68">
        <f>I29+'Jul-22'!P29</f>
        <v>592980</v>
      </c>
      <c r="Q29" s="64">
        <f t="shared" si="22"/>
        <v>5.6391326667807462</v>
      </c>
      <c r="R29" s="64">
        <f t="shared" si="23"/>
        <v>58.130633572828216</v>
      </c>
      <c r="S29" s="60">
        <f t="shared" si="24"/>
        <v>-8.3992714762723852E-2</v>
      </c>
      <c r="T29" s="68">
        <v>165083</v>
      </c>
      <c r="U29" s="70">
        <f>20768+8294</f>
        <v>29062</v>
      </c>
      <c r="V29" s="78">
        <f>659951+168729+38484</f>
        <v>867164</v>
      </c>
    </row>
    <row r="30" spans="1:38" ht="15" customHeight="1" thickBot="1">
      <c r="A30" s="9"/>
      <c r="B30" s="12"/>
      <c r="C30" s="35" t="s">
        <v>12</v>
      </c>
      <c r="D30" s="36"/>
      <c r="E30" s="37"/>
      <c r="F30" s="75">
        <f t="shared" ref="F30:I31" si="25">F13+F16+F19+F22+F25+F28</f>
        <v>310</v>
      </c>
      <c r="G30" s="75">
        <f t="shared" si="25"/>
        <v>108</v>
      </c>
      <c r="H30" s="75">
        <f t="shared" si="25"/>
        <v>5</v>
      </c>
      <c r="I30" s="75">
        <f t="shared" si="25"/>
        <v>272</v>
      </c>
      <c r="J30" s="66">
        <f t="shared" si="0"/>
        <v>1.8703703703703702</v>
      </c>
      <c r="K30" s="66">
        <f t="shared" si="21"/>
        <v>61</v>
      </c>
      <c r="L30" s="62">
        <f t="shared" si="12"/>
        <v>0.13970588235294112</v>
      </c>
      <c r="M30" s="46">
        <f t="shared" ref="M30:P31" si="26">M13+M16+M19+M22+M25+M28</f>
        <v>2268</v>
      </c>
      <c r="N30" s="46">
        <f t="shared" si="26"/>
        <v>234</v>
      </c>
      <c r="O30" s="46">
        <f t="shared" si="26"/>
        <v>614</v>
      </c>
      <c r="P30" s="46">
        <f t="shared" si="26"/>
        <v>2077</v>
      </c>
      <c r="Q30" s="66">
        <f t="shared" si="22"/>
        <v>8.6923076923076916</v>
      </c>
      <c r="R30" s="66">
        <f t="shared" si="23"/>
        <v>2.6938110749185666</v>
      </c>
      <c r="S30" s="62">
        <f t="shared" si="24"/>
        <v>9.1959557053442387E-2</v>
      </c>
      <c r="T30" s="46">
        <f t="shared" ref="T30:V31" si="27">T13+T16+T19+T22+T25+T28</f>
        <v>1062</v>
      </c>
      <c r="U30" s="46">
        <f t="shared" si="27"/>
        <v>667</v>
      </c>
      <c r="V30" s="80">
        <f t="shared" si="27"/>
        <v>3344</v>
      </c>
    </row>
    <row r="31" spans="1:38" s="22" customFormat="1" ht="15" customHeight="1" thickTop="1" thickBot="1">
      <c r="A31" s="9"/>
      <c r="B31" s="12"/>
      <c r="C31" s="38" t="s">
        <v>13</v>
      </c>
      <c r="D31" s="39"/>
      <c r="E31" s="40"/>
      <c r="F31" s="76">
        <f t="shared" si="25"/>
        <v>888814</v>
      </c>
      <c r="G31" s="76">
        <f t="shared" si="25"/>
        <v>165560</v>
      </c>
      <c r="H31" s="76">
        <f t="shared" si="25"/>
        <v>2541</v>
      </c>
      <c r="I31" s="76">
        <f t="shared" si="25"/>
        <v>926112</v>
      </c>
      <c r="J31" s="67">
        <f t="shared" si="0"/>
        <v>4.368531046146412</v>
      </c>
      <c r="K31" s="67">
        <f t="shared" si="21"/>
        <v>348.78905942542303</v>
      </c>
      <c r="L31" s="63">
        <f t="shared" si="12"/>
        <v>-4.0273746587885739E-2</v>
      </c>
      <c r="M31" s="47">
        <f t="shared" si="26"/>
        <v>4378861</v>
      </c>
      <c r="N31" s="47">
        <f t="shared" si="26"/>
        <v>332144</v>
      </c>
      <c r="O31" s="47">
        <f t="shared" si="26"/>
        <v>1287137</v>
      </c>
      <c r="P31" s="47">
        <f t="shared" si="26"/>
        <v>6070338</v>
      </c>
      <c r="Q31" s="67">
        <f t="shared" si="22"/>
        <v>12.183622163880726</v>
      </c>
      <c r="R31" s="67">
        <f t="shared" si="23"/>
        <v>2.4020162577876327</v>
      </c>
      <c r="S31" s="63">
        <f t="shared" si="24"/>
        <v>-0.27864626318995744</v>
      </c>
      <c r="T31" s="47">
        <f t="shared" si="27"/>
        <v>1554247</v>
      </c>
      <c r="U31" s="47">
        <f t="shared" si="27"/>
        <v>1323431</v>
      </c>
      <c r="V31" s="81">
        <f t="shared" si="27"/>
        <v>9169021</v>
      </c>
      <c r="W31" s="9"/>
      <c r="X31" s="21"/>
      <c r="Y31" s="21"/>
      <c r="Z31" s="21"/>
      <c r="AA31" s="21"/>
      <c r="AB31" s="21"/>
      <c r="AC31" s="21"/>
      <c r="AD31" s="21"/>
      <c r="AE31" s="21"/>
      <c r="AF31" s="21"/>
      <c r="AG31" s="21"/>
      <c r="AH31" s="21"/>
      <c r="AI31" s="21"/>
      <c r="AJ31" s="21"/>
      <c r="AK31" s="21"/>
      <c r="AL31" s="21"/>
    </row>
    <row r="32" spans="1:38" ht="15" customHeight="1" thickTop="1">
      <c r="A32" s="9"/>
      <c r="B32" s="9"/>
      <c r="C32" s="9"/>
      <c r="D32" s="9"/>
      <c r="E32" s="9"/>
      <c r="F32" s="9"/>
      <c r="G32" s="41"/>
      <c r="H32" s="41"/>
      <c r="I32" s="41"/>
      <c r="J32" s="41"/>
      <c r="K32" s="9"/>
      <c r="L32" s="9"/>
      <c r="M32" s="9"/>
      <c r="N32" s="9"/>
      <c r="O32" s="9"/>
      <c r="P32" s="9"/>
      <c r="Q32" s="9"/>
      <c r="R32" s="9"/>
      <c r="S32" s="9"/>
      <c r="T32" s="83"/>
      <c r="U32" s="9"/>
      <c r="V32" s="9"/>
    </row>
    <row r="33" spans="1:22" ht="22.95" customHeight="1">
      <c r="A33" s="9"/>
      <c r="B33" s="9"/>
      <c r="C33" s="9"/>
      <c r="D33" s="9"/>
      <c r="E33" s="9"/>
      <c r="F33" s="9"/>
      <c r="G33" s="41"/>
      <c r="H33" s="41"/>
      <c r="I33" s="41"/>
      <c r="J33" s="41"/>
      <c r="K33" s="9"/>
      <c r="L33" s="9"/>
      <c r="M33" s="9"/>
      <c r="N33" s="9"/>
      <c r="O33" s="9"/>
      <c r="P33" s="9"/>
      <c r="Q33" s="9"/>
      <c r="R33" s="9"/>
      <c r="S33" s="9"/>
      <c r="T33" s="9"/>
      <c r="U33" s="9"/>
      <c r="V33" s="9"/>
    </row>
    <row r="34" spans="1:22" ht="14.4">
      <c r="A34" s="9"/>
      <c r="B34" s="10"/>
      <c r="C34" s="86" t="s">
        <v>63</v>
      </c>
      <c r="D34" s="24"/>
      <c r="E34" s="24"/>
      <c r="F34" s="24"/>
      <c r="G34" s="24"/>
      <c r="H34" s="24"/>
      <c r="I34" s="24"/>
      <c r="J34" s="24"/>
      <c r="K34" s="24"/>
      <c r="L34" s="24"/>
      <c r="M34" s="24"/>
      <c r="N34" s="24"/>
      <c r="O34" s="24"/>
      <c r="P34" s="24"/>
      <c r="Q34" s="24"/>
      <c r="R34" s="24"/>
      <c r="S34" s="24"/>
      <c r="T34" s="24"/>
      <c r="U34" s="24"/>
      <c r="V34" s="24"/>
    </row>
    <row r="35" spans="1:22" ht="14.4">
      <c r="A35" s="9"/>
      <c r="B35" s="10"/>
      <c r="C35" s="24"/>
      <c r="D35" s="24"/>
      <c r="E35" s="24"/>
      <c r="F35" s="24"/>
      <c r="G35" s="24"/>
      <c r="H35" s="24"/>
      <c r="I35" s="24"/>
      <c r="J35" s="24"/>
      <c r="K35" s="24"/>
      <c r="L35" s="24"/>
      <c r="M35" s="24"/>
      <c r="N35" s="24"/>
      <c r="O35" s="24"/>
      <c r="P35" s="24"/>
      <c r="Q35" s="24"/>
      <c r="R35" s="24"/>
      <c r="S35" s="24"/>
      <c r="T35" s="24"/>
      <c r="U35" s="24"/>
      <c r="V35" s="24"/>
    </row>
    <row r="36" spans="1:22" ht="15" customHeight="1">
      <c r="A36" s="9"/>
      <c r="B36" s="9"/>
      <c r="C36" s="27" t="s">
        <v>7</v>
      </c>
      <c r="D36" s="28"/>
      <c r="E36" s="28"/>
      <c r="F36" s="128" t="str">
        <f>F9</f>
        <v>August</v>
      </c>
      <c r="G36" s="128"/>
      <c r="H36" s="128"/>
      <c r="I36" s="128"/>
      <c r="J36" s="128"/>
      <c r="K36" s="128"/>
      <c r="L36" s="129"/>
      <c r="M36" s="130" t="s">
        <v>70</v>
      </c>
      <c r="N36" s="128"/>
      <c r="O36" s="128"/>
      <c r="P36" s="128"/>
      <c r="Q36" s="128"/>
      <c r="R36" s="128"/>
      <c r="S36" s="129"/>
      <c r="T36" s="130" t="s">
        <v>58</v>
      </c>
      <c r="U36" s="128"/>
      <c r="V36" s="131"/>
    </row>
    <row r="37" spans="1:22" ht="15" customHeight="1">
      <c r="A37" s="9"/>
      <c r="B37" s="9"/>
      <c r="C37" s="29"/>
      <c r="D37" s="30"/>
      <c r="E37" s="30"/>
      <c r="F37" s="29"/>
      <c r="G37" s="30"/>
      <c r="H37" s="30"/>
      <c r="I37" s="30"/>
      <c r="J37" s="30"/>
      <c r="K37" s="30"/>
      <c r="L37" s="56"/>
      <c r="M37" s="30"/>
      <c r="N37" s="30"/>
      <c r="O37" s="30"/>
      <c r="P37" s="30"/>
      <c r="Q37" s="30"/>
      <c r="R37" s="30"/>
      <c r="S37" s="56"/>
      <c r="T37" s="30"/>
      <c r="U37" s="30"/>
      <c r="V37" s="56"/>
    </row>
    <row r="38" spans="1:22" s="9" customFormat="1" ht="33.6"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1:22" s="9" customFormat="1" ht="15" customHeight="1">
      <c r="C39" s="31" t="s">
        <v>14</v>
      </c>
      <c r="D39" s="26"/>
      <c r="E39" s="32"/>
      <c r="F39" s="26"/>
      <c r="G39" s="26"/>
      <c r="H39" s="26"/>
      <c r="I39" s="26"/>
      <c r="J39" s="26"/>
      <c r="K39" s="26"/>
      <c r="L39" s="32"/>
      <c r="M39" s="26"/>
      <c r="N39" s="26"/>
      <c r="O39" s="26"/>
      <c r="Q39" s="26"/>
      <c r="R39" s="26"/>
      <c r="S39" s="32"/>
      <c r="T39" s="33"/>
      <c r="U39" s="88"/>
      <c r="V39" s="85"/>
    </row>
    <row r="40" spans="1:22" s="9" customFormat="1" ht="15" customHeight="1">
      <c r="C40" s="33"/>
      <c r="D40" s="26" t="s">
        <v>5</v>
      </c>
      <c r="E40" s="32"/>
      <c r="F40" s="74">
        <f>F13</f>
        <v>0</v>
      </c>
      <c r="G40" s="74">
        <f t="shared" ref="G40:I40" si="28">G13</f>
        <v>7</v>
      </c>
      <c r="H40" s="71">
        <f t="shared" si="28"/>
        <v>0</v>
      </c>
      <c r="I40" s="71">
        <f t="shared" si="28"/>
        <v>4</v>
      </c>
      <c r="J40" s="64">
        <f t="shared" ref="J40:J41" si="29">IFERROR(F40/G40-1,"n/a")</f>
        <v>-1</v>
      </c>
      <c r="K40" s="64" t="str">
        <f>IFERROR(F40/H40-1,"n/a")</f>
        <v>n/a</v>
      </c>
      <c r="L40" s="60">
        <f t="shared" ref="L40:L41" si="30">IFERROR(F40/I40-1,"n/a")</f>
        <v>-1</v>
      </c>
      <c r="M40" s="70">
        <f>+M13-'Mar-22'!M10</f>
        <v>30</v>
      </c>
      <c r="N40" s="70">
        <f>+N13-'Mar-22'!N10</f>
        <v>13</v>
      </c>
      <c r="O40" s="82">
        <f>+O13-'Mar-22'!O10</f>
        <v>0</v>
      </c>
      <c r="P40" s="70">
        <f>+P13-'Mar-22'!P10</f>
        <v>50</v>
      </c>
      <c r="Q40" s="64">
        <f>IFERROR(M40/N40-1,"n/a")</f>
        <v>1.3076923076923075</v>
      </c>
      <c r="R40" s="64" t="str">
        <f>IFERROR(M40/O40-1,"n/a")</f>
        <v>n/a</v>
      </c>
      <c r="S40" s="60">
        <f>IFERROR(M40/P40-1,"n/a")</f>
        <v>-0.4</v>
      </c>
      <c r="T40" s="89">
        <v>308</v>
      </c>
      <c r="U40" s="70">
        <v>145</v>
      </c>
      <c r="V40" s="78">
        <v>331</v>
      </c>
    </row>
    <row r="41" spans="1:22" s="9" customFormat="1" ht="15" customHeight="1">
      <c r="C41" s="33"/>
      <c r="D41" s="26" t="s">
        <v>11</v>
      </c>
      <c r="E41" s="32"/>
      <c r="F41" s="74">
        <f t="shared" ref="F41:I41" si="31">F14</f>
        <v>0</v>
      </c>
      <c r="G41" s="74">
        <f t="shared" si="31"/>
        <v>1816</v>
      </c>
      <c r="H41" s="71">
        <f t="shared" si="31"/>
        <v>0</v>
      </c>
      <c r="I41" s="74">
        <f t="shared" si="31"/>
        <v>9607</v>
      </c>
      <c r="J41" s="64">
        <f t="shared" si="29"/>
        <v>-1</v>
      </c>
      <c r="K41" s="64" t="str">
        <f t="shared" ref="K41" si="32">IFERROR(F41/H41-1,"n/a")</f>
        <v>n/a</v>
      </c>
      <c r="L41" s="60">
        <f t="shared" si="30"/>
        <v>-1</v>
      </c>
      <c r="M41" s="82">
        <f>+M14-'Mar-22'!M11</f>
        <v>37841</v>
      </c>
      <c r="N41" s="82">
        <f>+N14-'Mar-22'!N11</f>
        <v>2583</v>
      </c>
      <c r="O41" s="82">
        <f>+O14-'Mar-22'!O11</f>
        <v>0</v>
      </c>
      <c r="P41" s="82">
        <f>+P14-'Mar-22'!P11</f>
        <v>95751</v>
      </c>
      <c r="Q41" s="64">
        <f>IFERROR(M41/N41-1,"n/a")</f>
        <v>13.650019357336431</v>
      </c>
      <c r="R41" s="64" t="str">
        <f>IFERROR(M41/O41-1,"n/a")</f>
        <v>n/a</v>
      </c>
      <c r="S41" s="60">
        <f>IFERROR(M41/P41-1,"n/a")</f>
        <v>-0.60479786111894396</v>
      </c>
      <c r="T41" s="89">
        <v>237191</v>
      </c>
      <c r="U41" s="84">
        <v>258885</v>
      </c>
      <c r="V41" s="78">
        <v>606801</v>
      </c>
    </row>
    <row r="42" spans="1:22" s="9" customFormat="1" ht="15" customHeight="1">
      <c r="C42" s="31" t="s">
        <v>20</v>
      </c>
      <c r="D42" s="26"/>
      <c r="E42" s="32"/>
      <c r="F42" s="26"/>
      <c r="G42" s="26"/>
      <c r="H42" s="26"/>
      <c r="I42" s="26"/>
      <c r="J42" s="64"/>
      <c r="K42" s="64"/>
      <c r="L42" s="61"/>
      <c r="M42" s="87"/>
      <c r="N42" s="87"/>
      <c r="O42" s="87"/>
      <c r="P42" s="87"/>
      <c r="Q42" s="65"/>
      <c r="R42" s="65"/>
      <c r="S42" s="61"/>
      <c r="T42" s="90"/>
      <c r="U42" s="44"/>
      <c r="V42" s="79"/>
    </row>
    <row r="43" spans="1:22" s="9" customFormat="1" ht="15" customHeight="1">
      <c r="C43" s="33"/>
      <c r="D43" s="26" t="s">
        <v>5</v>
      </c>
      <c r="E43" s="32"/>
      <c r="F43" s="74">
        <f t="shared" ref="F43:I44" si="33">F16</f>
        <v>57</v>
      </c>
      <c r="G43" s="74">
        <f t="shared" si="33"/>
        <v>24</v>
      </c>
      <c r="H43" s="71">
        <f t="shared" si="33"/>
        <v>0</v>
      </c>
      <c r="I43" s="74">
        <f t="shared" si="33"/>
        <v>69</v>
      </c>
      <c r="J43" s="64">
        <f t="shared" ref="J43:J44" si="34">IFERROR(F43/G43-1,"n/a")</f>
        <v>1.375</v>
      </c>
      <c r="K43" s="64" t="str">
        <f t="shared" ref="K43:K44" si="35">IFERROR(F43/H43-1,"n/a")</f>
        <v>n/a</v>
      </c>
      <c r="L43" s="60">
        <f t="shared" ref="L43:L44" si="36">IFERROR(F43/I43-1,"n/a")</f>
        <v>-0.17391304347826086</v>
      </c>
      <c r="M43" s="70">
        <f>+M16-'Mar-22'!M13</f>
        <v>395</v>
      </c>
      <c r="N43" s="70">
        <f>+N16-'Mar-22'!N13</f>
        <v>38</v>
      </c>
      <c r="O43" s="82">
        <f>+O16-'Mar-22'!O13</f>
        <v>0</v>
      </c>
      <c r="P43" s="70">
        <f>+P16-'Mar-22'!P13</f>
        <v>410</v>
      </c>
      <c r="Q43" s="64">
        <f>IFERROR(M43/N43-1,"n/a")</f>
        <v>9.3947368421052637</v>
      </c>
      <c r="R43" s="64" t="str">
        <f>IFERROR(M43/O43-1,"n/a")</f>
        <v>n/a</v>
      </c>
      <c r="S43" s="60">
        <f t="shared" ref="S43:S44" si="37">IFERROR(M43/P43-1,"n/a")</f>
        <v>-3.6585365853658569E-2</v>
      </c>
      <c r="T43" s="89">
        <v>336</v>
      </c>
      <c r="U43" s="70">
        <v>43</v>
      </c>
      <c r="V43" s="78">
        <v>781</v>
      </c>
    </row>
    <row r="44" spans="1:22" s="9" customFormat="1" ht="15" customHeight="1">
      <c r="C44" s="33"/>
      <c r="D44" s="26" t="s">
        <v>11</v>
      </c>
      <c r="E44" s="32"/>
      <c r="F44" s="74">
        <f t="shared" si="33"/>
        <v>227186</v>
      </c>
      <c r="G44" s="74">
        <f t="shared" si="33"/>
        <v>49688</v>
      </c>
      <c r="H44" s="71">
        <f t="shared" si="33"/>
        <v>0</v>
      </c>
      <c r="I44" s="74">
        <f t="shared" si="33"/>
        <v>291759</v>
      </c>
      <c r="J44" s="64">
        <f t="shared" si="34"/>
        <v>3.572250845274513</v>
      </c>
      <c r="K44" s="64" t="str">
        <f t="shared" si="35"/>
        <v>n/a</v>
      </c>
      <c r="L44" s="60">
        <f t="shared" si="36"/>
        <v>-0.2213230782940715</v>
      </c>
      <c r="M44" s="82">
        <f>+M17-'Mar-22'!M14</f>
        <v>963849</v>
      </c>
      <c r="N44" s="82">
        <f>+N17-'Mar-22'!N14</f>
        <v>78164</v>
      </c>
      <c r="O44" s="82">
        <f>+O17-'Mar-22'!O14</f>
        <v>0</v>
      </c>
      <c r="P44" s="82">
        <f>+P17-'Mar-22'!P14</f>
        <v>1341508</v>
      </c>
      <c r="Q44" s="64">
        <f>IFERROR(M44/N44-1,"n/a")</f>
        <v>11.33111150913464</v>
      </c>
      <c r="R44" s="64" t="str">
        <f>IFERROR(M44/O44-1,"n/a")</f>
        <v>n/a</v>
      </c>
      <c r="S44" s="60">
        <f t="shared" si="37"/>
        <v>-0.28151826153850745</v>
      </c>
      <c r="T44" s="89">
        <v>533563</v>
      </c>
      <c r="U44" s="84">
        <v>140552</v>
      </c>
      <c r="V44" s="78">
        <v>2441594</v>
      </c>
    </row>
    <row r="45" spans="1:22"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1:22" s="9" customFormat="1" ht="15" customHeight="1">
      <c r="C46" s="33"/>
      <c r="D46" s="26" t="s">
        <v>5</v>
      </c>
      <c r="E46" s="32"/>
      <c r="F46" s="74">
        <f t="shared" ref="F46:I47" si="38">F19</f>
        <v>68</v>
      </c>
      <c r="G46" s="71">
        <f t="shared" si="38"/>
        <v>0</v>
      </c>
      <c r="H46" s="71">
        <f t="shared" si="38"/>
        <v>0</v>
      </c>
      <c r="I46" s="74">
        <f t="shared" si="38"/>
        <v>27</v>
      </c>
      <c r="J46" s="64" t="str">
        <f t="shared" ref="J46:J47" si="39">IFERROR(F46/G46-1,"n/a")</f>
        <v>n/a</v>
      </c>
      <c r="K46" s="64" t="str">
        <f t="shared" ref="K46:K47" si="40">IFERROR(F46/H46-1,"n/a")</f>
        <v>n/a</v>
      </c>
      <c r="L46" s="60">
        <f>IFERROR(F46/I46-1,"n/a")</f>
        <v>1.5185185185185186</v>
      </c>
      <c r="M46" s="70">
        <f>+M19-'Mar-22'!M16</f>
        <v>285</v>
      </c>
      <c r="N46" s="82">
        <f>+N19-'Mar-22'!N16</f>
        <v>0</v>
      </c>
      <c r="O46" s="82">
        <f>+O19-'Mar-22'!O16</f>
        <v>1</v>
      </c>
      <c r="P46" s="82">
        <f>+P19-'Mar-22'!P16</f>
        <v>122</v>
      </c>
      <c r="Q46" s="64" t="str">
        <f>IFERROR(M46/N46-1,"n/a")</f>
        <v>n/a</v>
      </c>
      <c r="R46" s="64">
        <f>IFERROR(M46/O46-1,"n/a")</f>
        <v>284</v>
      </c>
      <c r="S46" s="60">
        <f t="shared" ref="S46:S47" si="41">IFERROR(M46/P46-1,"n/a")</f>
        <v>1.3360655737704916</v>
      </c>
      <c r="T46" s="89">
        <v>33</v>
      </c>
      <c r="U46" s="70">
        <v>4</v>
      </c>
      <c r="V46" s="78">
        <v>188</v>
      </c>
    </row>
    <row r="47" spans="1:22" s="9" customFormat="1" ht="15" customHeight="1">
      <c r="C47" s="33"/>
      <c r="D47" s="26" t="s">
        <v>11</v>
      </c>
      <c r="E47" s="32"/>
      <c r="F47" s="74">
        <f t="shared" si="38"/>
        <v>102556</v>
      </c>
      <c r="G47" s="71">
        <f t="shared" si="38"/>
        <v>0</v>
      </c>
      <c r="H47" s="71">
        <f t="shared" si="38"/>
        <v>0</v>
      </c>
      <c r="I47" s="74">
        <f t="shared" si="38"/>
        <v>50351</v>
      </c>
      <c r="J47" s="64" t="str">
        <f t="shared" si="39"/>
        <v>n/a</v>
      </c>
      <c r="K47" s="64" t="str">
        <f t="shared" si="40"/>
        <v>n/a</v>
      </c>
      <c r="L47" s="60">
        <f t="shared" ref="L47" si="42">IFERROR(F47/I47-1,"n/a")</f>
        <v>1.036821512978888</v>
      </c>
      <c r="M47" s="82">
        <f>+M20-'Mar-22'!M17</f>
        <v>340674</v>
      </c>
      <c r="N47" s="82">
        <f>+N20-'Mar-22'!N17</f>
        <v>0</v>
      </c>
      <c r="O47" s="82">
        <f>+O20-'Mar-22'!O17</f>
        <v>111</v>
      </c>
      <c r="P47" s="82">
        <f>+P20-'Mar-22'!P17</f>
        <v>162404</v>
      </c>
      <c r="Q47" s="64" t="str">
        <f>IFERROR(M47/N47-1,"n/a")</f>
        <v>n/a</v>
      </c>
      <c r="R47" s="64">
        <f>IFERROR(M47/O47-1,"n/a")</f>
        <v>3068.135135135135</v>
      </c>
      <c r="S47" s="60">
        <f t="shared" si="41"/>
        <v>1.0976946380631021</v>
      </c>
      <c r="T47" s="82">
        <v>10083</v>
      </c>
      <c r="U47" s="84">
        <v>1753</v>
      </c>
      <c r="V47" s="78">
        <f>176097+74816</f>
        <v>250913</v>
      </c>
    </row>
    <row r="48" spans="1:22"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3:22" s="9" customFormat="1" ht="15" customHeight="1">
      <c r="C49" s="33"/>
      <c r="D49" s="26" t="s">
        <v>5</v>
      </c>
      <c r="E49" s="34"/>
      <c r="F49" s="73">
        <f t="shared" ref="F49:I50" si="43">F22</f>
        <v>81</v>
      </c>
      <c r="G49" s="74">
        <f t="shared" si="43"/>
        <v>44</v>
      </c>
      <c r="H49" s="71">
        <f t="shared" si="43"/>
        <v>0</v>
      </c>
      <c r="I49" s="74">
        <f t="shared" si="43"/>
        <v>93</v>
      </c>
      <c r="J49" s="64">
        <f t="shared" ref="J49:J50" si="44">IFERROR(F49/G49-1,"n/a")</f>
        <v>0.84090909090909083</v>
      </c>
      <c r="K49" s="64" t="str">
        <f t="shared" ref="K49:K50" si="45">IFERROR(F49/H49-1,"n/a")</f>
        <v>n/a</v>
      </c>
      <c r="L49" s="60">
        <f t="shared" ref="L49:L50" si="46">IFERROR(F49/I49-1,"n/a")</f>
        <v>-0.12903225806451613</v>
      </c>
      <c r="M49" s="70">
        <f>+M22-'Mar-22'!M19</f>
        <v>431</v>
      </c>
      <c r="N49" s="70">
        <f>+N22-'Mar-22'!N19</f>
        <v>73</v>
      </c>
      <c r="O49" s="70">
        <f>+O22-'Mar-22'!O19</f>
        <v>42</v>
      </c>
      <c r="P49" s="70">
        <f>+P22-'Mar-22'!P19</f>
        <v>464</v>
      </c>
      <c r="Q49" s="64">
        <f>IFERROR(M49/N49-1,"n/a")</f>
        <v>4.904109589041096</v>
      </c>
      <c r="R49" s="64">
        <f>IFERROR(M49/O49-1,"n/a")</f>
        <v>9.2619047619047628</v>
      </c>
      <c r="S49" s="60">
        <f>IFERROR(M49/P49-1,"n/a")</f>
        <v>-7.1120689655172376E-2</v>
      </c>
      <c r="T49" s="89">
        <v>744</v>
      </c>
      <c r="U49" s="84">
        <v>406</v>
      </c>
      <c r="V49" s="78">
        <v>1253</v>
      </c>
    </row>
    <row r="50" spans="3:22" s="9" customFormat="1" ht="15" customHeight="1">
      <c r="C50" s="33"/>
      <c r="D50" s="26" t="s">
        <v>11</v>
      </c>
      <c r="E50" s="32"/>
      <c r="F50" s="73">
        <f t="shared" si="43"/>
        <v>278520</v>
      </c>
      <c r="G50" s="74">
        <f t="shared" si="43"/>
        <v>64775</v>
      </c>
      <c r="H50" s="71">
        <f t="shared" si="43"/>
        <v>0</v>
      </c>
      <c r="I50" s="74">
        <f t="shared" si="43"/>
        <v>315639</v>
      </c>
      <c r="J50" s="64">
        <f t="shared" si="44"/>
        <v>3.2998070243149362</v>
      </c>
      <c r="K50" s="64" t="str">
        <f t="shared" si="45"/>
        <v>n/a</v>
      </c>
      <c r="L50" s="60">
        <f t="shared" si="46"/>
        <v>-0.11759953617898933</v>
      </c>
      <c r="M50" s="82">
        <f>+M23-'Mar-22'!M20</f>
        <v>1317232</v>
      </c>
      <c r="N50" s="82">
        <f>+N23-'Mar-22'!N20</f>
        <v>100033</v>
      </c>
      <c r="O50" s="82">
        <f>+O23-'Mar-22'!O20</f>
        <v>0</v>
      </c>
      <c r="P50" s="82">
        <f>+P23-'Mar-22'!P20</f>
        <v>1583513</v>
      </c>
      <c r="Q50" s="64">
        <f>IFERROR(M50/N50-1,"n/a")</f>
        <v>12.167974568392431</v>
      </c>
      <c r="R50" s="64" t="str">
        <f>IFERROR(M50/O50-1,"n/a")</f>
        <v>n/a</v>
      </c>
      <c r="S50" s="60">
        <f t="shared" ref="S50" si="47">IFERROR(M50/P50-1,"n/a")</f>
        <v>-0.16815839213192441</v>
      </c>
      <c r="T50" s="82">
        <v>1290779</v>
      </c>
      <c r="U50" s="84">
        <v>833999</v>
      </c>
      <c r="V50" s="78">
        <v>3627458</v>
      </c>
    </row>
    <row r="51" spans="3:22"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3:22" s="9" customFormat="1" ht="15" customHeight="1">
      <c r="C52" s="33"/>
      <c r="D52" s="26" t="s">
        <v>5</v>
      </c>
      <c r="E52" s="32"/>
      <c r="F52" s="74">
        <f t="shared" ref="F52:I53" si="48">F25</f>
        <v>32</v>
      </c>
      <c r="G52" s="74">
        <f t="shared" si="48"/>
        <v>17</v>
      </c>
      <c r="H52" s="71">
        <f t="shared" si="48"/>
        <v>2</v>
      </c>
      <c r="I52" s="74">
        <f t="shared" si="48"/>
        <v>35</v>
      </c>
      <c r="J52" s="64">
        <f t="shared" ref="J52:J53" si="49">IFERROR(F52/G52-1,"n/a")</f>
        <v>0.88235294117647056</v>
      </c>
      <c r="K52" s="64">
        <f t="shared" ref="K52:K53" si="50">IFERROR(F52/H52-1,"n/a")</f>
        <v>15</v>
      </c>
      <c r="L52" s="60">
        <f t="shared" ref="L52:L53" si="51">IFERROR(F52/I52-1,"n/a")</f>
        <v>-8.5714285714285743E-2</v>
      </c>
      <c r="M52" s="70">
        <f>+M25-'Mar-22'!M22</f>
        <v>165</v>
      </c>
      <c r="N52" s="70">
        <f>+N25-'Mar-22'!N22</f>
        <v>45</v>
      </c>
      <c r="O52" s="82">
        <f>+O25-'Mar-22'!O22</f>
        <v>2</v>
      </c>
      <c r="P52" s="70">
        <f>+P25-'Mar-22'!P22</f>
        <v>184</v>
      </c>
      <c r="Q52" s="64">
        <f>IFERROR(M52/N52-1,"n/a")</f>
        <v>2.6666666666666665</v>
      </c>
      <c r="R52" s="64">
        <f>IFERROR(M52/O52-1,"n/a")</f>
        <v>81.5</v>
      </c>
      <c r="S52" s="60">
        <f t="shared" ref="S52:S53" si="52">IFERROR(M52/P52-1,"n/a")</f>
        <v>-0.10326086956521741</v>
      </c>
      <c r="T52" s="89">
        <v>121</v>
      </c>
      <c r="U52" s="70">
        <v>41</v>
      </c>
      <c r="V52" s="78">
        <v>361</v>
      </c>
    </row>
    <row r="53" spans="3:22" s="9" customFormat="1" ht="15" customHeight="1">
      <c r="C53" s="33"/>
      <c r="D53" s="26" t="s">
        <v>11</v>
      </c>
      <c r="E53" s="32"/>
      <c r="F53" s="74">
        <f t="shared" si="48"/>
        <v>96458</v>
      </c>
      <c r="G53" s="74">
        <f t="shared" si="48"/>
        <v>24100</v>
      </c>
      <c r="H53" s="71">
        <f t="shared" si="48"/>
        <v>2541</v>
      </c>
      <c r="I53" s="74">
        <f t="shared" si="48"/>
        <v>108905</v>
      </c>
      <c r="J53" s="64">
        <f t="shared" si="49"/>
        <v>3.0024066390041497</v>
      </c>
      <c r="K53" s="64">
        <f t="shared" si="50"/>
        <v>36.960645415190868</v>
      </c>
      <c r="L53" s="60">
        <f t="shared" si="51"/>
        <v>-0.11429227308204404</v>
      </c>
      <c r="M53" s="82">
        <f>+M26-'Mar-22'!M23</f>
        <v>319986</v>
      </c>
      <c r="N53" s="82">
        <f>+N26-'Mar-22'!N23</f>
        <v>61586</v>
      </c>
      <c r="O53" s="82">
        <f>+O26-'Mar-22'!O23</f>
        <v>2541</v>
      </c>
      <c r="P53" s="82">
        <f>+P26-'Mar-22'!P23</f>
        <v>509765</v>
      </c>
      <c r="Q53" s="64">
        <f>IFERROR(M53/N53-1,"n/a")</f>
        <v>4.1957587763452731</v>
      </c>
      <c r="R53" s="64">
        <f>IFERROR(M53/O53-1,"n/a")</f>
        <v>124.92916174734357</v>
      </c>
      <c r="S53" s="60">
        <f t="shared" si="52"/>
        <v>-0.37228723039047407</v>
      </c>
      <c r="T53" s="82">
        <v>165689</v>
      </c>
      <c r="U53" s="84">
        <v>67144</v>
      </c>
      <c r="V53" s="78">
        <v>865961</v>
      </c>
    </row>
    <row r="54" spans="3:22" ht="15" customHeight="1">
      <c r="C54" s="31" t="s">
        <v>17</v>
      </c>
      <c r="D54" s="26"/>
      <c r="E54" s="32"/>
      <c r="F54" s="72"/>
      <c r="G54" s="72"/>
      <c r="H54" s="72"/>
      <c r="I54" s="72"/>
      <c r="J54" s="64"/>
      <c r="K54" s="64"/>
      <c r="L54" s="60"/>
      <c r="M54" s="87"/>
      <c r="N54" s="87"/>
      <c r="O54" s="87"/>
      <c r="P54" s="87"/>
      <c r="Q54" s="64"/>
      <c r="R54" s="64"/>
      <c r="S54" s="60"/>
      <c r="T54" s="90"/>
      <c r="U54" s="44"/>
      <c r="V54" s="79"/>
    </row>
    <row r="55" spans="3:22" ht="15.45" customHeight="1">
      <c r="C55" s="33"/>
      <c r="D55" s="26" t="s">
        <v>5</v>
      </c>
      <c r="E55" s="32"/>
      <c r="F55" s="74">
        <f t="shared" ref="F55:I56" si="53">F28</f>
        <v>72</v>
      </c>
      <c r="G55" s="74">
        <f t="shared" si="53"/>
        <v>16</v>
      </c>
      <c r="H55" s="71">
        <f t="shared" si="53"/>
        <v>3</v>
      </c>
      <c r="I55" s="74">
        <f t="shared" si="53"/>
        <v>44</v>
      </c>
      <c r="J55" s="64">
        <f t="shared" ref="J55:J58" si="54">IFERROR(F55/G55-1,"n/a")</f>
        <v>3.5</v>
      </c>
      <c r="K55" s="64">
        <f t="shared" ref="K55:K58" si="55">IFERROR(F55/H55-1,"n/a")</f>
        <v>23</v>
      </c>
      <c r="L55" s="60">
        <f t="shared" ref="L55:L58" si="56">IFERROR(F55/I55-1,"n/a")</f>
        <v>0.63636363636363646</v>
      </c>
      <c r="M55" s="70">
        <f>+M28-'Mar-22'!M25</f>
        <v>330</v>
      </c>
      <c r="N55" s="70">
        <f>+N28-'Mar-22'!N25</f>
        <v>53</v>
      </c>
      <c r="O55" s="70">
        <f>+O28-'Mar-22'!O25</f>
        <v>4</v>
      </c>
      <c r="P55" s="70">
        <f>+P28-'Mar-22'!P25</f>
        <v>212</v>
      </c>
      <c r="Q55" s="64">
        <f>IFERROR(M55/N55-1,"n/a")</f>
        <v>5.2264150943396226</v>
      </c>
      <c r="R55" s="64">
        <f>IFERROR(M55/O55-1,"n/a")</f>
        <v>81.5</v>
      </c>
      <c r="S55" s="60">
        <f t="shared" ref="S55:S58" si="57">IFERROR(M55/P55-1,"n/a")</f>
        <v>0.55660377358490565</v>
      </c>
      <c r="T55" s="89">
        <v>140</v>
      </c>
      <c r="U55" s="70">
        <v>40</v>
      </c>
      <c r="V55" s="78">
        <v>360</v>
      </c>
    </row>
    <row r="56" spans="3:22" ht="15.45" customHeight="1">
      <c r="C56" s="33"/>
      <c r="D56" s="26" t="s">
        <v>11</v>
      </c>
      <c r="E56" s="32"/>
      <c r="F56" s="74">
        <f t="shared" si="53"/>
        <v>184094</v>
      </c>
      <c r="G56" s="74">
        <f t="shared" si="53"/>
        <v>25181</v>
      </c>
      <c r="H56" s="71">
        <f t="shared" si="53"/>
        <v>0</v>
      </c>
      <c r="I56" s="74">
        <f t="shared" si="53"/>
        <v>149851</v>
      </c>
      <c r="J56" s="64">
        <f t="shared" si="54"/>
        <v>6.310829593741313</v>
      </c>
      <c r="K56" s="64" t="str">
        <f t="shared" si="55"/>
        <v>n/a</v>
      </c>
      <c r="L56" s="60">
        <f t="shared" si="56"/>
        <v>0.22851365689918657</v>
      </c>
      <c r="M56" s="82">
        <f>+M29-'Mar-22'!M26</f>
        <v>531574</v>
      </c>
      <c r="N56" s="82">
        <f>+N29-'Mar-22'!N26</f>
        <v>79675</v>
      </c>
      <c r="O56" s="82">
        <f>+O29-'Mar-22'!O26</f>
        <v>8294</v>
      </c>
      <c r="P56" s="82">
        <f>+P29-'Mar-22'!P26</f>
        <v>586871</v>
      </c>
      <c r="Q56" s="64">
        <f>IFERROR(M56/N56-1,"n/a")</f>
        <v>5.6717791026043303</v>
      </c>
      <c r="R56" s="64">
        <f>IFERROR(M56/O56-1,"n/a")</f>
        <v>63.091391367253436</v>
      </c>
      <c r="S56" s="60">
        <f t="shared" si="57"/>
        <v>-9.4223432406780994E-2</v>
      </c>
      <c r="T56" s="82">
        <v>174336</v>
      </c>
      <c r="U56" s="84">
        <v>21928</v>
      </c>
      <c r="V56" s="78">
        <f>706948+155011</f>
        <v>861959</v>
      </c>
    </row>
    <row r="57" spans="3:22" ht="26.7" customHeight="1" thickBot="1">
      <c r="C57" s="35" t="s">
        <v>12</v>
      </c>
      <c r="D57" s="36"/>
      <c r="E57" s="37"/>
      <c r="F57" s="75">
        <f t="shared" ref="F57:I58" si="58">F40+F43+F46+F49+F52+F55</f>
        <v>310</v>
      </c>
      <c r="G57" s="75">
        <f t="shared" si="58"/>
        <v>108</v>
      </c>
      <c r="H57" s="75">
        <f t="shared" si="58"/>
        <v>5</v>
      </c>
      <c r="I57" s="75">
        <f t="shared" si="58"/>
        <v>272</v>
      </c>
      <c r="J57" s="66">
        <f t="shared" si="54"/>
        <v>1.8703703703703702</v>
      </c>
      <c r="K57" s="66">
        <f t="shared" si="55"/>
        <v>61</v>
      </c>
      <c r="L57" s="62">
        <f t="shared" si="56"/>
        <v>0.13970588235294112</v>
      </c>
      <c r="M57" s="46">
        <f t="shared" ref="M57:P58" si="59">M40+M43+M46+M49+M52+M55</f>
        <v>1636</v>
      </c>
      <c r="N57" s="46">
        <f t="shared" si="59"/>
        <v>222</v>
      </c>
      <c r="O57" s="46">
        <f t="shared" si="59"/>
        <v>49</v>
      </c>
      <c r="P57" s="46">
        <f t="shared" si="59"/>
        <v>1442</v>
      </c>
      <c r="Q57" s="66">
        <f>IFERROR(M57/N57-1,"n/a")</f>
        <v>6.3693693693693696</v>
      </c>
      <c r="R57" s="66">
        <f>IFERROR(M57/O57-1,"n/a")</f>
        <v>32.387755102040813</v>
      </c>
      <c r="S57" s="62">
        <f t="shared" si="57"/>
        <v>0.13453536754507622</v>
      </c>
      <c r="T57" s="46">
        <f t="shared" ref="T57:V58" si="60">T40+T43+T46+T49+T52+T55</f>
        <v>1682</v>
      </c>
      <c r="U57" s="46">
        <f t="shared" si="60"/>
        <v>679</v>
      </c>
      <c r="V57" s="80">
        <f t="shared" si="60"/>
        <v>3274</v>
      </c>
    </row>
    <row r="58" spans="3:22" ht="26.7" customHeight="1" thickTop="1" thickBot="1">
      <c r="C58" s="38" t="s">
        <v>13</v>
      </c>
      <c r="D58" s="39"/>
      <c r="E58" s="40"/>
      <c r="F58" s="76">
        <f t="shared" si="58"/>
        <v>888814</v>
      </c>
      <c r="G58" s="76">
        <f t="shared" si="58"/>
        <v>165560</v>
      </c>
      <c r="H58" s="76">
        <f t="shared" si="58"/>
        <v>2541</v>
      </c>
      <c r="I58" s="76">
        <f t="shared" si="58"/>
        <v>926112</v>
      </c>
      <c r="J58" s="67">
        <f t="shared" si="54"/>
        <v>4.368531046146412</v>
      </c>
      <c r="K58" s="67">
        <f t="shared" si="55"/>
        <v>348.78905942542303</v>
      </c>
      <c r="L58" s="63">
        <f t="shared" si="56"/>
        <v>-4.0273746587885739E-2</v>
      </c>
      <c r="M58" s="47">
        <f t="shared" si="59"/>
        <v>3511156</v>
      </c>
      <c r="N58" s="47">
        <f t="shared" si="59"/>
        <v>322041</v>
      </c>
      <c r="O58" s="47">
        <f t="shared" si="59"/>
        <v>10946</v>
      </c>
      <c r="P58" s="47">
        <f t="shared" si="59"/>
        <v>4279812</v>
      </c>
      <c r="Q58" s="67">
        <f>IFERROR(M58/N58-1,"n/a")</f>
        <v>9.9028229324837529</v>
      </c>
      <c r="R58" s="67">
        <f>IFERROR(M58/O58-1,"n/a")</f>
        <v>319.77069249040744</v>
      </c>
      <c r="S58" s="63">
        <f t="shared" si="57"/>
        <v>-0.17960041235456137</v>
      </c>
      <c r="T58" s="47">
        <f t="shared" si="60"/>
        <v>2411641</v>
      </c>
      <c r="U58" s="47">
        <f t="shared" si="60"/>
        <v>1324261</v>
      </c>
      <c r="V58" s="81">
        <f t="shared" si="60"/>
        <v>8654686</v>
      </c>
    </row>
    <row r="59" spans="3:22" ht="12" customHeight="1" thickTop="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AT59"/>
  <sheetViews>
    <sheetView showGridLines="0" topLeftCell="A11" zoomScale="85" zoomScaleNormal="85" zoomScalePageLayoutView="40" workbookViewId="0">
      <selection activeCell="M40" sqref="M40"/>
    </sheetView>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9" width="8.6640625" customWidth="1"/>
    <col min="20" max="21" width="10.44140625" bestFit="1" customWidth="1"/>
    <col min="22" max="22" width="11.33203125" bestFit="1" customWidth="1"/>
    <col min="23" max="23" width="3.33203125" style="9" customWidth="1"/>
    <col min="24" max="38" width="0" style="9" hidden="1" customWidth="1"/>
    <col min="39" max="46" width="0" hidden="1" customWidth="1"/>
    <col min="47"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56</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ht="14.4">
      <c r="A6" s="9"/>
      <c r="B6" s="10"/>
      <c r="C6" s="24"/>
      <c r="D6" s="24"/>
      <c r="E6" s="24"/>
      <c r="F6" s="24"/>
      <c r="G6" s="24"/>
      <c r="H6" s="24"/>
      <c r="I6" s="24"/>
      <c r="J6" s="24"/>
      <c r="K6" s="24"/>
      <c r="L6" s="24"/>
      <c r="M6" s="24"/>
      <c r="N6" s="24"/>
      <c r="O6" s="24"/>
      <c r="P6" s="24"/>
      <c r="Q6" s="24"/>
      <c r="R6" s="24"/>
      <c r="S6" s="24"/>
      <c r="T6" s="24"/>
      <c r="U6" s="24"/>
      <c r="V6" s="24"/>
    </row>
    <row r="7" spans="1:38" ht="14.4">
      <c r="A7" s="9"/>
      <c r="B7" s="10"/>
      <c r="C7" s="86" t="s">
        <v>62</v>
      </c>
      <c r="D7" s="24"/>
      <c r="E7" s="24"/>
      <c r="F7" s="24"/>
      <c r="G7" s="24"/>
      <c r="H7" s="24"/>
      <c r="I7" s="24"/>
      <c r="J7" s="24"/>
      <c r="K7" s="24"/>
      <c r="L7" s="24"/>
      <c r="M7" s="24"/>
      <c r="N7" s="24"/>
      <c r="O7" s="24"/>
      <c r="P7" s="24"/>
      <c r="Q7" s="24"/>
      <c r="R7" s="24"/>
      <c r="S7" s="24"/>
      <c r="T7" s="24"/>
      <c r="U7" s="24"/>
      <c r="V7" s="24"/>
    </row>
    <row r="8" spans="1:38" ht="14.4">
      <c r="A8" s="9"/>
      <c r="B8" s="10"/>
      <c r="C8" s="24"/>
      <c r="D8" s="24"/>
      <c r="E8" s="24"/>
      <c r="F8" s="24"/>
      <c r="G8" s="24"/>
      <c r="H8" s="24"/>
      <c r="I8" s="24"/>
      <c r="J8" s="24"/>
      <c r="K8" s="24"/>
      <c r="L8" s="24"/>
      <c r="M8" s="24"/>
      <c r="N8" s="24"/>
      <c r="O8" s="24"/>
      <c r="P8" s="24"/>
      <c r="Q8" s="24"/>
      <c r="R8" s="24"/>
      <c r="S8" s="24"/>
      <c r="T8" s="24"/>
      <c r="U8" s="24"/>
      <c r="V8" s="24"/>
    </row>
    <row r="9" spans="1:38" s="20" customFormat="1" ht="14.4">
      <c r="A9" s="9"/>
      <c r="B9"/>
      <c r="C9" s="27" t="s">
        <v>7</v>
      </c>
      <c r="D9" s="28"/>
      <c r="E9" s="28"/>
      <c r="F9" s="128" t="s">
        <v>55</v>
      </c>
      <c r="G9" s="128"/>
      <c r="H9" s="128"/>
      <c r="I9" s="128"/>
      <c r="J9" s="128"/>
      <c r="K9" s="128"/>
      <c r="L9" s="129"/>
      <c r="M9" s="130" t="s">
        <v>60</v>
      </c>
      <c r="N9" s="128"/>
      <c r="O9" s="128"/>
      <c r="P9" s="128"/>
      <c r="Q9" s="128"/>
      <c r="R9" s="128"/>
      <c r="S9" s="129"/>
      <c r="T9" s="130" t="s">
        <v>57</v>
      </c>
      <c r="U9" s="128"/>
      <c r="V9" s="131"/>
      <c r="W9" s="9"/>
      <c r="X9" s="19"/>
      <c r="Y9" s="19"/>
      <c r="Z9" s="19"/>
      <c r="AA9" s="19"/>
      <c r="AB9" s="19"/>
      <c r="AC9" s="19"/>
      <c r="AD9" s="19"/>
      <c r="AE9" s="19"/>
      <c r="AF9" s="19"/>
      <c r="AG9" s="19"/>
      <c r="AH9" s="19"/>
      <c r="AI9" s="19"/>
      <c r="AJ9" s="19"/>
      <c r="AK9" s="19"/>
      <c r="AL9" s="19"/>
    </row>
    <row r="10" spans="1:38" ht="14.4">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4.4">
      <c r="A12" s="9"/>
      <c r="B12" s="12"/>
      <c r="C12" s="31" t="s">
        <v>14</v>
      </c>
      <c r="D12" s="26"/>
      <c r="E12" s="32"/>
      <c r="F12" s="26"/>
      <c r="G12" s="26"/>
      <c r="H12" s="26"/>
      <c r="I12" s="26"/>
      <c r="J12" s="26"/>
      <c r="K12" s="26"/>
      <c r="L12" s="32"/>
      <c r="M12" s="26"/>
      <c r="N12" s="26"/>
      <c r="O12" s="26"/>
      <c r="P12" s="26"/>
      <c r="Q12" s="26"/>
      <c r="R12" s="26"/>
      <c r="S12" s="32"/>
      <c r="T12" s="26"/>
      <c r="U12" s="26"/>
      <c r="V12" s="32"/>
    </row>
    <row r="13" spans="1:38" ht="14.4">
      <c r="A13" s="9"/>
      <c r="B13" s="12"/>
      <c r="C13" s="33"/>
      <c r="D13" s="26" t="s">
        <v>5</v>
      </c>
      <c r="E13" s="32"/>
      <c r="F13" s="74">
        <v>1</v>
      </c>
      <c r="G13" s="74">
        <v>6</v>
      </c>
      <c r="H13" s="71">
        <v>0</v>
      </c>
      <c r="I13" s="71">
        <v>6</v>
      </c>
      <c r="J13" s="64">
        <f t="shared" ref="J13:J31" si="0">IFERROR(F13/G13-1,"n/a")</f>
        <v>-0.83333333333333337</v>
      </c>
      <c r="K13" s="64" t="str">
        <f>IFERROR(F13/H13-1,"n/a")</f>
        <v>n/a</v>
      </c>
      <c r="L13" s="60">
        <f t="shared" ref="L13:L14" si="1">IFERROR(F13/I13-1,"n/a")</f>
        <v>-0.83333333333333337</v>
      </c>
      <c r="M13" s="68">
        <f>F13+'Jun-22'!M10</f>
        <v>227</v>
      </c>
      <c r="N13" s="68">
        <f>G13+'Jun-22'!N10</f>
        <v>6</v>
      </c>
      <c r="O13" s="68">
        <f>H13+'Jun-22'!O10</f>
        <v>145</v>
      </c>
      <c r="P13" s="68">
        <f>I13+'Jun-22'!P10</f>
        <v>246</v>
      </c>
      <c r="Q13" s="64">
        <f>IFERROR(M13/N13-1,"n/a")</f>
        <v>36.833333333333336</v>
      </c>
      <c r="R13" s="64">
        <f>IFERROR(M13/O13-1,"n/a")</f>
        <v>0.56551724137931036</v>
      </c>
      <c r="S13" s="60">
        <f>IFERROR(M13/P13-1,"n/a")</f>
        <v>-7.7235772357723609E-2</v>
      </c>
      <c r="T13" s="68">
        <v>111</v>
      </c>
      <c r="U13" s="70">
        <v>145</v>
      </c>
      <c r="V13" s="78">
        <v>386</v>
      </c>
    </row>
    <row r="14" spans="1:38" ht="14.4">
      <c r="A14" s="9"/>
      <c r="B14" s="12"/>
      <c r="C14" s="33"/>
      <c r="D14" s="26" t="s">
        <v>11</v>
      </c>
      <c r="E14" s="32"/>
      <c r="F14" s="74">
        <v>3145</v>
      </c>
      <c r="G14" s="74">
        <v>767</v>
      </c>
      <c r="H14" s="71">
        <v>0</v>
      </c>
      <c r="I14" s="74">
        <v>10620</v>
      </c>
      <c r="J14" s="64">
        <f t="shared" si="0"/>
        <v>3.1003911342894392</v>
      </c>
      <c r="K14" s="64" t="str">
        <f t="shared" ref="K14" si="2">IFERROR(F14/H14-1,"n/a")</f>
        <v>n/a</v>
      </c>
      <c r="L14" s="60">
        <f t="shared" si="1"/>
        <v>-0.70386064030131834</v>
      </c>
      <c r="M14" s="68">
        <f>F14+'Jun-22'!M11</f>
        <v>194169</v>
      </c>
      <c r="N14" s="68">
        <f>G14+'Jun-22'!N11</f>
        <v>767</v>
      </c>
      <c r="O14" s="68">
        <f>H14+'Jun-22'!O11</f>
        <v>258885</v>
      </c>
      <c r="P14" s="68">
        <f>I14+'Jun-22'!P11</f>
        <v>471524</v>
      </c>
      <c r="Q14" s="64">
        <f>IFERROR(M14/N14-1,"n/a")</f>
        <v>252.15384615384616</v>
      </c>
      <c r="R14" s="64">
        <f>IFERROR(M14/O14-1,"n/a")</f>
        <v>-0.24997972072541863</v>
      </c>
      <c r="S14" s="60">
        <f>IFERROR(M14/P14-1,"n/a")</f>
        <v>-0.58820971997183602</v>
      </c>
      <c r="T14" s="68">
        <v>80863</v>
      </c>
      <c r="U14" s="70">
        <v>258885</v>
      </c>
      <c r="V14" s="78">
        <v>733296</v>
      </c>
    </row>
    <row r="15" spans="1:38" ht="14.4">
      <c r="A15" s="9"/>
      <c r="B15" s="12"/>
      <c r="C15" s="31" t="s">
        <v>74</v>
      </c>
      <c r="D15" s="26"/>
      <c r="E15" s="32"/>
      <c r="F15" s="26"/>
      <c r="G15" s="26"/>
      <c r="H15" s="26"/>
      <c r="I15" s="26"/>
      <c r="J15" s="64"/>
      <c r="K15" s="64"/>
      <c r="L15" s="61"/>
      <c r="M15" s="87"/>
      <c r="N15" s="87"/>
      <c r="O15" s="87"/>
      <c r="P15" s="87"/>
      <c r="Q15" s="64"/>
      <c r="R15" s="65"/>
      <c r="S15" s="61"/>
      <c r="T15" s="43"/>
      <c r="U15" s="44"/>
      <c r="V15" s="79"/>
    </row>
    <row r="16" spans="1:38" ht="14.4">
      <c r="A16" s="9"/>
      <c r="B16" s="12"/>
      <c r="C16" s="33"/>
      <c r="D16" s="26" t="s">
        <v>5</v>
      </c>
      <c r="E16" s="32"/>
      <c r="F16" s="74">
        <v>71</v>
      </c>
      <c r="G16" s="74">
        <v>10</v>
      </c>
      <c r="H16" s="71">
        <v>0</v>
      </c>
      <c r="I16" s="74">
        <v>68</v>
      </c>
      <c r="J16" s="64">
        <f t="shared" si="0"/>
        <v>6.1</v>
      </c>
      <c r="K16" s="64" t="str">
        <f t="shared" ref="K16:K17" si="3">IFERROR(F16/H16-1,"n/a")</f>
        <v>n/a</v>
      </c>
      <c r="L16" s="60">
        <f t="shared" ref="L16:L17" si="4">IFERROR(F16/I16-1,"n/a")</f>
        <v>4.4117647058823595E-2</v>
      </c>
      <c r="M16" s="68">
        <f>F16+'Jun-22'!M13</f>
        <v>391</v>
      </c>
      <c r="N16" s="68">
        <f>G16+'Jun-22'!N13</f>
        <v>14</v>
      </c>
      <c r="O16" s="68">
        <f>H16+'Jun-22'!O13</f>
        <v>43</v>
      </c>
      <c r="P16" s="68">
        <f>I16+'Jun-22'!P13</f>
        <v>430</v>
      </c>
      <c r="Q16" s="64">
        <f t="shared" ref="Q16:Q17" si="5">IFERROR(M16/N16-1,"n/a")</f>
        <v>26.928571428571427</v>
      </c>
      <c r="R16" s="64">
        <f t="shared" ref="R16:R17" si="6">IFERROR(M16/O16-1,"n/a")</f>
        <v>8.0930232558139537</v>
      </c>
      <c r="S16" s="60">
        <f t="shared" ref="S16:S17" si="7">IFERROR(M16/P16-1,"n/a")</f>
        <v>-9.0697674418604657E-2</v>
      </c>
      <c r="T16" s="68">
        <v>283</v>
      </c>
      <c r="U16" s="70">
        <v>43</v>
      </c>
      <c r="V16" s="78">
        <v>827</v>
      </c>
    </row>
    <row r="17" spans="1:38" ht="14.4">
      <c r="A17" s="9"/>
      <c r="B17" s="12"/>
      <c r="C17" s="33"/>
      <c r="D17" s="26" t="s">
        <v>11</v>
      </c>
      <c r="E17" s="32"/>
      <c r="F17" s="74">
        <v>271417</v>
      </c>
      <c r="G17" s="74">
        <v>23553</v>
      </c>
      <c r="H17" s="71">
        <v>0</v>
      </c>
      <c r="I17" s="74">
        <v>261197</v>
      </c>
      <c r="J17" s="64">
        <f t="shared" si="0"/>
        <v>10.523670020804143</v>
      </c>
      <c r="K17" s="64" t="str">
        <f t="shared" si="3"/>
        <v>n/a</v>
      </c>
      <c r="L17" s="60">
        <f t="shared" si="4"/>
        <v>3.9127555063802388E-2</v>
      </c>
      <c r="M17" s="68">
        <f>F17+'Jun-22'!M14</f>
        <v>805117</v>
      </c>
      <c r="N17" s="68">
        <f>G17+'Jun-22'!N14</f>
        <v>28476</v>
      </c>
      <c r="O17" s="68">
        <f>H17+'Jun-22'!O14</f>
        <v>140552</v>
      </c>
      <c r="P17" s="68">
        <f>I17+'Jun-22'!P14</f>
        <v>1301649</v>
      </c>
      <c r="Q17" s="64">
        <f t="shared" si="5"/>
        <v>27.273528585475489</v>
      </c>
      <c r="R17" s="64">
        <f t="shared" si="6"/>
        <v>4.7282500426888268</v>
      </c>
      <c r="S17" s="60">
        <f t="shared" si="7"/>
        <v>-0.38146382012355096</v>
      </c>
      <c r="T17" s="68">
        <v>465109</v>
      </c>
      <c r="U17" s="70">
        <v>140552</v>
      </c>
      <c r="V17" s="78">
        <v>2552942</v>
      </c>
    </row>
    <row r="18" spans="1:38" ht="14.4">
      <c r="A18" s="9"/>
      <c r="B18" s="12"/>
      <c r="C18" s="31" t="s">
        <v>15</v>
      </c>
      <c r="D18" s="26"/>
      <c r="E18" s="32"/>
      <c r="F18" s="72"/>
      <c r="G18" s="72"/>
      <c r="H18" s="72"/>
      <c r="I18" s="72"/>
      <c r="J18" s="64"/>
      <c r="K18" s="64"/>
      <c r="L18" s="60"/>
      <c r="M18" s="87"/>
      <c r="N18" s="87"/>
      <c r="O18" s="87"/>
      <c r="P18" s="87"/>
      <c r="Q18" s="64"/>
      <c r="R18" s="64"/>
      <c r="S18" s="60"/>
      <c r="T18" s="43"/>
      <c r="U18" s="44"/>
      <c r="V18" s="79"/>
    </row>
    <row r="19" spans="1:38" ht="14.4">
      <c r="A19" s="9"/>
      <c r="B19" s="12"/>
      <c r="C19" s="33"/>
      <c r="D19" s="26" t="s">
        <v>5</v>
      </c>
      <c r="E19" s="32"/>
      <c r="F19" s="74">
        <v>60</v>
      </c>
      <c r="G19" s="71">
        <v>0</v>
      </c>
      <c r="H19" s="71">
        <v>1</v>
      </c>
      <c r="I19" s="74">
        <v>32</v>
      </c>
      <c r="J19" s="64" t="str">
        <f t="shared" si="0"/>
        <v>n/a</v>
      </c>
      <c r="K19" s="64">
        <f t="shared" ref="K19:K20" si="8">IFERROR(F19/H19-1,"n/a")</f>
        <v>59</v>
      </c>
      <c r="L19" s="60">
        <f>IFERROR(F19/I19-1,"n/a")</f>
        <v>0.875</v>
      </c>
      <c r="M19" s="68">
        <f>F19+'Jun-22'!M16</f>
        <v>227</v>
      </c>
      <c r="N19" s="68">
        <f>G19+'Jun-22'!N16</f>
        <v>0</v>
      </c>
      <c r="O19" s="68">
        <f>H19+'Jun-22'!O16</f>
        <v>4</v>
      </c>
      <c r="P19" s="68">
        <f>I19+'Jun-22'!P16</f>
        <v>101</v>
      </c>
      <c r="Q19" s="64" t="str">
        <f t="shared" ref="Q19:Q20" si="9">IFERROR(M19/N19-1,"n/a")</f>
        <v>n/a</v>
      </c>
      <c r="R19" s="64">
        <f t="shared" ref="R19:R20" si="10">IFERROR(M19/O19-1,"n/a")</f>
        <v>55.75</v>
      </c>
      <c r="S19" s="60">
        <f t="shared" ref="S19:S20" si="11">IFERROR(M19/P19-1,"n/a")</f>
        <v>1.2475247524752477</v>
      </c>
      <c r="T19" s="68">
        <v>23</v>
      </c>
      <c r="U19" s="70">
        <v>4</v>
      </c>
      <c r="V19" s="78">
        <v>191</v>
      </c>
    </row>
    <row r="20" spans="1:38" ht="14.4">
      <c r="A20" s="9"/>
      <c r="B20" s="12"/>
      <c r="C20" s="33"/>
      <c r="D20" s="26" t="s">
        <v>11</v>
      </c>
      <c r="E20" s="32"/>
      <c r="F20" s="74">
        <f>66070+15120</f>
        <v>81190</v>
      </c>
      <c r="G20" s="71">
        <v>0</v>
      </c>
      <c r="H20" s="71">
        <v>111</v>
      </c>
      <c r="I20" s="74">
        <f>26433+14218</f>
        <v>40651</v>
      </c>
      <c r="J20" s="64" t="str">
        <f t="shared" si="0"/>
        <v>n/a</v>
      </c>
      <c r="K20" s="64">
        <f t="shared" si="8"/>
        <v>730.4414414414415</v>
      </c>
      <c r="L20" s="60">
        <f t="shared" ref="L20:L31" si="12">IFERROR(F20/I20-1,"n/a")</f>
        <v>0.99724484022533266</v>
      </c>
      <c r="M20" s="68">
        <f>F20+'Jun-22'!M17</f>
        <v>239590</v>
      </c>
      <c r="N20" s="68">
        <f>G20+'Jun-22'!N17</f>
        <v>0</v>
      </c>
      <c r="O20" s="68">
        <f>H20+'Jun-22'!O17</f>
        <v>1753</v>
      </c>
      <c r="P20" s="68">
        <f>I20+'Jun-22'!P17</f>
        <v>117191</v>
      </c>
      <c r="Q20" s="64" t="str">
        <f t="shared" si="9"/>
        <v>n/a</v>
      </c>
      <c r="R20" s="64">
        <f t="shared" si="10"/>
        <v>135.67427267541359</v>
      </c>
      <c r="S20" s="60">
        <f t="shared" si="11"/>
        <v>1.0444402727171882</v>
      </c>
      <c r="T20" s="68">
        <v>8611</v>
      </c>
      <c r="U20" s="70">
        <v>1753</v>
      </c>
      <c r="V20" s="78">
        <v>254421</v>
      </c>
    </row>
    <row r="21" spans="1:38" ht="14.4">
      <c r="A21" s="9"/>
      <c r="B21" s="12"/>
      <c r="C21" s="31" t="s">
        <v>10</v>
      </c>
      <c r="D21" s="26"/>
      <c r="E21" s="34"/>
      <c r="F21" s="72"/>
      <c r="G21" s="72"/>
      <c r="H21" s="72"/>
      <c r="I21" s="72"/>
      <c r="J21" s="64"/>
      <c r="K21" s="64"/>
      <c r="L21" s="60"/>
      <c r="M21" s="87"/>
      <c r="N21" s="87"/>
      <c r="O21" s="87"/>
      <c r="P21" s="87"/>
      <c r="Q21" s="64"/>
      <c r="R21" s="64"/>
      <c r="S21" s="60"/>
      <c r="T21" s="43"/>
      <c r="U21" s="44"/>
      <c r="V21" s="79"/>
    </row>
    <row r="22" spans="1:38" ht="14.4">
      <c r="A22" s="9"/>
      <c r="B22" s="12"/>
      <c r="C22" s="33"/>
      <c r="D22" s="26" t="s">
        <v>5</v>
      </c>
      <c r="E22" s="34"/>
      <c r="F22" s="73">
        <v>83</v>
      </c>
      <c r="G22" s="74">
        <v>22</v>
      </c>
      <c r="H22" s="71">
        <v>0</v>
      </c>
      <c r="I22" s="74">
        <v>95</v>
      </c>
      <c r="J22" s="64">
        <f t="shared" si="0"/>
        <v>2.7727272727272729</v>
      </c>
      <c r="K22" s="64" t="str">
        <f t="shared" ref="K22:K23" si="13">IFERROR(F22/H22-1,"n/a")</f>
        <v>n/a</v>
      </c>
      <c r="L22" s="60">
        <f t="shared" si="12"/>
        <v>-0.12631578947368416</v>
      </c>
      <c r="M22" s="68">
        <f>F22+'Jun-22'!M19</f>
        <v>683</v>
      </c>
      <c r="N22" s="68">
        <f>G22+'Jun-22'!N19</f>
        <v>29</v>
      </c>
      <c r="O22" s="68">
        <f>H22+'Jun-22'!O19</f>
        <v>406</v>
      </c>
      <c r="P22" s="68">
        <f>I22+'Jun-22'!P19</f>
        <v>687</v>
      </c>
      <c r="Q22" s="64">
        <f t="shared" ref="Q22:Q23" si="14">IFERROR(M22/N22-1,"n/a")</f>
        <v>22.551724137931036</v>
      </c>
      <c r="R22" s="64">
        <f t="shared" ref="R22:R23" si="15">IFERROR(M22/O22-1,"n/a")</f>
        <v>0.68226600985221686</v>
      </c>
      <c r="S22" s="60">
        <f t="shared" ref="S22:S23" si="16">IFERROR(M22/P22-1,"n/a")</f>
        <v>-5.8224163027656983E-3</v>
      </c>
      <c r="T22" s="68">
        <v>411</v>
      </c>
      <c r="U22" s="70">
        <v>406</v>
      </c>
      <c r="V22" s="78">
        <v>1205</v>
      </c>
    </row>
    <row r="23" spans="1:38" ht="14.4">
      <c r="A23" s="9"/>
      <c r="B23" s="12"/>
      <c r="C23" s="33"/>
      <c r="D23" s="26" t="s">
        <v>11</v>
      </c>
      <c r="E23" s="32"/>
      <c r="F23" s="73">
        <v>288977</v>
      </c>
      <c r="G23" s="74">
        <v>30147</v>
      </c>
      <c r="H23" s="71">
        <v>0</v>
      </c>
      <c r="I23" s="74">
        <v>321844</v>
      </c>
      <c r="J23" s="64">
        <f t="shared" si="0"/>
        <v>8.5855972401897365</v>
      </c>
      <c r="K23" s="64" t="str">
        <f t="shared" si="13"/>
        <v>n/a</v>
      </c>
      <c r="L23" s="60">
        <f t="shared" si="12"/>
        <v>-0.10212090329476398</v>
      </c>
      <c r="M23" s="68">
        <f>F23+'Jun-22'!M20</f>
        <v>1642042</v>
      </c>
      <c r="N23" s="68">
        <f>G23+'Jun-22'!N20</f>
        <v>35258</v>
      </c>
      <c r="O23" s="68">
        <f>H23+'Jun-22'!O20</f>
        <v>833999</v>
      </c>
      <c r="P23" s="68">
        <f>I23+'Jun-22'!P20</f>
        <v>2333598</v>
      </c>
      <c r="Q23" s="64">
        <f t="shared" si="14"/>
        <v>45.572182199784443</v>
      </c>
      <c r="R23" s="64">
        <f t="shared" si="15"/>
        <v>0.96887766052477287</v>
      </c>
      <c r="S23" s="60">
        <f t="shared" si="16"/>
        <v>-0.29634752858032964</v>
      </c>
      <c r="T23" s="68">
        <v>687449</v>
      </c>
      <c r="U23" s="70">
        <v>833999</v>
      </c>
      <c r="V23" s="78">
        <v>3859183</v>
      </c>
    </row>
    <row r="24" spans="1:38" ht="14.4">
      <c r="A24" s="9"/>
      <c r="B24" s="12"/>
      <c r="C24" s="31" t="s">
        <v>16</v>
      </c>
      <c r="D24" s="26"/>
      <c r="E24" s="32"/>
      <c r="F24" s="72"/>
      <c r="G24" s="72"/>
      <c r="H24" s="72"/>
      <c r="I24" s="72"/>
      <c r="J24" s="64"/>
      <c r="K24" s="64"/>
      <c r="L24" s="60"/>
      <c r="M24" s="87"/>
      <c r="N24" s="87"/>
      <c r="O24" s="87"/>
      <c r="P24" s="87"/>
      <c r="Q24" s="64"/>
      <c r="R24" s="64"/>
      <c r="S24" s="60"/>
      <c r="T24" s="43"/>
      <c r="U24" s="44"/>
      <c r="V24" s="79"/>
    </row>
    <row r="25" spans="1:38" ht="14.4">
      <c r="A25" s="9"/>
      <c r="B25" s="12"/>
      <c r="C25" s="33"/>
      <c r="D25" s="26" t="s">
        <v>5</v>
      </c>
      <c r="E25" s="32"/>
      <c r="F25" s="74">
        <v>33</v>
      </c>
      <c r="G25" s="74">
        <v>9</v>
      </c>
      <c r="H25" s="71">
        <v>0</v>
      </c>
      <c r="I25" s="74">
        <v>36</v>
      </c>
      <c r="J25" s="64">
        <f t="shared" si="0"/>
        <v>2.6666666666666665</v>
      </c>
      <c r="K25" s="64" t="str">
        <f t="shared" ref="K25:K26" si="17">IFERROR(F25/H25-1,"n/a")</f>
        <v>n/a</v>
      </c>
      <c r="L25" s="60">
        <f t="shared" si="12"/>
        <v>-8.333333333333337E-2</v>
      </c>
      <c r="M25" s="68">
        <f>F25+'Jun-22'!M22</f>
        <v>156</v>
      </c>
      <c r="N25" s="68">
        <f>G25+'Jun-22'!N22</f>
        <v>37</v>
      </c>
      <c r="O25" s="68">
        <f>H25+'Jun-22'!O22</f>
        <v>9</v>
      </c>
      <c r="P25" s="68">
        <f>I25+'Jun-22'!P22</f>
        <v>169</v>
      </c>
      <c r="Q25" s="64">
        <f t="shared" ref="Q25:Q26" si="18">IFERROR(M25/N25-1,"n/a")</f>
        <v>3.2162162162162158</v>
      </c>
      <c r="R25" s="64">
        <f t="shared" ref="R25:R26" si="19">IFERROR(M25/O25-1,"n/a")</f>
        <v>16.333333333333332</v>
      </c>
      <c r="S25" s="60">
        <f t="shared" ref="S25:S26" si="20">IFERROR(M25/P25-1,"n/a")</f>
        <v>-7.6923076923076872E-2</v>
      </c>
      <c r="T25" s="68">
        <v>107</v>
      </c>
      <c r="U25" s="70">
        <v>32</v>
      </c>
      <c r="V25" s="78">
        <v>372</v>
      </c>
    </row>
    <row r="26" spans="1:38" ht="14.4">
      <c r="A26" s="9"/>
      <c r="B26" s="12"/>
      <c r="C26" s="33"/>
      <c r="D26" s="26" t="s">
        <v>11</v>
      </c>
      <c r="E26" s="32"/>
      <c r="F26" s="74">
        <v>73604</v>
      </c>
      <c r="G26" s="74">
        <v>14049</v>
      </c>
      <c r="H26" s="71">
        <v>0</v>
      </c>
      <c r="I26" s="74">
        <v>102764</v>
      </c>
      <c r="J26" s="64">
        <f t="shared" si="0"/>
        <v>4.2390917503025127</v>
      </c>
      <c r="K26" s="64" t="str">
        <f t="shared" si="17"/>
        <v>n/a</v>
      </c>
      <c r="L26" s="60">
        <f t="shared" si="12"/>
        <v>-0.28375695768946319</v>
      </c>
      <c r="M26" s="68">
        <f>F26+'Jun-22'!M23</f>
        <v>250049</v>
      </c>
      <c r="N26" s="68">
        <f>G26+'Jun-22'!N23</f>
        <v>45450</v>
      </c>
      <c r="O26" s="68">
        <f>H26+'Jun-22'!O23</f>
        <v>40221</v>
      </c>
      <c r="P26" s="68">
        <f>I26+'Jun-22'!P23</f>
        <v>477135</v>
      </c>
      <c r="Q26" s="64">
        <f t="shared" si="18"/>
        <v>4.5016281628162815</v>
      </c>
      <c r="R26" s="64">
        <f t="shared" si="19"/>
        <v>5.216876755923523</v>
      </c>
      <c r="S26" s="60">
        <f t="shared" si="20"/>
        <v>-0.47593657979397863</v>
      </c>
      <c r="T26" s="68">
        <v>147132</v>
      </c>
      <c r="U26" s="70">
        <v>59180</v>
      </c>
      <c r="V26" s="78">
        <v>902015</v>
      </c>
    </row>
    <row r="27" spans="1:38" ht="14.4">
      <c r="A27" s="9"/>
      <c r="B27" s="12"/>
      <c r="C27" s="31" t="s">
        <v>17</v>
      </c>
      <c r="D27" s="26"/>
      <c r="E27" s="32"/>
      <c r="F27" s="72"/>
      <c r="G27" s="72"/>
      <c r="H27" s="72"/>
      <c r="I27" s="72"/>
      <c r="J27" s="64"/>
      <c r="K27" s="64"/>
      <c r="L27" s="60"/>
      <c r="M27" s="87"/>
      <c r="N27" s="87"/>
      <c r="O27" s="87"/>
      <c r="P27" s="87"/>
      <c r="Q27" s="64"/>
      <c r="R27" s="64"/>
      <c r="S27" s="60"/>
      <c r="T27" s="43"/>
      <c r="U27" s="44"/>
      <c r="V27" s="79"/>
    </row>
    <row r="28" spans="1:38" ht="14.4">
      <c r="B28" s="12"/>
      <c r="C28" s="33"/>
      <c r="D28" s="26" t="s">
        <v>5</v>
      </c>
      <c r="E28" s="32"/>
      <c r="F28" s="74">
        <v>65</v>
      </c>
      <c r="G28" s="74">
        <v>16</v>
      </c>
      <c r="H28" s="71">
        <v>1</v>
      </c>
      <c r="I28" s="74">
        <v>46</v>
      </c>
      <c r="J28" s="64">
        <f t="shared" si="0"/>
        <v>3.0625</v>
      </c>
      <c r="K28" s="64">
        <f t="shared" ref="K28:K31" si="21">IFERROR(F28/H28-1,"n/a")</f>
        <v>64</v>
      </c>
      <c r="L28" s="60">
        <f t="shared" si="12"/>
        <v>0.41304347826086962</v>
      </c>
      <c r="M28" s="68">
        <f>F28+'Jun-22'!M25</f>
        <v>274</v>
      </c>
      <c r="N28" s="68">
        <f>G28+'Jun-22'!N25</f>
        <v>40</v>
      </c>
      <c r="O28" s="68">
        <f>H28+'Jun-22'!O25</f>
        <v>2</v>
      </c>
      <c r="P28" s="68">
        <f>I28+'Jun-22'!P25</f>
        <v>172</v>
      </c>
      <c r="Q28" s="64">
        <f t="shared" ref="Q28:Q31" si="22">IFERROR(M28/N28-1,"n/a")</f>
        <v>5.85</v>
      </c>
      <c r="R28" s="64">
        <f t="shared" ref="R28:R31" si="23">IFERROR(M28/O28-1,"n/a")</f>
        <v>136</v>
      </c>
      <c r="S28" s="60">
        <f t="shared" ref="S28:S31" si="24">IFERROR(M28/P28-1,"n/a")</f>
        <v>0.59302325581395343</v>
      </c>
      <c r="T28" s="68">
        <v>127</v>
      </c>
      <c r="U28" s="70">
        <v>37</v>
      </c>
      <c r="V28" s="78">
        <f>282+81</f>
        <v>363</v>
      </c>
    </row>
    <row r="29" spans="1:38" ht="14.4">
      <c r="A29" s="9"/>
      <c r="B29" s="12"/>
      <c r="C29" s="33"/>
      <c r="D29" s="26" t="s">
        <v>11</v>
      </c>
      <c r="E29" s="32"/>
      <c r="F29" s="74">
        <f>112886+3567+22453</f>
        <v>138906</v>
      </c>
      <c r="G29" s="74">
        <v>23981</v>
      </c>
      <c r="H29" s="71">
        <v>6081</v>
      </c>
      <c r="I29" s="74">
        <f>99976+21772+10200</f>
        <v>131948</v>
      </c>
      <c r="J29" s="64">
        <f t="shared" si="0"/>
        <v>4.792335599015888</v>
      </c>
      <c r="K29" s="64">
        <f t="shared" si="21"/>
        <v>21.842624568327576</v>
      </c>
      <c r="L29" s="60">
        <f t="shared" si="12"/>
        <v>5.2732894776730266E-2</v>
      </c>
      <c r="M29" s="68">
        <f>F29+'Jun-22'!M26</f>
        <v>359080</v>
      </c>
      <c r="N29" s="68">
        <f>G29+'Jun-22'!N26</f>
        <v>56633</v>
      </c>
      <c r="O29" s="68">
        <f>H29+'Jun-22'!O26</f>
        <v>9186</v>
      </c>
      <c r="P29" s="68">
        <f>I29+'Jun-22'!P26</f>
        <v>443129</v>
      </c>
      <c r="Q29" s="64">
        <f t="shared" si="22"/>
        <v>5.3404728691752155</v>
      </c>
      <c r="R29" s="64">
        <f t="shared" si="23"/>
        <v>38.089919442630091</v>
      </c>
      <c r="S29" s="60">
        <f t="shared" si="24"/>
        <v>-0.18967163060869408</v>
      </c>
      <c r="T29" s="68">
        <v>165083</v>
      </c>
      <c r="U29" s="70">
        <f>20768+8294</f>
        <v>29062</v>
      </c>
      <c r="V29" s="78">
        <f>659951+168729+38484</f>
        <v>867164</v>
      </c>
    </row>
    <row r="30" spans="1:38" ht="15" customHeight="1" thickBot="1">
      <c r="A30" s="9"/>
      <c r="B30" s="12"/>
      <c r="C30" s="35" t="s">
        <v>12</v>
      </c>
      <c r="D30" s="36"/>
      <c r="E30" s="37"/>
      <c r="F30" s="75">
        <f t="shared" ref="F30:I31" si="25">F13+F16+F19+F22+F25+F28</f>
        <v>313</v>
      </c>
      <c r="G30" s="75">
        <f t="shared" si="25"/>
        <v>63</v>
      </c>
      <c r="H30" s="75">
        <f t="shared" si="25"/>
        <v>2</v>
      </c>
      <c r="I30" s="75">
        <f t="shared" si="25"/>
        <v>283</v>
      </c>
      <c r="J30" s="66">
        <f t="shared" si="0"/>
        <v>3.9682539682539684</v>
      </c>
      <c r="K30" s="66">
        <f t="shared" si="21"/>
        <v>155.5</v>
      </c>
      <c r="L30" s="62">
        <f t="shared" si="12"/>
        <v>0.10600706713780927</v>
      </c>
      <c r="M30" s="46">
        <f t="shared" ref="M30:P31" si="26">M13+M16+M19+M22+M25+M28</f>
        <v>1958</v>
      </c>
      <c r="N30" s="46">
        <f t="shared" si="26"/>
        <v>126</v>
      </c>
      <c r="O30" s="46">
        <f t="shared" si="26"/>
        <v>609</v>
      </c>
      <c r="P30" s="46">
        <f t="shared" si="26"/>
        <v>1805</v>
      </c>
      <c r="Q30" s="66">
        <f t="shared" si="22"/>
        <v>14.53968253968254</v>
      </c>
      <c r="R30" s="66">
        <f t="shared" si="23"/>
        <v>2.2151067323481115</v>
      </c>
      <c r="S30" s="62">
        <f t="shared" si="24"/>
        <v>8.476454293628799E-2</v>
      </c>
      <c r="T30" s="46">
        <f t="shared" ref="T30:V31" si="27">T13+T16+T19+T22+T25+T28</f>
        <v>1062</v>
      </c>
      <c r="U30" s="46">
        <f t="shared" si="27"/>
        <v>667</v>
      </c>
      <c r="V30" s="80">
        <f t="shared" si="27"/>
        <v>3344</v>
      </c>
    </row>
    <row r="31" spans="1:38" s="22" customFormat="1" ht="15" customHeight="1" thickTop="1" thickBot="1">
      <c r="A31" s="9"/>
      <c r="B31" s="12"/>
      <c r="C31" s="38" t="s">
        <v>13</v>
      </c>
      <c r="D31" s="39"/>
      <c r="E31" s="40"/>
      <c r="F31" s="76">
        <f t="shared" si="25"/>
        <v>857239</v>
      </c>
      <c r="G31" s="76">
        <f t="shared" si="25"/>
        <v>92497</v>
      </c>
      <c r="H31" s="76">
        <f t="shared" si="25"/>
        <v>6192</v>
      </c>
      <c r="I31" s="76">
        <f t="shared" si="25"/>
        <v>869024</v>
      </c>
      <c r="J31" s="67">
        <f t="shared" si="0"/>
        <v>8.2677492242991661</v>
      </c>
      <c r="K31" s="67">
        <f t="shared" si="21"/>
        <v>137.44299095607235</v>
      </c>
      <c r="L31" s="63">
        <f t="shared" si="12"/>
        <v>-1.3561190484957852E-2</v>
      </c>
      <c r="M31" s="47">
        <f t="shared" si="26"/>
        <v>3490047</v>
      </c>
      <c r="N31" s="47">
        <f t="shared" si="26"/>
        <v>166584</v>
      </c>
      <c r="O31" s="47">
        <f t="shared" si="26"/>
        <v>1284596</v>
      </c>
      <c r="P31" s="47">
        <f t="shared" si="26"/>
        <v>5144226</v>
      </c>
      <c r="Q31" s="67">
        <f t="shared" si="22"/>
        <v>19.950673534072902</v>
      </c>
      <c r="R31" s="67">
        <f t="shared" si="23"/>
        <v>1.7168440505808831</v>
      </c>
      <c r="S31" s="63">
        <f t="shared" si="24"/>
        <v>-0.32156032802602375</v>
      </c>
      <c r="T31" s="47">
        <f t="shared" si="27"/>
        <v>1554247</v>
      </c>
      <c r="U31" s="47">
        <f t="shared" si="27"/>
        <v>1323431</v>
      </c>
      <c r="V31" s="81">
        <f t="shared" si="27"/>
        <v>9169021</v>
      </c>
      <c r="W31" s="9"/>
      <c r="X31" s="21"/>
      <c r="Y31" s="21"/>
      <c r="Z31" s="21"/>
      <c r="AA31" s="21"/>
      <c r="AB31" s="21"/>
      <c r="AC31" s="21"/>
      <c r="AD31" s="21"/>
      <c r="AE31" s="21"/>
      <c r="AF31" s="21"/>
      <c r="AG31" s="21"/>
      <c r="AH31" s="21"/>
      <c r="AI31" s="21"/>
      <c r="AJ31" s="21"/>
      <c r="AK31" s="21"/>
      <c r="AL31" s="21"/>
    </row>
    <row r="32" spans="1:38" ht="15" customHeight="1" thickTop="1">
      <c r="A32" s="9"/>
      <c r="B32" s="9"/>
      <c r="C32" s="9"/>
      <c r="D32" s="9"/>
      <c r="E32" s="9"/>
      <c r="F32" s="9"/>
      <c r="G32" s="41"/>
      <c r="H32" s="41"/>
      <c r="I32" s="41"/>
      <c r="J32" s="41"/>
      <c r="K32" s="9"/>
      <c r="L32" s="9"/>
      <c r="M32" s="9"/>
      <c r="N32" s="9"/>
      <c r="O32" s="9"/>
      <c r="P32" s="9"/>
      <c r="Q32" s="9"/>
      <c r="R32" s="9"/>
      <c r="S32" s="9"/>
      <c r="T32" s="83"/>
      <c r="U32" s="9"/>
      <c r="V32" s="9"/>
    </row>
    <row r="33" spans="1:22" ht="22.95" customHeight="1">
      <c r="A33" s="9"/>
      <c r="B33" s="9"/>
      <c r="C33" s="9"/>
      <c r="D33" s="9"/>
      <c r="E33" s="9"/>
      <c r="F33" s="9"/>
      <c r="G33" s="41"/>
      <c r="H33" s="41"/>
      <c r="I33" s="41"/>
      <c r="J33" s="41"/>
      <c r="K33" s="9"/>
      <c r="L33" s="9"/>
      <c r="M33" s="9"/>
      <c r="N33" s="9"/>
      <c r="O33" s="9"/>
      <c r="P33" s="9"/>
      <c r="Q33" s="9"/>
      <c r="R33" s="9"/>
      <c r="S33" s="9"/>
      <c r="T33" s="9"/>
      <c r="U33" s="9"/>
      <c r="V33" s="9"/>
    </row>
    <row r="34" spans="1:22" ht="14.4">
      <c r="A34" s="9"/>
      <c r="B34" s="10"/>
      <c r="C34" s="86" t="s">
        <v>63</v>
      </c>
      <c r="D34" s="24"/>
      <c r="E34" s="24"/>
      <c r="F34" s="24"/>
      <c r="G34" s="24"/>
      <c r="H34" s="24"/>
      <c r="I34" s="24"/>
      <c r="J34" s="24"/>
      <c r="K34" s="24"/>
      <c r="L34" s="24"/>
      <c r="M34" s="24"/>
      <c r="N34" s="24"/>
      <c r="O34" s="24"/>
      <c r="P34" s="24"/>
      <c r="Q34" s="24"/>
      <c r="R34" s="24"/>
      <c r="S34" s="24"/>
      <c r="T34" s="24"/>
      <c r="U34" s="24"/>
      <c r="V34" s="24"/>
    </row>
    <row r="35" spans="1:22" ht="14.4">
      <c r="A35" s="9"/>
      <c r="B35" s="10"/>
      <c r="C35" s="24"/>
      <c r="D35" s="24"/>
      <c r="E35" s="24"/>
      <c r="F35" s="24"/>
      <c r="G35" s="24"/>
      <c r="H35" s="24"/>
      <c r="I35" s="24"/>
      <c r="J35" s="24"/>
      <c r="K35" s="24"/>
      <c r="L35" s="24"/>
      <c r="M35" s="24"/>
      <c r="N35" s="24"/>
      <c r="O35" s="24"/>
      <c r="P35" s="24"/>
      <c r="Q35" s="24"/>
      <c r="R35" s="24"/>
      <c r="S35" s="24"/>
      <c r="T35" s="24"/>
      <c r="U35" s="24"/>
      <c r="V35" s="24"/>
    </row>
    <row r="36" spans="1:22" ht="15" customHeight="1">
      <c r="A36" s="9"/>
      <c r="B36" s="9"/>
      <c r="C36" s="27" t="s">
        <v>7</v>
      </c>
      <c r="D36" s="28"/>
      <c r="E36" s="28"/>
      <c r="F36" s="128" t="str">
        <f>F9</f>
        <v>July</v>
      </c>
      <c r="G36" s="128"/>
      <c r="H36" s="128"/>
      <c r="I36" s="128"/>
      <c r="J36" s="128"/>
      <c r="K36" s="128"/>
      <c r="L36" s="129"/>
      <c r="M36" s="130" t="s">
        <v>61</v>
      </c>
      <c r="N36" s="128"/>
      <c r="O36" s="128"/>
      <c r="P36" s="128"/>
      <c r="Q36" s="128"/>
      <c r="R36" s="128"/>
      <c r="S36" s="129"/>
      <c r="T36" s="130" t="s">
        <v>58</v>
      </c>
      <c r="U36" s="128"/>
      <c r="V36" s="131"/>
    </row>
    <row r="37" spans="1:22" ht="15" customHeight="1">
      <c r="A37" s="9"/>
      <c r="B37" s="9"/>
      <c r="C37" s="29"/>
      <c r="D37" s="30"/>
      <c r="E37" s="30"/>
      <c r="F37" s="29"/>
      <c r="G37" s="30"/>
      <c r="H37" s="30"/>
      <c r="I37" s="30"/>
      <c r="J37" s="30"/>
      <c r="K37" s="30"/>
      <c r="L37" s="56"/>
      <c r="M37" s="30"/>
      <c r="N37" s="30"/>
      <c r="O37" s="30"/>
      <c r="P37" s="30"/>
      <c r="Q37" s="30"/>
      <c r="R37" s="30"/>
      <c r="S37" s="56"/>
      <c r="T37" s="30"/>
      <c r="U37" s="30"/>
      <c r="V37" s="56"/>
    </row>
    <row r="38" spans="1:22" s="9" customFormat="1" ht="34.200000000000003"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1:22" s="9" customFormat="1" ht="15" customHeight="1">
      <c r="C39" s="31" t="s">
        <v>14</v>
      </c>
      <c r="D39" s="26"/>
      <c r="E39" s="32"/>
      <c r="F39" s="26"/>
      <c r="G39" s="26"/>
      <c r="H39" s="26"/>
      <c r="I39" s="26"/>
      <c r="J39" s="26"/>
      <c r="K39" s="26"/>
      <c r="L39" s="32"/>
      <c r="M39" s="26"/>
      <c r="N39" s="26"/>
      <c r="O39" s="26"/>
      <c r="Q39" s="26"/>
      <c r="R39" s="26"/>
      <c r="S39" s="32"/>
      <c r="T39" s="33"/>
      <c r="U39" s="88"/>
      <c r="V39" s="85"/>
    </row>
    <row r="40" spans="1:22" s="9" customFormat="1" ht="15" customHeight="1">
      <c r="C40" s="33"/>
      <c r="D40" s="26" t="s">
        <v>5</v>
      </c>
      <c r="E40" s="32"/>
      <c r="F40" s="74">
        <f>F13</f>
        <v>1</v>
      </c>
      <c r="G40" s="74">
        <f t="shared" ref="G40:I40" si="28">G13</f>
        <v>6</v>
      </c>
      <c r="H40" s="71">
        <f t="shared" si="28"/>
        <v>0</v>
      </c>
      <c r="I40" s="71">
        <f t="shared" si="28"/>
        <v>6</v>
      </c>
      <c r="J40" s="64">
        <f t="shared" ref="J40:J41" si="29">IFERROR(F40/G40-1,"n/a")</f>
        <v>-0.83333333333333337</v>
      </c>
      <c r="K40" s="64" t="str">
        <f>IFERROR(F40/H40-1,"n/a")</f>
        <v>n/a</v>
      </c>
      <c r="L40" s="60">
        <f t="shared" ref="L40:L41" si="30">IFERROR(F40/I40-1,"n/a")</f>
        <v>-0.83333333333333337</v>
      </c>
      <c r="M40" s="70">
        <f>+M13-'Mar-22'!M10</f>
        <v>30</v>
      </c>
      <c r="N40" s="70">
        <f>+N13-'Mar-22'!N10</f>
        <v>6</v>
      </c>
      <c r="O40" s="82">
        <f>+O13-'Mar-22'!O10</f>
        <v>0</v>
      </c>
      <c r="P40" s="70">
        <f>+P13-'Mar-22'!P10</f>
        <v>46</v>
      </c>
      <c r="Q40" s="64">
        <f>IFERROR(M40/N40-1,"n/a")</f>
        <v>4</v>
      </c>
      <c r="R40" s="64" t="str">
        <f>IFERROR(M40/O40-1,"n/a")</f>
        <v>n/a</v>
      </c>
      <c r="S40" s="60">
        <f>IFERROR(M40/P40-1,"n/a")</f>
        <v>-0.34782608695652173</v>
      </c>
      <c r="T40" s="89">
        <v>308</v>
      </c>
      <c r="U40" s="70">
        <v>145</v>
      </c>
      <c r="V40" s="78">
        <v>331</v>
      </c>
    </row>
    <row r="41" spans="1:22" s="9" customFormat="1" ht="15" customHeight="1">
      <c r="C41" s="33"/>
      <c r="D41" s="26" t="s">
        <v>11</v>
      </c>
      <c r="E41" s="32"/>
      <c r="F41" s="74">
        <f t="shared" ref="F41:I41" si="31">F14</f>
        <v>3145</v>
      </c>
      <c r="G41" s="74">
        <f t="shared" si="31"/>
        <v>767</v>
      </c>
      <c r="H41" s="71">
        <f t="shared" si="31"/>
        <v>0</v>
      </c>
      <c r="I41" s="74">
        <f t="shared" si="31"/>
        <v>10620</v>
      </c>
      <c r="J41" s="64">
        <f t="shared" si="29"/>
        <v>3.1003911342894392</v>
      </c>
      <c r="K41" s="64" t="str">
        <f t="shared" ref="K41" si="32">IFERROR(F41/H41-1,"n/a")</f>
        <v>n/a</v>
      </c>
      <c r="L41" s="60">
        <f t="shared" si="30"/>
        <v>-0.70386064030131834</v>
      </c>
      <c r="M41" s="82">
        <f>+M14-'Mar-22'!M11</f>
        <v>37841</v>
      </c>
      <c r="N41" s="82">
        <f>+N14-'Mar-22'!N11</f>
        <v>767</v>
      </c>
      <c r="O41" s="82">
        <f>+O14-'Mar-22'!O11</f>
        <v>0</v>
      </c>
      <c r="P41" s="82">
        <f>+P14-'Mar-22'!P11</f>
        <v>86144</v>
      </c>
      <c r="Q41" s="64">
        <f>IFERROR(M41/N41-1,"n/a")</f>
        <v>48.336375488917859</v>
      </c>
      <c r="R41" s="64" t="str">
        <f>IFERROR(M41/O41-1,"n/a")</f>
        <v>n/a</v>
      </c>
      <c r="S41" s="60">
        <f>IFERROR(M41/P41-1,"n/a")</f>
        <v>-0.56072390416047546</v>
      </c>
      <c r="T41" s="89">
        <v>237191</v>
      </c>
      <c r="U41" s="84">
        <v>258885</v>
      </c>
      <c r="V41" s="78">
        <v>606801</v>
      </c>
    </row>
    <row r="42" spans="1:22" s="9" customFormat="1" ht="15" customHeight="1">
      <c r="C42" s="31" t="s">
        <v>20</v>
      </c>
      <c r="D42" s="26"/>
      <c r="E42" s="32"/>
      <c r="F42" s="26"/>
      <c r="G42" s="26"/>
      <c r="H42" s="26"/>
      <c r="I42" s="26"/>
      <c r="J42" s="64"/>
      <c r="K42" s="64"/>
      <c r="L42" s="61"/>
      <c r="M42" s="87"/>
      <c r="N42" s="87"/>
      <c r="O42" s="87"/>
      <c r="P42" s="87"/>
      <c r="Q42" s="65"/>
      <c r="R42" s="65"/>
      <c r="S42" s="61"/>
      <c r="T42" s="90"/>
      <c r="U42" s="44"/>
      <c r="V42" s="79"/>
    </row>
    <row r="43" spans="1:22" s="9" customFormat="1" ht="15" customHeight="1">
      <c r="C43" s="33"/>
      <c r="D43" s="26" t="s">
        <v>5</v>
      </c>
      <c r="E43" s="32"/>
      <c r="F43" s="74">
        <f t="shared" ref="F43:I43" si="33">F16</f>
        <v>71</v>
      </c>
      <c r="G43" s="74">
        <f t="shared" si="33"/>
        <v>10</v>
      </c>
      <c r="H43" s="71">
        <f t="shared" si="33"/>
        <v>0</v>
      </c>
      <c r="I43" s="74">
        <f t="shared" si="33"/>
        <v>68</v>
      </c>
      <c r="J43" s="64">
        <f t="shared" ref="J43:J44" si="34">IFERROR(F43/G43-1,"n/a")</f>
        <v>6.1</v>
      </c>
      <c r="K43" s="64" t="str">
        <f t="shared" ref="K43:K44" si="35">IFERROR(F43/H43-1,"n/a")</f>
        <v>n/a</v>
      </c>
      <c r="L43" s="60">
        <f t="shared" ref="L43:L44" si="36">IFERROR(F43/I43-1,"n/a")</f>
        <v>4.4117647058823595E-2</v>
      </c>
      <c r="M43" s="70">
        <f>+M16-'Mar-22'!M13</f>
        <v>338</v>
      </c>
      <c r="N43" s="70">
        <f>+N16-'Mar-22'!N13</f>
        <v>14</v>
      </c>
      <c r="O43" s="82">
        <f>+O16-'Mar-22'!O13</f>
        <v>0</v>
      </c>
      <c r="P43" s="70">
        <f>+P16-'Mar-22'!P13</f>
        <v>341</v>
      </c>
      <c r="Q43" s="64">
        <f>IFERROR(M43/N43-1,"n/a")</f>
        <v>23.142857142857142</v>
      </c>
      <c r="R43" s="64" t="str">
        <f>IFERROR(M43/O43-1,"n/a")</f>
        <v>n/a</v>
      </c>
      <c r="S43" s="60">
        <f t="shared" ref="S43:S44" si="37">IFERROR(M43/P43-1,"n/a")</f>
        <v>-8.7976539589442737E-3</v>
      </c>
      <c r="T43" s="89">
        <v>336</v>
      </c>
      <c r="U43" s="70">
        <v>43</v>
      </c>
      <c r="V43" s="78">
        <v>781</v>
      </c>
    </row>
    <row r="44" spans="1:22" s="9" customFormat="1" ht="15" customHeight="1">
      <c r="C44" s="33"/>
      <c r="D44" s="26" t="s">
        <v>11</v>
      </c>
      <c r="E44" s="32"/>
      <c r="F44" s="74">
        <f t="shared" ref="F44:I44" si="38">F17</f>
        <v>271417</v>
      </c>
      <c r="G44" s="74">
        <f t="shared" si="38"/>
        <v>23553</v>
      </c>
      <c r="H44" s="71">
        <f t="shared" si="38"/>
        <v>0</v>
      </c>
      <c r="I44" s="74">
        <f t="shared" si="38"/>
        <v>261197</v>
      </c>
      <c r="J44" s="64">
        <f t="shared" si="34"/>
        <v>10.523670020804143</v>
      </c>
      <c r="K44" s="64" t="str">
        <f t="shared" si="35"/>
        <v>n/a</v>
      </c>
      <c r="L44" s="60">
        <f t="shared" si="36"/>
        <v>3.9127555063802388E-2</v>
      </c>
      <c r="M44" s="82">
        <f>+M17-'Mar-22'!M14</f>
        <v>736663</v>
      </c>
      <c r="N44" s="82">
        <f>+N17-'Mar-22'!N14</f>
        <v>28476</v>
      </c>
      <c r="O44" s="82">
        <f>+O17-'Mar-22'!O14</f>
        <v>0</v>
      </c>
      <c r="P44" s="82">
        <f>+P17-'Mar-22'!P14</f>
        <v>1049749</v>
      </c>
      <c r="Q44" s="64">
        <f>IFERROR(M44/N44-1,"n/a")</f>
        <v>24.869609495715689</v>
      </c>
      <c r="R44" s="64" t="str">
        <f>IFERROR(M44/O44-1,"n/a")</f>
        <v>n/a</v>
      </c>
      <c r="S44" s="60">
        <f t="shared" si="37"/>
        <v>-0.29824843843623572</v>
      </c>
      <c r="T44" s="89">
        <v>533563</v>
      </c>
      <c r="U44" s="84">
        <v>140552</v>
      </c>
      <c r="V44" s="78">
        <v>2441594</v>
      </c>
    </row>
    <row r="45" spans="1:22"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1:22" s="9" customFormat="1" ht="15" customHeight="1">
      <c r="C46" s="33"/>
      <c r="D46" s="26" t="s">
        <v>5</v>
      </c>
      <c r="E46" s="32"/>
      <c r="F46" s="74">
        <f t="shared" ref="F46:I46" si="39">F19</f>
        <v>60</v>
      </c>
      <c r="G46" s="71">
        <f t="shared" si="39"/>
        <v>0</v>
      </c>
      <c r="H46" s="71">
        <f t="shared" si="39"/>
        <v>1</v>
      </c>
      <c r="I46" s="74">
        <f t="shared" si="39"/>
        <v>32</v>
      </c>
      <c r="J46" s="64" t="str">
        <f t="shared" ref="J46:J47" si="40">IFERROR(F46/G46-1,"n/a")</f>
        <v>n/a</v>
      </c>
      <c r="K46" s="64">
        <f t="shared" ref="K46:K47" si="41">IFERROR(F46/H46-1,"n/a")</f>
        <v>59</v>
      </c>
      <c r="L46" s="60">
        <f>IFERROR(F46/I46-1,"n/a")</f>
        <v>0.875</v>
      </c>
      <c r="M46" s="70">
        <f>+M19-'Mar-22'!M16</f>
        <v>217</v>
      </c>
      <c r="N46" s="82">
        <f>+N19-'Mar-22'!N16</f>
        <v>0</v>
      </c>
      <c r="O46" s="82">
        <f>+O19-'Mar-22'!O16</f>
        <v>1</v>
      </c>
      <c r="P46" s="82">
        <f>+P19-'Mar-22'!P16</f>
        <v>95</v>
      </c>
      <c r="Q46" s="64" t="str">
        <f>IFERROR(M46/N46-1,"n/a")</f>
        <v>n/a</v>
      </c>
      <c r="R46" s="64">
        <f>IFERROR(M46/O46-1,"n/a")</f>
        <v>216</v>
      </c>
      <c r="S46" s="60">
        <f t="shared" ref="S46:S47" si="42">IFERROR(M46/P46-1,"n/a")</f>
        <v>1.2842105263157895</v>
      </c>
      <c r="T46" s="89">
        <v>33</v>
      </c>
      <c r="U46" s="70">
        <v>4</v>
      </c>
      <c r="V46" s="78">
        <v>188</v>
      </c>
    </row>
    <row r="47" spans="1:22" s="9" customFormat="1" ht="15" customHeight="1">
      <c r="C47" s="33"/>
      <c r="D47" s="26" t="s">
        <v>11</v>
      </c>
      <c r="E47" s="32"/>
      <c r="F47" s="74">
        <f t="shared" ref="F47:I47" si="43">F20</f>
        <v>81190</v>
      </c>
      <c r="G47" s="71">
        <f t="shared" si="43"/>
        <v>0</v>
      </c>
      <c r="H47" s="71">
        <f t="shared" si="43"/>
        <v>111</v>
      </c>
      <c r="I47" s="74">
        <f t="shared" si="43"/>
        <v>40651</v>
      </c>
      <c r="J47" s="64" t="str">
        <f t="shared" si="40"/>
        <v>n/a</v>
      </c>
      <c r="K47" s="64">
        <f t="shared" si="41"/>
        <v>730.4414414414415</v>
      </c>
      <c r="L47" s="60">
        <f t="shared" ref="L47" si="44">IFERROR(F47/I47-1,"n/a")</f>
        <v>0.99724484022533266</v>
      </c>
      <c r="M47" s="82">
        <f>+M20-'Mar-22'!M17</f>
        <v>238118</v>
      </c>
      <c r="N47" s="82">
        <f>+N20-'Mar-22'!N17</f>
        <v>0</v>
      </c>
      <c r="O47" s="82">
        <f>+O20-'Mar-22'!O17</f>
        <v>111</v>
      </c>
      <c r="P47" s="82">
        <f>+P20-'Mar-22'!P17</f>
        <v>112053</v>
      </c>
      <c r="Q47" s="64" t="str">
        <f>IFERROR(M47/N47-1,"n/a")</f>
        <v>n/a</v>
      </c>
      <c r="R47" s="64">
        <f>IFERROR(M47/O47-1,"n/a")</f>
        <v>2144.2072072072074</v>
      </c>
      <c r="S47" s="60">
        <f t="shared" si="42"/>
        <v>1.1250479683721095</v>
      </c>
      <c r="T47" s="82">
        <v>10083</v>
      </c>
      <c r="U47" s="84">
        <v>1753</v>
      </c>
      <c r="V47" s="78">
        <f>176097+74816</f>
        <v>250913</v>
      </c>
    </row>
    <row r="48" spans="1:22"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3:22" s="9" customFormat="1" ht="15" customHeight="1">
      <c r="C49" s="33"/>
      <c r="D49" s="26" t="s">
        <v>5</v>
      </c>
      <c r="E49" s="34"/>
      <c r="F49" s="73">
        <f t="shared" ref="F49:I49" si="45">F22</f>
        <v>83</v>
      </c>
      <c r="G49" s="74">
        <f t="shared" si="45"/>
        <v>22</v>
      </c>
      <c r="H49" s="71">
        <f t="shared" si="45"/>
        <v>0</v>
      </c>
      <c r="I49" s="74">
        <f t="shared" si="45"/>
        <v>95</v>
      </c>
      <c r="J49" s="64">
        <f t="shared" ref="J49:J50" si="46">IFERROR(F49/G49-1,"n/a")</f>
        <v>2.7727272727272729</v>
      </c>
      <c r="K49" s="64" t="str">
        <f t="shared" ref="K49:K50" si="47">IFERROR(F49/H49-1,"n/a")</f>
        <v>n/a</v>
      </c>
      <c r="L49" s="60">
        <f t="shared" ref="L49:L50" si="48">IFERROR(F49/I49-1,"n/a")</f>
        <v>-0.12631578947368416</v>
      </c>
      <c r="M49" s="70">
        <f>+M22-'Mar-22'!M19</f>
        <v>350</v>
      </c>
      <c r="N49" s="70">
        <f>+N22-'Mar-22'!N19</f>
        <v>29</v>
      </c>
      <c r="O49" s="70">
        <f>+O22-'Mar-22'!O19</f>
        <v>42</v>
      </c>
      <c r="P49" s="70">
        <f>+P22-'Mar-22'!P19</f>
        <v>371</v>
      </c>
      <c r="Q49" s="64">
        <f>IFERROR(M49/N49-1,"n/a")</f>
        <v>11.068965517241379</v>
      </c>
      <c r="R49" s="64">
        <f>IFERROR(M49/O49-1,"n/a")</f>
        <v>7.3333333333333339</v>
      </c>
      <c r="S49" s="60">
        <f>IFERROR(M49/P49-1,"n/a")</f>
        <v>-5.6603773584905648E-2</v>
      </c>
      <c r="T49" s="89">
        <v>744</v>
      </c>
      <c r="U49" s="84">
        <v>406</v>
      </c>
      <c r="V49" s="78">
        <v>1253</v>
      </c>
    </row>
    <row r="50" spans="3:22" s="9" customFormat="1" ht="15" customHeight="1">
      <c r="C50" s="33"/>
      <c r="D50" s="26" t="s">
        <v>11</v>
      </c>
      <c r="E50" s="32"/>
      <c r="F50" s="73">
        <f t="shared" ref="F50:I50" si="49">F23</f>
        <v>288977</v>
      </c>
      <c r="G50" s="74">
        <f t="shared" si="49"/>
        <v>30147</v>
      </c>
      <c r="H50" s="71">
        <f t="shared" si="49"/>
        <v>0</v>
      </c>
      <c r="I50" s="74">
        <f t="shared" si="49"/>
        <v>321844</v>
      </c>
      <c r="J50" s="64">
        <f t="shared" si="46"/>
        <v>8.5855972401897365</v>
      </c>
      <c r="K50" s="64" t="str">
        <f t="shared" si="47"/>
        <v>n/a</v>
      </c>
      <c r="L50" s="60">
        <f t="shared" si="48"/>
        <v>-0.10212090329476398</v>
      </c>
      <c r="M50" s="82">
        <f>+M23-'Mar-22'!M20</f>
        <v>1038712</v>
      </c>
      <c r="N50" s="82">
        <f>+N23-'Mar-22'!N20</f>
        <v>35258</v>
      </c>
      <c r="O50" s="82">
        <f>+O23-'Mar-22'!O20</f>
        <v>0</v>
      </c>
      <c r="P50" s="82">
        <f>+P23-'Mar-22'!P20</f>
        <v>1267874</v>
      </c>
      <c r="Q50" s="64">
        <f>IFERROR(M50/N50-1,"n/a")</f>
        <v>28.460321061886663</v>
      </c>
      <c r="R50" s="64" t="str">
        <f>IFERROR(M50/O50-1,"n/a")</f>
        <v>n/a</v>
      </c>
      <c r="S50" s="60">
        <f t="shared" ref="S50" si="50">IFERROR(M50/P50-1,"n/a")</f>
        <v>-0.18074508981176363</v>
      </c>
      <c r="T50" s="82">
        <v>1290779</v>
      </c>
      <c r="U50" s="84">
        <v>833999</v>
      </c>
      <c r="V50" s="78">
        <v>3627458</v>
      </c>
    </row>
    <row r="51" spans="3:22"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3:22" s="9" customFormat="1" ht="15" customHeight="1">
      <c r="C52" s="33"/>
      <c r="D52" s="26" t="s">
        <v>5</v>
      </c>
      <c r="E52" s="32"/>
      <c r="F52" s="74">
        <f t="shared" ref="F52:I52" si="51">F25</f>
        <v>33</v>
      </c>
      <c r="G52" s="74">
        <f t="shared" si="51"/>
        <v>9</v>
      </c>
      <c r="H52" s="71">
        <f t="shared" si="51"/>
        <v>0</v>
      </c>
      <c r="I52" s="74">
        <f t="shared" si="51"/>
        <v>36</v>
      </c>
      <c r="J52" s="64">
        <f t="shared" ref="J52:J53" si="52">IFERROR(F52/G52-1,"n/a")</f>
        <v>2.6666666666666665</v>
      </c>
      <c r="K52" s="64" t="str">
        <f t="shared" ref="K52:K53" si="53">IFERROR(F52/H52-1,"n/a")</f>
        <v>n/a</v>
      </c>
      <c r="L52" s="60">
        <f t="shared" ref="L52:L53" si="54">IFERROR(F52/I52-1,"n/a")</f>
        <v>-8.333333333333337E-2</v>
      </c>
      <c r="M52" s="70">
        <f>+M25-'Mar-22'!M22</f>
        <v>133</v>
      </c>
      <c r="N52" s="70">
        <f>+N25-'Mar-22'!N22</f>
        <v>28</v>
      </c>
      <c r="O52" s="82">
        <f>+O25-'Mar-22'!O22</f>
        <v>0</v>
      </c>
      <c r="P52" s="70">
        <f>+P25-'Mar-22'!P22</f>
        <v>149</v>
      </c>
      <c r="Q52" s="64">
        <f>IFERROR(M52/N52-1,"n/a")</f>
        <v>3.75</v>
      </c>
      <c r="R52" s="64" t="str">
        <f>IFERROR(M52/O52-1,"n/a")</f>
        <v>n/a</v>
      </c>
      <c r="S52" s="60">
        <f t="shared" ref="S52:S53" si="55">IFERROR(M52/P52-1,"n/a")</f>
        <v>-0.10738255033557043</v>
      </c>
      <c r="T52" s="89">
        <v>121</v>
      </c>
      <c r="U52" s="70">
        <v>41</v>
      </c>
      <c r="V52" s="78">
        <v>361</v>
      </c>
    </row>
    <row r="53" spans="3:22" s="9" customFormat="1" ht="15" customHeight="1">
      <c r="C53" s="33"/>
      <c r="D53" s="26" t="s">
        <v>11</v>
      </c>
      <c r="E53" s="32"/>
      <c r="F53" s="74">
        <f t="shared" ref="F53:I53" si="56">F26</f>
        <v>73604</v>
      </c>
      <c r="G53" s="74">
        <f t="shared" si="56"/>
        <v>14049</v>
      </c>
      <c r="H53" s="71">
        <f t="shared" si="56"/>
        <v>0</v>
      </c>
      <c r="I53" s="74">
        <f t="shared" si="56"/>
        <v>102764</v>
      </c>
      <c r="J53" s="64">
        <f t="shared" si="52"/>
        <v>4.2390917503025127</v>
      </c>
      <c r="K53" s="64" t="str">
        <f t="shared" si="53"/>
        <v>n/a</v>
      </c>
      <c r="L53" s="60">
        <f t="shared" si="54"/>
        <v>-0.28375695768946319</v>
      </c>
      <c r="M53" s="82">
        <f>+M26-'Mar-22'!M23</f>
        <v>223528</v>
      </c>
      <c r="N53" s="82">
        <f>+N26-'Mar-22'!N23</f>
        <v>37486</v>
      </c>
      <c r="O53" s="82">
        <f>+O26-'Mar-22'!O23</f>
        <v>0</v>
      </c>
      <c r="P53" s="82">
        <f>+P26-'Mar-22'!P23</f>
        <v>400860</v>
      </c>
      <c r="Q53" s="64">
        <f>IFERROR(M53/N53-1,"n/a")</f>
        <v>4.9629728431947928</v>
      </c>
      <c r="R53" s="64" t="str">
        <f>IFERROR(M53/O53-1,"n/a")</f>
        <v>n/a</v>
      </c>
      <c r="S53" s="60">
        <f t="shared" si="55"/>
        <v>-0.44237888539639769</v>
      </c>
      <c r="T53" s="82">
        <v>165689</v>
      </c>
      <c r="U53" s="84">
        <v>67144</v>
      </c>
      <c r="V53" s="78">
        <v>865961</v>
      </c>
    </row>
    <row r="54" spans="3:22" ht="15" customHeight="1">
      <c r="C54" s="31" t="s">
        <v>17</v>
      </c>
      <c r="D54" s="26"/>
      <c r="E54" s="32"/>
      <c r="F54" s="72"/>
      <c r="G54" s="72"/>
      <c r="H54" s="72"/>
      <c r="I54" s="72"/>
      <c r="J54" s="64"/>
      <c r="K54" s="64"/>
      <c r="L54" s="60"/>
      <c r="M54" s="87"/>
      <c r="N54" s="87"/>
      <c r="O54" s="87"/>
      <c r="P54" s="87"/>
      <c r="Q54" s="64"/>
      <c r="R54" s="64"/>
      <c r="S54" s="60"/>
      <c r="T54" s="90"/>
      <c r="U54" s="44"/>
      <c r="V54" s="79"/>
    </row>
    <row r="55" spans="3:22" ht="15.45" customHeight="1">
      <c r="C55" s="33"/>
      <c r="D55" s="26" t="s">
        <v>5</v>
      </c>
      <c r="E55" s="32"/>
      <c r="F55" s="74">
        <f t="shared" ref="F55:I55" si="57">F28</f>
        <v>65</v>
      </c>
      <c r="G55" s="74">
        <f t="shared" si="57"/>
        <v>16</v>
      </c>
      <c r="H55" s="71">
        <f t="shared" si="57"/>
        <v>1</v>
      </c>
      <c r="I55" s="74">
        <f t="shared" si="57"/>
        <v>46</v>
      </c>
      <c r="J55" s="64">
        <f t="shared" ref="J55:J58" si="58">IFERROR(F55/G55-1,"n/a")</f>
        <v>3.0625</v>
      </c>
      <c r="K55" s="64">
        <f t="shared" ref="K55:K58" si="59">IFERROR(F55/H55-1,"n/a")</f>
        <v>64</v>
      </c>
      <c r="L55" s="60">
        <f t="shared" ref="L55:L58" si="60">IFERROR(F55/I55-1,"n/a")</f>
        <v>0.41304347826086962</v>
      </c>
      <c r="M55" s="70">
        <f>+M28-'Mar-22'!M25</f>
        <v>258</v>
      </c>
      <c r="N55" s="70">
        <f>+N28-'Mar-22'!N25</f>
        <v>37</v>
      </c>
      <c r="O55" s="70">
        <f>+O28-'Mar-22'!O25</f>
        <v>1</v>
      </c>
      <c r="P55" s="70">
        <f>+P28-'Mar-22'!P25</f>
        <v>168</v>
      </c>
      <c r="Q55" s="64">
        <f>IFERROR(M55/N55-1,"n/a")</f>
        <v>5.9729729729729728</v>
      </c>
      <c r="R55" s="64">
        <f>IFERROR(M55/O55-1,"n/a")</f>
        <v>257</v>
      </c>
      <c r="S55" s="60">
        <f t="shared" ref="S55:S58" si="61">IFERROR(M55/P55-1,"n/a")</f>
        <v>0.53571428571428581</v>
      </c>
      <c r="T55" s="89">
        <v>140</v>
      </c>
      <c r="U55" s="70">
        <v>40</v>
      </c>
      <c r="V55" s="78">
        <v>360</v>
      </c>
    </row>
    <row r="56" spans="3:22" ht="15.45" customHeight="1">
      <c r="C56" s="33"/>
      <c r="D56" s="26" t="s">
        <v>11</v>
      </c>
      <c r="E56" s="32"/>
      <c r="F56" s="74">
        <f t="shared" ref="F56:I56" si="62">F29</f>
        <v>138906</v>
      </c>
      <c r="G56" s="74">
        <f t="shared" si="62"/>
        <v>23981</v>
      </c>
      <c r="H56" s="71">
        <f t="shared" si="62"/>
        <v>6081</v>
      </c>
      <c r="I56" s="74">
        <f t="shared" si="62"/>
        <v>131948</v>
      </c>
      <c r="J56" s="64">
        <f t="shared" si="58"/>
        <v>4.792335599015888</v>
      </c>
      <c r="K56" s="64">
        <f t="shared" si="59"/>
        <v>21.842624568327576</v>
      </c>
      <c r="L56" s="60">
        <f t="shared" si="60"/>
        <v>5.2732894776730266E-2</v>
      </c>
      <c r="M56" s="82">
        <f>+M29-'Mar-22'!M26</f>
        <v>347480</v>
      </c>
      <c r="N56" s="82">
        <f>+N29-'Mar-22'!N26</f>
        <v>54494</v>
      </c>
      <c r="O56" s="82">
        <f>+O29-'Mar-22'!O26</f>
        <v>8294</v>
      </c>
      <c r="P56" s="82">
        <f>+P29-'Mar-22'!P26</f>
        <v>437020</v>
      </c>
      <c r="Q56" s="64">
        <f>IFERROR(M56/N56-1,"n/a")</f>
        <v>5.3764818145116893</v>
      </c>
      <c r="R56" s="64">
        <f>IFERROR(M56/O56-1,"n/a")</f>
        <v>40.895346033277065</v>
      </c>
      <c r="S56" s="60">
        <f t="shared" si="61"/>
        <v>-0.20488764816255545</v>
      </c>
      <c r="T56" s="82">
        <v>174336</v>
      </c>
      <c r="U56" s="84">
        <v>21928</v>
      </c>
      <c r="V56" s="78">
        <f>706948+155011</f>
        <v>861959</v>
      </c>
    </row>
    <row r="57" spans="3:22" ht="26.7" customHeight="1" thickBot="1">
      <c r="C57" s="35" t="s">
        <v>12</v>
      </c>
      <c r="D57" s="36"/>
      <c r="E57" s="37"/>
      <c r="F57" s="75">
        <f t="shared" ref="F57:I57" si="63">F40+F43+F46+F49+F52+F55</f>
        <v>313</v>
      </c>
      <c r="G57" s="75">
        <f t="shared" si="63"/>
        <v>63</v>
      </c>
      <c r="H57" s="75">
        <f t="shared" si="63"/>
        <v>2</v>
      </c>
      <c r="I57" s="75">
        <f t="shared" si="63"/>
        <v>283</v>
      </c>
      <c r="J57" s="66">
        <f t="shared" si="58"/>
        <v>3.9682539682539684</v>
      </c>
      <c r="K57" s="66">
        <f t="shared" si="59"/>
        <v>155.5</v>
      </c>
      <c r="L57" s="62">
        <f t="shared" si="60"/>
        <v>0.10600706713780927</v>
      </c>
      <c r="M57" s="46">
        <f t="shared" ref="M57:O57" si="64">M40+M43+M46+M49+M52+M55</f>
        <v>1326</v>
      </c>
      <c r="N57" s="46">
        <f t="shared" si="64"/>
        <v>114</v>
      </c>
      <c r="O57" s="46">
        <f t="shared" si="64"/>
        <v>44</v>
      </c>
      <c r="P57" s="46">
        <f t="shared" ref="P57" si="65">P40+P43+P46+P49+P52+P55</f>
        <v>1170</v>
      </c>
      <c r="Q57" s="66">
        <f>IFERROR(M57/N57-1,"n/a")</f>
        <v>10.631578947368421</v>
      </c>
      <c r="R57" s="66">
        <f>IFERROR(M57/O57-1,"n/a")</f>
        <v>29.136363636363637</v>
      </c>
      <c r="S57" s="62">
        <f t="shared" si="61"/>
        <v>0.1333333333333333</v>
      </c>
      <c r="T57" s="46">
        <f t="shared" ref="T57:V57" si="66">T40+T43+T46+T49+T52+T55</f>
        <v>1682</v>
      </c>
      <c r="U57" s="46">
        <f t="shared" si="66"/>
        <v>679</v>
      </c>
      <c r="V57" s="80">
        <f t="shared" si="66"/>
        <v>3274</v>
      </c>
    </row>
    <row r="58" spans="3:22" ht="26.7" customHeight="1" thickTop="1" thickBot="1">
      <c r="C58" s="38" t="s">
        <v>13</v>
      </c>
      <c r="D58" s="39"/>
      <c r="E58" s="40"/>
      <c r="F58" s="76">
        <f t="shared" ref="F58:I58" si="67">F41+F44+F47+F50+F53+F56</f>
        <v>857239</v>
      </c>
      <c r="G58" s="76">
        <f t="shared" si="67"/>
        <v>92497</v>
      </c>
      <c r="H58" s="76">
        <f t="shared" si="67"/>
        <v>6192</v>
      </c>
      <c r="I58" s="76">
        <f t="shared" si="67"/>
        <v>869024</v>
      </c>
      <c r="J58" s="67">
        <f t="shared" si="58"/>
        <v>8.2677492242991661</v>
      </c>
      <c r="K58" s="67">
        <f t="shared" si="59"/>
        <v>137.44299095607235</v>
      </c>
      <c r="L58" s="63">
        <f t="shared" si="60"/>
        <v>-1.3561190484957852E-2</v>
      </c>
      <c r="M58" s="47">
        <f t="shared" ref="M58:O58" si="68">M41+M44+M47+M50+M53+M56</f>
        <v>2622342</v>
      </c>
      <c r="N58" s="47">
        <f t="shared" si="68"/>
        <v>156481</v>
      </c>
      <c r="O58" s="47">
        <f t="shared" si="68"/>
        <v>8405</v>
      </c>
      <c r="P58" s="47">
        <f t="shared" ref="P58" si="69">P41+P44+P47+P50+P53+P56</f>
        <v>3353700</v>
      </c>
      <c r="Q58" s="67">
        <f>IFERROR(M58/N58-1,"n/a")</f>
        <v>15.758213457224837</v>
      </c>
      <c r="R58" s="67">
        <f>IFERROR(M58/O58-1,"n/a")</f>
        <v>310.99785841760854</v>
      </c>
      <c r="S58" s="63">
        <f t="shared" si="61"/>
        <v>-0.21807496198228826</v>
      </c>
      <c r="T58" s="47">
        <f t="shared" ref="T58:V58" si="70">T41+T44+T47+T50+T53+T56</f>
        <v>2411641</v>
      </c>
      <c r="U58" s="47">
        <f t="shared" si="70"/>
        <v>1324261</v>
      </c>
      <c r="V58" s="81">
        <f t="shared" si="70"/>
        <v>8654686</v>
      </c>
    </row>
    <row r="59" spans="3:22" ht="12" customHeight="1" thickTop="1"/>
  </sheetData>
  <customSheetViews>
    <customSheetView guid="{5F6D01E3-9E6F-4D7F-980F-63899AF95899}" scale="70" showPageBreaks="1" showGridLines="0" fitToPage="1" hiddenColumns="1">
      <selection activeCell="A60" sqref="A60:XFD1048576"/>
      <rowBreaks count="1" manualBreakCount="1">
        <brk id="59" max="16383" man="1"/>
      </rowBreaks>
      <colBreaks count="2" manualBreakCount="2">
        <brk id="3" max="1048575" man="1"/>
        <brk id="5" max="1048575" man="1"/>
      </colBreaks>
      <pageMargins left="0.7" right="0.7" top="0.75" bottom="0.75" header="0.3" footer="0.3"/>
      <pageSetup paperSize="9" scale="51" orientation="landscape" horizontalDpi="4294967293" verticalDpi="4294967293" r:id="rId1"/>
    </customSheetView>
  </customSheetViews>
  <mergeCells count="6">
    <mergeCell ref="F36:L36"/>
    <mergeCell ref="F9:L9"/>
    <mergeCell ref="M9:S9"/>
    <mergeCell ref="T9:V9"/>
    <mergeCell ref="M36:S36"/>
    <mergeCell ref="T36:V36"/>
  </mergeCells>
  <pageMargins left="0.7" right="0.7" top="0.75" bottom="0.75" header="0.3" footer="0.3"/>
  <pageSetup paperSize="9" scale="52" orientation="landscape" horizontalDpi="4294967293" verticalDpi="4294967293" r:id="rId2"/>
  <colBreaks count="2" manualBreakCount="2">
    <brk id="3" max="1048575" man="1"/>
    <brk id="5" max="1048575" man="1"/>
  </colBreaks>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AL48"/>
  <sheetViews>
    <sheetView showGridLines="0" zoomScale="85" zoomScaleNormal="85" workbookViewId="0"/>
  </sheetViews>
  <sheetFormatPr defaultColWidth="0" defaultRowHeight="0"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5546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9" customWidth="1"/>
    <col min="24" max="38" width="0" style="9" hidden="1" customWidth="1"/>
    <col min="39"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50</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s="20" customFormat="1" ht="14.4">
      <c r="A6" s="9"/>
      <c r="B6"/>
      <c r="C6" s="27" t="s">
        <v>7</v>
      </c>
      <c r="D6" s="28"/>
      <c r="E6" s="28"/>
      <c r="F6" s="128" t="s">
        <v>51</v>
      </c>
      <c r="G6" s="128"/>
      <c r="H6" s="128"/>
      <c r="I6" s="128"/>
      <c r="J6" s="128"/>
      <c r="K6" s="128"/>
      <c r="L6" s="129"/>
      <c r="M6" s="130" t="s">
        <v>52</v>
      </c>
      <c r="N6" s="128"/>
      <c r="O6" s="128"/>
      <c r="P6" s="128"/>
      <c r="Q6" s="128"/>
      <c r="R6" s="128"/>
      <c r="S6" s="129"/>
      <c r="T6" s="130" t="s">
        <v>9</v>
      </c>
      <c r="U6" s="128"/>
      <c r="V6" s="128"/>
      <c r="W6" s="9"/>
      <c r="X6" s="19"/>
      <c r="Y6" s="19"/>
      <c r="Z6" s="19"/>
      <c r="AA6" s="19"/>
      <c r="AB6" s="19"/>
      <c r="AC6" s="19"/>
      <c r="AD6" s="19"/>
      <c r="AE6" s="19"/>
      <c r="AF6" s="19"/>
      <c r="AG6" s="19"/>
      <c r="AH6" s="19"/>
      <c r="AI6" s="19"/>
      <c r="AJ6" s="19"/>
      <c r="AK6" s="19"/>
      <c r="AL6" s="19"/>
    </row>
    <row r="7" spans="1:38" ht="14.4">
      <c r="A7" s="9"/>
      <c r="B7" s="18"/>
      <c r="C7" s="29"/>
      <c r="D7" s="30"/>
      <c r="E7" s="30"/>
      <c r="F7" s="29"/>
      <c r="G7" s="30"/>
      <c r="H7" s="30"/>
      <c r="I7" s="30"/>
      <c r="J7" s="30"/>
      <c r="K7" s="30"/>
      <c r="L7" s="56"/>
      <c r="M7" s="30"/>
      <c r="N7" s="30"/>
      <c r="O7" s="30"/>
      <c r="P7" s="30"/>
      <c r="Q7" s="30"/>
      <c r="R7" s="30"/>
      <c r="S7" s="56"/>
      <c r="T7" s="30"/>
      <c r="U7" s="30"/>
      <c r="V7" s="30"/>
    </row>
    <row r="8" spans="1:38" s="54" customFormat="1" ht="20.399999999999999">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ht="14.4">
      <c r="A9" s="9"/>
      <c r="B9" s="12"/>
      <c r="C9" s="31" t="s">
        <v>14</v>
      </c>
      <c r="D9" s="26"/>
      <c r="E9" s="32"/>
      <c r="F9" s="26"/>
      <c r="G9" s="26"/>
      <c r="H9" s="26"/>
      <c r="I9" s="26"/>
      <c r="J9" s="26"/>
      <c r="K9" s="26"/>
      <c r="L9" s="32"/>
      <c r="M9" s="26"/>
      <c r="N9" s="26"/>
      <c r="O9" s="26"/>
      <c r="P9" s="26"/>
      <c r="Q9" s="26"/>
      <c r="R9" s="26"/>
      <c r="S9" s="32"/>
      <c r="T9" s="26"/>
      <c r="U9" s="26"/>
      <c r="V9" s="26"/>
    </row>
    <row r="10" spans="1:38" ht="14.4">
      <c r="A10" s="9"/>
      <c r="B10" s="12"/>
      <c r="C10" s="33"/>
      <c r="D10" s="26" t="s">
        <v>5</v>
      </c>
      <c r="E10" s="32"/>
      <c r="F10" s="71">
        <v>1</v>
      </c>
      <c r="G10" s="71">
        <v>0</v>
      </c>
      <c r="H10" s="71">
        <v>0</v>
      </c>
      <c r="I10" s="71">
        <v>5</v>
      </c>
      <c r="J10" s="64" t="str">
        <f t="shared" ref="J10:J28" si="0">IFERROR(F10/G10-1,"n/a")</f>
        <v>n/a</v>
      </c>
      <c r="K10" s="64" t="str">
        <f>IFERROR(F10/H10-1,"n/a")</f>
        <v>n/a</v>
      </c>
      <c r="L10" s="60">
        <f t="shared" ref="L10:L11" si="1">IFERROR(F10/I10-1,"n/a")</f>
        <v>-0.8</v>
      </c>
      <c r="M10" s="68">
        <f>F10+'May-22'!M10</f>
        <v>226</v>
      </c>
      <c r="N10" s="68">
        <f>G10+'May-22'!N10</f>
        <v>0</v>
      </c>
      <c r="O10" s="68">
        <f>H10+'May-22'!O10</f>
        <v>145</v>
      </c>
      <c r="P10" s="68">
        <f>I10+'May-22'!P10</f>
        <v>240</v>
      </c>
      <c r="Q10" s="64" t="str">
        <f>IFERROR(M10/N10-1,"n/a")</f>
        <v>n/a</v>
      </c>
      <c r="R10" s="64">
        <f>IFERROR(M10/O10-1,"n/a")</f>
        <v>0.55862068965517242</v>
      </c>
      <c r="S10" s="60">
        <f>IFERROR(M10/P10-1,"n/a")</f>
        <v>-5.8333333333333348E-2</v>
      </c>
      <c r="T10" s="68">
        <v>111</v>
      </c>
      <c r="U10" s="70">
        <v>145</v>
      </c>
      <c r="V10" s="70">
        <v>386</v>
      </c>
    </row>
    <row r="11" spans="1:38" ht="14.4">
      <c r="A11" s="9"/>
      <c r="B11" s="12"/>
      <c r="C11" s="33"/>
      <c r="D11" s="26" t="s">
        <v>11</v>
      </c>
      <c r="E11" s="32"/>
      <c r="F11" s="71">
        <v>0</v>
      </c>
      <c r="G11" s="71">
        <v>0</v>
      </c>
      <c r="H11" s="71">
        <v>0</v>
      </c>
      <c r="I11" s="71">
        <v>13509</v>
      </c>
      <c r="J11" s="64" t="str">
        <f t="shared" si="0"/>
        <v>n/a</v>
      </c>
      <c r="K11" s="64" t="str">
        <f t="shared" ref="K11" si="2">IFERROR(F11/H11-1,"n/a")</f>
        <v>n/a</v>
      </c>
      <c r="L11" s="60">
        <f t="shared" si="1"/>
        <v>-1</v>
      </c>
      <c r="M11" s="68">
        <f>F11+'May-22'!M11</f>
        <v>191024</v>
      </c>
      <c r="N11" s="68">
        <f>G11+'May-22'!N11</f>
        <v>0</v>
      </c>
      <c r="O11" s="68">
        <f>H11+'May-22'!O11</f>
        <v>258885</v>
      </c>
      <c r="P11" s="68">
        <f>I11+'May-22'!P11</f>
        <v>460904</v>
      </c>
      <c r="Q11" s="64" t="str">
        <f>IFERROR(M11/N11-1,"n/a")</f>
        <v>n/a</v>
      </c>
      <c r="R11" s="64">
        <f>IFERROR(M11/O11-1,"n/a")</f>
        <v>-0.26212797187940595</v>
      </c>
      <c r="S11" s="60">
        <f>IFERROR(M11/P11-1,"n/a")</f>
        <v>-0.58554492909586375</v>
      </c>
      <c r="T11" s="68">
        <v>80863</v>
      </c>
      <c r="U11" s="70">
        <v>258885</v>
      </c>
      <c r="V11" s="70">
        <v>733296</v>
      </c>
    </row>
    <row r="12" spans="1:38" ht="14.4">
      <c r="A12" s="9"/>
      <c r="B12" s="12"/>
      <c r="C12" s="31" t="s">
        <v>74</v>
      </c>
      <c r="D12" s="26"/>
      <c r="E12" s="32"/>
      <c r="F12" s="26"/>
      <c r="G12" s="26"/>
      <c r="H12" s="26"/>
      <c r="I12" s="26"/>
      <c r="J12" s="64"/>
      <c r="K12" s="64"/>
      <c r="L12" s="61"/>
      <c r="M12" s="43"/>
      <c r="N12" s="43"/>
      <c r="O12" s="43"/>
      <c r="P12" s="43"/>
      <c r="Q12" s="64"/>
      <c r="R12" s="65"/>
      <c r="S12" s="61"/>
      <c r="T12" s="43"/>
      <c r="U12" s="44"/>
      <c r="V12" s="44"/>
    </row>
    <row r="13" spans="1:38" ht="14.4">
      <c r="A13" s="9"/>
      <c r="B13" s="12"/>
      <c r="C13" s="33"/>
      <c r="D13" s="26" t="s">
        <v>5</v>
      </c>
      <c r="E13" s="32"/>
      <c r="F13" s="71">
        <v>68</v>
      </c>
      <c r="G13" s="74">
        <v>4</v>
      </c>
      <c r="H13" s="71">
        <v>0</v>
      </c>
      <c r="I13" s="71">
        <v>70</v>
      </c>
      <c r="J13" s="64">
        <f t="shared" si="0"/>
        <v>16</v>
      </c>
      <c r="K13" s="64" t="str">
        <f t="shared" ref="K13:K14" si="3">IFERROR(F13/H13-1,"n/a")</f>
        <v>n/a</v>
      </c>
      <c r="L13" s="60">
        <f t="shared" ref="L13:L14" si="4">IFERROR(F13/I13-1,"n/a")</f>
        <v>-2.8571428571428581E-2</v>
      </c>
      <c r="M13" s="68">
        <f>F13+'May-22'!M13</f>
        <v>320</v>
      </c>
      <c r="N13" s="68">
        <f>G13+'May-22'!N13</f>
        <v>4</v>
      </c>
      <c r="O13" s="68">
        <f>H13+'May-22'!O13</f>
        <v>43</v>
      </c>
      <c r="P13" s="68">
        <f>I13+'May-22'!P13</f>
        <v>362</v>
      </c>
      <c r="Q13" s="64">
        <f t="shared" ref="Q13:Q14" si="5">IFERROR(M13/N13-1,"n/a")</f>
        <v>79</v>
      </c>
      <c r="R13" s="64">
        <f t="shared" ref="R13:R14" si="6">IFERROR(M13/O13-1,"n/a")</f>
        <v>6.441860465116279</v>
      </c>
      <c r="S13" s="60">
        <f t="shared" ref="S13:S14" si="7">IFERROR(M13/P13-1,"n/a")</f>
        <v>-0.11602209944751385</v>
      </c>
      <c r="T13" s="68">
        <v>283</v>
      </c>
      <c r="U13" s="70">
        <v>43</v>
      </c>
      <c r="V13" s="70">
        <v>827</v>
      </c>
    </row>
    <row r="14" spans="1:38" ht="14.4">
      <c r="A14" s="9"/>
      <c r="B14" s="12"/>
      <c r="C14" s="33"/>
      <c r="D14" s="26" t="s">
        <v>11</v>
      </c>
      <c r="E14" s="32"/>
      <c r="F14" s="71">
        <v>182336</v>
      </c>
      <c r="G14" s="74">
        <v>4923</v>
      </c>
      <c r="H14" s="71">
        <v>0</v>
      </c>
      <c r="I14" s="71">
        <v>275367</v>
      </c>
      <c r="J14" s="64">
        <f t="shared" si="0"/>
        <v>36.037578712167381</v>
      </c>
      <c r="K14" s="64" t="str">
        <f t="shared" si="3"/>
        <v>n/a</v>
      </c>
      <c r="L14" s="60">
        <f t="shared" si="4"/>
        <v>-0.33784367771011048</v>
      </c>
      <c r="M14" s="68">
        <f>F14+'May-22'!M14</f>
        <v>533700</v>
      </c>
      <c r="N14" s="68">
        <f>G14+'May-22'!N14</f>
        <v>4923</v>
      </c>
      <c r="O14" s="68">
        <f>H14+'May-22'!O14</f>
        <v>140552</v>
      </c>
      <c r="P14" s="68">
        <f>I14+'May-22'!P14</f>
        <v>1040452</v>
      </c>
      <c r="Q14" s="64">
        <f t="shared" si="5"/>
        <v>107.40950639853747</v>
      </c>
      <c r="R14" s="64">
        <f t="shared" si="6"/>
        <v>2.7971711537366954</v>
      </c>
      <c r="S14" s="60">
        <f t="shared" si="7"/>
        <v>-0.487049859099699</v>
      </c>
      <c r="T14" s="68">
        <v>465109</v>
      </c>
      <c r="U14" s="70">
        <v>140552</v>
      </c>
      <c r="V14" s="70">
        <v>2552942</v>
      </c>
    </row>
    <row r="15" spans="1:38" ht="14.4">
      <c r="A15" s="9"/>
      <c r="B15" s="12"/>
      <c r="C15" s="31" t="s">
        <v>15</v>
      </c>
      <c r="D15" s="26"/>
      <c r="E15" s="32"/>
      <c r="F15" s="72"/>
      <c r="G15" s="72"/>
      <c r="H15" s="72"/>
      <c r="I15" s="72"/>
      <c r="J15" s="64"/>
      <c r="K15" s="64"/>
      <c r="L15" s="60"/>
      <c r="M15" s="43"/>
      <c r="N15" s="43"/>
      <c r="O15" s="43"/>
      <c r="P15" s="43"/>
      <c r="Q15" s="64"/>
      <c r="R15" s="64"/>
      <c r="S15" s="60"/>
      <c r="T15" s="43"/>
      <c r="U15" s="44"/>
      <c r="V15" s="44"/>
    </row>
    <row r="16" spans="1:38" ht="14.4">
      <c r="A16" s="9"/>
      <c r="B16" s="12"/>
      <c r="C16" s="33"/>
      <c r="D16" s="26" t="s">
        <v>5</v>
      </c>
      <c r="E16" s="32"/>
      <c r="F16" s="71">
        <v>63</v>
      </c>
      <c r="G16" s="71">
        <v>0</v>
      </c>
      <c r="H16" s="71">
        <v>0</v>
      </c>
      <c r="I16" s="71">
        <v>27</v>
      </c>
      <c r="J16" s="64" t="str">
        <f t="shared" si="0"/>
        <v>n/a</v>
      </c>
      <c r="K16" s="64" t="str">
        <f t="shared" ref="K16:K17" si="8">IFERROR(F16/H16-1,"n/a")</f>
        <v>n/a</v>
      </c>
      <c r="L16" s="60">
        <f>IFERROR(F16/I16-1,"n/a")</f>
        <v>1.3333333333333335</v>
      </c>
      <c r="M16" s="68">
        <f>F16+'May-22'!M16</f>
        <v>167</v>
      </c>
      <c r="N16" s="68">
        <f>G16+'May-22'!N16</f>
        <v>0</v>
      </c>
      <c r="O16" s="68">
        <f>H16+'May-22'!O16</f>
        <v>3</v>
      </c>
      <c r="P16" s="68">
        <f>I16+'May-22'!P16</f>
        <v>69</v>
      </c>
      <c r="Q16" s="64" t="str">
        <f t="shared" ref="Q16:Q17" si="9">IFERROR(M16/N16-1,"n/a")</f>
        <v>n/a</v>
      </c>
      <c r="R16" s="64">
        <f t="shared" ref="R16:R17" si="10">IFERROR(M16/O16-1,"n/a")</f>
        <v>54.666666666666664</v>
      </c>
      <c r="S16" s="60">
        <f t="shared" ref="S16:S17" si="11">IFERROR(M16/P16-1,"n/a")</f>
        <v>1.4202898550724639</v>
      </c>
      <c r="T16" s="68">
        <v>23</v>
      </c>
      <c r="U16" s="70">
        <v>4</v>
      </c>
      <c r="V16" s="70">
        <v>191</v>
      </c>
    </row>
    <row r="17" spans="1:38" ht="14.4">
      <c r="A17" s="9"/>
      <c r="B17" s="12"/>
      <c r="C17" s="33"/>
      <c r="D17" s="26" t="s">
        <v>11</v>
      </c>
      <c r="E17" s="32"/>
      <c r="F17" s="71">
        <f>68807+7503</f>
        <v>76310</v>
      </c>
      <c r="G17" s="71">
        <v>0</v>
      </c>
      <c r="H17" s="71">
        <v>0</v>
      </c>
      <c r="I17" s="73">
        <f>22769+11039</f>
        <v>33808</v>
      </c>
      <c r="J17" s="64" t="str">
        <f t="shared" si="0"/>
        <v>n/a</v>
      </c>
      <c r="K17" s="64" t="str">
        <f t="shared" si="8"/>
        <v>n/a</v>
      </c>
      <c r="L17" s="60">
        <f t="shared" ref="L17:L28" si="12">IFERROR(F17/I17-1,"n/a")</f>
        <v>1.257158069096072</v>
      </c>
      <c r="M17" s="68">
        <f>F17+'May-22'!M17</f>
        <v>158400</v>
      </c>
      <c r="N17" s="68">
        <f>G17+'May-22'!N17</f>
        <v>0</v>
      </c>
      <c r="O17" s="68">
        <f>H17+'May-22'!O17</f>
        <v>1642</v>
      </c>
      <c r="P17" s="68">
        <f>I17+'May-22'!P17</f>
        <v>76540</v>
      </c>
      <c r="Q17" s="64" t="str">
        <f t="shared" si="9"/>
        <v>n/a</v>
      </c>
      <c r="R17" s="64">
        <f t="shared" si="10"/>
        <v>95.467722289890375</v>
      </c>
      <c r="S17" s="60">
        <f t="shared" si="11"/>
        <v>1.069506140580089</v>
      </c>
      <c r="T17" s="68">
        <v>8611</v>
      </c>
      <c r="U17" s="70">
        <v>1753</v>
      </c>
      <c r="V17" s="70">
        <v>254421</v>
      </c>
    </row>
    <row r="18" spans="1:38" ht="14.4">
      <c r="A18" s="9"/>
      <c r="B18" s="12"/>
      <c r="C18" s="31" t="s">
        <v>10</v>
      </c>
      <c r="D18" s="26"/>
      <c r="E18" s="34"/>
      <c r="F18" s="72"/>
      <c r="G18" s="72"/>
      <c r="H18" s="72"/>
      <c r="I18" s="72"/>
      <c r="J18" s="64"/>
      <c r="K18" s="64"/>
      <c r="L18" s="60"/>
      <c r="M18" s="43"/>
      <c r="N18" s="43"/>
      <c r="O18" s="43"/>
      <c r="P18" s="43"/>
      <c r="Q18" s="64"/>
      <c r="R18" s="64"/>
      <c r="S18" s="60"/>
      <c r="T18" s="43"/>
      <c r="U18" s="44"/>
      <c r="V18" s="44"/>
    </row>
    <row r="19" spans="1:38" ht="14.4">
      <c r="A19" s="9"/>
      <c r="B19" s="12"/>
      <c r="C19" s="33"/>
      <c r="D19" s="26" t="s">
        <v>5</v>
      </c>
      <c r="E19" s="34"/>
      <c r="F19" s="74">
        <v>76</v>
      </c>
      <c r="G19" s="71">
        <v>7</v>
      </c>
      <c r="H19" s="71">
        <v>0</v>
      </c>
      <c r="I19" s="71">
        <v>92</v>
      </c>
      <c r="J19" s="64">
        <f t="shared" si="0"/>
        <v>9.8571428571428577</v>
      </c>
      <c r="K19" s="64" t="str">
        <f t="shared" ref="K19:K20" si="13">IFERROR(F19/H19-1,"n/a")</f>
        <v>n/a</v>
      </c>
      <c r="L19" s="60">
        <f t="shared" si="12"/>
        <v>-0.17391304347826086</v>
      </c>
      <c r="M19" s="68">
        <f>F19+'May-22'!M19</f>
        <v>600</v>
      </c>
      <c r="N19" s="68">
        <f>G19+'May-22'!N19</f>
        <v>7</v>
      </c>
      <c r="O19" s="68">
        <f>H19+'May-22'!O19</f>
        <v>406</v>
      </c>
      <c r="P19" s="68">
        <f>I19+'May-22'!P19</f>
        <v>592</v>
      </c>
      <c r="Q19" s="64">
        <f t="shared" ref="Q19:Q20" si="14">IFERROR(M19/N19-1,"n/a")</f>
        <v>84.714285714285708</v>
      </c>
      <c r="R19" s="64">
        <f t="shared" ref="R19:R20" si="15">IFERROR(M19/O19-1,"n/a")</f>
        <v>0.47783251231527091</v>
      </c>
      <c r="S19" s="60">
        <f t="shared" ref="S19:S20" si="16">IFERROR(M19/P19-1,"n/a")</f>
        <v>1.3513513513513598E-2</v>
      </c>
      <c r="T19" s="68">
        <v>411</v>
      </c>
      <c r="U19" s="70">
        <v>406</v>
      </c>
      <c r="V19" s="70">
        <v>1205</v>
      </c>
    </row>
    <row r="20" spans="1:38" ht="14.4">
      <c r="A20" s="9"/>
      <c r="B20" s="12"/>
      <c r="C20" s="33"/>
      <c r="D20" s="26" t="s">
        <v>11</v>
      </c>
      <c r="E20" s="32"/>
      <c r="F20" s="74">
        <v>251675</v>
      </c>
      <c r="G20" s="71">
        <v>5111</v>
      </c>
      <c r="H20" s="71">
        <v>0</v>
      </c>
      <c r="I20" s="74">
        <v>310947</v>
      </c>
      <c r="J20" s="64">
        <f t="shared" si="0"/>
        <v>48.241831344159657</v>
      </c>
      <c r="K20" s="64" t="str">
        <f t="shared" si="13"/>
        <v>n/a</v>
      </c>
      <c r="L20" s="60">
        <f t="shared" si="12"/>
        <v>-0.19061769369056458</v>
      </c>
      <c r="M20" s="68">
        <f>F20+'May-22'!M20</f>
        <v>1353065</v>
      </c>
      <c r="N20" s="68">
        <f>G20+'May-22'!N20</f>
        <v>5111</v>
      </c>
      <c r="O20" s="68">
        <f>H20+'May-22'!O20</f>
        <v>833999</v>
      </c>
      <c r="P20" s="68">
        <f>I20+'May-22'!P20</f>
        <v>2011754</v>
      </c>
      <c r="Q20" s="64">
        <f t="shared" si="14"/>
        <v>263.73586382312658</v>
      </c>
      <c r="R20" s="64">
        <f t="shared" si="15"/>
        <v>0.62238204122546903</v>
      </c>
      <c r="S20" s="60">
        <f t="shared" si="16"/>
        <v>-0.32742025118379281</v>
      </c>
      <c r="T20" s="68">
        <v>687449</v>
      </c>
      <c r="U20" s="70">
        <v>833999</v>
      </c>
      <c r="V20" s="70">
        <v>3859183</v>
      </c>
    </row>
    <row r="21" spans="1:38" ht="14.4">
      <c r="A21" s="9"/>
      <c r="B21" s="12"/>
      <c r="C21" s="31" t="s">
        <v>16</v>
      </c>
      <c r="D21" s="26"/>
      <c r="E21" s="32"/>
      <c r="F21" s="72"/>
      <c r="G21" s="72"/>
      <c r="H21" s="72"/>
      <c r="I21" s="72"/>
      <c r="J21" s="64"/>
      <c r="K21" s="64"/>
      <c r="L21" s="60"/>
      <c r="M21" s="43"/>
      <c r="N21" s="43"/>
      <c r="O21" s="43"/>
      <c r="P21" s="43"/>
      <c r="Q21" s="64"/>
      <c r="R21" s="64"/>
      <c r="S21" s="60"/>
      <c r="T21" s="43"/>
      <c r="U21" s="44"/>
      <c r="V21" s="44"/>
    </row>
    <row r="22" spans="1:38" ht="14.4">
      <c r="A22" s="9"/>
      <c r="B22" s="12"/>
      <c r="C22" s="33"/>
      <c r="D22" s="26" t="s">
        <v>5</v>
      </c>
      <c r="E22" s="32"/>
      <c r="F22" s="74">
        <v>40</v>
      </c>
      <c r="G22" s="74">
        <v>5</v>
      </c>
      <c r="H22" s="71">
        <v>0</v>
      </c>
      <c r="I22" s="74">
        <v>40</v>
      </c>
      <c r="J22" s="64">
        <f t="shared" si="0"/>
        <v>7</v>
      </c>
      <c r="K22" s="64" t="str">
        <f t="shared" ref="K22:K23" si="17">IFERROR(F22/H22-1,"n/a")</f>
        <v>n/a</v>
      </c>
      <c r="L22" s="60">
        <f t="shared" si="12"/>
        <v>0</v>
      </c>
      <c r="M22" s="68">
        <f>F22+'May-22'!M22</f>
        <v>123</v>
      </c>
      <c r="N22" s="68">
        <f>G22+'May-22'!N22</f>
        <v>28</v>
      </c>
      <c r="O22" s="68">
        <f>H22+'May-22'!O22</f>
        <v>9</v>
      </c>
      <c r="P22" s="68">
        <f>I22+'May-22'!P22</f>
        <v>133</v>
      </c>
      <c r="Q22" s="64">
        <f t="shared" ref="Q22:Q23" si="18">IFERROR(M22/N22-1,"n/a")</f>
        <v>3.3928571428571432</v>
      </c>
      <c r="R22" s="64">
        <f t="shared" ref="R22:R23" si="19">IFERROR(M22/O22-1,"n/a")</f>
        <v>12.666666666666666</v>
      </c>
      <c r="S22" s="60">
        <f t="shared" ref="S22:S23" si="20">IFERROR(M22/P22-1,"n/a")</f>
        <v>-7.5187969924812026E-2</v>
      </c>
      <c r="T22" s="68">
        <v>107</v>
      </c>
      <c r="U22" s="70">
        <v>32</v>
      </c>
      <c r="V22" s="70">
        <v>372</v>
      </c>
    </row>
    <row r="23" spans="1:38" ht="14.4">
      <c r="A23" s="9"/>
      <c r="B23" s="12"/>
      <c r="C23" s="33"/>
      <c r="D23" s="26" t="s">
        <v>11</v>
      </c>
      <c r="E23" s="32"/>
      <c r="F23" s="74">
        <v>70422</v>
      </c>
      <c r="G23" s="74">
        <v>5859</v>
      </c>
      <c r="H23" s="71">
        <v>0</v>
      </c>
      <c r="I23" s="74">
        <v>102192</v>
      </c>
      <c r="J23" s="64">
        <f t="shared" si="0"/>
        <v>11.019457245263697</v>
      </c>
      <c r="K23" s="64" t="str">
        <f t="shared" si="17"/>
        <v>n/a</v>
      </c>
      <c r="L23" s="60">
        <f t="shared" si="12"/>
        <v>-0.31088539220291211</v>
      </c>
      <c r="M23" s="68">
        <f>F23+'May-22'!M23</f>
        <v>176445</v>
      </c>
      <c r="N23" s="68">
        <f>G23+'May-22'!N23</f>
        <v>31401</v>
      </c>
      <c r="O23" s="68">
        <f>H23+'May-22'!O23</f>
        <v>40221</v>
      </c>
      <c r="P23" s="68">
        <f>I23+'May-22'!P23</f>
        <v>374371</v>
      </c>
      <c r="Q23" s="64">
        <f t="shared" si="18"/>
        <v>4.6190885640584698</v>
      </c>
      <c r="R23" s="64">
        <f t="shared" si="19"/>
        <v>3.3868874468561199</v>
      </c>
      <c r="S23" s="60">
        <f t="shared" si="20"/>
        <v>-0.52868945511270904</v>
      </c>
      <c r="T23" s="68">
        <v>147132</v>
      </c>
      <c r="U23" s="70">
        <v>59180</v>
      </c>
      <c r="V23" s="70">
        <v>902015</v>
      </c>
    </row>
    <row r="24" spans="1:38" ht="14.4">
      <c r="A24" s="9"/>
      <c r="B24" s="12"/>
      <c r="C24" s="31" t="s">
        <v>17</v>
      </c>
      <c r="D24" s="26"/>
      <c r="E24" s="32"/>
      <c r="F24" s="72"/>
      <c r="G24" s="72"/>
      <c r="H24" s="72"/>
      <c r="I24" s="72"/>
      <c r="J24" s="64"/>
      <c r="K24" s="64"/>
      <c r="L24" s="60"/>
      <c r="M24" s="43"/>
      <c r="N24" s="43"/>
      <c r="O24" s="43"/>
      <c r="P24" s="43"/>
      <c r="Q24" s="64"/>
      <c r="R24" s="64"/>
      <c r="S24" s="60"/>
      <c r="T24" s="43"/>
      <c r="U24" s="44"/>
      <c r="V24" s="44"/>
    </row>
    <row r="25" spans="1:38" ht="14.4">
      <c r="B25" s="12"/>
      <c r="C25" s="33"/>
      <c r="D25" s="26" t="s">
        <v>5</v>
      </c>
      <c r="E25" s="32"/>
      <c r="F25" s="74">
        <v>80</v>
      </c>
      <c r="G25" s="74">
        <v>10</v>
      </c>
      <c r="H25" s="71">
        <v>0</v>
      </c>
      <c r="I25" s="74">
        <v>46</v>
      </c>
      <c r="J25" s="64">
        <f t="shared" si="0"/>
        <v>7</v>
      </c>
      <c r="K25" s="64" t="str">
        <f t="shared" ref="K25:K28" si="21">IFERROR(F25/H25-1,"n/a")</f>
        <v>n/a</v>
      </c>
      <c r="L25" s="60">
        <f t="shared" si="12"/>
        <v>0.73913043478260865</v>
      </c>
      <c r="M25" s="68">
        <f>F25+'May-22'!M25</f>
        <v>209</v>
      </c>
      <c r="N25" s="68">
        <f>G25+'May-22'!N25</f>
        <v>24</v>
      </c>
      <c r="O25" s="68">
        <f>H25+'May-22'!O25</f>
        <v>1</v>
      </c>
      <c r="P25" s="68">
        <f>I25+'May-22'!P25</f>
        <v>126</v>
      </c>
      <c r="Q25" s="64">
        <f t="shared" ref="Q25:Q28" si="22">IFERROR(M25/N25-1,"n/a")</f>
        <v>7.7083333333333339</v>
      </c>
      <c r="R25" s="64">
        <f t="shared" ref="R25:R28" si="23">IFERROR(M25/O25-1,"n/a")</f>
        <v>208</v>
      </c>
      <c r="S25" s="60">
        <f t="shared" ref="S25:S28" si="24">IFERROR(M25/P25-1,"n/a")</f>
        <v>0.65873015873015883</v>
      </c>
      <c r="T25" s="68">
        <v>127</v>
      </c>
      <c r="U25" s="70">
        <v>37</v>
      </c>
      <c r="V25" s="70">
        <f>282+81</f>
        <v>363</v>
      </c>
    </row>
    <row r="26" spans="1:38" ht="14.4">
      <c r="A26" s="9"/>
      <c r="B26" s="12"/>
      <c r="C26" s="33"/>
      <c r="D26" s="26" t="s">
        <v>11</v>
      </c>
      <c r="E26" s="32"/>
      <c r="F26" s="74">
        <f>77597+19398</f>
        <v>96995</v>
      </c>
      <c r="G26" s="74">
        <v>17608</v>
      </c>
      <c r="H26" s="71">
        <v>2213</v>
      </c>
      <c r="I26" s="74">
        <f>96544+20022</f>
        <v>116566</v>
      </c>
      <c r="J26" s="64">
        <f t="shared" si="0"/>
        <v>4.508575647432985</v>
      </c>
      <c r="K26" s="64">
        <f t="shared" si="21"/>
        <v>42.829643018526887</v>
      </c>
      <c r="L26" s="60">
        <f t="shared" si="12"/>
        <v>-0.1678962990923597</v>
      </c>
      <c r="M26" s="68">
        <f>F26+'May-22'!M26</f>
        <v>220174</v>
      </c>
      <c r="N26" s="68">
        <f>G26+'May-22'!N26</f>
        <v>32652</v>
      </c>
      <c r="O26" s="68">
        <f>H26+'May-22'!O26</f>
        <v>3105</v>
      </c>
      <c r="P26" s="68">
        <f>I26+'May-22'!P26</f>
        <v>311181</v>
      </c>
      <c r="Q26" s="64">
        <f t="shared" si="22"/>
        <v>5.7430478990567195</v>
      </c>
      <c r="R26" s="64">
        <f t="shared" si="23"/>
        <v>69.909500805152973</v>
      </c>
      <c r="S26" s="60">
        <f t="shared" si="24"/>
        <v>-0.29245680166848231</v>
      </c>
      <c r="T26" s="68">
        <v>165083</v>
      </c>
      <c r="U26" s="70">
        <f>20768+8294</f>
        <v>29062</v>
      </c>
      <c r="V26" s="70">
        <f>659951+168729+38484</f>
        <v>867164</v>
      </c>
    </row>
    <row r="27" spans="1:38" ht="15" thickBot="1">
      <c r="A27" s="9"/>
      <c r="B27" s="12"/>
      <c r="C27" s="35" t="s">
        <v>12</v>
      </c>
      <c r="D27" s="36"/>
      <c r="E27" s="37"/>
      <c r="F27" s="75">
        <f t="shared" ref="F27:I28" si="25">F10+F13+F16+F19+F22+F25</f>
        <v>328</v>
      </c>
      <c r="G27" s="75">
        <f t="shared" si="25"/>
        <v>26</v>
      </c>
      <c r="H27" s="75">
        <f t="shared" si="25"/>
        <v>0</v>
      </c>
      <c r="I27" s="75">
        <f t="shared" si="25"/>
        <v>280</v>
      </c>
      <c r="J27" s="66">
        <f t="shared" si="0"/>
        <v>11.615384615384615</v>
      </c>
      <c r="K27" s="66" t="str">
        <f t="shared" si="21"/>
        <v>n/a</v>
      </c>
      <c r="L27" s="62">
        <f t="shared" si="12"/>
        <v>0.17142857142857149</v>
      </c>
      <c r="M27" s="46">
        <f t="shared" ref="M27:P28" si="26">M10+M13+M16+M19+M22+M25</f>
        <v>1645</v>
      </c>
      <c r="N27" s="46">
        <f t="shared" si="26"/>
        <v>63</v>
      </c>
      <c r="O27" s="46">
        <f t="shared" si="26"/>
        <v>607</v>
      </c>
      <c r="P27" s="46">
        <f t="shared" si="26"/>
        <v>1522</v>
      </c>
      <c r="Q27" s="66">
        <f t="shared" si="22"/>
        <v>25.111111111111111</v>
      </c>
      <c r="R27" s="66">
        <f t="shared" si="23"/>
        <v>1.7100494233937398</v>
      </c>
      <c r="S27" s="62">
        <f t="shared" si="24"/>
        <v>8.0814717477003972E-2</v>
      </c>
      <c r="T27" s="46">
        <f t="shared" ref="T27:V28" si="27">T10+T13+T16+T19+T22+T25</f>
        <v>1062</v>
      </c>
      <c r="U27" s="46">
        <f t="shared" si="27"/>
        <v>667</v>
      </c>
      <c r="V27" s="46">
        <f t="shared" si="27"/>
        <v>3344</v>
      </c>
    </row>
    <row r="28" spans="1:38" s="22" customFormat="1" ht="15.6" thickTop="1" thickBot="1">
      <c r="A28" s="9"/>
      <c r="B28" s="12"/>
      <c r="C28" s="38" t="s">
        <v>13</v>
      </c>
      <c r="D28" s="39"/>
      <c r="E28" s="40"/>
      <c r="F28" s="76">
        <f t="shared" si="25"/>
        <v>677738</v>
      </c>
      <c r="G28" s="76">
        <f t="shared" si="25"/>
        <v>33501</v>
      </c>
      <c r="H28" s="76">
        <f t="shared" si="25"/>
        <v>2213</v>
      </c>
      <c r="I28" s="76">
        <f t="shared" si="25"/>
        <v>852389</v>
      </c>
      <c r="J28" s="67">
        <f t="shared" si="0"/>
        <v>19.230381182651264</v>
      </c>
      <c r="K28" s="67">
        <f t="shared" si="21"/>
        <v>305.25305015815633</v>
      </c>
      <c r="L28" s="63">
        <f t="shared" si="12"/>
        <v>-0.20489588673715875</v>
      </c>
      <c r="M28" s="47">
        <f t="shared" si="26"/>
        <v>2632808</v>
      </c>
      <c r="N28" s="47">
        <f t="shared" si="26"/>
        <v>74087</v>
      </c>
      <c r="O28" s="47">
        <f t="shared" si="26"/>
        <v>1278404</v>
      </c>
      <c r="P28" s="47">
        <f t="shared" si="26"/>
        <v>4275202</v>
      </c>
      <c r="Q28" s="67">
        <f t="shared" si="22"/>
        <v>34.536706844655605</v>
      </c>
      <c r="R28" s="67">
        <f t="shared" si="23"/>
        <v>1.0594491256285181</v>
      </c>
      <c r="S28" s="63">
        <f t="shared" si="24"/>
        <v>-0.38416757851441874</v>
      </c>
      <c r="T28" s="47">
        <f t="shared" si="27"/>
        <v>1554247</v>
      </c>
      <c r="U28" s="47">
        <f t="shared" si="27"/>
        <v>1323431</v>
      </c>
      <c r="V28" s="47">
        <f t="shared" si="27"/>
        <v>9169021</v>
      </c>
      <c r="W28" s="9"/>
      <c r="X28" s="21"/>
      <c r="Y28" s="21"/>
      <c r="Z28" s="21"/>
      <c r="AA28" s="21"/>
      <c r="AB28" s="21"/>
      <c r="AC28" s="21"/>
      <c r="AD28" s="21"/>
      <c r="AE28" s="21"/>
      <c r="AF28" s="21"/>
      <c r="AG28" s="21"/>
      <c r="AH28" s="21"/>
      <c r="AI28" s="21"/>
      <c r="AJ28" s="21"/>
      <c r="AK28" s="21"/>
      <c r="AL28" s="21"/>
    </row>
    <row r="29" spans="1:38" ht="15" thickTop="1">
      <c r="A29" s="9"/>
      <c r="B29" s="9"/>
      <c r="C29" s="9"/>
      <c r="D29" s="9"/>
      <c r="E29" s="9"/>
      <c r="F29" s="9"/>
      <c r="G29" s="41"/>
      <c r="H29" s="41"/>
      <c r="I29" s="41"/>
      <c r="J29" s="41"/>
      <c r="K29" s="9"/>
      <c r="L29" s="9"/>
      <c r="M29" s="9"/>
      <c r="N29" s="9"/>
      <c r="O29" s="9"/>
      <c r="P29" s="9"/>
      <c r="Q29" s="9"/>
      <c r="R29" s="9"/>
      <c r="S29" s="9"/>
      <c r="T29" s="9"/>
      <c r="U29" s="9"/>
      <c r="V29" s="9"/>
    </row>
    <row r="30" spans="1:38" ht="14.4" hidden="1">
      <c r="A30" s="9"/>
      <c r="B30" s="9"/>
      <c r="C30" s="9"/>
      <c r="D30" s="9"/>
      <c r="E30" s="9"/>
      <c r="F30" s="9"/>
      <c r="G30" s="41"/>
      <c r="H30" s="41"/>
      <c r="I30" s="41"/>
      <c r="J30" s="41"/>
      <c r="K30" s="9"/>
      <c r="L30" s="9"/>
      <c r="M30" s="9"/>
      <c r="N30" s="9"/>
      <c r="O30" s="9"/>
      <c r="P30" s="9"/>
      <c r="Q30" s="9"/>
      <c r="R30" s="9"/>
      <c r="S30" s="9"/>
      <c r="T30" s="9"/>
      <c r="U30" s="9"/>
      <c r="V30" s="9"/>
    </row>
    <row r="31" spans="1:38" ht="14.4" hidden="1">
      <c r="A31" s="9"/>
      <c r="B31" s="9"/>
      <c r="C31" s="9"/>
      <c r="D31" s="9"/>
      <c r="E31" s="9"/>
      <c r="F31" s="9"/>
      <c r="G31" s="41"/>
      <c r="H31" s="41"/>
      <c r="I31" s="41"/>
      <c r="J31" s="41"/>
      <c r="K31" s="9"/>
      <c r="L31" s="9"/>
      <c r="M31" s="9"/>
      <c r="N31" s="9"/>
      <c r="O31" s="9"/>
      <c r="P31" s="9"/>
      <c r="Q31" s="9"/>
      <c r="R31" s="9"/>
      <c r="S31" s="9"/>
      <c r="T31" s="9"/>
      <c r="U31" s="9"/>
      <c r="V31" s="9"/>
    </row>
    <row r="32" spans="1:38" ht="14.4" hidden="1">
      <c r="A32" s="9"/>
      <c r="B32" s="9"/>
      <c r="C32" s="9"/>
      <c r="D32" s="9"/>
      <c r="E32" s="9"/>
      <c r="F32" s="9"/>
      <c r="G32" s="41"/>
      <c r="H32" s="41"/>
      <c r="I32" s="41"/>
      <c r="J32" s="41"/>
      <c r="K32" s="9"/>
      <c r="L32" s="9"/>
      <c r="M32" s="9"/>
      <c r="N32" s="9"/>
      <c r="O32" s="9"/>
      <c r="P32" s="9"/>
      <c r="Q32" s="9"/>
      <c r="R32" s="9"/>
      <c r="S32" s="9"/>
      <c r="T32" s="9"/>
      <c r="U32" s="9"/>
      <c r="V32" s="9"/>
    </row>
    <row r="33" spans="7:10" s="9" customFormat="1" ht="14.4" hidden="1">
      <c r="G33" s="41"/>
      <c r="H33" s="41"/>
      <c r="I33" s="41"/>
      <c r="J33" s="41"/>
    </row>
    <row r="34" spans="7:10" s="9" customFormat="1" ht="14.4" hidden="1">
      <c r="G34" s="41"/>
      <c r="H34" s="41"/>
      <c r="I34" s="41"/>
      <c r="J34" s="41"/>
    </row>
    <row r="35" spans="7:10" s="9" customFormat="1" ht="14.4" hidden="1">
      <c r="G35" s="41"/>
      <c r="H35" s="41"/>
      <c r="I35" s="41"/>
      <c r="J35" s="41"/>
    </row>
    <row r="36" spans="7:10" s="9" customFormat="1" ht="14.4" hidden="1">
      <c r="G36" s="41"/>
      <c r="H36" s="41"/>
      <c r="I36" s="41"/>
      <c r="J36" s="41"/>
    </row>
    <row r="37" spans="7:10" s="9" customFormat="1" ht="14.4" hidden="1">
      <c r="G37" s="41"/>
      <c r="H37" s="41"/>
      <c r="I37" s="41"/>
      <c r="J37" s="41"/>
    </row>
    <row r="38" spans="7:10" s="9" customFormat="1" ht="14.4" hidden="1">
      <c r="G38" s="41"/>
      <c r="H38" s="41"/>
      <c r="I38" s="41"/>
      <c r="J38" s="41"/>
    </row>
    <row r="39" spans="7:10" s="9" customFormat="1" ht="14.4" hidden="1">
      <c r="G39" s="41"/>
      <c r="H39" s="41"/>
      <c r="I39" s="41"/>
      <c r="J39" s="41"/>
    </row>
    <row r="40" spans="7:10" s="9" customFormat="1" ht="14.4" hidden="1">
      <c r="G40" s="41"/>
      <c r="H40" s="41"/>
      <c r="I40" s="41"/>
      <c r="J40" s="41"/>
    </row>
    <row r="41" spans="7:10" s="9" customFormat="1" ht="14.4" hidden="1">
      <c r="G41" s="41"/>
      <c r="H41" s="41"/>
      <c r="I41" s="41"/>
      <c r="J41" s="41"/>
    </row>
    <row r="42" spans="7:10" s="9" customFormat="1" ht="14.4" hidden="1">
      <c r="G42" s="41"/>
      <c r="H42" s="41"/>
      <c r="I42" s="41"/>
      <c r="J42" s="41"/>
    </row>
    <row r="43" spans="7:10" s="9" customFormat="1" ht="14.4" hidden="1">
      <c r="G43" s="41"/>
      <c r="H43" s="41"/>
      <c r="I43" s="41"/>
      <c r="J43" s="41"/>
    </row>
    <row r="44" spans="7:10" s="9" customFormat="1" ht="14.4" hidden="1">
      <c r="G44" s="41"/>
      <c r="H44" s="41"/>
      <c r="I44" s="41"/>
      <c r="J44" s="41"/>
    </row>
    <row r="45" spans="7:10" s="9" customFormat="1" ht="14.4" hidden="1">
      <c r="G45" s="41"/>
      <c r="H45" s="41"/>
      <c r="I45" s="41"/>
      <c r="J45" s="41"/>
    </row>
    <row r="46" spans="7:10" s="9" customFormat="1" ht="14.4" hidden="1">
      <c r="G46" s="41"/>
      <c r="H46" s="41"/>
      <c r="I46" s="41"/>
      <c r="J46" s="41"/>
    </row>
    <row r="47" spans="7:10" s="9" customFormat="1" ht="14.4" hidden="1">
      <c r="G47" s="41"/>
      <c r="H47" s="41"/>
      <c r="I47" s="41"/>
      <c r="J47" s="41"/>
    </row>
    <row r="48" spans="7:10" s="9" customFormat="1" ht="14.4" hidden="1"/>
  </sheetData>
  <customSheetViews>
    <customSheetView guid="{5F6D01E3-9E6F-4D7F-980F-63899AF95899}" scale="85" showGridLines="0" fitToPage="1" hiddenRows="1" hiddenColumns="1" topLeftCell="A4">
      <selection activeCell="F16" sqref="F16"/>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AL48"/>
  <sheetViews>
    <sheetView showGridLines="0" zoomScale="79" zoomScaleNormal="79" workbookViewId="0"/>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2.1093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9" customWidth="1"/>
    <col min="24" max="38" width="0" style="9" hidden="1" customWidth="1"/>
    <col min="39"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48</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s="20" customFormat="1" ht="14.4">
      <c r="A6" s="9"/>
      <c r="B6"/>
      <c r="C6" s="27" t="s">
        <v>7</v>
      </c>
      <c r="D6" s="28"/>
      <c r="E6" s="28"/>
      <c r="F6" s="128" t="s">
        <v>47</v>
      </c>
      <c r="G6" s="128"/>
      <c r="H6" s="128"/>
      <c r="I6" s="128"/>
      <c r="J6" s="128"/>
      <c r="K6" s="128"/>
      <c r="L6" s="129"/>
      <c r="M6" s="130" t="s">
        <v>49</v>
      </c>
      <c r="N6" s="128"/>
      <c r="O6" s="128"/>
      <c r="P6" s="128"/>
      <c r="Q6" s="128"/>
      <c r="R6" s="128"/>
      <c r="S6" s="129"/>
      <c r="T6" s="130" t="s">
        <v>9</v>
      </c>
      <c r="U6" s="128"/>
      <c r="V6" s="128"/>
      <c r="W6" s="9"/>
      <c r="X6" s="19"/>
      <c r="Y6" s="19"/>
      <c r="Z6" s="19"/>
      <c r="AA6" s="19"/>
      <c r="AB6" s="19"/>
      <c r="AC6" s="19"/>
      <c r="AD6" s="19"/>
      <c r="AE6" s="19"/>
      <c r="AF6" s="19"/>
      <c r="AG6" s="19"/>
      <c r="AH6" s="19"/>
      <c r="AI6" s="19"/>
      <c r="AJ6" s="19"/>
      <c r="AK6" s="19"/>
      <c r="AL6" s="19"/>
    </row>
    <row r="7" spans="1:38" ht="14.4">
      <c r="A7" s="9"/>
      <c r="B7" s="18"/>
      <c r="C7" s="29"/>
      <c r="D7" s="30"/>
      <c r="E7" s="30"/>
      <c r="F7" s="29"/>
      <c r="G7" s="30"/>
      <c r="H7" s="30"/>
      <c r="I7" s="30"/>
      <c r="J7" s="30"/>
      <c r="K7" s="30"/>
      <c r="L7" s="56"/>
      <c r="M7" s="30"/>
      <c r="N7" s="30"/>
      <c r="O7" s="30"/>
      <c r="P7" s="30"/>
      <c r="Q7" s="30"/>
      <c r="R7" s="30"/>
      <c r="S7" s="56"/>
      <c r="T7" s="30"/>
      <c r="U7" s="30"/>
      <c r="V7" s="30"/>
    </row>
    <row r="8" spans="1:38" s="54" customFormat="1" ht="20.399999999999999">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ht="14.4">
      <c r="A9" s="9"/>
      <c r="B9" s="12"/>
      <c r="C9" s="31" t="s">
        <v>14</v>
      </c>
      <c r="D9" s="26"/>
      <c r="E9" s="32"/>
      <c r="F9" s="26"/>
      <c r="G9" s="26"/>
      <c r="H9" s="26"/>
      <c r="I9" s="26"/>
      <c r="J9" s="26"/>
      <c r="K9" s="26"/>
      <c r="L9" s="32"/>
      <c r="M9" s="26"/>
      <c r="N9" s="26"/>
      <c r="O9" s="26"/>
      <c r="P9" s="26"/>
      <c r="Q9" s="26"/>
      <c r="R9" s="26"/>
      <c r="S9" s="32"/>
      <c r="T9" s="26"/>
      <c r="U9" s="26"/>
      <c r="V9" s="26"/>
    </row>
    <row r="10" spans="1:38" ht="14.4">
      <c r="A10" s="9"/>
      <c r="B10" s="12"/>
      <c r="C10" s="33"/>
      <c r="D10" s="26" t="s">
        <v>5</v>
      </c>
      <c r="E10" s="32"/>
      <c r="F10" s="68">
        <v>3</v>
      </c>
      <c r="G10" s="68">
        <v>0</v>
      </c>
      <c r="H10" s="68">
        <v>0</v>
      </c>
      <c r="I10" s="68">
        <v>8</v>
      </c>
      <c r="J10" s="64" t="str">
        <f t="shared" ref="J10:J28" si="0">IFERROR(F10/G10-1,"n/a")</f>
        <v>n/a</v>
      </c>
      <c r="K10" s="64" t="str">
        <f>IFERROR(F10/H10-1,"n/a")</f>
        <v>n/a</v>
      </c>
      <c r="L10" s="60">
        <f t="shared" ref="L10:L11" si="1">IFERROR(F10/I10-1,"n/a")</f>
        <v>-0.625</v>
      </c>
      <c r="M10" s="68">
        <f>F10+'Apr-22'!M10</f>
        <v>225</v>
      </c>
      <c r="N10" s="68">
        <f>G10+'Apr-22'!N10</f>
        <v>0</v>
      </c>
      <c r="O10" s="68">
        <f>H10+'Apr-22'!O10</f>
        <v>145</v>
      </c>
      <c r="P10" s="68">
        <f>I10+'Apr-22'!P10</f>
        <v>235</v>
      </c>
      <c r="Q10" s="64" t="str">
        <f>IFERROR(M10/N10-1,"n/a")</f>
        <v>n/a</v>
      </c>
      <c r="R10" s="64">
        <f>IFERROR(M10/O10-1,"n/a")</f>
        <v>0.55172413793103448</v>
      </c>
      <c r="S10" s="60">
        <f>IFERROR(M10/P10-1,"n/a")</f>
        <v>-4.2553191489361653E-2</v>
      </c>
      <c r="T10" s="68">
        <v>111</v>
      </c>
      <c r="U10" s="70">
        <v>145</v>
      </c>
      <c r="V10" s="70">
        <v>386</v>
      </c>
    </row>
    <row r="11" spans="1:38" ht="14.4">
      <c r="A11" s="9"/>
      <c r="B11" s="12"/>
      <c r="C11" s="33"/>
      <c r="D11" s="26" t="s">
        <v>11</v>
      </c>
      <c r="E11" s="32"/>
      <c r="F11" s="68">
        <v>3881</v>
      </c>
      <c r="G11" s="68">
        <v>0</v>
      </c>
      <c r="H11" s="68">
        <v>0</v>
      </c>
      <c r="I11" s="68">
        <v>15340</v>
      </c>
      <c r="J11" s="64" t="str">
        <f t="shared" si="0"/>
        <v>n/a</v>
      </c>
      <c r="K11" s="64" t="str">
        <f t="shared" ref="K11" si="2">IFERROR(F11/H11-1,"n/a")</f>
        <v>n/a</v>
      </c>
      <c r="L11" s="60">
        <f t="shared" si="1"/>
        <v>-0.74700130378096485</v>
      </c>
      <c r="M11" s="68">
        <f>F11+'Apr-22'!M11</f>
        <v>191024</v>
      </c>
      <c r="N11" s="68">
        <f>G11+'Apr-22'!N11</f>
        <v>0</v>
      </c>
      <c r="O11" s="68">
        <f>H11+'Apr-22'!O11</f>
        <v>258885</v>
      </c>
      <c r="P11" s="68">
        <f>I11+'Apr-22'!P11</f>
        <v>447395</v>
      </c>
      <c r="Q11" s="64" t="str">
        <f>IFERROR(M11/N11-1,"n/a")</f>
        <v>n/a</v>
      </c>
      <c r="R11" s="64">
        <f>IFERROR(M11/O11-1,"n/a")</f>
        <v>-0.26212797187940595</v>
      </c>
      <c r="S11" s="60">
        <f>IFERROR(M11/P11-1,"n/a")</f>
        <v>-0.57303054347947557</v>
      </c>
      <c r="T11" s="68">
        <v>80863</v>
      </c>
      <c r="U11" s="70">
        <v>258885</v>
      </c>
      <c r="V11" s="70">
        <v>733296</v>
      </c>
    </row>
    <row r="12" spans="1:38" ht="14.4">
      <c r="A12" s="9"/>
      <c r="B12" s="12"/>
      <c r="C12" s="31" t="s">
        <v>74</v>
      </c>
      <c r="D12" s="26"/>
      <c r="E12" s="32"/>
      <c r="F12" s="45"/>
      <c r="G12" s="45"/>
      <c r="H12" s="45"/>
      <c r="I12" s="45"/>
      <c r="J12" s="64"/>
      <c r="K12" s="64"/>
      <c r="L12" s="61"/>
      <c r="M12" s="43"/>
      <c r="N12" s="43"/>
      <c r="O12" s="43"/>
      <c r="P12" s="43"/>
      <c r="Q12" s="64"/>
      <c r="R12" s="65"/>
      <c r="S12" s="61"/>
      <c r="T12" s="43"/>
      <c r="U12" s="44"/>
      <c r="V12" s="44"/>
    </row>
    <row r="13" spans="1:38" ht="14.4">
      <c r="A13" s="9"/>
      <c r="B13" s="12"/>
      <c r="C13" s="33"/>
      <c r="D13" s="26" t="s">
        <v>5</v>
      </c>
      <c r="E13" s="32"/>
      <c r="F13" s="68">
        <v>103</v>
      </c>
      <c r="G13" s="68">
        <v>0</v>
      </c>
      <c r="H13" s="68">
        <v>0</v>
      </c>
      <c r="I13" s="68">
        <v>113</v>
      </c>
      <c r="J13" s="64" t="str">
        <f t="shared" si="0"/>
        <v>n/a</v>
      </c>
      <c r="K13" s="64" t="str">
        <f t="shared" ref="K13:K14" si="3">IFERROR(F13/H13-1,"n/a")</f>
        <v>n/a</v>
      </c>
      <c r="L13" s="60">
        <f t="shared" ref="L13:L14" si="4">IFERROR(F13/I13-1,"n/a")</f>
        <v>-8.8495575221238965E-2</v>
      </c>
      <c r="M13" s="68">
        <f>F13+'Apr-22'!M13</f>
        <v>252</v>
      </c>
      <c r="N13" s="68">
        <f>G13+'Apr-22'!N13</f>
        <v>0</v>
      </c>
      <c r="O13" s="68">
        <f>H13+'Apr-22'!O13</f>
        <v>43</v>
      </c>
      <c r="P13" s="68">
        <f>I13+'Apr-22'!P13</f>
        <v>292</v>
      </c>
      <c r="Q13" s="64" t="str">
        <f t="shared" ref="Q13:Q14" si="5">IFERROR(M13/N13-1,"n/a")</f>
        <v>n/a</v>
      </c>
      <c r="R13" s="64">
        <f t="shared" ref="R13:R14" si="6">IFERROR(M13/O13-1,"n/a")</f>
        <v>4.8604651162790695</v>
      </c>
      <c r="S13" s="60">
        <f t="shared" ref="S13:S14" si="7">IFERROR(M13/P13-1,"n/a")</f>
        <v>-0.13698630136986301</v>
      </c>
      <c r="T13" s="68">
        <v>283</v>
      </c>
      <c r="U13" s="70">
        <v>43</v>
      </c>
      <c r="V13" s="70">
        <v>827</v>
      </c>
    </row>
    <row r="14" spans="1:38" ht="14.4">
      <c r="A14" s="9"/>
      <c r="B14" s="12"/>
      <c r="C14" s="33"/>
      <c r="D14" s="26" t="s">
        <v>11</v>
      </c>
      <c r="E14" s="32"/>
      <c r="F14" s="68">
        <v>168018</v>
      </c>
      <c r="G14" s="68">
        <v>0</v>
      </c>
      <c r="H14" s="68">
        <v>0</v>
      </c>
      <c r="I14" s="68">
        <v>300445</v>
      </c>
      <c r="J14" s="64" t="str">
        <f t="shared" si="0"/>
        <v>n/a</v>
      </c>
      <c r="K14" s="64" t="str">
        <f t="shared" si="3"/>
        <v>n/a</v>
      </c>
      <c r="L14" s="60">
        <f t="shared" si="4"/>
        <v>-0.44076952520428037</v>
      </c>
      <c r="M14" s="68">
        <f>F14+'Apr-22'!M14</f>
        <v>351364</v>
      </c>
      <c r="N14" s="68">
        <f>G14+'Apr-22'!N14</f>
        <v>0</v>
      </c>
      <c r="O14" s="68">
        <f>H14+'Apr-22'!O14</f>
        <v>140552</v>
      </c>
      <c r="P14" s="68">
        <f>I14+'Apr-22'!P14</f>
        <v>765085</v>
      </c>
      <c r="Q14" s="64" t="str">
        <f t="shared" si="5"/>
        <v>n/a</v>
      </c>
      <c r="R14" s="64">
        <f t="shared" si="6"/>
        <v>1.4998861631282372</v>
      </c>
      <c r="S14" s="60">
        <f t="shared" si="7"/>
        <v>-0.54075168118575068</v>
      </c>
      <c r="T14" s="68">
        <v>465109</v>
      </c>
      <c r="U14" s="70">
        <v>140552</v>
      </c>
      <c r="V14" s="70">
        <v>2552942</v>
      </c>
    </row>
    <row r="15" spans="1:38" ht="14.4">
      <c r="A15" s="9"/>
      <c r="B15" s="12"/>
      <c r="C15" s="31" t="s">
        <v>15</v>
      </c>
      <c r="D15" s="26"/>
      <c r="E15" s="32"/>
      <c r="F15" s="43"/>
      <c r="G15" s="43"/>
      <c r="H15" s="43"/>
      <c r="I15" s="43"/>
      <c r="J15" s="64"/>
      <c r="K15" s="64"/>
      <c r="L15" s="60"/>
      <c r="M15" s="43"/>
      <c r="N15" s="43"/>
      <c r="O15" s="43"/>
      <c r="P15" s="43"/>
      <c r="Q15" s="64"/>
      <c r="R15" s="64"/>
      <c r="S15" s="60"/>
      <c r="T15" s="43"/>
      <c r="U15" s="44"/>
      <c r="V15" s="44"/>
    </row>
    <row r="16" spans="1:38" ht="14.4">
      <c r="A16" s="9"/>
      <c r="B16" s="12"/>
      <c r="C16" s="33"/>
      <c r="D16" s="26" t="s">
        <v>5</v>
      </c>
      <c r="E16" s="32"/>
      <c r="F16" s="68">
        <v>68</v>
      </c>
      <c r="G16" s="68">
        <v>0</v>
      </c>
      <c r="H16" s="68">
        <v>0</v>
      </c>
      <c r="I16" s="68">
        <v>23</v>
      </c>
      <c r="J16" s="64" t="str">
        <f t="shared" si="0"/>
        <v>n/a</v>
      </c>
      <c r="K16" s="64" t="str">
        <f t="shared" ref="K16:K17" si="8">IFERROR(F16/H16-1,"n/a")</f>
        <v>n/a</v>
      </c>
      <c r="L16" s="60">
        <f>IFERROR(F16/I16-1,"n/a")</f>
        <v>1.9565217391304346</v>
      </c>
      <c r="M16" s="68">
        <f>F16+'Apr-22'!M16</f>
        <v>104</v>
      </c>
      <c r="N16" s="68">
        <f>G16+'Apr-22'!N16</f>
        <v>0</v>
      </c>
      <c r="O16" s="68">
        <f>H16+'Apr-22'!O16</f>
        <v>3</v>
      </c>
      <c r="P16" s="68">
        <f>I16+'Apr-22'!P16</f>
        <v>42</v>
      </c>
      <c r="Q16" s="64" t="str">
        <f t="shared" ref="Q16:Q17" si="9">IFERROR(M16/N16-1,"n/a")</f>
        <v>n/a</v>
      </c>
      <c r="R16" s="64">
        <f t="shared" ref="R16:R17" si="10">IFERROR(M16/O16-1,"n/a")</f>
        <v>33.666666666666664</v>
      </c>
      <c r="S16" s="60">
        <f t="shared" ref="S16:S17" si="11">IFERROR(M16/P16-1,"n/a")</f>
        <v>1.4761904761904763</v>
      </c>
      <c r="T16" s="68">
        <v>23</v>
      </c>
      <c r="U16" s="70">
        <v>4</v>
      </c>
      <c r="V16" s="70">
        <v>191</v>
      </c>
    </row>
    <row r="17" spans="1:38" ht="14.4">
      <c r="A17" s="9"/>
      <c r="B17" s="12"/>
      <c r="C17" s="33"/>
      <c r="D17" s="26" t="s">
        <v>11</v>
      </c>
      <c r="E17" s="32"/>
      <c r="F17" s="68">
        <v>59794</v>
      </c>
      <c r="G17" s="68">
        <v>0</v>
      </c>
      <c r="H17" s="68">
        <v>0</v>
      </c>
      <c r="I17" s="68">
        <v>23341</v>
      </c>
      <c r="J17" s="64" t="str">
        <f t="shared" si="0"/>
        <v>n/a</v>
      </c>
      <c r="K17" s="64" t="str">
        <f t="shared" si="8"/>
        <v>n/a</v>
      </c>
      <c r="L17" s="60">
        <f t="shared" ref="L17:L28" si="12">IFERROR(F17/I17-1,"n/a")</f>
        <v>1.5617582794224756</v>
      </c>
      <c r="M17" s="68">
        <f>F17+'Apr-22'!M17</f>
        <v>82090</v>
      </c>
      <c r="N17" s="68">
        <f>G17+'Apr-22'!N17</f>
        <v>0</v>
      </c>
      <c r="O17" s="68">
        <f>H17+'Apr-22'!O17</f>
        <v>1642</v>
      </c>
      <c r="P17" s="68">
        <f>I17+'Apr-22'!P17</f>
        <v>42732</v>
      </c>
      <c r="Q17" s="64" t="str">
        <f t="shared" si="9"/>
        <v>n/a</v>
      </c>
      <c r="R17" s="64">
        <f t="shared" si="10"/>
        <v>48.993909866017056</v>
      </c>
      <c r="S17" s="60">
        <f t="shared" si="11"/>
        <v>0.92104277824581104</v>
      </c>
      <c r="T17" s="68">
        <v>8611</v>
      </c>
      <c r="U17" s="70">
        <v>1753</v>
      </c>
      <c r="V17" s="70">
        <v>254421</v>
      </c>
    </row>
    <row r="18" spans="1:38" ht="14.4">
      <c r="A18" s="9"/>
      <c r="B18" s="12"/>
      <c r="C18" s="31" t="s">
        <v>10</v>
      </c>
      <c r="D18" s="26"/>
      <c r="E18" s="34"/>
      <c r="F18" s="43"/>
      <c r="G18" s="43"/>
      <c r="H18" s="43"/>
      <c r="I18" s="43"/>
      <c r="J18" s="64"/>
      <c r="K18" s="64"/>
      <c r="L18" s="60"/>
      <c r="M18" s="43"/>
      <c r="N18" s="43"/>
      <c r="O18" s="43"/>
      <c r="P18" s="43"/>
      <c r="Q18" s="64"/>
      <c r="R18" s="64"/>
      <c r="S18" s="60"/>
      <c r="T18" s="43"/>
      <c r="U18" s="44"/>
      <c r="V18" s="44"/>
    </row>
    <row r="19" spans="1:38" ht="14.4">
      <c r="A19" s="9"/>
      <c r="B19" s="12"/>
      <c r="C19" s="33"/>
      <c r="D19" s="26" t="s">
        <v>5</v>
      </c>
      <c r="E19" s="34"/>
      <c r="F19" s="68">
        <v>80</v>
      </c>
      <c r="G19" s="68">
        <v>0</v>
      </c>
      <c r="H19" s="68">
        <v>0</v>
      </c>
      <c r="I19" s="68">
        <v>82</v>
      </c>
      <c r="J19" s="64" t="str">
        <f t="shared" si="0"/>
        <v>n/a</v>
      </c>
      <c r="K19" s="64" t="str">
        <f t="shared" ref="K19:K20" si="13">IFERROR(F19/H19-1,"n/a")</f>
        <v>n/a</v>
      </c>
      <c r="L19" s="60">
        <f t="shared" si="12"/>
        <v>-2.4390243902439046E-2</v>
      </c>
      <c r="M19" s="68">
        <f>F19+'Apr-22'!M19</f>
        <v>524</v>
      </c>
      <c r="N19" s="68">
        <f>G19+'Apr-22'!N19</f>
        <v>0</v>
      </c>
      <c r="O19" s="68">
        <f>H19+'Apr-22'!O19</f>
        <v>406</v>
      </c>
      <c r="P19" s="68">
        <f>I19+'Apr-22'!P19</f>
        <v>500</v>
      </c>
      <c r="Q19" s="64" t="str">
        <f t="shared" ref="Q19:Q20" si="14">IFERROR(M19/N19-1,"n/a")</f>
        <v>n/a</v>
      </c>
      <c r="R19" s="64">
        <f t="shared" ref="R19:R20" si="15">IFERROR(M19/O19-1,"n/a")</f>
        <v>0.29064039408866993</v>
      </c>
      <c r="S19" s="60">
        <f t="shared" ref="S19:S20" si="16">IFERROR(M19/P19-1,"n/a")</f>
        <v>4.8000000000000043E-2</v>
      </c>
      <c r="T19" s="68">
        <v>411</v>
      </c>
      <c r="U19" s="70">
        <v>406</v>
      </c>
      <c r="V19" s="70">
        <v>1205</v>
      </c>
    </row>
    <row r="20" spans="1:38" ht="14.4">
      <c r="A20" s="9"/>
      <c r="B20" s="12"/>
      <c r="C20" s="33"/>
      <c r="D20" s="26" t="s">
        <v>11</v>
      </c>
      <c r="E20" s="32"/>
      <c r="F20" s="68">
        <v>231087</v>
      </c>
      <c r="G20" s="68">
        <v>0</v>
      </c>
      <c r="H20" s="68">
        <v>0</v>
      </c>
      <c r="I20" s="68">
        <v>287713</v>
      </c>
      <c r="J20" s="64" t="str">
        <f t="shared" si="0"/>
        <v>n/a</v>
      </c>
      <c r="K20" s="64" t="str">
        <f t="shared" si="13"/>
        <v>n/a</v>
      </c>
      <c r="L20" s="60">
        <f t="shared" si="12"/>
        <v>-0.19681418635932335</v>
      </c>
      <c r="M20" s="68">
        <f>F20+'Apr-22'!M20</f>
        <v>1101390</v>
      </c>
      <c r="N20" s="68">
        <f>G20+'Apr-22'!N20</f>
        <v>0</v>
      </c>
      <c r="O20" s="68">
        <f>H20+'Apr-22'!O20</f>
        <v>833999</v>
      </c>
      <c r="P20" s="68">
        <f>I20+'Apr-22'!P20</f>
        <v>1700807</v>
      </c>
      <c r="Q20" s="64" t="str">
        <f t="shared" si="14"/>
        <v>n/a</v>
      </c>
      <c r="R20" s="64">
        <f t="shared" si="15"/>
        <v>0.32061309426030493</v>
      </c>
      <c r="S20" s="60">
        <f t="shared" si="16"/>
        <v>-0.35243093425650296</v>
      </c>
      <c r="T20" s="68">
        <v>687449</v>
      </c>
      <c r="U20" s="70">
        <v>833999</v>
      </c>
      <c r="V20" s="70">
        <v>3859183</v>
      </c>
    </row>
    <row r="21" spans="1:38" ht="14.4">
      <c r="A21" s="9"/>
      <c r="B21" s="12"/>
      <c r="C21" s="31" t="s">
        <v>16</v>
      </c>
      <c r="D21" s="26"/>
      <c r="E21" s="32"/>
      <c r="F21" s="43"/>
      <c r="G21" s="43"/>
      <c r="H21" s="43"/>
      <c r="I21" s="43"/>
      <c r="J21" s="64"/>
      <c r="K21" s="64"/>
      <c r="L21" s="60"/>
      <c r="M21" s="43"/>
      <c r="N21" s="43"/>
      <c r="O21" s="43"/>
      <c r="P21" s="43"/>
      <c r="Q21" s="64"/>
      <c r="R21" s="64"/>
      <c r="S21" s="60"/>
      <c r="T21" s="43"/>
      <c r="U21" s="44"/>
      <c r="V21" s="44"/>
    </row>
    <row r="22" spans="1:38" ht="14.4">
      <c r="A22" s="9"/>
      <c r="B22" s="12"/>
      <c r="C22" s="33"/>
      <c r="D22" s="26" t="s">
        <v>5</v>
      </c>
      <c r="E22" s="32"/>
      <c r="F22" s="68">
        <v>38</v>
      </c>
      <c r="G22" s="68">
        <v>9</v>
      </c>
      <c r="H22" s="68">
        <v>0</v>
      </c>
      <c r="I22" s="68">
        <v>44</v>
      </c>
      <c r="J22" s="64">
        <f t="shared" si="0"/>
        <v>3.2222222222222223</v>
      </c>
      <c r="K22" s="64" t="str">
        <f t="shared" ref="K22:K23" si="17">IFERROR(F22/H22-1,"n/a")</f>
        <v>n/a</v>
      </c>
      <c r="L22" s="60">
        <f t="shared" si="12"/>
        <v>-0.13636363636363635</v>
      </c>
      <c r="M22" s="68">
        <f>F22+'Apr-22'!M22</f>
        <v>83</v>
      </c>
      <c r="N22" s="68">
        <f>G22+'Apr-22'!N22</f>
        <v>23</v>
      </c>
      <c r="O22" s="68">
        <f>H22+'Apr-22'!O22</f>
        <v>9</v>
      </c>
      <c r="P22" s="68">
        <f>I22+'Apr-22'!P22</f>
        <v>93</v>
      </c>
      <c r="Q22" s="64">
        <f t="shared" ref="Q22:Q23" si="18">IFERROR(M22/N22-1,"n/a")</f>
        <v>2.6086956521739131</v>
      </c>
      <c r="R22" s="64">
        <f t="shared" ref="R22:R23" si="19">IFERROR(M22/O22-1,"n/a")</f>
        <v>8.2222222222222214</v>
      </c>
      <c r="S22" s="60">
        <f t="shared" ref="S22:S23" si="20">IFERROR(M22/P22-1,"n/a")</f>
        <v>-0.10752688172043012</v>
      </c>
      <c r="T22" s="68">
        <v>107</v>
      </c>
      <c r="U22" s="70">
        <v>32</v>
      </c>
      <c r="V22" s="70">
        <v>372</v>
      </c>
    </row>
    <row r="23" spans="1:38" ht="14.4">
      <c r="A23" s="9"/>
      <c r="B23" s="12"/>
      <c r="C23" s="33"/>
      <c r="D23" s="26" t="s">
        <v>11</v>
      </c>
      <c r="E23" s="32"/>
      <c r="F23" s="68">
        <v>48885</v>
      </c>
      <c r="G23" s="68">
        <v>11576</v>
      </c>
      <c r="H23" s="68">
        <v>0</v>
      </c>
      <c r="I23" s="68">
        <v>102078</v>
      </c>
      <c r="J23" s="64">
        <f t="shared" si="0"/>
        <v>3.2229612992398069</v>
      </c>
      <c r="K23" s="64" t="str">
        <f t="shared" si="17"/>
        <v>n/a</v>
      </c>
      <c r="L23" s="60">
        <f t="shared" si="12"/>
        <v>-0.52110151060953391</v>
      </c>
      <c r="M23" s="68">
        <f>F23+'Apr-22'!M23</f>
        <v>106023</v>
      </c>
      <c r="N23" s="68">
        <f>G23+'Apr-22'!N23</f>
        <v>25542</v>
      </c>
      <c r="O23" s="68">
        <f>H23+'Apr-22'!O23</f>
        <v>40221</v>
      </c>
      <c r="P23" s="68">
        <f>I23+'Apr-22'!P23</f>
        <v>272179</v>
      </c>
      <c r="Q23" s="64">
        <f t="shared" si="18"/>
        <v>3.1509278834860233</v>
      </c>
      <c r="R23" s="64">
        <f t="shared" si="19"/>
        <v>1.6360110390094729</v>
      </c>
      <c r="S23" s="60">
        <f t="shared" si="20"/>
        <v>-0.61046590662762368</v>
      </c>
      <c r="T23" s="68">
        <v>147132</v>
      </c>
      <c r="U23" s="70">
        <v>59180</v>
      </c>
      <c r="V23" s="70">
        <v>902015</v>
      </c>
    </row>
    <row r="24" spans="1:38" ht="14.4">
      <c r="A24" s="9"/>
      <c r="B24" s="12"/>
      <c r="C24" s="31" t="s">
        <v>17</v>
      </c>
      <c r="D24" s="26"/>
      <c r="E24" s="32"/>
      <c r="F24" s="43"/>
      <c r="G24" s="43"/>
      <c r="H24" s="43"/>
      <c r="I24" s="43"/>
      <c r="J24" s="64"/>
      <c r="K24" s="64"/>
      <c r="L24" s="60"/>
      <c r="M24" s="43"/>
      <c r="N24" s="43"/>
      <c r="O24" s="43"/>
      <c r="P24" s="43"/>
      <c r="Q24" s="64"/>
      <c r="R24" s="64"/>
      <c r="S24" s="60"/>
      <c r="T24" s="43"/>
      <c r="U24" s="44"/>
      <c r="V24" s="44"/>
    </row>
    <row r="25" spans="1:38" ht="14.4">
      <c r="B25" s="12"/>
      <c r="C25" s="33"/>
      <c r="D25" s="26" t="s">
        <v>5</v>
      </c>
      <c r="E25" s="32"/>
      <c r="F25" s="68">
        <v>62</v>
      </c>
      <c r="G25" s="68">
        <v>9</v>
      </c>
      <c r="H25" s="68">
        <v>0</v>
      </c>
      <c r="I25" s="68">
        <v>45</v>
      </c>
      <c r="J25" s="64">
        <f t="shared" si="0"/>
        <v>5.8888888888888893</v>
      </c>
      <c r="K25" s="64" t="str">
        <f t="shared" ref="K25:K28" si="21">IFERROR(F25/H25-1,"n/a")</f>
        <v>n/a</v>
      </c>
      <c r="L25" s="60">
        <f t="shared" si="12"/>
        <v>0.37777777777777777</v>
      </c>
      <c r="M25" s="68">
        <f>F25+'Apr-22'!M25</f>
        <v>129</v>
      </c>
      <c r="N25" s="68">
        <f>G25+'Apr-22'!N25</f>
        <v>14</v>
      </c>
      <c r="O25" s="68">
        <f>H25+'Apr-22'!O25</f>
        <v>1</v>
      </c>
      <c r="P25" s="68">
        <f>I25+'Apr-22'!P25</f>
        <v>80</v>
      </c>
      <c r="Q25" s="64">
        <f t="shared" ref="Q25:Q28" si="22">IFERROR(M25/N25-1,"n/a")</f>
        <v>8.2142857142857135</v>
      </c>
      <c r="R25" s="64">
        <f t="shared" ref="R25:R28" si="23">IFERROR(M25/O25-1,"n/a")</f>
        <v>128</v>
      </c>
      <c r="S25" s="60">
        <f t="shared" ref="S25:S28" si="24">IFERROR(M25/P25-1,"n/a")</f>
        <v>0.61250000000000004</v>
      </c>
      <c r="T25" s="68">
        <v>127</v>
      </c>
      <c r="U25" s="70">
        <v>37</v>
      </c>
      <c r="V25" s="70">
        <f>282+81</f>
        <v>363</v>
      </c>
    </row>
    <row r="26" spans="1:38" ht="14.4">
      <c r="A26" s="9"/>
      <c r="B26" s="12"/>
      <c r="C26" s="33"/>
      <c r="D26" s="26" t="s">
        <v>11</v>
      </c>
      <c r="E26" s="32"/>
      <c r="F26" s="68">
        <f>56524+11398</f>
        <v>67922</v>
      </c>
      <c r="G26" s="68">
        <v>12905</v>
      </c>
      <c r="H26" s="68">
        <v>0</v>
      </c>
      <c r="I26" s="68">
        <v>112132</v>
      </c>
      <c r="J26" s="64">
        <f t="shared" si="0"/>
        <v>4.2632313056954665</v>
      </c>
      <c r="K26" s="64" t="str">
        <f t="shared" si="21"/>
        <v>n/a</v>
      </c>
      <c r="L26" s="60">
        <f t="shared" si="12"/>
        <v>-0.39426747048121857</v>
      </c>
      <c r="M26" s="68">
        <f>F26+'Apr-22'!M26</f>
        <v>123179</v>
      </c>
      <c r="N26" s="68">
        <f>G26+'Apr-22'!N26</f>
        <v>15044</v>
      </c>
      <c r="O26" s="68">
        <f>H26+'Apr-22'!O26</f>
        <v>892</v>
      </c>
      <c r="P26" s="68">
        <f>I26+'Apr-22'!P26</f>
        <v>194615</v>
      </c>
      <c r="Q26" s="64">
        <f t="shared" si="22"/>
        <v>7.1879154480191438</v>
      </c>
      <c r="R26" s="64">
        <f t="shared" si="23"/>
        <v>137.09304932735427</v>
      </c>
      <c r="S26" s="60">
        <f t="shared" si="24"/>
        <v>-0.36706317601418181</v>
      </c>
      <c r="T26" s="68">
        <v>165083</v>
      </c>
      <c r="U26" s="70">
        <f>20768+8294</f>
        <v>29062</v>
      </c>
      <c r="V26" s="70">
        <f>659951+168729+38484</f>
        <v>867164</v>
      </c>
    </row>
    <row r="27" spans="1:38" thickBot="1">
      <c r="A27" s="9"/>
      <c r="B27" s="12"/>
      <c r="C27" s="35" t="s">
        <v>12</v>
      </c>
      <c r="D27" s="36"/>
      <c r="E27" s="37"/>
      <c r="F27" s="46">
        <f t="shared" ref="F27:I28" si="25">F10+F13+F16+F19+F22+F25</f>
        <v>354</v>
      </c>
      <c r="G27" s="46">
        <f t="shared" si="25"/>
        <v>18</v>
      </c>
      <c r="H27" s="46">
        <f t="shared" si="25"/>
        <v>0</v>
      </c>
      <c r="I27" s="46">
        <f t="shared" si="25"/>
        <v>315</v>
      </c>
      <c r="J27" s="66">
        <f t="shared" si="0"/>
        <v>18.666666666666668</v>
      </c>
      <c r="K27" s="66" t="str">
        <f t="shared" si="21"/>
        <v>n/a</v>
      </c>
      <c r="L27" s="62">
        <f t="shared" si="12"/>
        <v>0.12380952380952381</v>
      </c>
      <c r="M27" s="46">
        <f t="shared" ref="M27:P28" si="26">M10+M13+M16+M19+M22+M25</f>
        <v>1317</v>
      </c>
      <c r="N27" s="46">
        <f t="shared" si="26"/>
        <v>37</v>
      </c>
      <c r="O27" s="46">
        <f t="shared" si="26"/>
        <v>607</v>
      </c>
      <c r="P27" s="46">
        <f t="shared" si="26"/>
        <v>1242</v>
      </c>
      <c r="Q27" s="66">
        <f t="shared" si="22"/>
        <v>34.594594594594597</v>
      </c>
      <c r="R27" s="66">
        <f t="shared" si="23"/>
        <v>1.1696869851729819</v>
      </c>
      <c r="S27" s="62">
        <f t="shared" si="24"/>
        <v>6.0386473429951737E-2</v>
      </c>
      <c r="T27" s="46">
        <f t="shared" ref="T27:V28" si="27">T10+T13+T16+T19+T22+T25</f>
        <v>1062</v>
      </c>
      <c r="U27" s="46">
        <f t="shared" si="27"/>
        <v>667</v>
      </c>
      <c r="V27" s="46">
        <f t="shared" si="27"/>
        <v>3344</v>
      </c>
    </row>
    <row r="28" spans="1:38" s="22" customFormat="1" ht="15.6" thickTop="1" thickBot="1">
      <c r="A28" s="9"/>
      <c r="B28" s="12"/>
      <c r="C28" s="38" t="s">
        <v>13</v>
      </c>
      <c r="D28" s="39"/>
      <c r="E28" s="40"/>
      <c r="F28" s="47">
        <f t="shared" si="25"/>
        <v>579587</v>
      </c>
      <c r="G28" s="47">
        <f t="shared" si="25"/>
        <v>24481</v>
      </c>
      <c r="H28" s="47">
        <f t="shared" si="25"/>
        <v>0</v>
      </c>
      <c r="I28" s="47">
        <f t="shared" si="25"/>
        <v>841049</v>
      </c>
      <c r="J28" s="67">
        <f t="shared" si="0"/>
        <v>22.674972427596913</v>
      </c>
      <c r="K28" s="67" t="str">
        <f t="shared" si="21"/>
        <v>n/a</v>
      </c>
      <c r="L28" s="63">
        <f t="shared" si="12"/>
        <v>-0.31087606072892304</v>
      </c>
      <c r="M28" s="47">
        <f t="shared" si="26"/>
        <v>1955070</v>
      </c>
      <c r="N28" s="47">
        <f t="shared" si="26"/>
        <v>40586</v>
      </c>
      <c r="O28" s="47">
        <f t="shared" si="26"/>
        <v>1276191</v>
      </c>
      <c r="P28" s="47">
        <f t="shared" si="26"/>
        <v>3422813</v>
      </c>
      <c r="Q28" s="67">
        <f t="shared" si="22"/>
        <v>47.171044202434338</v>
      </c>
      <c r="R28" s="67">
        <f t="shared" si="23"/>
        <v>0.53195720703248961</v>
      </c>
      <c r="S28" s="63">
        <f t="shared" si="24"/>
        <v>-0.42881191581310463</v>
      </c>
      <c r="T28" s="47">
        <f t="shared" si="27"/>
        <v>1554247</v>
      </c>
      <c r="U28" s="47">
        <f t="shared" si="27"/>
        <v>1323431</v>
      </c>
      <c r="V28" s="47">
        <f t="shared" si="27"/>
        <v>9169021</v>
      </c>
      <c r="W28" s="9"/>
      <c r="X28" s="21"/>
      <c r="Y28" s="21"/>
      <c r="Z28" s="21"/>
      <c r="AA28" s="21"/>
      <c r="AB28" s="21"/>
      <c r="AC28" s="21"/>
      <c r="AD28" s="21"/>
      <c r="AE28" s="21"/>
      <c r="AF28" s="21"/>
      <c r="AG28" s="21"/>
      <c r="AH28" s="21"/>
      <c r="AI28" s="21"/>
      <c r="AJ28" s="21"/>
      <c r="AK28" s="21"/>
      <c r="AL28" s="21"/>
    </row>
    <row r="29" spans="1:38" thickTop="1">
      <c r="A29" s="9"/>
      <c r="B29" s="9"/>
      <c r="C29" s="9"/>
      <c r="D29" s="9"/>
      <c r="E29" s="9"/>
      <c r="F29" s="9"/>
      <c r="G29" s="41"/>
      <c r="H29" s="41"/>
      <c r="I29" s="41"/>
      <c r="J29" s="41"/>
      <c r="K29" s="9"/>
      <c r="L29" s="9"/>
      <c r="M29" s="9"/>
      <c r="N29" s="9"/>
      <c r="O29" s="9"/>
      <c r="P29" s="9"/>
      <c r="Q29" s="9"/>
      <c r="R29" s="9"/>
      <c r="S29" s="9"/>
      <c r="T29" s="9"/>
      <c r="U29" s="9"/>
      <c r="V29" s="9"/>
    </row>
    <row r="30" spans="1:38" ht="14.4" hidden="1">
      <c r="A30" s="9"/>
      <c r="B30" s="9"/>
      <c r="C30" s="9"/>
      <c r="D30" s="9"/>
      <c r="E30" s="9"/>
      <c r="F30" s="9"/>
      <c r="G30" s="41"/>
      <c r="H30" s="41"/>
      <c r="I30" s="41"/>
      <c r="J30" s="41"/>
      <c r="K30" s="9"/>
      <c r="L30" s="9"/>
      <c r="M30" s="9"/>
      <c r="N30" s="9"/>
      <c r="O30" s="9"/>
      <c r="P30" s="9"/>
      <c r="Q30" s="9"/>
      <c r="R30" s="9"/>
      <c r="S30" s="9"/>
      <c r="T30" s="9"/>
      <c r="U30" s="9"/>
      <c r="V30" s="9"/>
    </row>
    <row r="31" spans="1:38" ht="14.4" hidden="1">
      <c r="A31" s="9"/>
      <c r="B31" s="9"/>
      <c r="C31" s="9"/>
      <c r="D31" s="9"/>
      <c r="E31" s="9"/>
      <c r="F31" s="9"/>
      <c r="G31" s="41"/>
      <c r="H31" s="41"/>
      <c r="I31" s="41"/>
      <c r="J31" s="41"/>
      <c r="K31" s="9"/>
      <c r="L31" s="9"/>
      <c r="M31" s="9"/>
      <c r="N31" s="9"/>
      <c r="O31" s="9"/>
      <c r="P31" s="9"/>
      <c r="Q31" s="9"/>
      <c r="R31" s="9"/>
      <c r="S31" s="9"/>
      <c r="T31" s="9"/>
      <c r="U31" s="9"/>
      <c r="V31" s="9"/>
    </row>
    <row r="32" spans="1:38" ht="14.4" hidden="1">
      <c r="A32" s="9"/>
      <c r="B32" s="9"/>
      <c r="C32" s="9"/>
      <c r="D32" s="9"/>
      <c r="E32" s="9"/>
      <c r="F32" s="9"/>
      <c r="G32" s="41"/>
      <c r="H32" s="41"/>
      <c r="I32" s="41"/>
      <c r="J32" s="41"/>
      <c r="K32" s="9"/>
      <c r="L32" s="9"/>
      <c r="M32" s="9"/>
      <c r="N32" s="9"/>
      <c r="O32" s="9"/>
      <c r="P32" s="9"/>
      <c r="Q32" s="9"/>
      <c r="R32" s="9"/>
      <c r="S32" s="9"/>
      <c r="T32" s="9"/>
      <c r="U32" s="9"/>
      <c r="V32" s="9"/>
    </row>
    <row r="33" spans="7:10" s="9" customFormat="1" ht="14.4" hidden="1">
      <c r="G33" s="41"/>
      <c r="H33" s="41"/>
      <c r="I33" s="41"/>
      <c r="J33" s="41"/>
    </row>
    <row r="34" spans="7:10" s="9" customFormat="1" ht="14.4" hidden="1">
      <c r="G34" s="41"/>
      <c r="H34" s="41"/>
      <c r="I34" s="41"/>
      <c r="J34" s="41"/>
    </row>
    <row r="35" spans="7:10" s="9" customFormat="1" ht="14.4" hidden="1">
      <c r="G35" s="41"/>
      <c r="H35" s="41"/>
      <c r="I35" s="41"/>
      <c r="J35" s="41"/>
    </row>
    <row r="36" spans="7:10" s="9" customFormat="1" ht="14.4" hidden="1">
      <c r="G36" s="41"/>
      <c r="H36" s="41"/>
      <c r="I36" s="41"/>
      <c r="J36" s="41"/>
    </row>
    <row r="37" spans="7:10" s="9" customFormat="1" ht="14.4" hidden="1">
      <c r="G37" s="41"/>
      <c r="H37" s="41"/>
      <c r="I37" s="41"/>
      <c r="J37" s="41"/>
    </row>
    <row r="38" spans="7:10" s="9" customFormat="1" ht="14.4" hidden="1">
      <c r="G38" s="41"/>
      <c r="H38" s="41"/>
      <c r="I38" s="41"/>
      <c r="J38" s="41"/>
    </row>
    <row r="39" spans="7:10" s="9" customFormat="1" ht="14.4" hidden="1">
      <c r="G39" s="41"/>
      <c r="H39" s="41"/>
      <c r="I39" s="41"/>
      <c r="J39" s="41"/>
    </row>
    <row r="40" spans="7:10" s="9" customFormat="1" ht="14.4" hidden="1">
      <c r="G40" s="41"/>
      <c r="H40" s="41"/>
      <c r="I40" s="41"/>
      <c r="J40" s="41"/>
    </row>
    <row r="41" spans="7:10" s="9" customFormat="1" ht="14.4" hidden="1">
      <c r="G41" s="41"/>
      <c r="H41" s="41"/>
      <c r="I41" s="41"/>
      <c r="J41" s="41"/>
    </row>
    <row r="42" spans="7:10" s="9" customFormat="1" ht="14.4" hidden="1">
      <c r="G42" s="41"/>
      <c r="H42" s="41"/>
      <c r="I42" s="41"/>
      <c r="J42" s="41"/>
    </row>
    <row r="43" spans="7:10" s="9" customFormat="1" ht="14.4" hidden="1">
      <c r="G43" s="41"/>
      <c r="H43" s="41"/>
      <c r="I43" s="41"/>
      <c r="J43" s="41"/>
    </row>
    <row r="44" spans="7:10" s="9" customFormat="1" ht="14.4" hidden="1">
      <c r="G44" s="41"/>
      <c r="H44" s="41"/>
      <c r="I44" s="41"/>
      <c r="J44" s="41"/>
    </row>
    <row r="45" spans="7:10" s="9" customFormat="1" ht="14.4" hidden="1">
      <c r="G45" s="41"/>
      <c r="H45" s="41"/>
      <c r="I45" s="41"/>
      <c r="J45" s="41"/>
    </row>
    <row r="46" spans="7:10" s="9" customFormat="1" ht="14.4" hidden="1">
      <c r="G46" s="41"/>
      <c r="H46" s="41"/>
      <c r="I46" s="41"/>
      <c r="J46" s="41"/>
    </row>
    <row r="47" spans="7:10" s="9" customFormat="1" ht="14.4" hidden="1">
      <c r="G47" s="41"/>
      <c r="H47" s="41"/>
      <c r="I47" s="41"/>
      <c r="J47" s="41"/>
    </row>
    <row r="48" spans="7:10" s="9" customFormat="1" ht="14.4" hidden="1"/>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14999847407452621"/>
    <pageSetUpPr fitToPage="1"/>
  </sheetPr>
  <dimension ref="A1:AH44"/>
  <sheetViews>
    <sheetView showGridLines="0" zoomScale="75" zoomScaleNormal="75" workbookViewId="0"/>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23" width="10.33203125" style="2" customWidth="1"/>
    <col min="24" max="33" width="10.33203125" style="2" hidden="1" customWidth="1"/>
    <col min="34" max="34" width="4.6640625" style="2" hidden="1" customWidth="1"/>
    <col min="35" max="16384" width="10.33203125" style="2" hidden="1"/>
  </cols>
  <sheetData>
    <row r="1" spans="2:34" ht="23.4">
      <c r="B1" s="13"/>
      <c r="C1" s="14"/>
      <c r="D1" s="14"/>
      <c r="E1" s="14"/>
      <c r="F1" s="14"/>
      <c r="G1" s="14"/>
      <c r="H1" s="14"/>
      <c r="I1" s="13"/>
      <c r="J1" s="13"/>
      <c r="K1" s="13"/>
      <c r="L1" s="13"/>
      <c r="M1" s="13"/>
      <c r="N1" s="13"/>
      <c r="O1" s="13"/>
      <c r="P1" s="13"/>
      <c r="Q1" s="13"/>
      <c r="R1" s="13"/>
      <c r="S1" s="13"/>
      <c r="T1" s="13"/>
      <c r="U1" s="13"/>
      <c r="V1" s="13"/>
      <c r="W1" s="13"/>
      <c r="X1" s="13"/>
      <c r="Y1" s="13"/>
      <c r="Z1" s="13"/>
      <c r="AA1" s="13"/>
      <c r="AB1" s="13"/>
      <c r="AC1" s="13"/>
      <c r="AD1" s="13"/>
      <c r="AE1" s="13"/>
      <c r="AF1" s="13"/>
      <c r="AG1" s="13"/>
      <c r="AH1" s="13"/>
    </row>
    <row r="2" spans="2:34" ht="28.8" thickBot="1">
      <c r="B2" s="13"/>
      <c r="C2" s="15" t="s">
        <v>3</v>
      </c>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3"/>
    </row>
    <row r="3" spans="2:34" ht="13.8">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row>
    <row r="4" spans="2:34" ht="16.2">
      <c r="B4" s="13"/>
      <c r="C4" s="17"/>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row>
    <row r="5" spans="2:34" ht="13.8">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row>
    <row r="6" spans="2:34" ht="13.8">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2:34" ht="16.2">
      <c r="B7" s="13"/>
      <c r="C7" s="17"/>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row>
    <row r="8" spans="2:34" ht="13.8">
      <c r="B8" s="13"/>
      <c r="C8" s="13"/>
      <c r="D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row>
    <row r="9" spans="2:34" ht="13.5" customHeight="1">
      <c r="B9" s="13"/>
      <c r="C9" s="13"/>
      <c r="D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row>
    <row r="10" spans="2:34" ht="13.5" customHeight="1">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row>
    <row r="11" spans="2:34" ht="13.5" customHeight="1">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row>
    <row r="12" spans="2:34" ht="13.5" customHeight="1">
      <c r="B12" s="13"/>
      <c r="C12" s="17"/>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row>
    <row r="13" spans="2:34" ht="13.5" customHeight="1">
      <c r="B13" s="13"/>
      <c r="C13" s="42"/>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row>
    <row r="14" spans="2:34" ht="13.5" customHeight="1">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row>
    <row r="15" spans="2:34" ht="13.5" customHeight="1">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row>
    <row r="16" spans="2:34" ht="13.5" customHeight="1">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row>
    <row r="17" spans="2:34" ht="13.5" customHeight="1">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row>
    <row r="18" spans="2:34" ht="13.5" customHeight="1">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row>
    <row r="19" spans="2:34" ht="13.5" customHeight="1">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row>
    <row r="20" spans="2:34" ht="13.5" customHeight="1">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row>
    <row r="21" spans="2:34" ht="13.5" customHeight="1">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row>
    <row r="22" spans="2:34" ht="13.5" customHeight="1">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row>
    <row r="23" spans="2:34" ht="13.5" customHeight="1">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row>
    <row r="24" spans="2:34" ht="13.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row>
    <row r="25" spans="2:34" ht="13.5" customHeight="1">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row>
    <row r="26" spans="2:34" ht="13.5" customHeight="1">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row>
    <row r="27" spans="2:34" ht="13.5" customHeight="1">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row>
    <row r="28" spans="2:34" ht="13.5" customHeight="1">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row>
    <row r="29" spans="2:34" ht="13.5" customHeight="1">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customSheetViews>
    <customSheetView guid="{5F6D01E3-9E6F-4D7F-980F-63899AF95899}" scale="75" showGridLines="0" fitToPage="1" hiddenRows="1" hiddenColumns="1">
      <pageMargins left="0.7" right="0.7" top="0.75" bottom="0.75" header="0.3" footer="0.3"/>
      <pageSetup paperSize="9" scale="62" orientation="landscape" r:id="rId1"/>
    </customSheetView>
  </customSheetViews>
  <pageMargins left="0.7" right="0.7" top="0.75" bottom="0.75" header="0.3" footer="0.3"/>
  <pageSetup paperSize="9" scale="62" orientation="landscape"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AL48"/>
  <sheetViews>
    <sheetView showGridLines="0" zoomScale="79" zoomScaleNormal="100" workbookViewId="0">
      <selection activeCell="M10" sqref="M10"/>
    </sheetView>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9" customWidth="1"/>
    <col min="24" max="38" width="0" style="9" hidden="1" customWidth="1"/>
    <col min="39"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44</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s="20" customFormat="1" ht="14.4">
      <c r="A6" s="9"/>
      <c r="B6"/>
      <c r="C6" s="27" t="s">
        <v>7</v>
      </c>
      <c r="D6" s="28"/>
      <c r="E6" s="28"/>
      <c r="F6" s="128" t="s">
        <v>45</v>
      </c>
      <c r="G6" s="128"/>
      <c r="H6" s="128"/>
      <c r="I6" s="128"/>
      <c r="J6" s="128"/>
      <c r="K6" s="128"/>
      <c r="L6" s="129"/>
      <c r="M6" s="130" t="s">
        <v>46</v>
      </c>
      <c r="N6" s="128"/>
      <c r="O6" s="128"/>
      <c r="P6" s="128"/>
      <c r="Q6" s="128"/>
      <c r="R6" s="128"/>
      <c r="S6" s="129"/>
      <c r="T6" s="130" t="s">
        <v>9</v>
      </c>
      <c r="U6" s="128"/>
      <c r="V6" s="128"/>
      <c r="W6" s="9"/>
      <c r="X6" s="19"/>
      <c r="Y6" s="19"/>
      <c r="Z6" s="19"/>
      <c r="AA6" s="19"/>
      <c r="AB6" s="19"/>
      <c r="AC6" s="19"/>
      <c r="AD6" s="19"/>
      <c r="AE6" s="19"/>
      <c r="AF6" s="19"/>
      <c r="AG6" s="19"/>
      <c r="AH6" s="19"/>
      <c r="AI6" s="19"/>
      <c r="AJ6" s="19"/>
      <c r="AK6" s="19"/>
      <c r="AL6" s="19"/>
    </row>
    <row r="7" spans="1:38" ht="14.4">
      <c r="A7" s="9"/>
      <c r="B7" s="18"/>
      <c r="C7" s="29"/>
      <c r="D7" s="30"/>
      <c r="E7" s="30"/>
      <c r="F7" s="29"/>
      <c r="G7" s="30"/>
      <c r="H7" s="30"/>
      <c r="I7" s="30"/>
      <c r="J7" s="30"/>
      <c r="K7" s="30"/>
      <c r="L7" s="56"/>
      <c r="M7" s="30"/>
      <c r="N7" s="30"/>
      <c r="O7" s="30"/>
      <c r="P7" s="30"/>
      <c r="Q7" s="30"/>
      <c r="R7" s="30"/>
      <c r="S7" s="56"/>
      <c r="T7" s="30"/>
      <c r="U7" s="30"/>
      <c r="V7" s="30"/>
    </row>
    <row r="8" spans="1:38" s="54" customFormat="1" ht="20.399999999999999">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ht="14.4">
      <c r="A9" s="9"/>
      <c r="B9" s="12"/>
      <c r="C9" s="31" t="s">
        <v>14</v>
      </c>
      <c r="D9" s="26"/>
      <c r="E9" s="32"/>
      <c r="F9" s="26"/>
      <c r="G9" s="26"/>
      <c r="H9" s="26"/>
      <c r="I9" s="26"/>
      <c r="J9" s="26"/>
      <c r="K9" s="26"/>
      <c r="L9" s="32"/>
      <c r="M9" s="26"/>
      <c r="N9" s="26"/>
      <c r="O9" s="26"/>
      <c r="P9" s="26"/>
      <c r="Q9" s="26"/>
      <c r="R9" s="26"/>
      <c r="S9" s="32"/>
      <c r="T9" s="26"/>
      <c r="U9" s="26"/>
      <c r="V9" s="26"/>
    </row>
    <row r="10" spans="1:38" ht="14.4">
      <c r="A10" s="9"/>
      <c r="B10" s="12"/>
      <c r="C10" s="33"/>
      <c r="D10" s="26" t="s">
        <v>5</v>
      </c>
      <c r="E10" s="32"/>
      <c r="F10" s="68">
        <v>25</v>
      </c>
      <c r="G10" s="68">
        <v>0</v>
      </c>
      <c r="H10" s="68">
        <v>0</v>
      </c>
      <c r="I10" s="68">
        <v>27</v>
      </c>
      <c r="J10" s="64" t="str">
        <f t="shared" ref="J10:J28" si="0">IFERROR(F10/G10-1,"n/a")</f>
        <v>n/a</v>
      </c>
      <c r="K10" s="64" t="str">
        <f>IFERROR(F10/H10-1,"n/a")</f>
        <v>n/a</v>
      </c>
      <c r="L10" s="60">
        <f t="shared" ref="L10:L11" si="1">IFERROR(F10/I10-1,"n/a")</f>
        <v>-7.407407407407407E-2</v>
      </c>
      <c r="M10" s="68">
        <f>F10+'Mar-22'!M10</f>
        <v>222</v>
      </c>
      <c r="N10" s="68">
        <f>G10+'Mar-22'!N10</f>
        <v>0</v>
      </c>
      <c r="O10" s="68">
        <f>H10+'Mar-22'!O10</f>
        <v>145</v>
      </c>
      <c r="P10" s="68">
        <f>I10+'Mar-22'!P10</f>
        <v>227</v>
      </c>
      <c r="Q10" s="64" t="str">
        <f>IFERROR(M10/N10-1,"n/a")</f>
        <v>n/a</v>
      </c>
      <c r="R10" s="64">
        <f>IFERROR(M10/O10-1,"n/a")</f>
        <v>0.53103448275862064</v>
      </c>
      <c r="S10" s="60">
        <f>IFERROR(M10/P10-1,"n/a")</f>
        <v>-2.2026431718061623E-2</v>
      </c>
      <c r="T10" s="68">
        <v>111</v>
      </c>
      <c r="U10" s="70">
        <v>145</v>
      </c>
      <c r="V10" s="70">
        <v>386</v>
      </c>
    </row>
    <row r="11" spans="1:38" ht="14.4">
      <c r="A11" s="9"/>
      <c r="B11" s="12"/>
      <c r="C11" s="33"/>
      <c r="D11" s="26" t="s">
        <v>11</v>
      </c>
      <c r="E11" s="32"/>
      <c r="F11" s="68">
        <v>30815</v>
      </c>
      <c r="G11" s="68">
        <v>0</v>
      </c>
      <c r="H11" s="68">
        <v>0</v>
      </c>
      <c r="I11" s="68">
        <v>46675</v>
      </c>
      <c r="J11" s="64" t="str">
        <f t="shared" si="0"/>
        <v>n/a</v>
      </c>
      <c r="K11" s="64" t="str">
        <f t="shared" ref="K11" si="2">IFERROR(F11/H11-1,"n/a")</f>
        <v>n/a</v>
      </c>
      <c r="L11" s="60">
        <f t="shared" si="1"/>
        <v>-0.33979646491697912</v>
      </c>
      <c r="M11" s="68">
        <f>F11+'Mar-22'!M11</f>
        <v>187143</v>
      </c>
      <c r="N11" s="68">
        <f>G11+'Mar-22'!N11</f>
        <v>0</v>
      </c>
      <c r="O11" s="68">
        <f>H11+'Mar-22'!O11</f>
        <v>258885</v>
      </c>
      <c r="P11" s="68">
        <f>I11+'Mar-22'!P11</f>
        <v>432055</v>
      </c>
      <c r="Q11" s="64" t="str">
        <f>IFERROR(M11/N11-1,"n/a")</f>
        <v>n/a</v>
      </c>
      <c r="R11" s="64">
        <f>IFERROR(M11/O11-1,"n/a")</f>
        <v>-0.27711918419375403</v>
      </c>
      <c r="S11" s="60">
        <f>IFERROR(M11/P11-1,"n/a")</f>
        <v>-0.56685375704482066</v>
      </c>
      <c r="T11" s="68">
        <v>80863</v>
      </c>
      <c r="U11" s="70">
        <v>258885</v>
      </c>
      <c r="V11" s="70">
        <v>733296</v>
      </c>
    </row>
    <row r="12" spans="1:38" ht="14.4">
      <c r="A12" s="9"/>
      <c r="B12" s="12"/>
      <c r="C12" s="31" t="s">
        <v>74</v>
      </c>
      <c r="D12" s="26"/>
      <c r="E12" s="32"/>
      <c r="F12" s="45"/>
      <c r="G12" s="45"/>
      <c r="H12" s="45"/>
      <c r="I12" s="45"/>
      <c r="J12" s="64"/>
      <c r="K12" s="64"/>
      <c r="L12" s="61"/>
      <c r="M12" s="43"/>
      <c r="N12" s="43"/>
      <c r="O12" s="43"/>
      <c r="P12" s="43"/>
      <c r="Q12" s="64"/>
      <c r="R12" s="65"/>
      <c r="S12" s="61"/>
      <c r="T12" s="43"/>
      <c r="U12" s="44"/>
      <c r="V12" s="44"/>
    </row>
    <row r="13" spans="1:38" ht="14.4">
      <c r="A13" s="9"/>
      <c r="B13" s="12"/>
      <c r="C13" s="33"/>
      <c r="D13" s="26" t="s">
        <v>5</v>
      </c>
      <c r="E13" s="32"/>
      <c r="F13" s="68">
        <v>96</v>
      </c>
      <c r="G13" s="68">
        <v>0</v>
      </c>
      <c r="H13" s="68">
        <v>0</v>
      </c>
      <c r="I13" s="68">
        <v>90</v>
      </c>
      <c r="J13" s="64" t="str">
        <f t="shared" si="0"/>
        <v>n/a</v>
      </c>
      <c r="K13" s="64" t="str">
        <f t="shared" ref="K13:K14" si="3">IFERROR(F13/H13-1,"n/a")</f>
        <v>n/a</v>
      </c>
      <c r="L13" s="60">
        <f t="shared" ref="L13:L14" si="4">IFERROR(F13/I13-1,"n/a")</f>
        <v>6.6666666666666652E-2</v>
      </c>
      <c r="M13" s="68">
        <f>F13+'Mar-22'!M13</f>
        <v>149</v>
      </c>
      <c r="N13" s="68">
        <f>G13+'Mar-22'!N13</f>
        <v>0</v>
      </c>
      <c r="O13" s="68">
        <f>H13+'Mar-22'!O13</f>
        <v>43</v>
      </c>
      <c r="P13" s="68">
        <f>I13+'Mar-22'!P13</f>
        <v>179</v>
      </c>
      <c r="Q13" s="64" t="str">
        <f t="shared" ref="Q13:Q14" si="5">IFERROR(M13/N13-1,"n/a")</f>
        <v>n/a</v>
      </c>
      <c r="R13" s="64">
        <f t="shared" ref="R13:R14" si="6">IFERROR(M13/O13-1,"n/a")</f>
        <v>2.4651162790697674</v>
      </c>
      <c r="S13" s="60">
        <f t="shared" ref="S13:S14" si="7">IFERROR(M13/P13-1,"n/a")</f>
        <v>-0.16759776536312854</v>
      </c>
      <c r="T13" s="68">
        <v>283</v>
      </c>
      <c r="U13" s="70">
        <v>43</v>
      </c>
      <c r="V13" s="70">
        <v>827</v>
      </c>
    </row>
    <row r="14" spans="1:38" ht="14.4">
      <c r="A14" s="9"/>
      <c r="B14" s="12"/>
      <c r="C14" s="33"/>
      <c r="D14" s="26" t="s">
        <v>11</v>
      </c>
      <c r="E14" s="32"/>
      <c r="F14" s="68">
        <v>114892</v>
      </c>
      <c r="G14" s="68">
        <v>0</v>
      </c>
      <c r="H14" s="68">
        <v>0</v>
      </c>
      <c r="I14" s="68">
        <v>212740</v>
      </c>
      <c r="J14" s="64" t="str">
        <f t="shared" si="0"/>
        <v>n/a</v>
      </c>
      <c r="K14" s="64" t="str">
        <f t="shared" si="3"/>
        <v>n/a</v>
      </c>
      <c r="L14" s="60">
        <f t="shared" si="4"/>
        <v>-0.45994171288897245</v>
      </c>
      <c r="M14" s="68">
        <f>F14+'Mar-22'!M14</f>
        <v>183346</v>
      </c>
      <c r="N14" s="68">
        <f>G14+'Mar-22'!N14</f>
        <v>0</v>
      </c>
      <c r="O14" s="68">
        <f>H14+'Mar-22'!O14</f>
        <v>140552</v>
      </c>
      <c r="P14" s="68">
        <f>I14+'Mar-22'!P14</f>
        <v>464640</v>
      </c>
      <c r="Q14" s="64" t="str">
        <f t="shared" si="5"/>
        <v>n/a</v>
      </c>
      <c r="R14" s="64">
        <f t="shared" si="6"/>
        <v>0.30447094313848266</v>
      </c>
      <c r="S14" s="60">
        <f t="shared" si="7"/>
        <v>-0.60540203168044071</v>
      </c>
      <c r="T14" s="68">
        <v>465109</v>
      </c>
      <c r="U14" s="70">
        <v>140552</v>
      </c>
      <c r="V14" s="70">
        <v>2552942</v>
      </c>
    </row>
    <row r="15" spans="1:38" ht="14.4">
      <c r="A15" s="9"/>
      <c r="B15" s="12"/>
      <c r="C15" s="31" t="s">
        <v>15</v>
      </c>
      <c r="D15" s="26"/>
      <c r="E15" s="32"/>
      <c r="F15" s="43"/>
      <c r="G15" s="43"/>
      <c r="H15" s="43"/>
      <c r="I15" s="43"/>
      <c r="J15" s="64"/>
      <c r="K15" s="64"/>
      <c r="L15" s="60"/>
      <c r="M15" s="43"/>
      <c r="N15" s="43"/>
      <c r="O15" s="43"/>
      <c r="P15" s="43"/>
      <c r="Q15" s="64"/>
      <c r="R15" s="64"/>
      <c r="S15" s="60"/>
      <c r="T15" s="43"/>
      <c r="U15" s="44"/>
      <c r="V15" s="44"/>
    </row>
    <row r="16" spans="1:38" ht="14.4">
      <c r="A16" s="9"/>
      <c r="B16" s="12"/>
      <c r="C16" s="33"/>
      <c r="D16" s="26" t="s">
        <v>5</v>
      </c>
      <c r="E16" s="32"/>
      <c r="F16" s="68">
        <v>26</v>
      </c>
      <c r="G16" s="68">
        <v>0</v>
      </c>
      <c r="H16" s="68">
        <v>0</v>
      </c>
      <c r="I16" s="68">
        <v>13</v>
      </c>
      <c r="J16" s="64" t="str">
        <f t="shared" si="0"/>
        <v>n/a</v>
      </c>
      <c r="K16" s="64" t="str">
        <f t="shared" ref="K16:K17" si="8">IFERROR(F16/H16-1,"n/a")</f>
        <v>n/a</v>
      </c>
      <c r="L16" s="60">
        <f>IFERROR(F16/I16-1,"n/a")</f>
        <v>1</v>
      </c>
      <c r="M16" s="68">
        <f>F16+'Mar-22'!M16</f>
        <v>36</v>
      </c>
      <c r="N16" s="68">
        <f>G16+'Mar-22'!N16</f>
        <v>0</v>
      </c>
      <c r="O16" s="68">
        <f>H16+'Mar-22'!O16</f>
        <v>3</v>
      </c>
      <c r="P16" s="68">
        <f>I16+'Mar-22'!P16</f>
        <v>19</v>
      </c>
      <c r="Q16" s="64" t="str">
        <f t="shared" ref="Q16:Q17" si="9">IFERROR(M16/N16-1,"n/a")</f>
        <v>n/a</v>
      </c>
      <c r="R16" s="64">
        <f t="shared" ref="R16:R17" si="10">IFERROR(M16/O16-1,"n/a")</f>
        <v>11</v>
      </c>
      <c r="S16" s="60">
        <f t="shared" ref="S16:S17" si="11">IFERROR(M16/P16-1,"n/a")</f>
        <v>0.89473684210526305</v>
      </c>
      <c r="T16" s="68">
        <v>23</v>
      </c>
      <c r="U16" s="70">
        <v>4</v>
      </c>
      <c r="V16" s="70">
        <v>191</v>
      </c>
    </row>
    <row r="17" spans="1:38" ht="14.4">
      <c r="A17" s="9"/>
      <c r="B17" s="12"/>
      <c r="C17" s="33"/>
      <c r="D17" s="26" t="s">
        <v>11</v>
      </c>
      <c r="E17" s="32"/>
      <c r="F17" s="68">
        <v>20824</v>
      </c>
      <c r="G17" s="68">
        <v>0</v>
      </c>
      <c r="H17" s="68">
        <v>0</v>
      </c>
      <c r="I17" s="68">
        <v>14253</v>
      </c>
      <c r="J17" s="64" t="str">
        <f t="shared" si="0"/>
        <v>n/a</v>
      </c>
      <c r="K17" s="64" t="str">
        <f t="shared" si="8"/>
        <v>n/a</v>
      </c>
      <c r="L17" s="60">
        <f t="shared" ref="L17:L28" si="12">IFERROR(F17/I17-1,"n/a")</f>
        <v>0.46102574896513016</v>
      </c>
      <c r="M17" s="68">
        <f>F17+'Mar-22'!M17</f>
        <v>22296</v>
      </c>
      <c r="N17" s="68">
        <f>G17+'Mar-22'!N17</f>
        <v>0</v>
      </c>
      <c r="O17" s="68">
        <f>H17+'Mar-22'!O17</f>
        <v>1642</v>
      </c>
      <c r="P17" s="68">
        <f>I17+'Mar-22'!P17</f>
        <v>19391</v>
      </c>
      <c r="Q17" s="64" t="str">
        <f t="shared" si="9"/>
        <v>n/a</v>
      </c>
      <c r="R17" s="64">
        <f t="shared" si="10"/>
        <v>12.578562728380025</v>
      </c>
      <c r="S17" s="60">
        <f t="shared" si="11"/>
        <v>0.14981176834613996</v>
      </c>
      <c r="T17" s="68">
        <v>8611</v>
      </c>
      <c r="U17" s="70">
        <v>1753</v>
      </c>
      <c r="V17" s="70">
        <v>254421</v>
      </c>
    </row>
    <row r="18" spans="1:38" ht="14.4">
      <c r="A18" s="9"/>
      <c r="B18" s="12"/>
      <c r="C18" s="31" t="s">
        <v>10</v>
      </c>
      <c r="D18" s="26"/>
      <c r="E18" s="34"/>
      <c r="F18" s="43"/>
      <c r="G18" s="43"/>
      <c r="H18" s="43"/>
      <c r="I18" s="43"/>
      <c r="J18" s="64"/>
      <c r="K18" s="64"/>
      <c r="L18" s="60"/>
      <c r="M18" s="43"/>
      <c r="N18" s="43"/>
      <c r="O18" s="43"/>
      <c r="P18" s="43"/>
      <c r="Q18" s="64"/>
      <c r="R18" s="64"/>
      <c r="S18" s="60"/>
      <c r="T18" s="43"/>
      <c r="U18" s="44"/>
      <c r="V18" s="44"/>
    </row>
    <row r="19" spans="1:38" ht="14.4">
      <c r="A19" s="9"/>
      <c r="B19" s="12"/>
      <c r="C19" s="33"/>
      <c r="D19" s="26" t="s">
        <v>5</v>
      </c>
      <c r="E19" s="34"/>
      <c r="F19" s="68">
        <v>111</v>
      </c>
      <c r="G19" s="68">
        <v>0</v>
      </c>
      <c r="H19" s="68">
        <v>42</v>
      </c>
      <c r="I19" s="68">
        <v>102</v>
      </c>
      <c r="J19" s="64" t="str">
        <f t="shared" si="0"/>
        <v>n/a</v>
      </c>
      <c r="K19" s="64">
        <f t="shared" ref="K19:K20" si="13">IFERROR(F19/H19-1,"n/a")</f>
        <v>1.6428571428571428</v>
      </c>
      <c r="L19" s="60">
        <f t="shared" si="12"/>
        <v>8.8235294117646967E-2</v>
      </c>
      <c r="M19" s="68">
        <f>F19+'Mar-22'!M19</f>
        <v>444</v>
      </c>
      <c r="N19" s="68">
        <f>G19+'Mar-22'!N19</f>
        <v>0</v>
      </c>
      <c r="O19" s="68">
        <f>H19+'Mar-22'!O19</f>
        <v>406</v>
      </c>
      <c r="P19" s="68">
        <f>I19+'Mar-22'!P19</f>
        <v>418</v>
      </c>
      <c r="Q19" s="64" t="str">
        <f t="shared" ref="Q19:Q20" si="14">IFERROR(M19/N19-1,"n/a")</f>
        <v>n/a</v>
      </c>
      <c r="R19" s="64">
        <f t="shared" ref="R19:R20" si="15">IFERROR(M19/O19-1,"n/a")</f>
        <v>9.3596059113300489E-2</v>
      </c>
      <c r="S19" s="60">
        <f t="shared" ref="S19:S20" si="16">IFERROR(M19/P19-1,"n/a")</f>
        <v>6.2200956937799035E-2</v>
      </c>
      <c r="T19" s="68">
        <v>411</v>
      </c>
      <c r="U19" s="70">
        <v>406</v>
      </c>
      <c r="V19" s="70">
        <v>1205</v>
      </c>
    </row>
    <row r="20" spans="1:38" ht="14.4">
      <c r="A20" s="9"/>
      <c r="B20" s="12"/>
      <c r="C20" s="33"/>
      <c r="D20" s="26" t="s">
        <v>11</v>
      </c>
      <c r="E20" s="32"/>
      <c r="F20" s="68">
        <v>266973</v>
      </c>
      <c r="G20" s="68">
        <v>0</v>
      </c>
      <c r="H20" s="68">
        <v>0</v>
      </c>
      <c r="I20" s="68">
        <v>347370</v>
      </c>
      <c r="J20" s="64" t="str">
        <f t="shared" si="0"/>
        <v>n/a</v>
      </c>
      <c r="K20" s="64" t="str">
        <f t="shared" si="13"/>
        <v>n/a</v>
      </c>
      <c r="L20" s="60">
        <f t="shared" si="12"/>
        <v>-0.23144485706883156</v>
      </c>
      <c r="M20" s="68">
        <f>F20+'Mar-22'!M20</f>
        <v>870303</v>
      </c>
      <c r="N20" s="68">
        <f>G20+'Mar-22'!N20</f>
        <v>0</v>
      </c>
      <c r="O20" s="68">
        <f>H20+'Mar-22'!O20</f>
        <v>833999</v>
      </c>
      <c r="P20" s="68">
        <f>I20+'Mar-22'!P20</f>
        <v>1413094</v>
      </c>
      <c r="Q20" s="64" t="str">
        <f t="shared" si="14"/>
        <v>n/a</v>
      </c>
      <c r="R20" s="64">
        <f t="shared" si="15"/>
        <v>4.353002821346319E-2</v>
      </c>
      <c r="S20" s="60">
        <f t="shared" si="16"/>
        <v>-0.38411528178592502</v>
      </c>
      <c r="T20" s="68">
        <v>687449</v>
      </c>
      <c r="U20" s="70">
        <v>833999</v>
      </c>
      <c r="V20" s="70">
        <v>3859183</v>
      </c>
    </row>
    <row r="21" spans="1:38" ht="14.4">
      <c r="A21" s="9"/>
      <c r="B21" s="12"/>
      <c r="C21" s="31" t="s">
        <v>16</v>
      </c>
      <c r="D21" s="26"/>
      <c r="E21" s="32"/>
      <c r="F21" s="43"/>
      <c r="G21" s="43"/>
      <c r="H21" s="43"/>
      <c r="I21" s="43"/>
      <c r="J21" s="64"/>
      <c r="K21" s="64"/>
      <c r="L21" s="60"/>
      <c r="M21" s="43"/>
      <c r="N21" s="43"/>
      <c r="O21" s="43"/>
      <c r="P21" s="43"/>
      <c r="Q21" s="64"/>
      <c r="R21" s="64"/>
      <c r="S21" s="60"/>
      <c r="T21" s="43"/>
      <c r="U21" s="44"/>
      <c r="V21" s="44"/>
    </row>
    <row r="22" spans="1:38" ht="14.4">
      <c r="A22" s="9"/>
      <c r="B22" s="12"/>
      <c r="C22" s="33"/>
      <c r="D22" s="26" t="s">
        <v>5</v>
      </c>
      <c r="E22" s="32"/>
      <c r="F22" s="68">
        <v>22</v>
      </c>
      <c r="G22" s="68">
        <v>5</v>
      </c>
      <c r="H22" s="68">
        <v>0</v>
      </c>
      <c r="I22" s="68">
        <v>29</v>
      </c>
      <c r="J22" s="64">
        <f t="shared" si="0"/>
        <v>3.4000000000000004</v>
      </c>
      <c r="K22" s="64" t="str">
        <f t="shared" ref="K22:K23" si="17">IFERROR(F22/H22-1,"n/a")</f>
        <v>n/a</v>
      </c>
      <c r="L22" s="60">
        <f t="shared" si="12"/>
        <v>-0.24137931034482762</v>
      </c>
      <c r="M22" s="68">
        <f>F22+'Mar-22'!M22</f>
        <v>45</v>
      </c>
      <c r="N22" s="68">
        <f>G22+'Mar-22'!N22</f>
        <v>14</v>
      </c>
      <c r="O22" s="68">
        <f>H22+'Mar-22'!O22</f>
        <v>9</v>
      </c>
      <c r="P22" s="68">
        <f>I22+'Mar-22'!P22</f>
        <v>49</v>
      </c>
      <c r="Q22" s="64">
        <f t="shared" ref="Q22:Q23" si="18">IFERROR(M22/N22-1,"n/a")</f>
        <v>2.2142857142857144</v>
      </c>
      <c r="R22" s="64">
        <f t="shared" ref="R22:R23" si="19">IFERROR(M22/O22-1,"n/a")</f>
        <v>4</v>
      </c>
      <c r="S22" s="60">
        <f t="shared" ref="S22:S23" si="20">IFERROR(M22/P22-1,"n/a")</f>
        <v>-8.1632653061224469E-2</v>
      </c>
      <c r="T22" s="68">
        <v>107</v>
      </c>
      <c r="U22" s="70">
        <v>32</v>
      </c>
      <c r="V22" s="70">
        <v>372</v>
      </c>
    </row>
    <row r="23" spans="1:38" ht="14.4">
      <c r="A23" s="9"/>
      <c r="B23" s="12"/>
      <c r="C23" s="33"/>
      <c r="D23" s="26" t="s">
        <v>11</v>
      </c>
      <c r="E23" s="32"/>
      <c r="F23" s="68">
        <v>30617</v>
      </c>
      <c r="G23" s="68">
        <v>6002</v>
      </c>
      <c r="H23" s="68">
        <v>0</v>
      </c>
      <c r="I23" s="68">
        <v>93826</v>
      </c>
      <c r="J23" s="64">
        <f t="shared" si="0"/>
        <v>4.1011329556814395</v>
      </c>
      <c r="K23" s="64" t="str">
        <f t="shared" si="17"/>
        <v>n/a</v>
      </c>
      <c r="L23" s="60">
        <f t="shared" si="12"/>
        <v>-0.6736832008185365</v>
      </c>
      <c r="M23" s="68">
        <f>F23+'Mar-22'!M23</f>
        <v>57138</v>
      </c>
      <c r="N23" s="68">
        <f>G23+'Mar-22'!N23</f>
        <v>13966</v>
      </c>
      <c r="O23" s="68">
        <f>H23+'Mar-22'!O23</f>
        <v>40221</v>
      </c>
      <c r="P23" s="68">
        <f>I23+'Mar-22'!P23</f>
        <v>170101</v>
      </c>
      <c r="Q23" s="64">
        <f t="shared" si="18"/>
        <v>3.0912215380209078</v>
      </c>
      <c r="R23" s="64">
        <f t="shared" si="19"/>
        <v>0.42060117848884904</v>
      </c>
      <c r="S23" s="60">
        <f t="shared" si="20"/>
        <v>-0.66409368551625203</v>
      </c>
      <c r="T23" s="68">
        <v>147132</v>
      </c>
      <c r="U23" s="70">
        <v>59180</v>
      </c>
      <c r="V23" s="70">
        <v>902015</v>
      </c>
    </row>
    <row r="24" spans="1:38" ht="14.4">
      <c r="A24" s="9"/>
      <c r="B24" s="12"/>
      <c r="C24" s="31" t="s">
        <v>17</v>
      </c>
      <c r="D24" s="26"/>
      <c r="E24" s="32"/>
      <c r="F24" s="43"/>
      <c r="G24" s="43"/>
      <c r="H24" s="43"/>
      <c r="I24" s="43"/>
      <c r="J24" s="64"/>
      <c r="K24" s="64"/>
      <c r="L24" s="60"/>
      <c r="M24" s="43"/>
      <c r="N24" s="43"/>
      <c r="O24" s="43"/>
      <c r="P24" s="43"/>
      <c r="Q24" s="64"/>
      <c r="R24" s="64"/>
      <c r="S24" s="60"/>
      <c r="T24" s="43"/>
      <c r="U24" s="44"/>
      <c r="V24" s="44"/>
    </row>
    <row r="25" spans="1:38" ht="14.4">
      <c r="B25" s="12"/>
      <c r="C25" s="33"/>
      <c r="D25" s="26" t="s">
        <v>5</v>
      </c>
      <c r="E25" s="32"/>
      <c r="F25" s="68">
        <v>51</v>
      </c>
      <c r="G25" s="68">
        <v>2</v>
      </c>
      <c r="H25" s="68">
        <v>0</v>
      </c>
      <c r="I25" s="68">
        <v>31</v>
      </c>
      <c r="J25" s="64">
        <f t="shared" si="0"/>
        <v>24.5</v>
      </c>
      <c r="K25" s="64" t="str">
        <f t="shared" ref="K25:K28" si="21">IFERROR(F25/H25-1,"n/a")</f>
        <v>n/a</v>
      </c>
      <c r="L25" s="60">
        <f t="shared" si="12"/>
        <v>0.64516129032258074</v>
      </c>
      <c r="M25" s="68">
        <f>F25+'Mar-22'!M25</f>
        <v>67</v>
      </c>
      <c r="N25" s="68">
        <f>G25+'Mar-22'!N25</f>
        <v>5</v>
      </c>
      <c r="O25" s="68">
        <f>H25+'Mar-22'!O25</f>
        <v>1</v>
      </c>
      <c r="P25" s="68">
        <f>I25+'Mar-22'!P25</f>
        <v>35</v>
      </c>
      <c r="Q25" s="64">
        <f t="shared" ref="Q25:Q28" si="22">IFERROR(M25/N25-1,"n/a")</f>
        <v>12.4</v>
      </c>
      <c r="R25" s="64">
        <f t="shared" ref="R25:R28" si="23">IFERROR(M25/O25-1,"n/a")</f>
        <v>66</v>
      </c>
      <c r="S25" s="60">
        <f t="shared" ref="S25:S28" si="24">IFERROR(M25/P25-1,"n/a")</f>
        <v>0.91428571428571437</v>
      </c>
      <c r="T25" s="68">
        <v>127</v>
      </c>
      <c r="U25" s="70">
        <v>37</v>
      </c>
      <c r="V25" s="70">
        <f>282+81</f>
        <v>363</v>
      </c>
    </row>
    <row r="26" spans="1:38" ht="14.4">
      <c r="A26" s="9"/>
      <c r="B26" s="12"/>
      <c r="C26" s="33"/>
      <c r="D26" s="26" t="s">
        <v>11</v>
      </c>
      <c r="E26" s="32"/>
      <c r="F26" s="68">
        <f>42314+1343</f>
        <v>43657</v>
      </c>
      <c r="G26" s="68">
        <v>0</v>
      </c>
      <c r="H26" s="68">
        <v>0</v>
      </c>
      <c r="I26" s="68">
        <v>76374</v>
      </c>
      <c r="J26" s="64" t="str">
        <f t="shared" si="0"/>
        <v>n/a</v>
      </c>
      <c r="K26" s="64" t="str">
        <f t="shared" si="21"/>
        <v>n/a</v>
      </c>
      <c r="L26" s="60">
        <f t="shared" si="12"/>
        <v>-0.42837876764343885</v>
      </c>
      <c r="M26" s="68">
        <f>F26+'Mar-22'!M26</f>
        <v>55257</v>
      </c>
      <c r="N26" s="68">
        <f>G26+'Mar-22'!N26</f>
        <v>2139</v>
      </c>
      <c r="O26" s="68">
        <f>H26+'Mar-22'!O26</f>
        <v>892</v>
      </c>
      <c r="P26" s="68">
        <f>I26+'Mar-22'!P26</f>
        <v>82483</v>
      </c>
      <c r="Q26" s="64">
        <f t="shared" si="22"/>
        <v>24.833099579242635</v>
      </c>
      <c r="R26" s="64">
        <f t="shared" si="23"/>
        <v>60.947309417040358</v>
      </c>
      <c r="S26" s="60">
        <f t="shared" si="24"/>
        <v>-0.3300801377253495</v>
      </c>
      <c r="T26" s="68">
        <v>165083</v>
      </c>
      <c r="U26" s="70">
        <f>20768+8294</f>
        <v>29062</v>
      </c>
      <c r="V26" s="70">
        <f>659951+168729+38484</f>
        <v>867164</v>
      </c>
    </row>
    <row r="27" spans="1:38" thickBot="1">
      <c r="A27" s="9"/>
      <c r="B27" s="12"/>
      <c r="C27" s="35" t="s">
        <v>12</v>
      </c>
      <c r="D27" s="36"/>
      <c r="E27" s="37"/>
      <c r="F27" s="46">
        <f t="shared" ref="F27:I28" si="25">F10+F13+F16+F19+F22+F25</f>
        <v>331</v>
      </c>
      <c r="G27" s="46">
        <f t="shared" si="25"/>
        <v>7</v>
      </c>
      <c r="H27" s="46">
        <f t="shared" si="25"/>
        <v>42</v>
      </c>
      <c r="I27" s="46">
        <f t="shared" si="25"/>
        <v>292</v>
      </c>
      <c r="J27" s="66">
        <f t="shared" si="0"/>
        <v>46.285714285714285</v>
      </c>
      <c r="K27" s="66">
        <f t="shared" si="21"/>
        <v>6.8809523809523814</v>
      </c>
      <c r="L27" s="62">
        <f t="shared" si="12"/>
        <v>0.13356164383561642</v>
      </c>
      <c r="M27" s="46">
        <f t="shared" ref="M27:P28" si="26">M10+M13+M16+M19+M22+M25</f>
        <v>963</v>
      </c>
      <c r="N27" s="46">
        <f t="shared" si="26"/>
        <v>19</v>
      </c>
      <c r="O27" s="46">
        <f t="shared" si="26"/>
        <v>607</v>
      </c>
      <c r="P27" s="46">
        <f t="shared" si="26"/>
        <v>927</v>
      </c>
      <c r="Q27" s="66">
        <f t="shared" si="22"/>
        <v>49.684210526315788</v>
      </c>
      <c r="R27" s="66">
        <f t="shared" si="23"/>
        <v>0.58649093904448102</v>
      </c>
      <c r="S27" s="62">
        <f t="shared" si="24"/>
        <v>3.8834951456310662E-2</v>
      </c>
      <c r="T27" s="46">
        <f t="shared" ref="T27:V28" si="27">T10+T13+T16+T19+T22+T25</f>
        <v>1062</v>
      </c>
      <c r="U27" s="46">
        <f t="shared" si="27"/>
        <v>667</v>
      </c>
      <c r="V27" s="46">
        <f t="shared" si="27"/>
        <v>3344</v>
      </c>
    </row>
    <row r="28" spans="1:38" s="22" customFormat="1" ht="15.6" thickTop="1" thickBot="1">
      <c r="A28" s="9"/>
      <c r="B28" s="12"/>
      <c r="C28" s="38" t="s">
        <v>13</v>
      </c>
      <c r="D28" s="39"/>
      <c r="E28" s="40"/>
      <c r="F28" s="47">
        <f t="shared" si="25"/>
        <v>507778</v>
      </c>
      <c r="G28" s="47">
        <f t="shared" si="25"/>
        <v>6002</v>
      </c>
      <c r="H28" s="47">
        <f t="shared" si="25"/>
        <v>0</v>
      </c>
      <c r="I28" s="47">
        <f t="shared" si="25"/>
        <v>791238</v>
      </c>
      <c r="J28" s="67">
        <f t="shared" si="0"/>
        <v>83.601466177940679</v>
      </c>
      <c r="K28" s="67" t="str">
        <f t="shared" si="21"/>
        <v>n/a</v>
      </c>
      <c r="L28" s="63">
        <f t="shared" si="12"/>
        <v>-0.35824871909589784</v>
      </c>
      <c r="M28" s="47">
        <f t="shared" si="26"/>
        <v>1375483</v>
      </c>
      <c r="N28" s="47">
        <f t="shared" si="26"/>
        <v>16105</v>
      </c>
      <c r="O28" s="47">
        <f t="shared" si="26"/>
        <v>1276191</v>
      </c>
      <c r="P28" s="47">
        <f t="shared" si="26"/>
        <v>2581764</v>
      </c>
      <c r="Q28" s="67">
        <f t="shared" si="22"/>
        <v>84.407202732070786</v>
      </c>
      <c r="R28" s="67">
        <f t="shared" si="23"/>
        <v>7.7803400901589104E-2</v>
      </c>
      <c r="S28" s="63">
        <f t="shared" si="24"/>
        <v>-0.46723131936149087</v>
      </c>
      <c r="T28" s="47">
        <f t="shared" si="27"/>
        <v>1554247</v>
      </c>
      <c r="U28" s="47">
        <f t="shared" si="27"/>
        <v>1323431</v>
      </c>
      <c r="V28" s="47">
        <f t="shared" si="27"/>
        <v>9169021</v>
      </c>
      <c r="W28" s="9"/>
      <c r="X28" s="21"/>
      <c r="Y28" s="21"/>
      <c r="Z28" s="21"/>
      <c r="AA28" s="21"/>
      <c r="AB28" s="21"/>
      <c r="AC28" s="21"/>
      <c r="AD28" s="21"/>
      <c r="AE28" s="21"/>
      <c r="AF28" s="21"/>
      <c r="AG28" s="21"/>
      <c r="AH28" s="21"/>
      <c r="AI28" s="21"/>
      <c r="AJ28" s="21"/>
      <c r="AK28" s="21"/>
      <c r="AL28" s="21"/>
    </row>
    <row r="29" spans="1:38" thickTop="1">
      <c r="A29" s="9"/>
      <c r="B29" s="9"/>
      <c r="C29" s="9"/>
      <c r="D29" s="9"/>
      <c r="E29" s="9"/>
      <c r="F29" s="9"/>
      <c r="G29" s="41"/>
      <c r="H29" s="41"/>
      <c r="I29" s="41"/>
      <c r="J29" s="41"/>
      <c r="K29" s="9"/>
      <c r="L29" s="9"/>
      <c r="M29" s="9"/>
      <c r="N29" s="9"/>
      <c r="O29" s="9"/>
      <c r="P29" s="9"/>
      <c r="Q29" s="9"/>
      <c r="R29" s="9"/>
      <c r="S29" s="9"/>
      <c r="T29" s="9"/>
      <c r="U29" s="9"/>
      <c r="V29" s="9"/>
    </row>
    <row r="30" spans="1:38" ht="14.4" hidden="1">
      <c r="A30" s="9"/>
      <c r="B30" s="9"/>
      <c r="C30" s="9"/>
      <c r="D30" s="9"/>
      <c r="E30" s="9"/>
      <c r="F30" s="9"/>
      <c r="G30" s="41"/>
      <c r="H30" s="41"/>
      <c r="I30" s="41"/>
      <c r="J30" s="41"/>
      <c r="K30" s="9"/>
      <c r="L30" s="9"/>
      <c r="M30" s="9"/>
      <c r="N30" s="9"/>
      <c r="O30" s="9"/>
      <c r="P30" s="9"/>
      <c r="Q30" s="9"/>
      <c r="R30" s="9"/>
      <c r="S30" s="9"/>
      <c r="T30" s="9"/>
      <c r="U30" s="9"/>
      <c r="V30" s="9"/>
    </row>
    <row r="31" spans="1:38" ht="14.4" hidden="1">
      <c r="A31" s="9"/>
      <c r="B31" s="9"/>
      <c r="C31" s="9"/>
      <c r="D31" s="9"/>
      <c r="E31" s="9"/>
      <c r="F31" s="9"/>
      <c r="G31" s="41"/>
      <c r="H31" s="41"/>
      <c r="I31" s="41"/>
      <c r="J31" s="41"/>
      <c r="K31" s="9"/>
      <c r="L31" s="9"/>
      <c r="M31" s="9"/>
      <c r="N31" s="9"/>
      <c r="O31" s="9"/>
      <c r="P31" s="9"/>
      <c r="Q31" s="9"/>
      <c r="R31" s="9"/>
      <c r="S31" s="9"/>
      <c r="T31" s="9"/>
      <c r="U31" s="9"/>
      <c r="V31" s="9"/>
    </row>
    <row r="32" spans="1:38" ht="14.4" hidden="1">
      <c r="A32" s="9"/>
      <c r="B32" s="9"/>
      <c r="C32" s="9"/>
      <c r="D32" s="9"/>
      <c r="E32" s="9"/>
      <c r="F32" s="9"/>
      <c r="G32" s="41"/>
      <c r="H32" s="41"/>
      <c r="I32" s="41"/>
      <c r="J32" s="41"/>
      <c r="K32" s="9"/>
      <c r="L32" s="9"/>
      <c r="M32" s="9"/>
      <c r="N32" s="9"/>
      <c r="O32" s="9"/>
      <c r="P32" s="9"/>
      <c r="Q32" s="9"/>
      <c r="R32" s="9"/>
      <c r="S32" s="9"/>
      <c r="T32" s="9"/>
      <c r="U32" s="9"/>
      <c r="V32" s="9"/>
    </row>
    <row r="33" spans="7:10" s="9" customFormat="1" ht="14.4" hidden="1">
      <c r="G33" s="41"/>
      <c r="H33" s="41"/>
      <c r="I33" s="41"/>
      <c r="J33" s="41"/>
    </row>
    <row r="34" spans="7:10" s="9" customFormat="1" ht="14.4" hidden="1">
      <c r="G34" s="41"/>
      <c r="H34" s="41"/>
      <c r="I34" s="41"/>
      <c r="J34" s="41"/>
    </row>
    <row r="35" spans="7:10" s="9" customFormat="1" ht="14.4" hidden="1">
      <c r="G35" s="41"/>
      <c r="H35" s="41"/>
      <c r="I35" s="41"/>
      <c r="J35" s="41"/>
    </row>
    <row r="36" spans="7:10" s="9" customFormat="1" ht="14.4" hidden="1">
      <c r="G36" s="41"/>
      <c r="H36" s="41"/>
      <c r="I36" s="41"/>
      <c r="J36" s="41"/>
    </row>
    <row r="37" spans="7:10" s="9" customFormat="1" ht="14.4" hidden="1">
      <c r="G37" s="41"/>
      <c r="H37" s="41"/>
      <c r="I37" s="41"/>
      <c r="J37" s="41"/>
    </row>
    <row r="38" spans="7:10" s="9" customFormat="1" ht="14.4" hidden="1">
      <c r="G38" s="41"/>
      <c r="H38" s="41"/>
      <c r="I38" s="41"/>
      <c r="J38" s="41"/>
    </row>
    <row r="39" spans="7:10" s="9" customFormat="1" ht="14.4" hidden="1">
      <c r="G39" s="41"/>
      <c r="H39" s="41"/>
      <c r="I39" s="41"/>
      <c r="J39" s="41"/>
    </row>
    <row r="40" spans="7:10" s="9" customFormat="1" ht="14.4" hidden="1">
      <c r="G40" s="41"/>
      <c r="H40" s="41"/>
      <c r="I40" s="41"/>
      <c r="J40" s="41"/>
    </row>
    <row r="41" spans="7:10" s="9" customFormat="1" ht="14.4" hidden="1">
      <c r="G41" s="41"/>
      <c r="H41" s="41"/>
      <c r="I41" s="41"/>
      <c r="J41" s="41"/>
    </row>
    <row r="42" spans="7:10" s="9" customFormat="1" ht="14.4" hidden="1">
      <c r="G42" s="41"/>
      <c r="H42" s="41"/>
      <c r="I42" s="41"/>
      <c r="J42" s="41"/>
    </row>
    <row r="43" spans="7:10" s="9" customFormat="1" ht="14.4" hidden="1">
      <c r="G43" s="41"/>
      <c r="H43" s="41"/>
      <c r="I43" s="41"/>
      <c r="J43" s="41"/>
    </row>
    <row r="44" spans="7:10" s="9" customFormat="1" ht="14.4" hidden="1">
      <c r="G44" s="41"/>
      <c r="H44" s="41"/>
      <c r="I44" s="41"/>
      <c r="J44" s="41"/>
    </row>
    <row r="45" spans="7:10" s="9" customFormat="1" ht="14.4" hidden="1">
      <c r="G45" s="41"/>
      <c r="H45" s="41"/>
      <c r="I45" s="41"/>
      <c r="J45" s="41"/>
    </row>
    <row r="46" spans="7:10" s="9" customFormat="1" ht="14.4" hidden="1">
      <c r="G46" s="41"/>
      <c r="H46" s="41"/>
      <c r="I46" s="41"/>
      <c r="J46" s="41"/>
    </row>
    <row r="47" spans="7:10" s="9" customFormat="1" ht="14.4" hidden="1">
      <c r="G47" s="41"/>
      <c r="H47" s="41"/>
      <c r="I47" s="41"/>
      <c r="J47" s="41"/>
    </row>
    <row r="48" spans="7:10" s="9" customFormat="1" ht="14.4" hidden="1"/>
  </sheetData>
  <customSheetViews>
    <customSheetView guid="{5F6D01E3-9E6F-4D7F-980F-63899AF95899}" scale="79" showGridLines="0" fitToPage="1" hiddenRows="1" hiddenColumns="1">
      <selection activeCell="F16" sqref="F16"/>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AL48"/>
  <sheetViews>
    <sheetView showGridLines="0" zoomScale="79" zoomScaleNormal="100" workbookViewId="0">
      <selection activeCell="M10" sqref="M10"/>
    </sheetView>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9" customWidth="1"/>
    <col min="24" max="38" width="0" style="9" hidden="1" customWidth="1"/>
    <col min="39"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42</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s="20" customFormat="1" ht="14.4">
      <c r="A6" s="9"/>
      <c r="B6"/>
      <c r="C6" s="27" t="s">
        <v>7</v>
      </c>
      <c r="D6" s="28"/>
      <c r="E6" s="28"/>
      <c r="F6" s="128" t="s">
        <v>41</v>
      </c>
      <c r="G6" s="128"/>
      <c r="H6" s="128"/>
      <c r="I6" s="128"/>
      <c r="J6" s="128"/>
      <c r="K6" s="128"/>
      <c r="L6" s="129"/>
      <c r="M6" s="130" t="s">
        <v>43</v>
      </c>
      <c r="N6" s="128"/>
      <c r="O6" s="128"/>
      <c r="P6" s="128"/>
      <c r="Q6" s="128"/>
      <c r="R6" s="128"/>
      <c r="S6" s="129"/>
      <c r="T6" s="130" t="s">
        <v>9</v>
      </c>
      <c r="U6" s="128"/>
      <c r="V6" s="128"/>
      <c r="W6" s="9"/>
      <c r="X6" s="19"/>
      <c r="Y6" s="19"/>
      <c r="Z6" s="19"/>
      <c r="AA6" s="19"/>
      <c r="AB6" s="19"/>
      <c r="AC6" s="19"/>
      <c r="AD6" s="19"/>
      <c r="AE6" s="19"/>
      <c r="AF6" s="19"/>
      <c r="AG6" s="19"/>
      <c r="AH6" s="19"/>
      <c r="AI6" s="19"/>
      <c r="AJ6" s="19"/>
      <c r="AK6" s="19"/>
      <c r="AL6" s="19"/>
    </row>
    <row r="7" spans="1:38" ht="14.4">
      <c r="A7" s="9"/>
      <c r="B7" s="18"/>
      <c r="C7" s="29"/>
      <c r="D7" s="30"/>
      <c r="E7" s="30"/>
      <c r="F7" s="29"/>
      <c r="G7" s="30"/>
      <c r="H7" s="30"/>
      <c r="I7" s="30"/>
      <c r="J7" s="30"/>
      <c r="K7" s="30"/>
      <c r="L7" s="56"/>
      <c r="M7" s="30"/>
      <c r="N7" s="30"/>
      <c r="O7" s="30"/>
      <c r="P7" s="30"/>
      <c r="Q7" s="30"/>
      <c r="R7" s="30"/>
      <c r="S7" s="56"/>
      <c r="T7" s="30"/>
      <c r="U7" s="30"/>
      <c r="V7" s="30"/>
    </row>
    <row r="8" spans="1:38" s="54" customFormat="1" ht="20.399999999999999">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ht="14.4">
      <c r="A9" s="9"/>
      <c r="B9" s="12"/>
      <c r="C9" s="31" t="s">
        <v>14</v>
      </c>
      <c r="D9" s="26"/>
      <c r="E9" s="32"/>
      <c r="F9" s="26"/>
      <c r="G9" s="26"/>
      <c r="H9" s="26"/>
      <c r="I9" s="26"/>
      <c r="J9" s="26"/>
      <c r="K9" s="26"/>
      <c r="L9" s="32"/>
      <c r="M9" s="26"/>
      <c r="N9" s="26"/>
      <c r="O9" s="26"/>
      <c r="P9" s="26"/>
      <c r="Q9" s="26"/>
      <c r="R9" s="26"/>
      <c r="S9" s="32"/>
      <c r="T9" s="26"/>
      <c r="U9" s="26"/>
      <c r="V9" s="26"/>
    </row>
    <row r="10" spans="1:38" ht="14.4">
      <c r="A10" s="9"/>
      <c r="B10" s="12"/>
      <c r="C10" s="33"/>
      <c r="D10" s="26" t="s">
        <v>5</v>
      </c>
      <c r="E10" s="32"/>
      <c r="F10" s="68">
        <v>74</v>
      </c>
      <c r="G10" s="68">
        <v>0</v>
      </c>
      <c r="H10" s="68">
        <v>29</v>
      </c>
      <c r="I10" s="68">
        <v>62</v>
      </c>
      <c r="J10" s="64" t="str">
        <f t="shared" ref="J10:J28" si="0">IFERROR(F10/G10-1,"n/a")</f>
        <v>n/a</v>
      </c>
      <c r="K10" s="64">
        <f>IFERROR(F10/H10-1,"n/a")</f>
        <v>1.5517241379310347</v>
      </c>
      <c r="L10" s="60">
        <f t="shared" ref="L10:L11" si="1">IFERROR(F10/I10-1,"n/a")</f>
        <v>0.19354838709677424</v>
      </c>
      <c r="M10" s="68">
        <v>197</v>
      </c>
      <c r="N10" s="68">
        <v>0</v>
      </c>
      <c r="O10" s="68">
        <v>145</v>
      </c>
      <c r="P10" s="68">
        <v>200</v>
      </c>
      <c r="Q10" s="64" t="str">
        <f>IFERROR(M10/N10-1,"n/a")</f>
        <v>n/a</v>
      </c>
      <c r="R10" s="64">
        <f>IFERROR(M10/O10-1,"n/a")</f>
        <v>0.35862068965517246</v>
      </c>
      <c r="S10" s="60">
        <f>IFERROR(M10/P10-1,"n/a")</f>
        <v>-1.5000000000000013E-2</v>
      </c>
      <c r="T10" s="68">
        <v>111</v>
      </c>
      <c r="U10" s="70">
        <v>145</v>
      </c>
      <c r="V10" s="70">
        <v>386</v>
      </c>
    </row>
    <row r="11" spans="1:38" ht="14.4">
      <c r="A11" s="9"/>
      <c r="B11" s="12"/>
      <c r="C11" s="33"/>
      <c r="D11" s="26" t="s">
        <v>11</v>
      </c>
      <c r="E11" s="32"/>
      <c r="F11" s="68">
        <v>60824</v>
      </c>
      <c r="G11" s="68">
        <v>0</v>
      </c>
      <c r="H11" s="68">
        <v>48626</v>
      </c>
      <c r="I11" s="68">
        <v>108846</v>
      </c>
      <c r="J11" s="64" t="str">
        <f t="shared" si="0"/>
        <v>n/a</v>
      </c>
      <c r="K11" s="64">
        <f t="shared" ref="K11" si="2">IFERROR(F11/H11-1,"n/a")</f>
        <v>0.25085345288528771</v>
      </c>
      <c r="L11" s="60">
        <f t="shared" si="1"/>
        <v>-0.44119214302776399</v>
      </c>
      <c r="M11" s="68">
        <v>156328</v>
      </c>
      <c r="N11" s="68">
        <v>0</v>
      </c>
      <c r="O11" s="68">
        <v>258885</v>
      </c>
      <c r="P11" s="68">
        <v>385380</v>
      </c>
      <c r="Q11" s="64" t="str">
        <f>IFERROR(M11/N11-1,"n/a")</f>
        <v>n/a</v>
      </c>
      <c r="R11" s="64">
        <f>IFERROR(M11/O11-1,"n/a")</f>
        <v>-0.39614886918902215</v>
      </c>
      <c r="S11" s="60">
        <f>IFERROR(M11/P11-1,"n/a")</f>
        <v>-0.59435362499351285</v>
      </c>
      <c r="T11" s="68">
        <v>80863</v>
      </c>
      <c r="U11" s="70">
        <v>258885</v>
      </c>
      <c r="V11" s="70">
        <v>733296</v>
      </c>
    </row>
    <row r="12" spans="1:38" ht="14.4">
      <c r="A12" s="9"/>
      <c r="B12" s="12"/>
      <c r="C12" s="31" t="s">
        <v>74</v>
      </c>
      <c r="D12" s="26"/>
      <c r="E12" s="32"/>
      <c r="F12" s="45"/>
      <c r="G12" s="45"/>
      <c r="H12" s="45"/>
      <c r="I12" s="45"/>
      <c r="J12" s="64"/>
      <c r="K12" s="64"/>
      <c r="L12" s="61"/>
      <c r="M12" s="43"/>
      <c r="N12" s="43"/>
      <c r="O12" s="43"/>
      <c r="P12" s="43"/>
      <c r="Q12" s="64"/>
      <c r="R12" s="65"/>
      <c r="S12" s="61"/>
      <c r="T12" s="43"/>
      <c r="U12" s="44"/>
      <c r="V12" s="44"/>
    </row>
    <row r="13" spans="1:38" ht="14.4">
      <c r="A13" s="9"/>
      <c r="B13" s="12"/>
      <c r="C13" s="33"/>
      <c r="D13" s="26" t="s">
        <v>5</v>
      </c>
      <c r="E13" s="32"/>
      <c r="F13" s="68">
        <v>24</v>
      </c>
      <c r="G13" s="68">
        <v>0</v>
      </c>
      <c r="H13" s="68">
        <v>10</v>
      </c>
      <c r="I13" s="68">
        <v>44</v>
      </c>
      <c r="J13" s="64" t="str">
        <f t="shared" si="0"/>
        <v>n/a</v>
      </c>
      <c r="K13" s="64">
        <f t="shared" ref="K13:K14" si="3">IFERROR(F13/H13-1,"n/a")</f>
        <v>1.4</v>
      </c>
      <c r="L13" s="60">
        <f t="shared" ref="L13:L14" si="4">IFERROR(F13/I13-1,"n/a")</f>
        <v>-0.45454545454545459</v>
      </c>
      <c r="M13" s="68">
        <v>53</v>
      </c>
      <c r="N13" s="68">
        <v>0</v>
      </c>
      <c r="O13" s="68">
        <v>43</v>
      </c>
      <c r="P13" s="68">
        <v>89</v>
      </c>
      <c r="Q13" s="64" t="str">
        <f t="shared" ref="Q13:Q14" si="5">IFERROR(M13/N13-1,"n/a")</f>
        <v>n/a</v>
      </c>
      <c r="R13" s="64">
        <f t="shared" ref="R13:R14" si="6">IFERROR(M13/O13-1,"n/a")</f>
        <v>0.23255813953488369</v>
      </c>
      <c r="S13" s="60">
        <f t="shared" ref="S13:S14" si="7">IFERROR(M13/P13-1,"n/a")</f>
        <v>-0.4044943820224719</v>
      </c>
      <c r="T13" s="68">
        <v>283</v>
      </c>
      <c r="U13" s="70">
        <v>43</v>
      </c>
      <c r="V13" s="70">
        <v>827</v>
      </c>
    </row>
    <row r="14" spans="1:38" ht="14.4">
      <c r="A14" s="9"/>
      <c r="B14" s="12"/>
      <c r="C14" s="33"/>
      <c r="D14" s="26" t="s">
        <v>11</v>
      </c>
      <c r="E14" s="32"/>
      <c r="F14" s="68">
        <v>32594</v>
      </c>
      <c r="G14" s="68">
        <v>0</v>
      </c>
      <c r="H14" s="68">
        <v>28535</v>
      </c>
      <c r="I14" s="68">
        <v>117674</v>
      </c>
      <c r="J14" s="64" t="str">
        <f t="shared" si="0"/>
        <v>n/a</v>
      </c>
      <c r="K14" s="64">
        <f t="shared" si="3"/>
        <v>0.14224636411424574</v>
      </c>
      <c r="L14" s="60">
        <f t="shared" si="4"/>
        <v>-0.7230144296955997</v>
      </c>
      <c r="M14" s="68">
        <v>68454</v>
      </c>
      <c r="N14" s="68">
        <v>0</v>
      </c>
      <c r="O14" s="68">
        <v>140552</v>
      </c>
      <c r="P14" s="68">
        <v>251900</v>
      </c>
      <c r="Q14" s="64" t="str">
        <f t="shared" si="5"/>
        <v>n/a</v>
      </c>
      <c r="R14" s="64">
        <f t="shared" si="6"/>
        <v>-0.51296317377198475</v>
      </c>
      <c r="S14" s="60">
        <f t="shared" si="7"/>
        <v>-0.72824930527987297</v>
      </c>
      <c r="T14" s="68">
        <v>465109</v>
      </c>
      <c r="U14" s="70">
        <v>140552</v>
      </c>
      <c r="V14" s="70">
        <v>2552942</v>
      </c>
    </row>
    <row r="15" spans="1:38" ht="14.4">
      <c r="A15" s="9"/>
      <c r="B15" s="12"/>
      <c r="C15" s="31" t="s">
        <v>15</v>
      </c>
      <c r="D15" s="26"/>
      <c r="E15" s="32"/>
      <c r="F15" s="43"/>
      <c r="G15" s="43"/>
      <c r="H15" s="43"/>
      <c r="I15" s="43"/>
      <c r="J15" s="64"/>
      <c r="K15" s="64"/>
      <c r="L15" s="60"/>
      <c r="M15" s="43"/>
      <c r="N15" s="43"/>
      <c r="O15" s="43"/>
      <c r="P15" s="43"/>
      <c r="Q15" s="64"/>
      <c r="R15" s="64"/>
      <c r="S15" s="60"/>
      <c r="T15" s="43"/>
      <c r="U15" s="44"/>
      <c r="V15" s="44"/>
    </row>
    <row r="16" spans="1:38" ht="14.4">
      <c r="A16" s="9"/>
      <c r="B16" s="12"/>
      <c r="C16" s="33"/>
      <c r="D16" s="26" t="s">
        <v>5</v>
      </c>
      <c r="E16" s="32"/>
      <c r="F16" s="68">
        <v>5</v>
      </c>
      <c r="G16" s="68">
        <v>0</v>
      </c>
      <c r="H16" s="68">
        <v>2</v>
      </c>
      <c r="I16" s="68">
        <v>5</v>
      </c>
      <c r="J16" s="64" t="str">
        <f t="shared" si="0"/>
        <v>n/a</v>
      </c>
      <c r="K16" s="64">
        <f t="shared" ref="K16:K17" si="8">IFERROR(F16/H16-1,"n/a")</f>
        <v>1.5</v>
      </c>
      <c r="L16" s="60">
        <f>IFERROR(F16/I16-1,"n/a")</f>
        <v>0</v>
      </c>
      <c r="M16" s="68">
        <v>10</v>
      </c>
      <c r="N16" s="68">
        <v>0</v>
      </c>
      <c r="O16" s="68">
        <v>3</v>
      </c>
      <c r="P16" s="68">
        <v>6</v>
      </c>
      <c r="Q16" s="64" t="str">
        <f t="shared" ref="Q16:Q17" si="9">IFERROR(M16/N16-1,"n/a")</f>
        <v>n/a</v>
      </c>
      <c r="R16" s="64">
        <f t="shared" ref="R16:R17" si="10">IFERROR(M16/O16-1,"n/a")</f>
        <v>2.3333333333333335</v>
      </c>
      <c r="S16" s="60">
        <f t="shared" ref="S16:S17" si="11">IFERROR(M16/P16-1,"n/a")</f>
        <v>0.66666666666666674</v>
      </c>
      <c r="T16" s="68">
        <v>23</v>
      </c>
      <c r="U16" s="70">
        <v>4</v>
      </c>
      <c r="V16" s="70">
        <v>191</v>
      </c>
    </row>
    <row r="17" spans="1:38" ht="14.4">
      <c r="A17" s="9"/>
      <c r="B17" s="12"/>
      <c r="C17" s="33"/>
      <c r="D17" s="26" t="s">
        <v>11</v>
      </c>
      <c r="E17" s="32"/>
      <c r="F17" s="68">
        <v>364</v>
      </c>
      <c r="G17" s="68">
        <v>0</v>
      </c>
      <c r="H17" s="68">
        <v>819</v>
      </c>
      <c r="I17" s="68">
        <v>4555</v>
      </c>
      <c r="J17" s="64" t="str">
        <f t="shared" si="0"/>
        <v>n/a</v>
      </c>
      <c r="K17" s="64">
        <f t="shared" si="8"/>
        <v>-0.55555555555555558</v>
      </c>
      <c r="L17" s="60">
        <f t="shared" ref="L17:L28" si="12">IFERROR(F17/I17-1,"n/a")</f>
        <v>-0.92008781558726671</v>
      </c>
      <c r="M17" s="68">
        <v>1472</v>
      </c>
      <c r="N17" s="68">
        <v>0</v>
      </c>
      <c r="O17" s="68">
        <v>1642</v>
      </c>
      <c r="P17" s="68">
        <v>5138</v>
      </c>
      <c r="Q17" s="64" t="str">
        <f t="shared" si="9"/>
        <v>n/a</v>
      </c>
      <c r="R17" s="64">
        <f t="shared" si="10"/>
        <v>-0.10353227771010964</v>
      </c>
      <c r="S17" s="60">
        <f t="shared" si="11"/>
        <v>-0.71350720124562084</v>
      </c>
      <c r="T17" s="68">
        <v>8611</v>
      </c>
      <c r="U17" s="70">
        <v>1753</v>
      </c>
      <c r="V17" s="70">
        <v>254421</v>
      </c>
    </row>
    <row r="18" spans="1:38" ht="14.4">
      <c r="A18" s="9"/>
      <c r="B18" s="12"/>
      <c r="C18" s="31" t="s">
        <v>10</v>
      </c>
      <c r="D18" s="26"/>
      <c r="E18" s="34"/>
      <c r="F18" s="43"/>
      <c r="G18" s="43"/>
      <c r="H18" s="43"/>
      <c r="I18" s="43"/>
      <c r="J18" s="64"/>
      <c r="K18" s="64"/>
      <c r="L18" s="60"/>
      <c r="M18" s="43"/>
      <c r="N18" s="43"/>
      <c r="O18" s="43"/>
      <c r="P18" s="43"/>
      <c r="Q18" s="64"/>
      <c r="R18" s="64"/>
      <c r="S18" s="60"/>
      <c r="T18" s="43"/>
      <c r="U18" s="44"/>
      <c r="V18" s="44"/>
    </row>
    <row r="19" spans="1:38" ht="14.4">
      <c r="A19" s="9"/>
      <c r="B19" s="12"/>
      <c r="C19" s="33"/>
      <c r="D19" s="26" t="s">
        <v>5</v>
      </c>
      <c r="E19" s="34"/>
      <c r="F19" s="68">
        <v>130</v>
      </c>
      <c r="G19" s="68">
        <v>0</v>
      </c>
      <c r="H19" s="68">
        <v>118</v>
      </c>
      <c r="I19" s="68">
        <v>108</v>
      </c>
      <c r="J19" s="64" t="str">
        <f t="shared" si="0"/>
        <v>n/a</v>
      </c>
      <c r="K19" s="64">
        <f t="shared" ref="K19:K20" si="13">IFERROR(F19/H19-1,"n/a")</f>
        <v>0.10169491525423724</v>
      </c>
      <c r="L19" s="60">
        <f t="shared" si="12"/>
        <v>0.20370370370370372</v>
      </c>
      <c r="M19" s="68">
        <v>333</v>
      </c>
      <c r="N19" s="68">
        <v>0</v>
      </c>
      <c r="O19" s="68">
        <v>364</v>
      </c>
      <c r="P19" s="68">
        <v>316</v>
      </c>
      <c r="Q19" s="64" t="str">
        <f t="shared" ref="Q19:Q20" si="14">IFERROR(M19/N19-1,"n/a")</f>
        <v>n/a</v>
      </c>
      <c r="R19" s="64">
        <f t="shared" ref="R19:R20" si="15">IFERROR(M19/O19-1,"n/a")</f>
        <v>-8.5164835164835195E-2</v>
      </c>
      <c r="S19" s="60">
        <f t="shared" ref="S19:S20" si="16">IFERROR(M19/P19-1,"n/a")</f>
        <v>5.3797468354430444E-2</v>
      </c>
      <c r="T19" s="68">
        <v>411</v>
      </c>
      <c r="U19" s="70">
        <v>406</v>
      </c>
      <c r="V19" s="70">
        <v>1205</v>
      </c>
    </row>
    <row r="20" spans="1:38" ht="14.4">
      <c r="A20" s="9"/>
      <c r="B20" s="12"/>
      <c r="C20" s="33"/>
      <c r="D20" s="26" t="s">
        <v>11</v>
      </c>
      <c r="E20" s="32"/>
      <c r="F20" s="68">
        <v>283677</v>
      </c>
      <c r="G20" s="68">
        <v>0</v>
      </c>
      <c r="H20" s="68">
        <v>147660</v>
      </c>
      <c r="I20" s="68">
        <v>391750</v>
      </c>
      <c r="J20" s="64" t="str">
        <f t="shared" si="0"/>
        <v>n/a</v>
      </c>
      <c r="K20" s="64">
        <f t="shared" si="13"/>
        <v>0.92114993904916709</v>
      </c>
      <c r="L20" s="60">
        <f t="shared" si="12"/>
        <v>-0.27587236758136569</v>
      </c>
      <c r="M20" s="68">
        <v>603330</v>
      </c>
      <c r="N20" s="68">
        <v>0</v>
      </c>
      <c r="O20" s="68">
        <v>833999</v>
      </c>
      <c r="P20" s="68">
        <v>1065724</v>
      </c>
      <c r="Q20" s="64" t="str">
        <f t="shared" si="14"/>
        <v>n/a</v>
      </c>
      <c r="R20" s="64">
        <f t="shared" si="15"/>
        <v>-0.27658186640511562</v>
      </c>
      <c r="S20" s="60">
        <f t="shared" si="16"/>
        <v>-0.43387781451858076</v>
      </c>
      <c r="T20" s="68">
        <v>687449</v>
      </c>
      <c r="U20" s="70">
        <v>833999</v>
      </c>
      <c r="V20" s="70">
        <v>3859183</v>
      </c>
    </row>
    <row r="21" spans="1:38" ht="14.4">
      <c r="A21" s="9"/>
      <c r="B21" s="12"/>
      <c r="C21" s="31" t="s">
        <v>16</v>
      </c>
      <c r="D21" s="26"/>
      <c r="E21" s="32"/>
      <c r="F21" s="43"/>
      <c r="G21" s="43"/>
      <c r="H21" s="43"/>
      <c r="I21" s="43"/>
      <c r="J21" s="64"/>
      <c r="K21" s="64"/>
      <c r="L21" s="60"/>
      <c r="M21" s="43"/>
      <c r="N21" s="43"/>
      <c r="O21" s="43"/>
      <c r="P21" s="43"/>
      <c r="Q21" s="64"/>
      <c r="R21" s="64"/>
      <c r="S21" s="60"/>
      <c r="T21" s="43"/>
      <c r="U21" s="44"/>
      <c r="V21" s="44"/>
    </row>
    <row r="22" spans="1:38" ht="14.4">
      <c r="A22" s="9"/>
      <c r="B22" s="12"/>
      <c r="C22" s="33"/>
      <c r="D22" s="26" t="s">
        <v>5</v>
      </c>
      <c r="E22" s="32"/>
      <c r="F22" s="68">
        <v>14</v>
      </c>
      <c r="G22" s="68">
        <v>4</v>
      </c>
      <c r="H22" s="68">
        <v>1</v>
      </c>
      <c r="I22" s="68">
        <v>9</v>
      </c>
      <c r="J22" s="64">
        <f t="shared" si="0"/>
        <v>2.5</v>
      </c>
      <c r="K22" s="64">
        <f t="shared" ref="K22:K23" si="17">IFERROR(F22/H22-1,"n/a")</f>
        <v>13</v>
      </c>
      <c r="L22" s="60">
        <f t="shared" si="12"/>
        <v>0.55555555555555558</v>
      </c>
      <c r="M22" s="68">
        <v>23</v>
      </c>
      <c r="N22" s="68">
        <v>9</v>
      </c>
      <c r="O22" s="68">
        <v>9</v>
      </c>
      <c r="P22" s="68">
        <v>20</v>
      </c>
      <c r="Q22" s="64">
        <f t="shared" ref="Q22:Q23" si="18">IFERROR(M22/N22-1,"n/a")</f>
        <v>1.5555555555555554</v>
      </c>
      <c r="R22" s="64">
        <f t="shared" ref="R22:R23" si="19">IFERROR(M22/O22-1,"n/a")</f>
        <v>1.5555555555555554</v>
      </c>
      <c r="S22" s="60">
        <f t="shared" ref="S22:S23" si="20">IFERROR(M22/P22-1,"n/a")</f>
        <v>0.14999999999999991</v>
      </c>
      <c r="T22" s="68">
        <v>107</v>
      </c>
      <c r="U22" s="70">
        <v>32</v>
      </c>
      <c r="V22" s="70">
        <v>372</v>
      </c>
    </row>
    <row r="23" spans="1:38" ht="14.4">
      <c r="A23" s="9"/>
      <c r="B23" s="12"/>
      <c r="C23" s="33"/>
      <c r="D23" s="26" t="s">
        <v>11</v>
      </c>
      <c r="E23" s="32"/>
      <c r="F23" s="68">
        <v>19157</v>
      </c>
      <c r="G23" s="68">
        <v>3290</v>
      </c>
      <c r="H23" s="68">
        <v>565</v>
      </c>
      <c r="I23" s="68">
        <v>31670</v>
      </c>
      <c r="J23" s="64">
        <f t="shared" si="0"/>
        <v>4.8227963525835866</v>
      </c>
      <c r="K23" s="64">
        <f t="shared" si="17"/>
        <v>32.906194690265487</v>
      </c>
      <c r="L23" s="60">
        <f t="shared" si="12"/>
        <v>-0.39510577833912219</v>
      </c>
      <c r="M23" s="68">
        <v>26521</v>
      </c>
      <c r="N23" s="68">
        <v>7964</v>
      </c>
      <c r="O23" s="68">
        <v>40221</v>
      </c>
      <c r="P23" s="68">
        <v>76275</v>
      </c>
      <c r="Q23" s="64">
        <f t="shared" si="18"/>
        <v>2.3301104972375692</v>
      </c>
      <c r="R23" s="64">
        <f t="shared" si="19"/>
        <v>-0.34061808507993341</v>
      </c>
      <c r="S23" s="60">
        <f t="shared" si="20"/>
        <v>-0.65229760734185516</v>
      </c>
      <c r="T23" s="68">
        <v>147132</v>
      </c>
      <c r="U23" s="70">
        <v>59180</v>
      </c>
      <c r="V23" s="70">
        <v>902015</v>
      </c>
    </row>
    <row r="24" spans="1:38" ht="14.4">
      <c r="A24" s="9"/>
      <c r="B24" s="12"/>
      <c r="C24" s="31" t="s">
        <v>17</v>
      </c>
      <c r="D24" s="26"/>
      <c r="E24" s="32"/>
      <c r="F24" s="43"/>
      <c r="G24" s="43"/>
      <c r="H24" s="43"/>
      <c r="I24" s="43"/>
      <c r="J24" s="64"/>
      <c r="K24" s="64"/>
      <c r="L24" s="60"/>
      <c r="M24" s="43"/>
      <c r="N24" s="43"/>
      <c r="O24" s="43"/>
      <c r="P24" s="43"/>
      <c r="Q24" s="64"/>
      <c r="R24" s="64"/>
      <c r="S24" s="60"/>
      <c r="T24" s="43"/>
      <c r="U24" s="44"/>
      <c r="V24" s="44"/>
    </row>
    <row r="25" spans="1:38" ht="14.4">
      <c r="B25" s="12"/>
      <c r="C25" s="33"/>
      <c r="D25" s="26" t="s">
        <v>5</v>
      </c>
      <c r="E25" s="32"/>
      <c r="F25" s="68">
        <v>14</v>
      </c>
      <c r="G25" s="68">
        <v>1</v>
      </c>
      <c r="H25" s="68">
        <v>0</v>
      </c>
      <c r="I25" s="68">
        <v>1</v>
      </c>
      <c r="J25" s="64">
        <f t="shared" si="0"/>
        <v>13</v>
      </c>
      <c r="K25" s="64" t="str">
        <f t="shared" ref="K25:K28" si="21">IFERROR(F25/H25-1,"n/a")</f>
        <v>n/a</v>
      </c>
      <c r="L25" s="60">
        <f t="shared" si="12"/>
        <v>13</v>
      </c>
      <c r="M25" s="68">
        <v>16</v>
      </c>
      <c r="N25" s="68">
        <v>3</v>
      </c>
      <c r="O25" s="68">
        <v>1</v>
      </c>
      <c r="P25" s="68">
        <v>4</v>
      </c>
      <c r="Q25" s="64">
        <f t="shared" ref="Q25:Q28" si="22">IFERROR(M25/N25-1,"n/a")</f>
        <v>4.333333333333333</v>
      </c>
      <c r="R25" s="64">
        <f t="shared" ref="R25:R28" si="23">IFERROR(M25/O25-1,"n/a")</f>
        <v>15</v>
      </c>
      <c r="S25" s="60">
        <f t="shared" ref="S25:S28" si="24">IFERROR(M25/P25-1,"n/a")</f>
        <v>3</v>
      </c>
      <c r="T25" s="68">
        <v>127</v>
      </c>
      <c r="U25" s="70">
        <v>37</v>
      </c>
      <c r="V25" s="70">
        <f>282+81</f>
        <v>363</v>
      </c>
    </row>
    <row r="26" spans="1:38" ht="14.4">
      <c r="A26" s="9"/>
      <c r="B26" s="12"/>
      <c r="C26" s="33"/>
      <c r="D26" s="26" t="s">
        <v>11</v>
      </c>
      <c r="E26" s="32"/>
      <c r="F26" s="68">
        <f>8889+728</f>
        <v>9617</v>
      </c>
      <c r="G26" s="68">
        <v>856</v>
      </c>
      <c r="H26" s="68">
        <v>0</v>
      </c>
      <c r="I26" s="68">
        <v>1452</v>
      </c>
      <c r="J26" s="64">
        <f t="shared" si="0"/>
        <v>10.234813084112149</v>
      </c>
      <c r="K26" s="64" t="str">
        <f t="shared" si="21"/>
        <v>n/a</v>
      </c>
      <c r="L26" s="60">
        <f t="shared" si="12"/>
        <v>5.6232782369146008</v>
      </c>
      <c r="M26" s="68">
        <f>10872+728</f>
        <v>11600</v>
      </c>
      <c r="N26" s="68">
        <v>2139</v>
      </c>
      <c r="O26" s="68">
        <v>892</v>
      </c>
      <c r="P26" s="68">
        <v>6109</v>
      </c>
      <c r="Q26" s="64">
        <f t="shared" si="22"/>
        <v>4.4230949041608225</v>
      </c>
      <c r="R26" s="64">
        <f t="shared" si="23"/>
        <v>12.004484304932735</v>
      </c>
      <c r="S26" s="60">
        <f t="shared" si="24"/>
        <v>0.89883778032411188</v>
      </c>
      <c r="T26" s="68">
        <v>165083</v>
      </c>
      <c r="U26" s="70">
        <f>20768+8294</f>
        <v>29062</v>
      </c>
      <c r="V26" s="70">
        <f>659951+168729+38484</f>
        <v>867164</v>
      </c>
    </row>
    <row r="27" spans="1:38" thickBot="1">
      <c r="A27" s="9"/>
      <c r="B27" s="12"/>
      <c r="C27" s="35" t="s">
        <v>12</v>
      </c>
      <c r="D27" s="36"/>
      <c r="E27" s="37"/>
      <c r="F27" s="46">
        <f t="shared" ref="F27:I28" si="25">F10+F13+F16+F19+F22+F25</f>
        <v>261</v>
      </c>
      <c r="G27" s="46">
        <f t="shared" si="25"/>
        <v>5</v>
      </c>
      <c r="H27" s="46">
        <f t="shared" si="25"/>
        <v>160</v>
      </c>
      <c r="I27" s="46">
        <f t="shared" si="25"/>
        <v>229</v>
      </c>
      <c r="J27" s="66">
        <f t="shared" si="0"/>
        <v>51.2</v>
      </c>
      <c r="K27" s="66">
        <f t="shared" si="21"/>
        <v>0.63125000000000009</v>
      </c>
      <c r="L27" s="62">
        <f t="shared" si="12"/>
        <v>0.13973799126637565</v>
      </c>
      <c r="M27" s="46">
        <f t="shared" ref="M27:P28" si="26">M10+M13+M16+M19+M22+M25</f>
        <v>632</v>
      </c>
      <c r="N27" s="46">
        <f t="shared" si="26"/>
        <v>12</v>
      </c>
      <c r="O27" s="46">
        <f t="shared" si="26"/>
        <v>565</v>
      </c>
      <c r="P27" s="46">
        <f t="shared" si="26"/>
        <v>635</v>
      </c>
      <c r="Q27" s="66">
        <f t="shared" si="22"/>
        <v>51.666666666666664</v>
      </c>
      <c r="R27" s="66">
        <f t="shared" si="23"/>
        <v>0.11858407079646027</v>
      </c>
      <c r="S27" s="62">
        <f t="shared" si="24"/>
        <v>-4.7244094488189115E-3</v>
      </c>
      <c r="T27" s="46">
        <f t="shared" ref="T27:V28" si="27">T10+T13+T16+T19+T22+T25</f>
        <v>1062</v>
      </c>
      <c r="U27" s="46">
        <f t="shared" si="27"/>
        <v>667</v>
      </c>
      <c r="V27" s="46">
        <f t="shared" si="27"/>
        <v>3344</v>
      </c>
    </row>
    <row r="28" spans="1:38" s="22" customFormat="1" ht="15.6" thickTop="1" thickBot="1">
      <c r="A28" s="9"/>
      <c r="B28" s="12"/>
      <c r="C28" s="38" t="s">
        <v>13</v>
      </c>
      <c r="D28" s="39"/>
      <c r="E28" s="40"/>
      <c r="F28" s="47">
        <f t="shared" si="25"/>
        <v>406233</v>
      </c>
      <c r="G28" s="47">
        <f t="shared" si="25"/>
        <v>4146</v>
      </c>
      <c r="H28" s="47">
        <f t="shared" si="25"/>
        <v>226205</v>
      </c>
      <c r="I28" s="47">
        <f t="shared" si="25"/>
        <v>655947</v>
      </c>
      <c r="J28" s="67">
        <f t="shared" si="0"/>
        <v>96.981910274963823</v>
      </c>
      <c r="K28" s="67">
        <f t="shared" si="21"/>
        <v>0.79586216042969871</v>
      </c>
      <c r="L28" s="63">
        <f t="shared" si="12"/>
        <v>-0.38069234252157569</v>
      </c>
      <c r="M28" s="47">
        <f t="shared" si="26"/>
        <v>867705</v>
      </c>
      <c r="N28" s="47">
        <f t="shared" si="26"/>
        <v>10103</v>
      </c>
      <c r="O28" s="47">
        <f t="shared" si="26"/>
        <v>1276191</v>
      </c>
      <c r="P28" s="47">
        <f t="shared" si="26"/>
        <v>1790526</v>
      </c>
      <c r="Q28" s="67">
        <f t="shared" si="22"/>
        <v>84.88587548252994</v>
      </c>
      <c r="R28" s="67">
        <f t="shared" si="23"/>
        <v>-0.32008218205582084</v>
      </c>
      <c r="S28" s="63">
        <f t="shared" si="24"/>
        <v>-0.51539100800546878</v>
      </c>
      <c r="T28" s="47">
        <f t="shared" si="27"/>
        <v>1554247</v>
      </c>
      <c r="U28" s="47">
        <f t="shared" si="27"/>
        <v>1323431</v>
      </c>
      <c r="V28" s="47">
        <f t="shared" si="27"/>
        <v>9169021</v>
      </c>
      <c r="W28" s="9"/>
      <c r="X28" s="21"/>
      <c r="Y28" s="21"/>
      <c r="Z28" s="21"/>
      <c r="AA28" s="21"/>
      <c r="AB28" s="21"/>
      <c r="AC28" s="21"/>
      <c r="AD28" s="21"/>
      <c r="AE28" s="21"/>
      <c r="AF28" s="21"/>
      <c r="AG28" s="21"/>
      <c r="AH28" s="21"/>
      <c r="AI28" s="21"/>
      <c r="AJ28" s="21"/>
      <c r="AK28" s="21"/>
      <c r="AL28" s="21"/>
    </row>
    <row r="29" spans="1:38" thickTop="1">
      <c r="A29" s="9"/>
      <c r="B29" s="9"/>
      <c r="C29" s="9"/>
      <c r="D29" s="9"/>
      <c r="E29" s="9"/>
      <c r="F29" s="9"/>
      <c r="G29" s="41"/>
      <c r="H29" s="41"/>
      <c r="I29" s="41"/>
      <c r="J29" s="41"/>
      <c r="K29" s="9"/>
      <c r="L29" s="9"/>
      <c r="M29" s="9"/>
      <c r="N29" s="9"/>
      <c r="O29" s="9"/>
      <c r="P29" s="9"/>
      <c r="Q29" s="9"/>
      <c r="R29" s="9"/>
      <c r="S29" s="9"/>
      <c r="T29" s="9"/>
      <c r="U29" s="9"/>
      <c r="V29" s="9"/>
    </row>
    <row r="30" spans="1:38" ht="14.4" hidden="1">
      <c r="A30" s="9"/>
      <c r="B30" s="9"/>
      <c r="C30" s="9"/>
      <c r="D30" s="9"/>
      <c r="E30" s="9"/>
      <c r="F30" s="9"/>
      <c r="G30" s="41"/>
      <c r="H30" s="41"/>
      <c r="I30" s="41"/>
      <c r="J30" s="41"/>
      <c r="K30" s="9"/>
      <c r="L30" s="9"/>
      <c r="M30" s="9"/>
      <c r="N30" s="9"/>
      <c r="O30" s="9"/>
      <c r="P30" s="9"/>
      <c r="Q30" s="9"/>
      <c r="R30" s="9"/>
      <c r="S30" s="9"/>
      <c r="T30" s="9"/>
      <c r="U30" s="9"/>
      <c r="V30" s="9"/>
    </row>
    <row r="31" spans="1:38" ht="14.4" hidden="1">
      <c r="A31" s="9"/>
      <c r="B31" s="9"/>
      <c r="C31" s="9"/>
      <c r="D31" s="9"/>
      <c r="E31" s="9"/>
      <c r="F31" s="9"/>
      <c r="G31" s="41"/>
      <c r="H31" s="41"/>
      <c r="I31" s="41"/>
      <c r="J31" s="41"/>
      <c r="K31" s="9"/>
      <c r="L31" s="9"/>
      <c r="M31" s="9"/>
      <c r="N31" s="9"/>
      <c r="O31" s="9"/>
      <c r="P31" s="9"/>
      <c r="Q31" s="9"/>
      <c r="R31" s="9"/>
      <c r="S31" s="9"/>
      <c r="T31" s="9"/>
      <c r="U31" s="9"/>
      <c r="V31" s="9"/>
    </row>
    <row r="32" spans="1:38" ht="14.4" hidden="1">
      <c r="A32" s="9"/>
      <c r="B32" s="9"/>
      <c r="C32" s="9"/>
      <c r="D32" s="9"/>
      <c r="E32" s="9"/>
      <c r="F32" s="9"/>
      <c r="G32" s="41"/>
      <c r="H32" s="41"/>
      <c r="I32" s="41"/>
      <c r="J32" s="41"/>
      <c r="K32" s="9"/>
      <c r="L32" s="9"/>
      <c r="M32" s="9"/>
      <c r="N32" s="9"/>
      <c r="O32" s="9"/>
      <c r="P32" s="9"/>
      <c r="Q32" s="9"/>
      <c r="R32" s="9"/>
      <c r="S32" s="9"/>
      <c r="T32" s="9"/>
      <c r="U32" s="9"/>
      <c r="V32" s="9"/>
    </row>
    <row r="33" spans="7:10" s="9" customFormat="1" ht="14.4" hidden="1">
      <c r="G33" s="41"/>
      <c r="H33" s="41"/>
      <c r="I33" s="41"/>
      <c r="J33" s="41"/>
    </row>
    <row r="34" spans="7:10" s="9" customFormat="1" ht="14.4" hidden="1">
      <c r="G34" s="41"/>
      <c r="H34" s="41"/>
      <c r="I34" s="41"/>
      <c r="J34" s="41"/>
    </row>
    <row r="35" spans="7:10" s="9" customFormat="1" ht="14.4" hidden="1">
      <c r="G35" s="41"/>
      <c r="H35" s="41"/>
      <c r="I35" s="41"/>
      <c r="J35" s="41"/>
    </row>
    <row r="36" spans="7:10" s="9" customFormat="1" ht="14.4" hidden="1">
      <c r="G36" s="41"/>
      <c r="H36" s="41"/>
      <c r="I36" s="41"/>
      <c r="J36" s="41"/>
    </row>
    <row r="37" spans="7:10" s="9" customFormat="1" ht="14.4" hidden="1">
      <c r="G37" s="41"/>
      <c r="H37" s="41"/>
      <c r="I37" s="41"/>
      <c r="J37" s="41"/>
    </row>
    <row r="38" spans="7:10" s="9" customFormat="1" ht="14.4" hidden="1">
      <c r="G38" s="41"/>
      <c r="H38" s="41"/>
      <c r="I38" s="41"/>
      <c r="J38" s="41"/>
    </row>
    <row r="39" spans="7:10" s="9" customFormat="1" ht="14.4" hidden="1">
      <c r="G39" s="41"/>
      <c r="H39" s="41"/>
      <c r="I39" s="41"/>
      <c r="J39" s="41"/>
    </row>
    <row r="40" spans="7:10" s="9" customFormat="1" ht="14.4" hidden="1">
      <c r="G40" s="41"/>
      <c r="H40" s="41"/>
      <c r="I40" s="41"/>
      <c r="J40" s="41"/>
    </row>
    <row r="41" spans="7:10" s="9" customFormat="1" ht="14.4" hidden="1">
      <c r="G41" s="41"/>
      <c r="H41" s="41"/>
      <c r="I41" s="41"/>
      <c r="J41" s="41"/>
    </row>
    <row r="42" spans="7:10" s="9" customFormat="1" ht="14.4" hidden="1">
      <c r="G42" s="41"/>
      <c r="H42" s="41"/>
      <c r="I42" s="41"/>
      <c r="J42" s="41"/>
    </row>
    <row r="43" spans="7:10" s="9" customFormat="1" ht="14.4" hidden="1">
      <c r="G43" s="41"/>
      <c r="H43" s="41"/>
      <c r="I43" s="41"/>
      <c r="J43" s="41"/>
    </row>
    <row r="44" spans="7:10" s="9" customFormat="1" ht="14.4" hidden="1">
      <c r="G44" s="41"/>
      <c r="H44" s="41"/>
      <c r="I44" s="41"/>
      <c r="J44" s="41"/>
    </row>
    <row r="45" spans="7:10" s="9" customFormat="1" ht="14.4" hidden="1">
      <c r="G45" s="41"/>
      <c r="H45" s="41"/>
      <c r="I45" s="41"/>
      <c r="J45" s="41"/>
    </row>
    <row r="46" spans="7:10" s="9" customFormat="1" ht="14.4" hidden="1">
      <c r="G46" s="41"/>
      <c r="H46" s="41"/>
      <c r="I46" s="41"/>
      <c r="J46" s="41"/>
    </row>
    <row r="47" spans="7:10" s="9" customFormat="1" ht="14.4" hidden="1">
      <c r="G47" s="41"/>
      <c r="H47" s="41"/>
      <c r="I47" s="41"/>
      <c r="J47" s="41"/>
    </row>
    <row r="48" spans="7:10" s="9" customFormat="1" ht="14.4" hidden="1"/>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AL48"/>
  <sheetViews>
    <sheetView showGridLines="0" zoomScale="79" zoomScaleNormal="100" workbookViewId="0"/>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1.33203125" bestFit="1" customWidth="1"/>
    <col min="9" max="9" width="10.55468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9" customWidth="1"/>
    <col min="24" max="38" width="0" style="9" hidden="1" customWidth="1"/>
    <col min="39"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40</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s="20" customFormat="1" ht="14.4">
      <c r="A6" s="9"/>
      <c r="B6"/>
      <c r="C6" s="27" t="s">
        <v>7</v>
      </c>
      <c r="D6" s="28"/>
      <c r="E6" s="28"/>
      <c r="F6" s="128" t="s">
        <v>39</v>
      </c>
      <c r="G6" s="128"/>
      <c r="H6" s="128"/>
      <c r="I6" s="128"/>
      <c r="J6" s="128"/>
      <c r="K6" s="128"/>
      <c r="L6" s="129"/>
      <c r="M6" s="130" t="s">
        <v>38</v>
      </c>
      <c r="N6" s="128"/>
      <c r="O6" s="128"/>
      <c r="P6" s="128"/>
      <c r="Q6" s="128"/>
      <c r="R6" s="128"/>
      <c r="S6" s="129"/>
      <c r="T6" s="130" t="s">
        <v>9</v>
      </c>
      <c r="U6" s="128"/>
      <c r="V6" s="128"/>
      <c r="W6" s="9"/>
      <c r="X6" s="19"/>
      <c r="Y6" s="19"/>
      <c r="Z6" s="19"/>
      <c r="AA6" s="19"/>
      <c r="AB6" s="19"/>
      <c r="AC6" s="19"/>
      <c r="AD6" s="19"/>
      <c r="AE6" s="19"/>
      <c r="AF6" s="19"/>
      <c r="AG6" s="19"/>
      <c r="AH6" s="19"/>
      <c r="AI6" s="19"/>
      <c r="AJ6" s="19"/>
      <c r="AK6" s="19"/>
      <c r="AL6" s="19"/>
    </row>
    <row r="7" spans="1:38" ht="14.4">
      <c r="A7" s="9"/>
      <c r="B7" s="18"/>
      <c r="C7" s="29"/>
      <c r="D7" s="30"/>
      <c r="E7" s="30"/>
      <c r="F7" s="29"/>
      <c r="G7" s="30"/>
      <c r="H7" s="30"/>
      <c r="I7" s="30"/>
      <c r="J7" s="30"/>
      <c r="K7" s="30"/>
      <c r="L7" s="56"/>
      <c r="M7" s="30"/>
      <c r="N7" s="30"/>
      <c r="O7" s="30"/>
      <c r="P7" s="30"/>
      <c r="Q7" s="30"/>
      <c r="R7" s="30"/>
      <c r="S7" s="56"/>
      <c r="T7" s="30"/>
      <c r="U7" s="30"/>
      <c r="V7" s="30"/>
    </row>
    <row r="8" spans="1:38" s="54" customFormat="1" ht="20.399999999999999">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ht="14.4">
      <c r="A9" s="9"/>
      <c r="B9" s="12"/>
      <c r="C9" s="31" t="s">
        <v>14</v>
      </c>
      <c r="D9" s="26"/>
      <c r="E9" s="32"/>
      <c r="F9" s="26"/>
      <c r="G9" s="26"/>
      <c r="H9" s="26"/>
      <c r="I9" s="26"/>
      <c r="J9" s="26"/>
      <c r="K9" s="26"/>
      <c r="L9" s="32"/>
      <c r="M9" s="26"/>
      <c r="N9" s="26"/>
      <c r="O9" s="26"/>
      <c r="P9" s="26"/>
      <c r="Q9" s="26"/>
      <c r="R9" s="26"/>
      <c r="S9" s="32"/>
      <c r="T9" s="26"/>
      <c r="U9" s="26"/>
      <c r="V9" s="26"/>
    </row>
    <row r="10" spans="1:38" ht="14.4">
      <c r="A10" s="9"/>
      <c r="B10" s="12"/>
      <c r="C10" s="33"/>
      <c r="D10" s="26" t="s">
        <v>5</v>
      </c>
      <c r="E10" s="32"/>
      <c r="F10" s="68">
        <v>59</v>
      </c>
      <c r="G10" s="68">
        <v>0</v>
      </c>
      <c r="H10" s="68">
        <v>55</v>
      </c>
      <c r="I10" s="68">
        <v>62</v>
      </c>
      <c r="J10" s="64" t="str">
        <f t="shared" ref="J10:J28" si="0">IFERROR(F10/G10-1,"n/a")</f>
        <v>n/a</v>
      </c>
      <c r="K10" s="64">
        <f>IFERROR(F10/H10-1,"n/a")</f>
        <v>7.2727272727272751E-2</v>
      </c>
      <c r="L10" s="60">
        <f t="shared" ref="L10:L11" si="1">IFERROR(F10/I10-1,"n/a")</f>
        <v>-4.8387096774193505E-2</v>
      </c>
      <c r="M10" s="68">
        <v>123</v>
      </c>
      <c r="N10" s="68">
        <v>0</v>
      </c>
      <c r="O10" s="68">
        <v>116</v>
      </c>
      <c r="P10" s="68">
        <v>138</v>
      </c>
      <c r="Q10" s="64" t="str">
        <f>IFERROR(M10/N10-1,"n/a")</f>
        <v>n/a</v>
      </c>
      <c r="R10" s="64">
        <f>IFERROR(M10/O10-1,"n/a")</f>
        <v>6.0344827586206851E-2</v>
      </c>
      <c r="S10" s="60">
        <f>IFERROR(M10/P10-1,"n/a")</f>
        <v>-0.10869565217391308</v>
      </c>
      <c r="T10" s="68">
        <v>111</v>
      </c>
      <c r="U10" s="70">
        <v>145</v>
      </c>
      <c r="V10" s="70">
        <v>386</v>
      </c>
    </row>
    <row r="11" spans="1:38" ht="14.4">
      <c r="A11" s="9"/>
      <c r="B11" s="12"/>
      <c r="C11" s="33"/>
      <c r="D11" s="26" t="s">
        <v>11</v>
      </c>
      <c r="E11" s="32"/>
      <c r="F11" s="68">
        <v>44710</v>
      </c>
      <c r="G11" s="68">
        <v>0</v>
      </c>
      <c r="H11" s="68">
        <v>101463</v>
      </c>
      <c r="I11" s="68">
        <v>119668</v>
      </c>
      <c r="J11" s="64" t="str">
        <f t="shared" si="0"/>
        <v>n/a</v>
      </c>
      <c r="K11" s="64">
        <f t="shared" ref="K11" si="2">IFERROR(F11/H11-1,"n/a")</f>
        <v>-0.55934675694588176</v>
      </c>
      <c r="L11" s="60">
        <f t="shared" si="1"/>
        <v>-0.62638299294715383</v>
      </c>
      <c r="M11" s="68">
        <v>95504</v>
      </c>
      <c r="N11" s="68">
        <v>0</v>
      </c>
      <c r="O11" s="68">
        <v>210259</v>
      </c>
      <c r="P11" s="68">
        <v>276534</v>
      </c>
      <c r="Q11" s="64" t="str">
        <f>IFERROR(M11/N11-1,"n/a")</f>
        <v>n/a</v>
      </c>
      <c r="R11" s="64">
        <f>IFERROR(M11/O11-1,"n/a")</f>
        <v>-0.54577925320675935</v>
      </c>
      <c r="S11" s="60">
        <f>IFERROR(M11/P11-1,"n/a")</f>
        <v>-0.65463921253806046</v>
      </c>
      <c r="T11" s="68">
        <v>80863</v>
      </c>
      <c r="U11" s="70">
        <v>258885</v>
      </c>
      <c r="V11" s="70">
        <v>733296</v>
      </c>
    </row>
    <row r="12" spans="1:38" ht="14.4">
      <c r="A12" s="9"/>
      <c r="B12" s="12"/>
      <c r="C12" s="31" t="s">
        <v>74</v>
      </c>
      <c r="D12" s="26"/>
      <c r="E12" s="32"/>
      <c r="F12" s="45"/>
      <c r="G12" s="45"/>
      <c r="H12" s="45"/>
      <c r="I12" s="45"/>
      <c r="J12" s="64"/>
      <c r="K12" s="64"/>
      <c r="L12" s="61"/>
      <c r="M12" s="43"/>
      <c r="N12" s="43"/>
      <c r="O12" s="43"/>
      <c r="P12" s="43"/>
      <c r="Q12" s="64"/>
      <c r="R12" s="65"/>
      <c r="S12" s="61"/>
      <c r="T12" s="43"/>
      <c r="U12" s="44"/>
      <c r="V12" s="44"/>
    </row>
    <row r="13" spans="1:38" ht="14.4">
      <c r="A13" s="9"/>
      <c r="B13" s="12"/>
      <c r="C13" s="33"/>
      <c r="D13" s="26" t="s">
        <v>5</v>
      </c>
      <c r="E13" s="32"/>
      <c r="F13" s="68">
        <v>13</v>
      </c>
      <c r="G13" s="68">
        <v>0</v>
      </c>
      <c r="H13" s="68">
        <v>14</v>
      </c>
      <c r="I13" s="68">
        <v>21</v>
      </c>
      <c r="J13" s="64" t="str">
        <f t="shared" si="0"/>
        <v>n/a</v>
      </c>
      <c r="K13" s="64">
        <f t="shared" ref="K13:K14" si="3">IFERROR(F13/H13-1,"n/a")</f>
        <v>-7.1428571428571397E-2</v>
      </c>
      <c r="L13" s="60">
        <f t="shared" ref="L13:L14" si="4">IFERROR(F13/I13-1,"n/a")</f>
        <v>-0.38095238095238093</v>
      </c>
      <c r="M13" s="68">
        <v>29</v>
      </c>
      <c r="N13" s="68">
        <v>0</v>
      </c>
      <c r="O13" s="68">
        <v>33</v>
      </c>
      <c r="P13" s="68">
        <v>45</v>
      </c>
      <c r="Q13" s="64" t="str">
        <f t="shared" ref="Q13:Q14" si="5">IFERROR(M13/N13-1,"n/a")</f>
        <v>n/a</v>
      </c>
      <c r="R13" s="64">
        <f t="shared" ref="R13:R14" si="6">IFERROR(M13/O13-1,"n/a")</f>
        <v>-0.12121212121212122</v>
      </c>
      <c r="S13" s="60">
        <f t="shared" ref="S13:S14" si="7">IFERROR(M13/P13-1,"n/a")</f>
        <v>-0.35555555555555551</v>
      </c>
      <c r="T13" s="68">
        <v>283</v>
      </c>
      <c r="U13" s="70">
        <v>43</v>
      </c>
      <c r="V13" s="70">
        <v>827</v>
      </c>
    </row>
    <row r="14" spans="1:38" ht="14.4">
      <c r="A14" s="9"/>
      <c r="B14" s="12"/>
      <c r="C14" s="33"/>
      <c r="D14" s="26" t="s">
        <v>11</v>
      </c>
      <c r="E14" s="32"/>
      <c r="F14" s="68">
        <v>14032</v>
      </c>
      <c r="G14" s="68">
        <v>0</v>
      </c>
      <c r="H14" s="68">
        <v>47023</v>
      </c>
      <c r="I14" s="68">
        <v>59703</v>
      </c>
      <c r="J14" s="64" t="str">
        <f t="shared" si="0"/>
        <v>n/a</v>
      </c>
      <c r="K14" s="64">
        <f t="shared" si="3"/>
        <v>-0.70159283754758306</v>
      </c>
      <c r="L14" s="60">
        <f t="shared" si="4"/>
        <v>-0.76496993450915363</v>
      </c>
      <c r="M14" s="68">
        <v>35860</v>
      </c>
      <c r="N14" s="68">
        <v>0</v>
      </c>
      <c r="O14" s="68">
        <v>112017</v>
      </c>
      <c r="P14" s="68">
        <v>134226</v>
      </c>
      <c r="Q14" s="64" t="str">
        <f t="shared" si="5"/>
        <v>n/a</v>
      </c>
      <c r="R14" s="64">
        <f t="shared" si="6"/>
        <v>-0.67987001972914829</v>
      </c>
      <c r="S14" s="60">
        <f t="shared" si="7"/>
        <v>-0.73283864526991782</v>
      </c>
      <c r="T14" s="68">
        <v>465109</v>
      </c>
      <c r="U14" s="70">
        <v>140552</v>
      </c>
      <c r="V14" s="70">
        <v>2552942</v>
      </c>
    </row>
    <row r="15" spans="1:38" ht="14.4">
      <c r="A15" s="9"/>
      <c r="B15" s="12"/>
      <c r="C15" s="31" t="s">
        <v>15</v>
      </c>
      <c r="D15" s="26"/>
      <c r="E15" s="32"/>
      <c r="F15" s="43"/>
      <c r="G15" s="43"/>
      <c r="H15" s="43"/>
      <c r="I15" s="43"/>
      <c r="J15" s="64"/>
      <c r="K15" s="64"/>
      <c r="L15" s="60"/>
      <c r="M15" s="43"/>
      <c r="N15" s="43"/>
      <c r="O15" s="43"/>
      <c r="P15" s="43"/>
      <c r="Q15" s="64"/>
      <c r="R15" s="64"/>
      <c r="S15" s="60"/>
      <c r="T15" s="43"/>
      <c r="U15" s="44"/>
      <c r="V15" s="44"/>
    </row>
    <row r="16" spans="1:38" ht="14.4">
      <c r="A16" s="9"/>
      <c r="B16" s="12"/>
      <c r="C16" s="33"/>
      <c r="D16" s="26" t="s">
        <v>5</v>
      </c>
      <c r="E16" s="32"/>
      <c r="F16" s="68">
        <v>2</v>
      </c>
      <c r="G16" s="68">
        <v>0</v>
      </c>
      <c r="H16" s="68">
        <v>0</v>
      </c>
      <c r="I16" s="68">
        <v>1</v>
      </c>
      <c r="J16" s="64" t="str">
        <f t="shared" si="0"/>
        <v>n/a</v>
      </c>
      <c r="K16" s="64" t="str">
        <f t="shared" ref="K16:K17" si="8">IFERROR(F16/H16-1,"n/a")</f>
        <v>n/a</v>
      </c>
      <c r="L16" s="60">
        <f>IFERROR(F16/I16-1,"n/a")</f>
        <v>1</v>
      </c>
      <c r="M16" s="68">
        <v>5</v>
      </c>
      <c r="N16" s="68">
        <v>0</v>
      </c>
      <c r="O16" s="68">
        <v>1</v>
      </c>
      <c r="P16" s="68">
        <v>1</v>
      </c>
      <c r="Q16" s="64" t="str">
        <f t="shared" ref="Q16:Q17" si="9">IFERROR(M16/N16-1,"n/a")</f>
        <v>n/a</v>
      </c>
      <c r="R16" s="64">
        <f t="shared" ref="R16:R17" si="10">IFERROR(M16/O16-1,"n/a")</f>
        <v>4</v>
      </c>
      <c r="S16" s="60">
        <f t="shared" ref="S16:S17" si="11">IFERROR(M16/P16-1,"n/a")</f>
        <v>4</v>
      </c>
      <c r="T16" s="68">
        <v>23</v>
      </c>
      <c r="U16" s="70">
        <v>4</v>
      </c>
      <c r="V16" s="70">
        <v>191</v>
      </c>
    </row>
    <row r="17" spans="1:38" ht="14.4">
      <c r="A17" s="9"/>
      <c r="B17" s="12"/>
      <c r="C17" s="33"/>
      <c r="D17" s="26" t="s">
        <v>11</v>
      </c>
      <c r="E17" s="32"/>
      <c r="F17" s="68">
        <v>294</v>
      </c>
      <c r="G17" s="68">
        <v>0</v>
      </c>
      <c r="H17" s="68">
        <v>0</v>
      </c>
      <c r="I17" s="68">
        <v>583</v>
      </c>
      <c r="J17" s="64" t="str">
        <f t="shared" si="0"/>
        <v>n/a</v>
      </c>
      <c r="K17" s="64" t="str">
        <f t="shared" si="8"/>
        <v>n/a</v>
      </c>
      <c r="L17" s="60">
        <f t="shared" ref="L17:L28" si="12">IFERROR(F17/I17-1,"n/a")</f>
        <v>-0.49571183533447682</v>
      </c>
      <c r="M17" s="68">
        <v>1108</v>
      </c>
      <c r="N17" s="68">
        <v>0</v>
      </c>
      <c r="O17" s="68">
        <v>823</v>
      </c>
      <c r="P17" s="68">
        <v>583</v>
      </c>
      <c r="Q17" s="64" t="str">
        <f t="shared" si="9"/>
        <v>n/a</v>
      </c>
      <c r="R17" s="64">
        <f t="shared" si="10"/>
        <v>0.34629404617253945</v>
      </c>
      <c r="S17" s="60">
        <f t="shared" si="11"/>
        <v>0.90051457975986282</v>
      </c>
      <c r="T17" s="68">
        <v>8611</v>
      </c>
      <c r="U17" s="70">
        <v>1753</v>
      </c>
      <c r="V17" s="70">
        <v>254421</v>
      </c>
    </row>
    <row r="18" spans="1:38" ht="14.4">
      <c r="A18" s="9"/>
      <c r="B18" s="12"/>
      <c r="C18" s="31" t="s">
        <v>10</v>
      </c>
      <c r="D18" s="26"/>
      <c r="E18" s="34"/>
      <c r="F18" s="43"/>
      <c r="G18" s="43"/>
      <c r="H18" s="43"/>
      <c r="I18" s="43"/>
      <c r="J18" s="64"/>
      <c r="K18" s="64"/>
      <c r="L18" s="60"/>
      <c r="M18" s="43"/>
      <c r="N18" s="43"/>
      <c r="O18" s="43"/>
      <c r="P18" s="43"/>
      <c r="Q18" s="64"/>
      <c r="R18" s="64"/>
      <c r="S18" s="60"/>
      <c r="T18" s="43"/>
      <c r="U18" s="44"/>
      <c r="V18" s="44"/>
    </row>
    <row r="19" spans="1:38" ht="14.4">
      <c r="A19" s="9"/>
      <c r="B19" s="12"/>
      <c r="C19" s="33"/>
      <c r="D19" s="26" t="s">
        <v>5</v>
      </c>
      <c r="E19" s="34"/>
      <c r="F19" s="68">
        <v>103</v>
      </c>
      <c r="G19" s="68">
        <v>0</v>
      </c>
      <c r="H19" s="68">
        <v>120</v>
      </c>
      <c r="I19" s="68">
        <v>95</v>
      </c>
      <c r="J19" s="64" t="str">
        <f t="shared" si="0"/>
        <v>n/a</v>
      </c>
      <c r="K19" s="64">
        <f t="shared" ref="K19:K20" si="13">IFERROR(F19/H19-1,"n/a")</f>
        <v>-0.14166666666666672</v>
      </c>
      <c r="L19" s="60">
        <f t="shared" si="12"/>
        <v>8.4210526315789513E-2</v>
      </c>
      <c r="M19" s="68">
        <v>203</v>
      </c>
      <c r="N19" s="68">
        <v>0</v>
      </c>
      <c r="O19" s="68">
        <v>246</v>
      </c>
      <c r="P19" s="68">
        <v>208</v>
      </c>
      <c r="Q19" s="64" t="str">
        <f t="shared" ref="Q19:Q20" si="14">IFERROR(M19/N19-1,"n/a")</f>
        <v>n/a</v>
      </c>
      <c r="R19" s="64">
        <f t="shared" ref="R19:R20" si="15">IFERROR(M19/O19-1,"n/a")</f>
        <v>-0.17479674796747968</v>
      </c>
      <c r="S19" s="60">
        <f t="shared" ref="S19:S20" si="16">IFERROR(M19/P19-1,"n/a")</f>
        <v>-2.4038461538461564E-2</v>
      </c>
      <c r="T19" s="68">
        <v>411</v>
      </c>
      <c r="U19" s="70">
        <v>406</v>
      </c>
      <c r="V19" s="70">
        <v>1205</v>
      </c>
    </row>
    <row r="20" spans="1:38" ht="14.4">
      <c r="A20" s="9"/>
      <c r="B20" s="12"/>
      <c r="C20" s="33"/>
      <c r="D20" s="26" t="s">
        <v>11</v>
      </c>
      <c r="E20" s="32"/>
      <c r="F20" s="68">
        <v>174835</v>
      </c>
      <c r="G20" s="68">
        <v>0</v>
      </c>
      <c r="H20" s="68">
        <v>329055</v>
      </c>
      <c r="I20" s="68">
        <v>305578</v>
      </c>
      <c r="J20" s="64" t="str">
        <f t="shared" si="0"/>
        <v>n/a</v>
      </c>
      <c r="K20" s="64">
        <f t="shared" si="13"/>
        <v>-0.46867544939295858</v>
      </c>
      <c r="L20" s="60">
        <f t="shared" si="12"/>
        <v>-0.42785475394171046</v>
      </c>
      <c r="M20" s="68">
        <v>319653</v>
      </c>
      <c r="N20" s="68">
        <v>0</v>
      </c>
      <c r="O20" s="68">
        <v>686339</v>
      </c>
      <c r="P20" s="68">
        <v>673974</v>
      </c>
      <c r="Q20" s="64" t="str">
        <f t="shared" si="14"/>
        <v>n/a</v>
      </c>
      <c r="R20" s="64">
        <f t="shared" si="15"/>
        <v>-0.53426368019302417</v>
      </c>
      <c r="S20" s="60">
        <f t="shared" si="16"/>
        <v>-0.52571909302139253</v>
      </c>
      <c r="T20" s="68">
        <v>687449</v>
      </c>
      <c r="U20" s="70">
        <v>833999</v>
      </c>
      <c r="V20" s="70">
        <v>3859183</v>
      </c>
    </row>
    <row r="21" spans="1:38" ht="14.4">
      <c r="A21" s="9"/>
      <c r="B21" s="12"/>
      <c r="C21" s="31" t="s">
        <v>16</v>
      </c>
      <c r="D21" s="26"/>
      <c r="E21" s="32"/>
      <c r="F21" s="43"/>
      <c r="G21" s="43"/>
      <c r="H21" s="43"/>
      <c r="I21" s="43"/>
      <c r="J21" s="64"/>
      <c r="K21" s="64"/>
      <c r="L21" s="60"/>
      <c r="M21" s="43"/>
      <c r="N21" s="43"/>
      <c r="O21" s="43"/>
      <c r="P21" s="43"/>
      <c r="Q21" s="64"/>
      <c r="R21" s="64"/>
      <c r="S21" s="60"/>
      <c r="T21" s="43"/>
      <c r="U21" s="44"/>
      <c r="V21" s="44"/>
    </row>
    <row r="22" spans="1:38" ht="14.4">
      <c r="A22" s="9"/>
      <c r="B22" s="12"/>
      <c r="C22" s="33"/>
      <c r="D22" s="26" t="s">
        <v>5</v>
      </c>
      <c r="E22" s="32"/>
      <c r="F22" s="68">
        <v>6</v>
      </c>
      <c r="G22" s="68">
        <v>4</v>
      </c>
      <c r="H22" s="68">
        <v>3</v>
      </c>
      <c r="I22" s="68">
        <v>7</v>
      </c>
      <c r="J22" s="64">
        <f t="shared" si="0"/>
        <v>0.5</v>
      </c>
      <c r="K22" s="64">
        <f t="shared" ref="K22:K23" si="17">IFERROR(F22/H22-1,"n/a")</f>
        <v>1</v>
      </c>
      <c r="L22" s="60">
        <f t="shared" si="12"/>
        <v>-0.1428571428571429</v>
      </c>
      <c r="M22" s="68">
        <v>9</v>
      </c>
      <c r="N22" s="68">
        <v>5</v>
      </c>
      <c r="O22" s="68">
        <v>8</v>
      </c>
      <c r="P22" s="68">
        <v>11</v>
      </c>
      <c r="Q22" s="64">
        <f t="shared" ref="Q22:Q23" si="18">IFERROR(M22/N22-1,"n/a")</f>
        <v>0.8</v>
      </c>
      <c r="R22" s="64">
        <f t="shared" ref="R22:R23" si="19">IFERROR(M22/O22-1,"n/a")</f>
        <v>0.125</v>
      </c>
      <c r="S22" s="60">
        <f t="shared" ref="S22:S23" si="20">IFERROR(M22/P22-1,"n/a")</f>
        <v>-0.18181818181818177</v>
      </c>
      <c r="T22" s="68">
        <v>107</v>
      </c>
      <c r="U22" s="70">
        <v>32</v>
      </c>
      <c r="V22" s="70">
        <v>372</v>
      </c>
    </row>
    <row r="23" spans="1:38" ht="14.4">
      <c r="A23" s="9"/>
      <c r="B23" s="12"/>
      <c r="C23" s="33"/>
      <c r="D23" s="26" t="s">
        <v>11</v>
      </c>
      <c r="E23" s="32"/>
      <c r="F23" s="68">
        <v>5662</v>
      </c>
      <c r="G23" s="68">
        <v>4030</v>
      </c>
      <c r="H23" s="68">
        <v>16515</v>
      </c>
      <c r="I23" s="68">
        <v>24890</v>
      </c>
      <c r="J23" s="64">
        <f t="shared" si="0"/>
        <v>0.4049627791563275</v>
      </c>
      <c r="K23" s="64">
        <f t="shared" si="17"/>
        <v>-0.657160157432637</v>
      </c>
      <c r="L23" s="60">
        <f t="shared" si="12"/>
        <v>-0.77251908396946567</v>
      </c>
      <c r="M23" s="68">
        <v>7364</v>
      </c>
      <c r="N23" s="68">
        <v>4674</v>
      </c>
      <c r="O23" s="68">
        <v>39656</v>
      </c>
      <c r="P23" s="68">
        <v>44605</v>
      </c>
      <c r="Q23" s="64">
        <f t="shared" si="18"/>
        <v>0.57552417629439456</v>
      </c>
      <c r="R23" s="64">
        <f t="shared" si="19"/>
        <v>-0.81430300585031268</v>
      </c>
      <c r="S23" s="60">
        <f t="shared" si="20"/>
        <v>-0.83490640062773225</v>
      </c>
      <c r="T23" s="68">
        <v>147132</v>
      </c>
      <c r="U23" s="70">
        <v>59180</v>
      </c>
      <c r="V23" s="70">
        <v>902015</v>
      </c>
    </row>
    <row r="24" spans="1:38" ht="14.4">
      <c r="A24" s="9"/>
      <c r="B24" s="12"/>
      <c r="C24" s="31" t="s">
        <v>17</v>
      </c>
      <c r="D24" s="26"/>
      <c r="E24" s="32"/>
      <c r="F24" s="43"/>
      <c r="G24" s="43"/>
      <c r="H24" s="43"/>
      <c r="I24" s="43"/>
      <c r="J24" s="64"/>
      <c r="K24" s="64"/>
      <c r="L24" s="60"/>
      <c r="M24" s="43"/>
      <c r="N24" s="43"/>
      <c r="O24" s="43"/>
      <c r="P24" s="43"/>
      <c r="Q24" s="64"/>
      <c r="R24" s="64"/>
      <c r="S24" s="60"/>
      <c r="T24" s="43"/>
      <c r="U24" s="44"/>
      <c r="V24" s="44"/>
    </row>
    <row r="25" spans="1:38" ht="14.4">
      <c r="B25" s="12"/>
      <c r="C25" s="33"/>
      <c r="D25" s="26" t="s">
        <v>5</v>
      </c>
      <c r="E25" s="32"/>
      <c r="F25" s="68">
        <v>1</v>
      </c>
      <c r="G25" s="68">
        <v>1</v>
      </c>
      <c r="H25" s="68">
        <v>1</v>
      </c>
      <c r="I25" s="68">
        <v>2</v>
      </c>
      <c r="J25" s="64">
        <f t="shared" si="0"/>
        <v>0</v>
      </c>
      <c r="K25" s="64">
        <f t="shared" ref="K25:K28" si="21">IFERROR(F25/H25-1,"n/a")</f>
        <v>0</v>
      </c>
      <c r="L25" s="60">
        <f t="shared" si="12"/>
        <v>-0.5</v>
      </c>
      <c r="M25" s="68">
        <v>1</v>
      </c>
      <c r="N25" s="68">
        <v>2</v>
      </c>
      <c r="O25" s="68">
        <v>1</v>
      </c>
      <c r="P25" s="68">
        <v>3</v>
      </c>
      <c r="Q25" s="64">
        <f t="shared" ref="Q25:Q28" si="22">IFERROR(M25/N25-1,"n/a")</f>
        <v>-0.5</v>
      </c>
      <c r="R25" s="64">
        <f t="shared" ref="R25:R28" si="23">IFERROR(M25/O25-1,"n/a")</f>
        <v>0</v>
      </c>
      <c r="S25" s="60">
        <f t="shared" ref="S25:S28" si="24">IFERROR(M25/P25-1,"n/a")</f>
        <v>-0.66666666666666674</v>
      </c>
      <c r="T25" s="68">
        <v>127</v>
      </c>
      <c r="U25" s="70">
        <v>37</v>
      </c>
      <c r="V25" s="70">
        <f>282+81</f>
        <v>363</v>
      </c>
    </row>
    <row r="26" spans="1:38" ht="14.4">
      <c r="A26" s="9"/>
      <c r="B26" s="12"/>
      <c r="C26" s="33"/>
      <c r="D26" s="26" t="s">
        <v>11</v>
      </c>
      <c r="E26" s="32"/>
      <c r="F26" s="68">
        <v>1983</v>
      </c>
      <c r="G26" s="68">
        <v>639</v>
      </c>
      <c r="H26" s="68">
        <v>892</v>
      </c>
      <c r="I26" s="68">
        <v>3305</v>
      </c>
      <c r="J26" s="64">
        <f t="shared" si="0"/>
        <v>2.103286384976526</v>
      </c>
      <c r="K26" s="64">
        <f t="shared" si="21"/>
        <v>1.2230941704035874</v>
      </c>
      <c r="L26" s="60">
        <f t="shared" si="12"/>
        <v>-0.4</v>
      </c>
      <c r="M26" s="68">
        <v>1983</v>
      </c>
      <c r="N26" s="68">
        <v>1283</v>
      </c>
      <c r="O26" s="68">
        <v>892</v>
      </c>
      <c r="P26" s="68">
        <v>4657</v>
      </c>
      <c r="Q26" s="64">
        <f t="shared" si="22"/>
        <v>0.54559625876851126</v>
      </c>
      <c r="R26" s="64">
        <f t="shared" si="23"/>
        <v>1.2230941704035874</v>
      </c>
      <c r="S26" s="60">
        <f t="shared" si="24"/>
        <v>-0.57418939231264765</v>
      </c>
      <c r="T26" s="68">
        <v>165083</v>
      </c>
      <c r="U26" s="70">
        <f>20768+8294</f>
        <v>29062</v>
      </c>
      <c r="V26" s="70">
        <f>659951+168729+38484</f>
        <v>867164</v>
      </c>
    </row>
    <row r="27" spans="1:38" thickBot="1">
      <c r="A27" s="9"/>
      <c r="B27" s="12"/>
      <c r="C27" s="35" t="s">
        <v>12</v>
      </c>
      <c r="D27" s="36"/>
      <c r="E27" s="37"/>
      <c r="F27" s="46">
        <f t="shared" ref="F27:I28" si="25">F10+F13+F16+F19+F22+F25</f>
        <v>184</v>
      </c>
      <c r="G27" s="46">
        <f t="shared" si="25"/>
        <v>5</v>
      </c>
      <c r="H27" s="46">
        <f t="shared" si="25"/>
        <v>193</v>
      </c>
      <c r="I27" s="46">
        <f t="shared" si="25"/>
        <v>188</v>
      </c>
      <c r="J27" s="66">
        <f t="shared" si="0"/>
        <v>35.799999999999997</v>
      </c>
      <c r="K27" s="66">
        <f t="shared" si="21"/>
        <v>-4.6632124352331661E-2</v>
      </c>
      <c r="L27" s="62">
        <f t="shared" si="12"/>
        <v>-2.1276595744680882E-2</v>
      </c>
      <c r="M27" s="46">
        <f t="shared" ref="M27:P28" si="26">M10+M13+M16+M19+M22+M25</f>
        <v>370</v>
      </c>
      <c r="N27" s="46">
        <f t="shared" si="26"/>
        <v>7</v>
      </c>
      <c r="O27" s="46">
        <f t="shared" si="26"/>
        <v>405</v>
      </c>
      <c r="P27" s="46">
        <f t="shared" si="26"/>
        <v>406</v>
      </c>
      <c r="Q27" s="66">
        <f t="shared" si="22"/>
        <v>51.857142857142854</v>
      </c>
      <c r="R27" s="66">
        <f t="shared" si="23"/>
        <v>-8.6419753086419804E-2</v>
      </c>
      <c r="S27" s="62">
        <f t="shared" si="24"/>
        <v>-8.8669950738916259E-2</v>
      </c>
      <c r="T27" s="46">
        <f t="shared" ref="T27:V28" si="27">T10+T13+T16+T19+T22+T25</f>
        <v>1062</v>
      </c>
      <c r="U27" s="46">
        <f t="shared" si="27"/>
        <v>667</v>
      </c>
      <c r="V27" s="46">
        <f t="shared" si="27"/>
        <v>3344</v>
      </c>
    </row>
    <row r="28" spans="1:38" s="22" customFormat="1" ht="15.6" thickTop="1" thickBot="1">
      <c r="A28" s="9"/>
      <c r="B28" s="12"/>
      <c r="C28" s="38" t="s">
        <v>13</v>
      </c>
      <c r="D28" s="39"/>
      <c r="E28" s="40"/>
      <c r="F28" s="47">
        <f t="shared" si="25"/>
        <v>241516</v>
      </c>
      <c r="G28" s="47">
        <f t="shared" si="25"/>
        <v>4669</v>
      </c>
      <c r="H28" s="47">
        <f t="shared" si="25"/>
        <v>494948</v>
      </c>
      <c r="I28" s="47">
        <f t="shared" si="25"/>
        <v>513727</v>
      </c>
      <c r="J28" s="67">
        <f t="shared" si="0"/>
        <v>50.727564789034055</v>
      </c>
      <c r="K28" s="67">
        <f t="shared" si="21"/>
        <v>-0.5120376281952852</v>
      </c>
      <c r="L28" s="63">
        <f t="shared" si="12"/>
        <v>-0.52987481678011861</v>
      </c>
      <c r="M28" s="47">
        <f t="shared" si="26"/>
        <v>461472</v>
      </c>
      <c r="N28" s="47">
        <f t="shared" si="26"/>
        <v>5957</v>
      </c>
      <c r="O28" s="47">
        <f t="shared" si="26"/>
        <v>1049986</v>
      </c>
      <c r="P28" s="47">
        <f t="shared" si="26"/>
        <v>1134579</v>
      </c>
      <c r="Q28" s="67">
        <f t="shared" si="22"/>
        <v>76.467181467181462</v>
      </c>
      <c r="R28" s="67">
        <f t="shared" si="23"/>
        <v>-0.56049699710281853</v>
      </c>
      <c r="S28" s="63">
        <f t="shared" si="24"/>
        <v>-0.59326587218695215</v>
      </c>
      <c r="T28" s="47">
        <f t="shared" si="27"/>
        <v>1554247</v>
      </c>
      <c r="U28" s="47">
        <f t="shared" si="27"/>
        <v>1323431</v>
      </c>
      <c r="V28" s="47">
        <f t="shared" si="27"/>
        <v>9169021</v>
      </c>
      <c r="W28" s="9"/>
      <c r="X28" s="21"/>
      <c r="Y28" s="21"/>
      <c r="Z28" s="21"/>
      <c r="AA28" s="21"/>
      <c r="AB28" s="21"/>
      <c r="AC28" s="21"/>
      <c r="AD28" s="21"/>
      <c r="AE28" s="21"/>
      <c r="AF28" s="21"/>
      <c r="AG28" s="21"/>
      <c r="AH28" s="21"/>
      <c r="AI28" s="21"/>
      <c r="AJ28" s="21"/>
      <c r="AK28" s="21"/>
      <c r="AL28" s="21"/>
    </row>
    <row r="29" spans="1:38" thickTop="1">
      <c r="A29" s="9"/>
      <c r="B29" s="9"/>
      <c r="C29" s="9"/>
      <c r="D29" s="9"/>
      <c r="E29" s="9"/>
      <c r="F29" s="9"/>
      <c r="G29" s="41"/>
      <c r="H29" s="41"/>
      <c r="I29" s="41"/>
      <c r="J29" s="41"/>
      <c r="K29" s="9"/>
      <c r="L29" s="9"/>
      <c r="M29" s="9"/>
      <c r="N29" s="9"/>
      <c r="O29" s="9"/>
      <c r="P29" s="9"/>
      <c r="Q29" s="9"/>
      <c r="R29" s="9"/>
      <c r="S29" s="9"/>
      <c r="T29" s="9"/>
      <c r="U29" s="9"/>
      <c r="V29" s="9"/>
    </row>
    <row r="30" spans="1:38" ht="14.4" hidden="1">
      <c r="A30" s="9"/>
      <c r="B30" s="9"/>
      <c r="C30" s="9"/>
      <c r="D30" s="9"/>
      <c r="E30" s="9"/>
      <c r="F30" s="9"/>
      <c r="G30" s="41"/>
      <c r="H30" s="41"/>
      <c r="I30" s="41"/>
      <c r="J30" s="41"/>
      <c r="K30" s="9"/>
      <c r="L30" s="9"/>
      <c r="M30" s="9"/>
      <c r="N30" s="9"/>
      <c r="O30" s="9"/>
      <c r="P30" s="9"/>
      <c r="Q30" s="9"/>
      <c r="R30" s="9"/>
      <c r="S30" s="9"/>
      <c r="T30" s="9"/>
      <c r="U30" s="9"/>
      <c r="V30" s="9"/>
    </row>
    <row r="31" spans="1:38" ht="14.4" hidden="1">
      <c r="A31" s="9"/>
      <c r="B31" s="9"/>
      <c r="C31" s="9"/>
      <c r="D31" s="9"/>
      <c r="E31" s="9"/>
      <c r="F31" s="9"/>
      <c r="G31" s="41"/>
      <c r="H31" s="41"/>
      <c r="I31" s="41"/>
      <c r="J31" s="41"/>
      <c r="K31" s="9"/>
      <c r="L31" s="9"/>
      <c r="M31" s="9"/>
      <c r="N31" s="9"/>
      <c r="O31" s="9"/>
      <c r="P31" s="9"/>
      <c r="Q31" s="9"/>
      <c r="R31" s="9"/>
      <c r="S31" s="9"/>
      <c r="T31" s="9"/>
      <c r="U31" s="9"/>
      <c r="V31" s="9"/>
    </row>
    <row r="32" spans="1:38" ht="14.4" hidden="1">
      <c r="A32" s="9"/>
      <c r="B32" s="9"/>
      <c r="C32" s="9"/>
      <c r="D32" s="9"/>
      <c r="E32" s="9"/>
      <c r="F32" s="9"/>
      <c r="G32" s="41"/>
      <c r="H32" s="41"/>
      <c r="I32" s="41"/>
      <c r="J32" s="41"/>
      <c r="K32" s="9"/>
      <c r="L32" s="9"/>
      <c r="M32" s="9"/>
      <c r="N32" s="9"/>
      <c r="O32" s="9"/>
      <c r="P32" s="9"/>
      <c r="Q32" s="9"/>
      <c r="R32" s="9"/>
      <c r="S32" s="9"/>
      <c r="T32" s="9"/>
      <c r="U32" s="9"/>
      <c r="V32" s="9"/>
    </row>
    <row r="33" spans="7:10" s="9" customFormat="1" ht="14.4" hidden="1">
      <c r="G33" s="41"/>
      <c r="H33" s="41"/>
      <c r="I33" s="41"/>
      <c r="J33" s="41"/>
    </row>
    <row r="34" spans="7:10" s="9" customFormat="1" ht="14.4" hidden="1">
      <c r="G34" s="41"/>
      <c r="H34" s="41"/>
      <c r="I34" s="41"/>
      <c r="J34" s="41"/>
    </row>
    <row r="35" spans="7:10" s="9" customFormat="1" ht="14.4" hidden="1">
      <c r="G35" s="41"/>
      <c r="H35" s="41"/>
      <c r="I35" s="41"/>
      <c r="J35" s="41"/>
    </row>
    <row r="36" spans="7:10" s="9" customFormat="1" ht="14.4" hidden="1">
      <c r="G36" s="41"/>
      <c r="H36" s="41"/>
      <c r="I36" s="41"/>
      <c r="J36" s="41"/>
    </row>
    <row r="37" spans="7:10" s="9" customFormat="1" ht="14.4" hidden="1">
      <c r="G37" s="41"/>
      <c r="H37" s="41"/>
      <c r="I37" s="41"/>
      <c r="J37" s="41"/>
    </row>
    <row r="38" spans="7:10" s="9" customFormat="1" ht="14.4" hidden="1">
      <c r="G38" s="41"/>
      <c r="H38" s="41"/>
      <c r="I38" s="41"/>
      <c r="J38" s="41"/>
    </row>
    <row r="39" spans="7:10" s="9" customFormat="1" ht="14.4" hidden="1">
      <c r="G39" s="41"/>
      <c r="H39" s="41"/>
      <c r="I39" s="41"/>
      <c r="J39" s="41"/>
    </row>
    <row r="40" spans="7:10" s="9" customFormat="1" ht="14.4" hidden="1">
      <c r="G40" s="41"/>
      <c r="H40" s="41"/>
      <c r="I40" s="41"/>
      <c r="J40" s="41"/>
    </row>
    <row r="41" spans="7:10" s="9" customFormat="1" ht="14.4" hidden="1">
      <c r="G41" s="41"/>
      <c r="H41" s="41"/>
      <c r="I41" s="41"/>
      <c r="J41" s="41"/>
    </row>
    <row r="42" spans="7:10" s="9" customFormat="1" ht="14.4" hidden="1">
      <c r="G42" s="41"/>
      <c r="H42" s="41"/>
      <c r="I42" s="41"/>
      <c r="J42" s="41"/>
    </row>
    <row r="43" spans="7:10" s="9" customFormat="1" ht="14.4" hidden="1">
      <c r="G43" s="41"/>
      <c r="H43" s="41"/>
      <c r="I43" s="41"/>
      <c r="J43" s="41"/>
    </row>
    <row r="44" spans="7:10" s="9" customFormat="1" ht="14.4" hidden="1">
      <c r="G44" s="41"/>
      <c r="H44" s="41"/>
      <c r="I44" s="41"/>
      <c r="J44" s="41"/>
    </row>
    <row r="45" spans="7:10" s="9" customFormat="1" ht="14.4" hidden="1">
      <c r="G45" s="41"/>
      <c r="H45" s="41"/>
      <c r="I45" s="41"/>
      <c r="J45" s="41"/>
    </row>
    <row r="46" spans="7:10" s="9" customFormat="1" ht="14.4" hidden="1">
      <c r="G46" s="41"/>
      <c r="H46" s="41"/>
      <c r="I46" s="41"/>
      <c r="J46" s="41"/>
    </row>
    <row r="47" spans="7:10" s="9" customFormat="1" ht="14.4" hidden="1">
      <c r="G47" s="41"/>
      <c r="H47" s="41"/>
      <c r="I47" s="41"/>
      <c r="J47" s="41"/>
    </row>
    <row r="48" spans="7:10" s="9" customFormat="1" ht="14.4" hidden="1"/>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AL48"/>
  <sheetViews>
    <sheetView showGridLines="0" zoomScale="79" zoomScaleNormal="100" workbookViewId="0"/>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0.88671875" bestFit="1" customWidth="1"/>
    <col min="9" max="9" width="11.1093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9" customWidth="1"/>
    <col min="24" max="38" width="0" style="9" hidden="1" customWidth="1"/>
    <col min="39"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37</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s="20" customFormat="1" ht="14.4">
      <c r="A6" s="9"/>
      <c r="B6"/>
      <c r="C6" s="27" t="s">
        <v>7</v>
      </c>
      <c r="D6" s="28"/>
      <c r="E6" s="28"/>
      <c r="F6" s="128" t="s">
        <v>33</v>
      </c>
      <c r="G6" s="128"/>
      <c r="H6" s="128"/>
      <c r="I6" s="128"/>
      <c r="J6" s="128"/>
      <c r="K6" s="128"/>
      <c r="L6" s="129"/>
      <c r="M6" s="130" t="s">
        <v>33</v>
      </c>
      <c r="N6" s="128"/>
      <c r="O6" s="128"/>
      <c r="P6" s="128"/>
      <c r="Q6" s="128"/>
      <c r="R6" s="128"/>
      <c r="S6" s="129"/>
      <c r="T6" s="130" t="s">
        <v>9</v>
      </c>
      <c r="U6" s="128"/>
      <c r="V6" s="128"/>
      <c r="W6" s="9"/>
      <c r="X6" s="19"/>
      <c r="Y6" s="19"/>
      <c r="Z6" s="19"/>
      <c r="AA6" s="19"/>
      <c r="AB6" s="19"/>
      <c r="AC6" s="19"/>
      <c r="AD6" s="19"/>
      <c r="AE6" s="19"/>
      <c r="AF6" s="19"/>
      <c r="AG6" s="19"/>
      <c r="AH6" s="19"/>
      <c r="AI6" s="19"/>
      <c r="AJ6" s="19"/>
      <c r="AK6" s="19"/>
      <c r="AL6" s="19"/>
    </row>
    <row r="7" spans="1:38" ht="14.4">
      <c r="A7" s="9"/>
      <c r="B7" s="18"/>
      <c r="C7" s="29"/>
      <c r="D7" s="30"/>
      <c r="E7" s="30"/>
      <c r="F7" s="29"/>
      <c r="G7" s="30"/>
      <c r="H7" s="30"/>
      <c r="I7" s="30"/>
      <c r="J7" s="30"/>
      <c r="K7" s="30"/>
      <c r="L7" s="56"/>
      <c r="M7" s="30"/>
      <c r="N7" s="30"/>
      <c r="O7" s="30"/>
      <c r="P7" s="30"/>
      <c r="Q7" s="30"/>
      <c r="R7" s="30"/>
      <c r="S7" s="56"/>
      <c r="T7" s="30"/>
      <c r="U7" s="30"/>
      <c r="V7" s="30"/>
    </row>
    <row r="8" spans="1:38" s="54" customFormat="1" ht="20.399999999999999">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ht="14.4">
      <c r="A9" s="9"/>
      <c r="B9" s="12"/>
      <c r="C9" s="31" t="s">
        <v>14</v>
      </c>
      <c r="D9" s="26"/>
      <c r="E9" s="32"/>
      <c r="F9" s="26"/>
      <c r="G9" s="26"/>
      <c r="H9" s="26"/>
      <c r="I9" s="26"/>
      <c r="J9" s="26"/>
      <c r="K9" s="26"/>
      <c r="L9" s="32"/>
      <c r="M9" s="26"/>
      <c r="N9" s="26"/>
      <c r="O9" s="26"/>
      <c r="P9" s="26"/>
      <c r="Q9" s="26"/>
      <c r="R9" s="26"/>
      <c r="S9" s="32"/>
      <c r="T9" s="26"/>
      <c r="U9" s="26"/>
      <c r="V9" s="26"/>
    </row>
    <row r="10" spans="1:38" ht="14.4">
      <c r="A10" s="9"/>
      <c r="B10" s="12"/>
      <c r="C10" s="33"/>
      <c r="D10" s="26" t="s">
        <v>5</v>
      </c>
      <c r="E10" s="32"/>
      <c r="F10" s="68">
        <v>64</v>
      </c>
      <c r="G10" s="68">
        <v>0</v>
      </c>
      <c r="H10" s="68">
        <v>61</v>
      </c>
      <c r="I10" s="68">
        <v>76</v>
      </c>
      <c r="J10" s="64" t="str">
        <f t="shared" ref="J10:J28" si="0">IFERROR(F10/G10-1,"n/a")</f>
        <v>n/a</v>
      </c>
      <c r="K10" s="64">
        <f>IFERROR(F10/H10-1,"n/a")</f>
        <v>4.9180327868852514E-2</v>
      </c>
      <c r="L10" s="60">
        <f t="shared" ref="L10:L11" si="1">IFERROR(F10/I10-1,"n/a")</f>
        <v>-0.15789473684210531</v>
      </c>
      <c r="M10" s="68">
        <v>64</v>
      </c>
      <c r="N10" s="68">
        <v>0</v>
      </c>
      <c r="O10" s="68">
        <v>61</v>
      </c>
      <c r="P10" s="68">
        <v>76</v>
      </c>
      <c r="Q10" s="64" t="str">
        <f>IFERROR(M10/N10-1,"n/a")</f>
        <v>n/a</v>
      </c>
      <c r="R10" s="64">
        <f>IFERROR(M10/O10-1,"n/a")</f>
        <v>4.9180327868852514E-2</v>
      </c>
      <c r="S10" s="60">
        <f>IFERROR(M10/P10-1,"n/a")</f>
        <v>-0.15789473684210531</v>
      </c>
      <c r="T10" s="68">
        <v>111</v>
      </c>
      <c r="U10" s="70">
        <v>145</v>
      </c>
      <c r="V10" s="70">
        <v>386</v>
      </c>
    </row>
    <row r="11" spans="1:38" ht="14.4">
      <c r="A11" s="9"/>
      <c r="B11" s="12"/>
      <c r="C11" s="33"/>
      <c r="D11" s="26" t="s">
        <v>11</v>
      </c>
      <c r="E11" s="32"/>
      <c r="F11" s="68">
        <v>50794</v>
      </c>
      <c r="G11" s="68">
        <v>0</v>
      </c>
      <c r="H11" s="68">
        <v>108796</v>
      </c>
      <c r="I11" s="68">
        <v>156866</v>
      </c>
      <c r="J11" s="64" t="str">
        <f t="shared" si="0"/>
        <v>n/a</v>
      </c>
      <c r="K11" s="64">
        <f t="shared" ref="K11" si="2">IFERROR(F11/H11-1,"n/a")</f>
        <v>-0.53312621787565717</v>
      </c>
      <c r="L11" s="60">
        <f t="shared" si="1"/>
        <v>-0.67619496895439424</v>
      </c>
      <c r="M11" s="68">
        <v>50794</v>
      </c>
      <c r="N11" s="68">
        <v>0</v>
      </c>
      <c r="O11" s="68">
        <v>108796</v>
      </c>
      <c r="P11" s="68">
        <v>156866</v>
      </c>
      <c r="Q11" s="64" t="str">
        <f>IFERROR(M11/N11-1,"n/a")</f>
        <v>n/a</v>
      </c>
      <c r="R11" s="64">
        <f>IFERROR(M11/O11-1,"n/a")</f>
        <v>-0.53312621787565717</v>
      </c>
      <c r="S11" s="60">
        <f>IFERROR(M11/P11-1,"n/a")</f>
        <v>-0.67619496895439424</v>
      </c>
      <c r="T11" s="68">
        <v>80863</v>
      </c>
      <c r="U11" s="70">
        <v>258885</v>
      </c>
      <c r="V11" s="70">
        <v>733296</v>
      </c>
    </row>
    <row r="12" spans="1:38" ht="14.4">
      <c r="A12" s="9"/>
      <c r="B12" s="12"/>
      <c r="C12" s="31" t="s">
        <v>74</v>
      </c>
      <c r="D12" s="26"/>
      <c r="E12" s="32"/>
      <c r="F12" s="45"/>
      <c r="G12" s="45"/>
      <c r="H12" s="45"/>
      <c r="I12" s="45"/>
      <c r="J12" s="64"/>
      <c r="K12" s="64"/>
      <c r="L12" s="61"/>
      <c r="M12" s="43"/>
      <c r="N12" s="43"/>
      <c r="O12" s="43"/>
      <c r="P12" s="43"/>
      <c r="Q12" s="64"/>
      <c r="R12" s="65"/>
      <c r="S12" s="61"/>
      <c r="T12" s="43"/>
      <c r="U12" s="44"/>
      <c r="V12" s="44"/>
    </row>
    <row r="13" spans="1:38" ht="14.4">
      <c r="A13" s="9"/>
      <c r="B13" s="12"/>
      <c r="C13" s="33"/>
      <c r="D13" s="26" t="s">
        <v>5</v>
      </c>
      <c r="E13" s="32"/>
      <c r="F13" s="68">
        <v>16</v>
      </c>
      <c r="G13" s="68">
        <v>0</v>
      </c>
      <c r="H13" s="68">
        <v>19</v>
      </c>
      <c r="I13" s="68">
        <v>24</v>
      </c>
      <c r="J13" s="64" t="str">
        <f t="shared" si="0"/>
        <v>n/a</v>
      </c>
      <c r="K13" s="64">
        <f t="shared" ref="K13:K14" si="3">IFERROR(F13/H13-1,"n/a")</f>
        <v>-0.15789473684210531</v>
      </c>
      <c r="L13" s="60">
        <f t="shared" ref="L13:L14" si="4">IFERROR(F13/I13-1,"n/a")</f>
        <v>-0.33333333333333337</v>
      </c>
      <c r="M13" s="68">
        <v>16</v>
      </c>
      <c r="N13" s="68">
        <v>0</v>
      </c>
      <c r="O13" s="68">
        <v>19</v>
      </c>
      <c r="P13" s="68">
        <v>24</v>
      </c>
      <c r="Q13" s="64" t="str">
        <f t="shared" ref="Q13:Q14" si="5">IFERROR(M13/N13-1,"n/a")</f>
        <v>n/a</v>
      </c>
      <c r="R13" s="64">
        <f t="shared" ref="R13:R14" si="6">IFERROR(M13/O13-1,"n/a")</f>
        <v>-0.15789473684210531</v>
      </c>
      <c r="S13" s="60">
        <f t="shared" ref="S13:S14" si="7">IFERROR(M13/P13-1,"n/a")</f>
        <v>-0.33333333333333337</v>
      </c>
      <c r="T13" s="68">
        <v>283</v>
      </c>
      <c r="U13" s="70">
        <v>43</v>
      </c>
      <c r="V13" s="70">
        <v>827</v>
      </c>
    </row>
    <row r="14" spans="1:38" ht="14.4">
      <c r="A14" s="9"/>
      <c r="B14" s="12"/>
      <c r="C14" s="33"/>
      <c r="D14" s="26" t="s">
        <v>11</v>
      </c>
      <c r="E14" s="32"/>
      <c r="F14" s="68">
        <v>21828</v>
      </c>
      <c r="G14" s="68">
        <v>0</v>
      </c>
      <c r="H14" s="68">
        <v>64994</v>
      </c>
      <c r="I14" s="68">
        <v>74523</v>
      </c>
      <c r="J14" s="64" t="str">
        <f t="shared" si="0"/>
        <v>n/a</v>
      </c>
      <c r="K14" s="64">
        <f t="shared" si="3"/>
        <v>-0.66415361417977037</v>
      </c>
      <c r="L14" s="60">
        <f t="shared" si="4"/>
        <v>-0.70709713779638506</v>
      </c>
      <c r="M14" s="68">
        <v>21828</v>
      </c>
      <c r="N14" s="68">
        <v>0</v>
      </c>
      <c r="O14" s="68">
        <v>64994</v>
      </c>
      <c r="P14" s="68">
        <v>74523</v>
      </c>
      <c r="Q14" s="64" t="str">
        <f t="shared" si="5"/>
        <v>n/a</v>
      </c>
      <c r="R14" s="64">
        <f t="shared" si="6"/>
        <v>-0.66415361417977037</v>
      </c>
      <c r="S14" s="60">
        <f t="shared" si="7"/>
        <v>-0.70709713779638506</v>
      </c>
      <c r="T14" s="68">
        <v>465109</v>
      </c>
      <c r="U14" s="70">
        <v>140552</v>
      </c>
      <c r="V14" s="70">
        <v>2552942</v>
      </c>
    </row>
    <row r="15" spans="1:38" ht="14.4">
      <c r="A15" s="9"/>
      <c r="B15" s="12"/>
      <c r="C15" s="31" t="s">
        <v>15</v>
      </c>
      <c r="D15" s="26"/>
      <c r="E15" s="32"/>
      <c r="F15" s="43"/>
      <c r="G15" s="43"/>
      <c r="H15" s="43"/>
      <c r="I15" s="43"/>
      <c r="J15" s="64"/>
      <c r="K15" s="64"/>
      <c r="L15" s="60"/>
      <c r="M15" s="43"/>
      <c r="N15" s="43"/>
      <c r="O15" s="43"/>
      <c r="P15" s="43"/>
      <c r="Q15" s="64"/>
      <c r="R15" s="64"/>
      <c r="S15" s="60"/>
      <c r="T15" s="43"/>
      <c r="U15" s="44"/>
      <c r="V15" s="44"/>
    </row>
    <row r="16" spans="1:38" ht="14.4">
      <c r="A16" s="9"/>
      <c r="B16" s="12"/>
      <c r="C16" s="33"/>
      <c r="D16" s="26" t="s">
        <v>5</v>
      </c>
      <c r="E16" s="32"/>
      <c r="F16" s="68">
        <v>3</v>
      </c>
      <c r="G16" s="68">
        <v>0</v>
      </c>
      <c r="H16" s="68">
        <v>1</v>
      </c>
      <c r="I16" s="68">
        <v>0</v>
      </c>
      <c r="J16" s="64" t="str">
        <f t="shared" si="0"/>
        <v>n/a</v>
      </c>
      <c r="K16" s="64">
        <f t="shared" ref="K16:K17" si="8">IFERROR(F16/H16-1,"n/a")</f>
        <v>2</v>
      </c>
      <c r="L16" s="60" t="str">
        <f>IFERROR(F16/I16-1,"n/a")</f>
        <v>n/a</v>
      </c>
      <c r="M16" s="68">
        <v>3</v>
      </c>
      <c r="N16" s="68">
        <v>0</v>
      </c>
      <c r="O16" s="68">
        <v>1</v>
      </c>
      <c r="P16" s="68">
        <v>0</v>
      </c>
      <c r="Q16" s="64" t="str">
        <f t="shared" ref="Q16:Q17" si="9">IFERROR(M16/N16-1,"n/a")</f>
        <v>n/a</v>
      </c>
      <c r="R16" s="64">
        <f t="shared" ref="R16:R17" si="10">IFERROR(M16/O16-1,"n/a")</f>
        <v>2</v>
      </c>
      <c r="S16" s="60" t="str">
        <f t="shared" ref="S16:S17" si="11">IFERROR(M16/P16-1,"n/a")</f>
        <v>n/a</v>
      </c>
      <c r="T16" s="68">
        <v>23</v>
      </c>
      <c r="U16" s="70">
        <v>4</v>
      </c>
      <c r="V16" s="70">
        <v>191</v>
      </c>
    </row>
    <row r="17" spans="1:38" ht="14.4">
      <c r="A17" s="9"/>
      <c r="B17" s="12"/>
      <c r="C17" s="33"/>
      <c r="D17" s="26" t="s">
        <v>11</v>
      </c>
      <c r="E17" s="32"/>
      <c r="F17" s="68">
        <v>814</v>
      </c>
      <c r="G17" s="68">
        <v>0</v>
      </c>
      <c r="H17" s="68">
        <v>823</v>
      </c>
      <c r="I17" s="68">
        <v>0</v>
      </c>
      <c r="J17" s="64" t="str">
        <f t="shared" si="0"/>
        <v>n/a</v>
      </c>
      <c r="K17" s="64">
        <f t="shared" si="8"/>
        <v>-1.0935601458080146E-2</v>
      </c>
      <c r="L17" s="60" t="str">
        <f t="shared" ref="L17:L28" si="12">IFERROR(F17/I17-1,"n/a")</f>
        <v>n/a</v>
      </c>
      <c r="M17" s="68">
        <v>814</v>
      </c>
      <c r="N17" s="68">
        <v>0</v>
      </c>
      <c r="O17" s="68">
        <v>823</v>
      </c>
      <c r="P17" s="68">
        <v>0</v>
      </c>
      <c r="Q17" s="64" t="str">
        <f t="shared" si="9"/>
        <v>n/a</v>
      </c>
      <c r="R17" s="64">
        <f t="shared" si="10"/>
        <v>-1.0935601458080146E-2</v>
      </c>
      <c r="S17" s="60" t="str">
        <f t="shared" si="11"/>
        <v>n/a</v>
      </c>
      <c r="T17" s="68">
        <v>8611</v>
      </c>
      <c r="U17" s="70">
        <v>1753</v>
      </c>
      <c r="V17" s="70">
        <v>254421</v>
      </c>
    </row>
    <row r="18" spans="1:38" ht="14.4">
      <c r="A18" s="9"/>
      <c r="B18" s="12"/>
      <c r="C18" s="31" t="s">
        <v>10</v>
      </c>
      <c r="D18" s="26"/>
      <c r="E18" s="34"/>
      <c r="F18" s="43"/>
      <c r="G18" s="43"/>
      <c r="H18" s="43"/>
      <c r="I18" s="43"/>
      <c r="J18" s="64"/>
      <c r="K18" s="64"/>
      <c r="L18" s="60"/>
      <c r="M18" s="43"/>
      <c r="N18" s="43"/>
      <c r="O18" s="43"/>
      <c r="P18" s="43"/>
      <c r="Q18" s="64"/>
      <c r="R18" s="64"/>
      <c r="S18" s="60"/>
      <c r="T18" s="43"/>
      <c r="U18" s="44"/>
      <c r="V18" s="44"/>
    </row>
    <row r="19" spans="1:38" ht="14.4">
      <c r="A19" s="9"/>
      <c r="B19" s="12"/>
      <c r="C19" s="33"/>
      <c r="D19" s="26" t="s">
        <v>5</v>
      </c>
      <c r="E19" s="34"/>
      <c r="F19" s="68">
        <v>100</v>
      </c>
      <c r="G19" s="68">
        <v>0</v>
      </c>
      <c r="H19" s="68">
        <v>126</v>
      </c>
      <c r="I19" s="68">
        <v>113</v>
      </c>
      <c r="J19" s="64" t="str">
        <f t="shared" si="0"/>
        <v>n/a</v>
      </c>
      <c r="K19" s="64">
        <f t="shared" ref="K19:K20" si="13">IFERROR(F19/H19-1,"n/a")</f>
        <v>-0.20634920634920639</v>
      </c>
      <c r="L19" s="60">
        <f t="shared" si="12"/>
        <v>-0.11504424778761058</v>
      </c>
      <c r="M19" s="68">
        <v>100</v>
      </c>
      <c r="N19" s="68">
        <v>0</v>
      </c>
      <c r="O19" s="68">
        <v>126</v>
      </c>
      <c r="P19" s="68">
        <v>113</v>
      </c>
      <c r="Q19" s="64" t="str">
        <f t="shared" ref="Q19:Q20" si="14">IFERROR(M19/N19-1,"n/a")</f>
        <v>n/a</v>
      </c>
      <c r="R19" s="64">
        <f t="shared" ref="R19:R20" si="15">IFERROR(M19/O19-1,"n/a")</f>
        <v>-0.20634920634920639</v>
      </c>
      <c r="S19" s="60">
        <f t="shared" ref="S19:S20" si="16">IFERROR(M19/P19-1,"n/a")</f>
        <v>-0.11504424778761058</v>
      </c>
      <c r="T19" s="68">
        <v>411</v>
      </c>
      <c r="U19" s="70">
        <v>406</v>
      </c>
      <c r="V19" s="70">
        <v>1205</v>
      </c>
    </row>
    <row r="20" spans="1:38" ht="14.4">
      <c r="A20" s="9"/>
      <c r="B20" s="12"/>
      <c r="C20" s="33"/>
      <c r="D20" s="26" t="s">
        <v>11</v>
      </c>
      <c r="E20" s="32"/>
      <c r="F20" s="68">
        <v>144818</v>
      </c>
      <c r="G20" s="68">
        <v>0</v>
      </c>
      <c r="H20" s="68">
        <v>357284</v>
      </c>
      <c r="I20" s="68">
        <v>368396</v>
      </c>
      <c r="J20" s="64" t="str">
        <f t="shared" si="0"/>
        <v>n/a</v>
      </c>
      <c r="K20" s="64">
        <f t="shared" si="13"/>
        <v>-0.59466978650037505</v>
      </c>
      <c r="L20" s="60">
        <f t="shared" si="12"/>
        <v>-0.60689584034571498</v>
      </c>
      <c r="M20" s="68">
        <v>144818</v>
      </c>
      <c r="N20" s="68">
        <v>0</v>
      </c>
      <c r="O20" s="68">
        <v>357284</v>
      </c>
      <c r="P20" s="68">
        <v>368396</v>
      </c>
      <c r="Q20" s="64" t="str">
        <f t="shared" si="14"/>
        <v>n/a</v>
      </c>
      <c r="R20" s="64">
        <f t="shared" si="15"/>
        <v>-0.59466978650037505</v>
      </c>
      <c r="S20" s="60">
        <f t="shared" si="16"/>
        <v>-0.60689584034571498</v>
      </c>
      <c r="T20" s="68">
        <v>687449</v>
      </c>
      <c r="U20" s="70">
        <v>833999</v>
      </c>
      <c r="V20" s="70">
        <v>3859183</v>
      </c>
    </row>
    <row r="21" spans="1:38" ht="14.4">
      <c r="A21" s="9"/>
      <c r="B21" s="12"/>
      <c r="C21" s="31" t="s">
        <v>16</v>
      </c>
      <c r="D21" s="26"/>
      <c r="E21" s="32"/>
      <c r="F21" s="43"/>
      <c r="G21" s="43"/>
      <c r="H21" s="43"/>
      <c r="I21" s="43"/>
      <c r="J21" s="64"/>
      <c r="K21" s="64"/>
      <c r="L21" s="60"/>
      <c r="M21" s="43"/>
      <c r="N21" s="43"/>
      <c r="O21" s="43"/>
      <c r="P21" s="43"/>
      <c r="Q21" s="64"/>
      <c r="R21" s="64"/>
      <c r="S21" s="60"/>
      <c r="T21" s="43"/>
      <c r="U21" s="44"/>
      <c r="V21" s="44"/>
    </row>
    <row r="22" spans="1:38" ht="14.4">
      <c r="A22" s="9"/>
      <c r="B22" s="12"/>
      <c r="C22" s="33"/>
      <c r="D22" s="26" t="s">
        <v>5</v>
      </c>
      <c r="E22" s="32"/>
      <c r="F22" s="68">
        <v>3</v>
      </c>
      <c r="G22" s="68">
        <v>1</v>
      </c>
      <c r="H22" s="68">
        <v>5</v>
      </c>
      <c r="I22" s="68">
        <v>4</v>
      </c>
      <c r="J22" s="64">
        <f t="shared" si="0"/>
        <v>2</v>
      </c>
      <c r="K22" s="64">
        <f t="shared" ref="K22:K23" si="17">IFERROR(F22/H22-1,"n/a")</f>
        <v>-0.4</v>
      </c>
      <c r="L22" s="60">
        <f t="shared" si="12"/>
        <v>-0.25</v>
      </c>
      <c r="M22" s="68">
        <v>3</v>
      </c>
      <c r="N22" s="68">
        <v>1</v>
      </c>
      <c r="O22" s="68">
        <v>5</v>
      </c>
      <c r="P22" s="68">
        <v>4</v>
      </c>
      <c r="Q22" s="64">
        <f t="shared" ref="Q22:Q23" si="18">IFERROR(M22/N22-1,"n/a")</f>
        <v>2</v>
      </c>
      <c r="R22" s="64">
        <f t="shared" ref="R22:R23" si="19">IFERROR(M22/O22-1,"n/a")</f>
        <v>-0.4</v>
      </c>
      <c r="S22" s="60">
        <f t="shared" ref="S22:S23" si="20">IFERROR(M22/P22-1,"n/a")</f>
        <v>-0.25</v>
      </c>
      <c r="T22" s="68">
        <v>107</v>
      </c>
      <c r="U22" s="70">
        <v>32</v>
      </c>
      <c r="V22" s="70">
        <v>372</v>
      </c>
    </row>
    <row r="23" spans="1:38" ht="14.4">
      <c r="A23" s="9"/>
      <c r="B23" s="12"/>
      <c r="C23" s="33"/>
      <c r="D23" s="26" t="s">
        <v>11</v>
      </c>
      <c r="E23" s="32"/>
      <c r="F23" s="68">
        <v>1702</v>
      </c>
      <c r="G23" s="68">
        <v>644</v>
      </c>
      <c r="H23" s="68">
        <v>23141</v>
      </c>
      <c r="I23" s="68">
        <v>19715</v>
      </c>
      <c r="J23" s="64">
        <f t="shared" si="0"/>
        <v>1.6428571428571428</v>
      </c>
      <c r="K23" s="64">
        <f t="shared" si="17"/>
        <v>-0.92645088803422493</v>
      </c>
      <c r="L23" s="60">
        <f t="shared" si="12"/>
        <v>-0.9136697945726604</v>
      </c>
      <c r="M23" s="68">
        <v>1702</v>
      </c>
      <c r="N23" s="68">
        <v>644</v>
      </c>
      <c r="O23" s="68">
        <v>23141</v>
      </c>
      <c r="P23" s="68">
        <v>19715</v>
      </c>
      <c r="Q23" s="64">
        <f t="shared" si="18"/>
        <v>1.6428571428571428</v>
      </c>
      <c r="R23" s="64">
        <f t="shared" si="19"/>
        <v>-0.92645088803422493</v>
      </c>
      <c r="S23" s="60">
        <f t="shared" si="20"/>
        <v>-0.9136697945726604</v>
      </c>
      <c r="T23" s="68">
        <v>147132</v>
      </c>
      <c r="U23" s="70">
        <v>59180</v>
      </c>
      <c r="V23" s="70">
        <v>902015</v>
      </c>
    </row>
    <row r="24" spans="1:38" ht="14.4">
      <c r="A24" s="9"/>
      <c r="B24" s="12"/>
      <c r="C24" s="31" t="s">
        <v>17</v>
      </c>
      <c r="D24" s="26"/>
      <c r="E24" s="32"/>
      <c r="F24" s="43"/>
      <c r="G24" s="43"/>
      <c r="H24" s="43"/>
      <c r="I24" s="43"/>
      <c r="J24" s="64"/>
      <c r="K24" s="64"/>
      <c r="L24" s="60"/>
      <c r="M24" s="43"/>
      <c r="N24" s="43"/>
      <c r="O24" s="43"/>
      <c r="P24" s="43"/>
      <c r="Q24" s="64"/>
      <c r="R24" s="64"/>
      <c r="S24" s="60"/>
      <c r="T24" s="43"/>
      <c r="U24" s="44"/>
      <c r="V24" s="44"/>
    </row>
    <row r="25" spans="1:38" ht="14.4">
      <c r="B25" s="12"/>
      <c r="C25" s="33"/>
      <c r="D25" s="26" t="s">
        <v>5</v>
      </c>
      <c r="E25" s="32"/>
      <c r="F25" s="68">
        <v>0</v>
      </c>
      <c r="G25" s="68">
        <v>1</v>
      </c>
      <c r="H25" s="68">
        <v>0</v>
      </c>
      <c r="I25" s="68">
        <v>1</v>
      </c>
      <c r="J25" s="64">
        <f t="shared" si="0"/>
        <v>-1</v>
      </c>
      <c r="K25" s="64" t="str">
        <f t="shared" ref="K25:K28" si="21">IFERROR(F25/H25-1,"n/a")</f>
        <v>n/a</v>
      </c>
      <c r="L25" s="60">
        <f t="shared" si="12"/>
        <v>-1</v>
      </c>
      <c r="M25" s="68">
        <v>0</v>
      </c>
      <c r="N25" s="68">
        <v>1</v>
      </c>
      <c r="O25" s="68">
        <v>0</v>
      </c>
      <c r="P25" s="68">
        <v>1</v>
      </c>
      <c r="Q25" s="64">
        <f t="shared" ref="Q25:Q28" si="22">IFERROR(M25/N25-1,"n/a")</f>
        <v>-1</v>
      </c>
      <c r="R25" s="64" t="str">
        <f t="shared" ref="R25:R28" si="23">IFERROR(M25/O25-1,"n/a")</f>
        <v>n/a</v>
      </c>
      <c r="S25" s="60">
        <f t="shared" ref="S25:S28" si="24">IFERROR(M25/P25-1,"n/a")</f>
        <v>-1</v>
      </c>
      <c r="T25" s="68">
        <v>127</v>
      </c>
      <c r="U25" s="70">
        <v>37</v>
      </c>
      <c r="V25" s="70">
        <f>282+81</f>
        <v>363</v>
      </c>
    </row>
    <row r="26" spans="1:38" ht="14.4">
      <c r="A26" s="9"/>
      <c r="B26" s="12"/>
      <c r="C26" s="33"/>
      <c r="D26" s="26" t="s">
        <v>11</v>
      </c>
      <c r="E26" s="32"/>
      <c r="F26" s="68">
        <v>0</v>
      </c>
      <c r="G26" s="68">
        <v>644</v>
      </c>
      <c r="H26" s="68">
        <v>0</v>
      </c>
      <c r="I26" s="68">
        <v>1352</v>
      </c>
      <c r="J26" s="64">
        <f t="shared" si="0"/>
        <v>-1</v>
      </c>
      <c r="K26" s="64" t="str">
        <f t="shared" si="21"/>
        <v>n/a</v>
      </c>
      <c r="L26" s="60">
        <f t="shared" si="12"/>
        <v>-1</v>
      </c>
      <c r="M26" s="68">
        <v>0</v>
      </c>
      <c r="N26" s="68">
        <v>644</v>
      </c>
      <c r="O26" s="68">
        <v>0</v>
      </c>
      <c r="P26" s="68">
        <v>1352</v>
      </c>
      <c r="Q26" s="64">
        <f t="shared" si="22"/>
        <v>-1</v>
      </c>
      <c r="R26" s="64" t="str">
        <f t="shared" si="23"/>
        <v>n/a</v>
      </c>
      <c r="S26" s="60">
        <f t="shared" si="24"/>
        <v>-1</v>
      </c>
      <c r="T26" s="68">
        <v>165083</v>
      </c>
      <c r="U26" s="70">
        <f>20768+8294</f>
        <v>29062</v>
      </c>
      <c r="V26" s="70">
        <f>659951+168729+38484</f>
        <v>867164</v>
      </c>
    </row>
    <row r="27" spans="1:38" thickBot="1">
      <c r="A27" s="9"/>
      <c r="B27" s="12"/>
      <c r="C27" s="35" t="s">
        <v>12</v>
      </c>
      <c r="D27" s="36"/>
      <c r="E27" s="37"/>
      <c r="F27" s="46">
        <f t="shared" ref="F27" si="25">F10+F13+F16+F19+F22+F25</f>
        <v>186</v>
      </c>
      <c r="G27" s="46">
        <f t="shared" ref="G27:I28" si="26">G10+G13+G16+G19+G22+G25</f>
        <v>2</v>
      </c>
      <c r="H27" s="46">
        <f t="shared" si="26"/>
        <v>212</v>
      </c>
      <c r="I27" s="46">
        <f t="shared" si="26"/>
        <v>218</v>
      </c>
      <c r="J27" s="66">
        <f t="shared" si="0"/>
        <v>92</v>
      </c>
      <c r="K27" s="66">
        <f t="shared" si="21"/>
        <v>-0.12264150943396224</v>
      </c>
      <c r="L27" s="62">
        <f t="shared" si="12"/>
        <v>-0.14678899082568808</v>
      </c>
      <c r="M27" s="46">
        <f t="shared" ref="M27:P28" si="27">M10+M13+M16+M19+M22+M25</f>
        <v>186</v>
      </c>
      <c r="N27" s="46">
        <f t="shared" si="27"/>
        <v>2</v>
      </c>
      <c r="O27" s="46">
        <f t="shared" si="27"/>
        <v>212</v>
      </c>
      <c r="P27" s="46">
        <f t="shared" si="27"/>
        <v>218</v>
      </c>
      <c r="Q27" s="66">
        <f t="shared" si="22"/>
        <v>92</v>
      </c>
      <c r="R27" s="66">
        <f t="shared" si="23"/>
        <v>-0.12264150943396224</v>
      </c>
      <c r="S27" s="62">
        <f t="shared" si="24"/>
        <v>-0.14678899082568808</v>
      </c>
      <c r="T27" s="46">
        <f t="shared" ref="T27:V28" si="28">T10+T13+T16+T19+T22+T25</f>
        <v>1062</v>
      </c>
      <c r="U27" s="46">
        <f t="shared" si="28"/>
        <v>667</v>
      </c>
      <c r="V27" s="46">
        <f t="shared" si="28"/>
        <v>3344</v>
      </c>
    </row>
    <row r="28" spans="1:38" s="22" customFormat="1" ht="15.6" thickTop="1" thickBot="1">
      <c r="A28" s="9"/>
      <c r="B28" s="12"/>
      <c r="C28" s="38" t="s">
        <v>13</v>
      </c>
      <c r="D28" s="39"/>
      <c r="E28" s="40"/>
      <c r="F28" s="47">
        <f t="shared" ref="F28" si="29">F11+F14+F17+F20+F23+F26</f>
        <v>219956</v>
      </c>
      <c r="G28" s="47">
        <f t="shared" si="26"/>
        <v>1288</v>
      </c>
      <c r="H28" s="47">
        <f t="shared" si="26"/>
        <v>555038</v>
      </c>
      <c r="I28" s="47">
        <f t="shared" si="26"/>
        <v>620852</v>
      </c>
      <c r="J28" s="67">
        <f t="shared" si="0"/>
        <v>169.77329192546583</v>
      </c>
      <c r="K28" s="67">
        <f t="shared" si="21"/>
        <v>-0.60371001625113951</v>
      </c>
      <c r="L28" s="63">
        <f t="shared" si="12"/>
        <v>-0.64571910857982262</v>
      </c>
      <c r="M28" s="47">
        <f t="shared" si="27"/>
        <v>219956</v>
      </c>
      <c r="N28" s="47">
        <f t="shared" si="27"/>
        <v>1288</v>
      </c>
      <c r="O28" s="47">
        <f t="shared" si="27"/>
        <v>555038</v>
      </c>
      <c r="P28" s="47">
        <f t="shared" si="27"/>
        <v>620852</v>
      </c>
      <c r="Q28" s="67">
        <f t="shared" si="22"/>
        <v>169.77329192546583</v>
      </c>
      <c r="R28" s="67">
        <f t="shared" si="23"/>
        <v>-0.60371001625113951</v>
      </c>
      <c r="S28" s="63">
        <f t="shared" si="24"/>
        <v>-0.64571910857982262</v>
      </c>
      <c r="T28" s="47">
        <f t="shared" si="28"/>
        <v>1554247</v>
      </c>
      <c r="U28" s="47">
        <f t="shared" si="28"/>
        <v>1323431</v>
      </c>
      <c r="V28" s="47">
        <f t="shared" si="28"/>
        <v>9169021</v>
      </c>
      <c r="W28" s="9"/>
      <c r="X28" s="21"/>
      <c r="Y28" s="21"/>
      <c r="Z28" s="21"/>
      <c r="AA28" s="21"/>
      <c r="AB28" s="21"/>
      <c r="AC28" s="21"/>
      <c r="AD28" s="21"/>
      <c r="AE28" s="21"/>
      <c r="AF28" s="21"/>
      <c r="AG28" s="21"/>
      <c r="AH28" s="21"/>
      <c r="AI28" s="21"/>
      <c r="AJ28" s="21"/>
      <c r="AK28" s="21"/>
      <c r="AL28" s="21"/>
    </row>
    <row r="29" spans="1:38" thickTop="1">
      <c r="A29" s="9"/>
      <c r="B29" s="9"/>
      <c r="C29" s="9"/>
      <c r="D29" s="9"/>
      <c r="E29" s="9"/>
      <c r="F29" s="9"/>
      <c r="G29" s="41"/>
      <c r="H29" s="41"/>
      <c r="I29" s="41"/>
      <c r="J29" s="41"/>
      <c r="K29" s="9"/>
      <c r="L29" s="9"/>
      <c r="M29" s="9"/>
      <c r="N29" s="9"/>
      <c r="O29" s="9"/>
      <c r="P29" s="9"/>
      <c r="Q29" s="9"/>
      <c r="R29" s="9"/>
      <c r="S29" s="9"/>
      <c r="T29" s="9"/>
      <c r="U29" s="9"/>
      <c r="V29" s="9"/>
    </row>
    <row r="30" spans="1:38" ht="14.4" hidden="1">
      <c r="A30" s="9"/>
      <c r="B30" s="9"/>
      <c r="C30" s="9"/>
      <c r="D30" s="9"/>
      <c r="E30" s="9"/>
      <c r="F30" s="9"/>
      <c r="G30" s="41"/>
      <c r="H30" s="41"/>
      <c r="I30" s="41"/>
      <c r="J30" s="41"/>
      <c r="K30" s="9"/>
      <c r="L30" s="9"/>
      <c r="M30" s="9"/>
      <c r="N30" s="9"/>
      <c r="O30" s="9"/>
      <c r="P30" s="9"/>
      <c r="Q30" s="9"/>
      <c r="R30" s="9"/>
      <c r="S30" s="9"/>
      <c r="T30" s="9"/>
      <c r="U30" s="9"/>
      <c r="V30" s="9"/>
    </row>
    <row r="31" spans="1:38" ht="14.4" hidden="1">
      <c r="A31" s="9"/>
      <c r="B31" s="9"/>
      <c r="C31" s="9"/>
      <c r="D31" s="9"/>
      <c r="E31" s="9"/>
      <c r="F31" s="9"/>
      <c r="G31" s="41"/>
      <c r="H31" s="41"/>
      <c r="I31" s="41"/>
      <c r="J31" s="41"/>
      <c r="K31" s="9"/>
      <c r="L31" s="9"/>
      <c r="M31" s="9"/>
      <c r="N31" s="9"/>
      <c r="O31" s="9"/>
      <c r="P31" s="9"/>
      <c r="Q31" s="9"/>
      <c r="R31" s="9"/>
      <c r="S31" s="9"/>
      <c r="T31" s="9"/>
      <c r="U31" s="9"/>
      <c r="V31" s="9"/>
    </row>
    <row r="32" spans="1:38" ht="14.4" hidden="1">
      <c r="A32" s="9"/>
      <c r="B32" s="9"/>
      <c r="C32" s="9"/>
      <c r="D32" s="9"/>
      <c r="E32" s="9"/>
      <c r="F32" s="9"/>
      <c r="G32" s="41"/>
      <c r="H32" s="41"/>
      <c r="I32" s="41"/>
      <c r="J32" s="41"/>
      <c r="K32" s="9"/>
      <c r="L32" s="9"/>
      <c r="M32" s="9"/>
      <c r="N32" s="9"/>
      <c r="O32" s="9"/>
      <c r="P32" s="9"/>
      <c r="Q32" s="9"/>
      <c r="R32" s="9"/>
      <c r="S32" s="9"/>
      <c r="T32" s="9"/>
      <c r="U32" s="9"/>
      <c r="V32" s="9"/>
    </row>
    <row r="33" spans="7:10" s="9" customFormat="1" ht="14.4" hidden="1">
      <c r="G33" s="41"/>
      <c r="H33" s="41"/>
      <c r="I33" s="41"/>
      <c r="J33" s="41"/>
    </row>
    <row r="34" spans="7:10" s="9" customFormat="1" ht="14.4" hidden="1">
      <c r="G34" s="41"/>
      <c r="H34" s="41"/>
      <c r="I34" s="41"/>
      <c r="J34" s="41"/>
    </row>
    <row r="35" spans="7:10" s="9" customFormat="1" ht="14.4" hidden="1">
      <c r="G35" s="41"/>
      <c r="H35" s="41"/>
      <c r="I35" s="41"/>
      <c r="J35" s="41"/>
    </row>
    <row r="36" spans="7:10" s="9" customFormat="1" ht="14.4" hidden="1">
      <c r="G36" s="41"/>
      <c r="H36" s="41"/>
      <c r="I36" s="41"/>
      <c r="J36" s="41"/>
    </row>
    <row r="37" spans="7:10" s="9" customFormat="1" ht="14.4" hidden="1">
      <c r="G37" s="41"/>
      <c r="H37" s="41"/>
      <c r="I37" s="41"/>
      <c r="J37" s="41"/>
    </row>
    <row r="38" spans="7:10" s="9" customFormat="1" ht="14.4" hidden="1">
      <c r="G38" s="41"/>
      <c r="H38" s="41"/>
      <c r="I38" s="41"/>
      <c r="J38" s="41"/>
    </row>
    <row r="39" spans="7:10" s="9" customFormat="1" ht="14.4" hidden="1">
      <c r="G39" s="41"/>
      <c r="H39" s="41"/>
      <c r="I39" s="41"/>
      <c r="J39" s="41"/>
    </row>
    <row r="40" spans="7:10" s="9" customFormat="1" ht="14.4" hidden="1">
      <c r="G40" s="41"/>
      <c r="H40" s="41"/>
      <c r="I40" s="41"/>
      <c r="J40" s="41"/>
    </row>
    <row r="41" spans="7:10" s="9" customFormat="1" ht="14.4" hidden="1">
      <c r="G41" s="41"/>
      <c r="H41" s="41"/>
      <c r="I41" s="41"/>
      <c r="J41" s="41"/>
    </row>
    <row r="42" spans="7:10" s="9" customFormat="1" ht="14.4" hidden="1">
      <c r="G42" s="41"/>
      <c r="H42" s="41"/>
      <c r="I42" s="41"/>
      <c r="J42" s="41"/>
    </row>
    <row r="43" spans="7:10" s="9" customFormat="1" ht="14.4" hidden="1">
      <c r="G43" s="41"/>
      <c r="H43" s="41"/>
      <c r="I43" s="41"/>
      <c r="J43" s="41"/>
    </row>
    <row r="44" spans="7:10" s="9" customFormat="1" ht="14.4" hidden="1">
      <c r="G44" s="41"/>
      <c r="H44" s="41"/>
      <c r="I44" s="41"/>
      <c r="J44" s="41"/>
    </row>
    <row r="45" spans="7:10" s="9" customFormat="1" ht="14.4" hidden="1">
      <c r="G45" s="41"/>
      <c r="H45" s="41"/>
      <c r="I45" s="41"/>
      <c r="J45" s="41"/>
    </row>
    <row r="46" spans="7:10" s="9" customFormat="1" ht="14.4" hidden="1">
      <c r="G46" s="41"/>
      <c r="H46" s="41"/>
      <c r="I46" s="41"/>
      <c r="J46" s="41"/>
    </row>
    <row r="47" spans="7:10" s="9" customFormat="1" ht="14.4" hidden="1">
      <c r="G47" s="41"/>
      <c r="H47" s="41"/>
      <c r="I47" s="41"/>
      <c r="J47" s="41"/>
    </row>
    <row r="48" spans="7:10" s="9" customFormat="1" ht="14.4" hidden="1"/>
  </sheetData>
  <customSheetViews>
    <customSheetView guid="{5F6D01E3-9E6F-4D7F-980F-63899AF95899}" scale="79" showGridLines="0" fitToPage="1" hiddenRows="1" hiddenColumns="1" topLeftCell="A3">
      <selection activeCell="A3" sqref="A3"/>
      <pageMargins left="0.7" right="0.7" top="0.75" bottom="0.75" header="0.3" footer="0.3"/>
      <pageSetup paperSize="9" scale="85" orientation="landscape" horizontalDpi="4294967293" verticalDpi="4294967293" r:id="rId1"/>
    </customSheetView>
  </customSheetViews>
  <mergeCells count="3">
    <mergeCell ref="T6:V6"/>
    <mergeCell ref="M6:S6"/>
    <mergeCell ref="F6:L6"/>
  </mergeCells>
  <pageMargins left="0.7" right="0.7" top="0.75" bottom="0.75" header="0.3" footer="0.3"/>
  <pageSetup paperSize="9" scale="85" orientation="landscape" horizontalDpi="4294967293" verticalDpi="4294967293" r:id="rId2"/>
  <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AG48"/>
  <sheetViews>
    <sheetView showGridLines="0" zoomScale="79" zoomScaleNormal="79" workbookViewId="0"/>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9" customWidth="1"/>
    <col min="19" max="33" width="0" style="9" hidden="1" customWidth="1"/>
    <col min="34" max="16384" width="9.109375" hidden="1"/>
  </cols>
  <sheetData>
    <row r="1" spans="1:33" ht="14.4">
      <c r="A1" s="9"/>
      <c r="B1" s="9"/>
      <c r="C1" s="9"/>
      <c r="D1" s="9"/>
      <c r="E1" s="9"/>
      <c r="F1" s="9"/>
      <c r="G1" s="9"/>
      <c r="H1" s="9"/>
      <c r="I1" s="9"/>
      <c r="J1" s="9"/>
      <c r="K1" s="9"/>
      <c r="L1" s="9"/>
      <c r="M1" s="9"/>
      <c r="N1" s="9"/>
      <c r="O1" s="9"/>
      <c r="P1" s="9"/>
      <c r="Q1" s="9"/>
    </row>
    <row r="2" spans="1:33" ht="18.600000000000001" thickBot="1">
      <c r="A2" s="9"/>
      <c r="B2" s="8" t="s">
        <v>6</v>
      </c>
      <c r="C2" s="23"/>
      <c r="D2" s="23"/>
      <c r="E2" s="23"/>
      <c r="F2" s="23"/>
      <c r="G2" s="23"/>
      <c r="H2" s="23"/>
      <c r="I2" s="23"/>
      <c r="J2" s="23"/>
      <c r="K2" s="23"/>
      <c r="L2" s="23"/>
      <c r="M2" s="23"/>
      <c r="N2" s="23"/>
      <c r="O2" s="23"/>
      <c r="P2" s="23"/>
      <c r="Q2" s="23"/>
    </row>
    <row r="3" spans="1:33" ht="14.4">
      <c r="A3" s="9"/>
      <c r="B3" s="10"/>
      <c r="C3" s="24"/>
      <c r="D3" s="24"/>
      <c r="E3" s="24"/>
      <c r="F3" s="24"/>
      <c r="G3" s="24"/>
      <c r="H3" s="24"/>
      <c r="I3" s="24"/>
      <c r="J3" s="24"/>
      <c r="K3" s="24"/>
      <c r="L3" s="24"/>
      <c r="M3" s="24"/>
      <c r="N3" s="24"/>
      <c r="O3" s="24"/>
      <c r="P3" s="24"/>
      <c r="Q3" s="25"/>
    </row>
    <row r="4" spans="1:33" ht="16.2">
      <c r="A4" s="9"/>
      <c r="B4" s="11" t="s">
        <v>7</v>
      </c>
      <c r="C4" s="26"/>
      <c r="D4" s="24"/>
      <c r="E4" s="58" t="s">
        <v>30</v>
      </c>
      <c r="F4" s="24"/>
      <c r="G4" s="24"/>
      <c r="H4" s="24"/>
      <c r="I4" s="24"/>
      <c r="J4" s="24"/>
      <c r="K4" s="24"/>
      <c r="L4" s="24"/>
      <c r="M4" s="24"/>
      <c r="N4" s="24"/>
      <c r="O4" s="24"/>
      <c r="P4" s="24"/>
      <c r="Q4" s="24"/>
    </row>
    <row r="5" spans="1:33" ht="14.4">
      <c r="A5" s="9"/>
      <c r="B5" s="10"/>
      <c r="C5" s="24"/>
      <c r="D5" s="24"/>
      <c r="E5" s="24"/>
      <c r="F5" s="24"/>
      <c r="G5" s="24"/>
      <c r="H5" s="24"/>
      <c r="I5" s="24"/>
      <c r="J5" s="24"/>
      <c r="K5" s="24"/>
      <c r="L5" s="24"/>
      <c r="M5" s="24"/>
      <c r="N5" s="24"/>
      <c r="O5" s="24"/>
      <c r="P5" s="24"/>
      <c r="Q5" s="24"/>
    </row>
    <row r="6" spans="1:33" s="20" customFormat="1" ht="14.4">
      <c r="A6" s="9"/>
      <c r="B6"/>
      <c r="C6" s="27" t="s">
        <v>7</v>
      </c>
      <c r="D6" s="28"/>
      <c r="E6" s="28"/>
      <c r="F6" s="130" t="s">
        <v>31</v>
      </c>
      <c r="G6" s="135"/>
      <c r="H6" s="135"/>
      <c r="I6" s="136"/>
      <c r="J6" s="137"/>
      <c r="K6" s="130" t="s">
        <v>32</v>
      </c>
      <c r="L6" s="135"/>
      <c r="M6" s="135"/>
      <c r="N6" s="136"/>
      <c r="O6" s="137"/>
      <c r="P6" s="128" t="s">
        <v>9</v>
      </c>
      <c r="Q6" s="135"/>
      <c r="R6" s="9"/>
      <c r="S6" s="19"/>
      <c r="T6" s="19"/>
      <c r="U6" s="19"/>
      <c r="V6" s="19"/>
      <c r="W6" s="19"/>
      <c r="X6" s="19"/>
      <c r="Y6" s="19"/>
      <c r="Z6" s="19"/>
      <c r="AA6" s="19"/>
      <c r="AB6" s="19"/>
      <c r="AC6" s="19"/>
      <c r="AD6" s="19"/>
      <c r="AE6" s="19"/>
      <c r="AF6" s="19"/>
      <c r="AG6" s="19"/>
    </row>
    <row r="7" spans="1:33" ht="14.4">
      <c r="A7" s="9"/>
      <c r="B7" s="18"/>
      <c r="C7" s="29"/>
      <c r="D7" s="30"/>
      <c r="E7" s="30"/>
      <c r="F7" s="29"/>
      <c r="G7" s="30"/>
      <c r="H7" s="30"/>
      <c r="I7" s="30"/>
      <c r="J7" s="56"/>
      <c r="K7" s="29"/>
      <c r="L7" s="30"/>
      <c r="M7" s="30"/>
      <c r="N7" s="30"/>
      <c r="O7" s="56"/>
      <c r="P7" s="30"/>
      <c r="Q7" s="30"/>
    </row>
    <row r="8" spans="1:33" s="54" customFormat="1" ht="20.399999999999999">
      <c r="A8" s="48"/>
      <c r="B8" s="49"/>
      <c r="C8" s="59" t="s">
        <v>29</v>
      </c>
      <c r="D8" s="50"/>
      <c r="E8" s="51"/>
      <c r="F8" s="55">
        <v>2021</v>
      </c>
      <c r="G8" s="52">
        <v>2020</v>
      </c>
      <c r="H8" s="52">
        <v>2019</v>
      </c>
      <c r="I8" s="53" t="s">
        <v>19</v>
      </c>
      <c r="J8" s="57" t="s">
        <v>18</v>
      </c>
      <c r="K8" s="55">
        <v>2021</v>
      </c>
      <c r="L8" s="52">
        <v>2020</v>
      </c>
      <c r="M8" s="52">
        <v>2019</v>
      </c>
      <c r="N8" s="53" t="s">
        <v>19</v>
      </c>
      <c r="O8" s="57" t="s">
        <v>18</v>
      </c>
      <c r="P8" s="52">
        <v>2020</v>
      </c>
      <c r="Q8" s="52">
        <v>2019</v>
      </c>
      <c r="R8" s="48"/>
      <c r="S8" s="48"/>
      <c r="T8" s="48"/>
      <c r="U8" s="48"/>
      <c r="V8" s="48"/>
      <c r="W8" s="48"/>
      <c r="X8" s="48"/>
      <c r="Y8" s="48"/>
      <c r="Z8" s="48"/>
      <c r="AA8" s="48"/>
      <c r="AB8" s="48"/>
      <c r="AC8" s="48"/>
      <c r="AD8" s="48"/>
      <c r="AE8" s="48"/>
      <c r="AF8" s="48"/>
      <c r="AG8" s="48"/>
    </row>
    <row r="9" spans="1:33" ht="14.4">
      <c r="A9" s="9"/>
      <c r="B9" s="12"/>
      <c r="C9" s="31" t="s">
        <v>14</v>
      </c>
      <c r="D9" s="26"/>
      <c r="E9" s="32"/>
      <c r="F9" s="26"/>
      <c r="G9" s="26"/>
      <c r="H9" s="26"/>
      <c r="I9" s="26"/>
      <c r="J9" s="32"/>
      <c r="K9" s="26"/>
      <c r="L9" s="26"/>
      <c r="M9" s="26"/>
      <c r="N9" s="26"/>
      <c r="O9" s="32"/>
      <c r="P9" s="26"/>
      <c r="Q9" s="26"/>
    </row>
    <row r="10" spans="1:33" ht="14.4">
      <c r="A10" s="9"/>
      <c r="B10" s="12"/>
      <c r="C10" s="33"/>
      <c r="D10" s="26" t="s">
        <v>5</v>
      </c>
      <c r="E10" s="32"/>
      <c r="F10" s="68">
        <v>70</v>
      </c>
      <c r="G10" s="68">
        <f>L10-'Nov-21'!L10</f>
        <v>0</v>
      </c>
      <c r="H10" s="68">
        <f>M10-'Nov-21'!M10</f>
        <v>69</v>
      </c>
      <c r="I10" s="64" t="str">
        <f>IFERROR(F10/G10-1,"n/a")</f>
        <v>n/a</v>
      </c>
      <c r="J10" s="60">
        <f>F10/H10-1</f>
        <v>1.449275362318847E-2</v>
      </c>
      <c r="K10" s="68">
        <v>111</v>
      </c>
      <c r="L10" s="68">
        <v>145</v>
      </c>
      <c r="M10" s="68">
        <v>386</v>
      </c>
      <c r="N10" s="64">
        <f>K10/L10-1</f>
        <v>-0.23448275862068968</v>
      </c>
      <c r="O10" s="60">
        <f>K10/M10-1</f>
        <v>-0.71243523316062174</v>
      </c>
      <c r="P10" s="70">
        <v>145</v>
      </c>
      <c r="Q10" s="70">
        <v>386</v>
      </c>
    </row>
    <row r="11" spans="1:33" ht="14.4">
      <c r="A11" s="9"/>
      <c r="B11" s="12"/>
      <c r="C11" s="33"/>
      <c r="D11" s="26" t="s">
        <v>11</v>
      </c>
      <c r="E11" s="32"/>
      <c r="F11" s="68">
        <v>52767</v>
      </c>
      <c r="G11" s="68">
        <f>L11-'Nov-21'!L11</f>
        <v>0</v>
      </c>
      <c r="H11" s="68">
        <f>M11-'Nov-21'!M11</f>
        <v>120203</v>
      </c>
      <c r="I11" s="64" t="str">
        <f t="shared" ref="I11:I26" si="0">IFERROR(F11/G11-1,"n/a")</f>
        <v>n/a</v>
      </c>
      <c r="J11" s="60">
        <f>F11/H11-1</f>
        <v>-0.56101761187324772</v>
      </c>
      <c r="K11" s="68">
        <v>80863</v>
      </c>
      <c r="L11" s="68">
        <v>258885</v>
      </c>
      <c r="M11" s="68">
        <v>733296</v>
      </c>
      <c r="N11" s="64">
        <f>K11/L11-1</f>
        <v>-0.68764895610019894</v>
      </c>
      <c r="O11" s="60">
        <f>K11/M11-1</f>
        <v>-0.8897266588117213</v>
      </c>
      <c r="P11" s="70">
        <v>258885</v>
      </c>
      <c r="Q11" s="70">
        <v>733296</v>
      </c>
    </row>
    <row r="12" spans="1:33" ht="14.4">
      <c r="A12" s="9"/>
      <c r="B12" s="12"/>
      <c r="C12" s="31" t="s">
        <v>74</v>
      </c>
      <c r="D12" s="26"/>
      <c r="E12" s="32"/>
      <c r="F12" s="45"/>
      <c r="G12" s="45"/>
      <c r="H12" s="45"/>
      <c r="I12" s="64"/>
      <c r="J12" s="61"/>
      <c r="K12" s="43"/>
      <c r="L12" s="43"/>
      <c r="M12" s="43"/>
      <c r="N12" s="65"/>
      <c r="O12" s="61"/>
      <c r="P12" s="44"/>
      <c r="Q12" s="44"/>
    </row>
    <row r="13" spans="1:33" ht="14.4">
      <c r="A13" s="9"/>
      <c r="B13" s="12"/>
      <c r="C13" s="33"/>
      <c r="D13" s="26" t="s">
        <v>5</v>
      </c>
      <c r="E13" s="32"/>
      <c r="F13" s="68">
        <v>25</v>
      </c>
      <c r="G13" s="68">
        <f>L13-'Nov-21'!L13</f>
        <v>0</v>
      </c>
      <c r="H13" s="68">
        <f>M13-'Nov-21'!M13</f>
        <v>20</v>
      </c>
      <c r="I13" s="64" t="str">
        <f t="shared" si="0"/>
        <v>n/a</v>
      </c>
      <c r="J13" s="60">
        <f>F13/H13-1</f>
        <v>0.25</v>
      </c>
      <c r="K13" s="68">
        <v>283</v>
      </c>
      <c r="L13" s="68">
        <v>43</v>
      </c>
      <c r="M13" s="68">
        <v>827</v>
      </c>
      <c r="N13" s="64">
        <f>K13/L13-1</f>
        <v>5.5813953488372094</v>
      </c>
      <c r="O13" s="60">
        <f>K13/M13-1</f>
        <v>-0.65779927448609432</v>
      </c>
      <c r="P13" s="70">
        <v>43</v>
      </c>
      <c r="Q13" s="70">
        <v>827</v>
      </c>
    </row>
    <row r="14" spans="1:33" ht="14.4">
      <c r="A14" s="9"/>
      <c r="B14" s="12"/>
      <c r="C14" s="33"/>
      <c r="D14" s="26" t="s">
        <v>11</v>
      </c>
      <c r="E14" s="32"/>
      <c r="F14" s="68">
        <v>39214</v>
      </c>
      <c r="G14" s="68">
        <f>L14-'Nov-21'!L14</f>
        <v>0</v>
      </c>
      <c r="H14" s="68">
        <f>M14-'Nov-21'!M14</f>
        <v>58943</v>
      </c>
      <c r="I14" s="64" t="str">
        <f t="shared" si="0"/>
        <v>n/a</v>
      </c>
      <c r="J14" s="60">
        <f>F14/H14-1</f>
        <v>-0.33471319749588591</v>
      </c>
      <c r="K14" s="68">
        <v>465109</v>
      </c>
      <c r="L14" s="68">
        <v>140552</v>
      </c>
      <c r="M14" s="68">
        <v>2552942</v>
      </c>
      <c r="N14" s="64">
        <f>K14/L14-1</f>
        <v>2.3091595992942113</v>
      </c>
      <c r="O14" s="60">
        <f>K14/M14-1</f>
        <v>-0.81781450577412262</v>
      </c>
      <c r="P14" s="70">
        <v>140552</v>
      </c>
      <c r="Q14" s="70">
        <v>2552942</v>
      </c>
    </row>
    <row r="15" spans="1:33" ht="14.4">
      <c r="A15" s="9"/>
      <c r="B15" s="12"/>
      <c r="C15" s="31" t="s">
        <v>15</v>
      </c>
      <c r="D15" s="26"/>
      <c r="E15" s="32"/>
      <c r="F15" s="43"/>
      <c r="G15" s="43"/>
      <c r="H15" s="43"/>
      <c r="I15" s="64"/>
      <c r="J15" s="60"/>
      <c r="K15" s="43"/>
      <c r="L15" s="43"/>
      <c r="M15" s="43"/>
      <c r="N15" s="64"/>
      <c r="O15" s="60"/>
      <c r="P15" s="44"/>
      <c r="Q15" s="44"/>
    </row>
    <row r="16" spans="1:33" ht="14.4">
      <c r="A16" s="9"/>
      <c r="B16" s="12"/>
      <c r="C16" s="33"/>
      <c r="D16" s="26" t="s">
        <v>5</v>
      </c>
      <c r="E16" s="32"/>
      <c r="F16" s="68">
        <v>3</v>
      </c>
      <c r="G16" s="68">
        <f>L16-'Nov-21'!L16</f>
        <v>0</v>
      </c>
      <c r="H16" s="68">
        <f>M16-'Nov-21'!M16</f>
        <v>9</v>
      </c>
      <c r="I16" s="64" t="str">
        <f t="shared" si="0"/>
        <v>n/a</v>
      </c>
      <c r="J16" s="60">
        <f>F16/H16-1</f>
        <v>-0.66666666666666674</v>
      </c>
      <c r="K16" s="68">
        <v>23</v>
      </c>
      <c r="L16" s="68">
        <v>4</v>
      </c>
      <c r="M16" s="68">
        <v>191</v>
      </c>
      <c r="N16" s="64">
        <f>K16/L16-1</f>
        <v>4.75</v>
      </c>
      <c r="O16" s="60">
        <f>K16/M16-1</f>
        <v>-0.87958115183246077</v>
      </c>
      <c r="P16" s="70">
        <v>4</v>
      </c>
      <c r="Q16" s="70">
        <v>191</v>
      </c>
    </row>
    <row r="17" spans="1:33" ht="14.4">
      <c r="A17" s="9"/>
      <c r="B17" s="12"/>
      <c r="C17" s="33"/>
      <c r="D17" s="26" t="s">
        <v>11</v>
      </c>
      <c r="E17" s="32"/>
      <c r="F17" s="68">
        <v>864</v>
      </c>
      <c r="G17" s="68">
        <f>L17-'Nov-21'!L17</f>
        <v>0</v>
      </c>
      <c r="H17" s="68">
        <f>M17-'Nov-21'!M17</f>
        <v>9813</v>
      </c>
      <c r="I17" s="64" t="str">
        <f t="shared" si="0"/>
        <v>n/a</v>
      </c>
      <c r="J17" s="60">
        <f>F17/H17-1</f>
        <v>-0.911953531030266</v>
      </c>
      <c r="K17" s="68">
        <v>8611</v>
      </c>
      <c r="L17" s="68">
        <v>1753</v>
      </c>
      <c r="M17" s="68">
        <v>254421</v>
      </c>
      <c r="N17" s="64">
        <f>K17/L17-1</f>
        <v>3.9121505989731888</v>
      </c>
      <c r="O17" s="60">
        <f>K17/M17-1</f>
        <v>-0.96615452340805197</v>
      </c>
      <c r="P17" s="70">
        <v>1753</v>
      </c>
      <c r="Q17" s="70">
        <v>254421</v>
      </c>
    </row>
    <row r="18" spans="1:33" ht="14.4">
      <c r="A18" s="9"/>
      <c r="B18" s="12"/>
      <c r="C18" s="31" t="s">
        <v>10</v>
      </c>
      <c r="D18" s="26"/>
      <c r="E18" s="34"/>
      <c r="F18" s="43"/>
      <c r="G18" s="43"/>
      <c r="H18" s="43"/>
      <c r="I18" s="64"/>
      <c r="J18" s="60"/>
      <c r="K18" s="43"/>
      <c r="L18" s="43"/>
      <c r="M18" s="43"/>
      <c r="N18" s="64"/>
      <c r="O18" s="60"/>
      <c r="P18" s="44"/>
      <c r="Q18" s="44"/>
    </row>
    <row r="19" spans="1:33" ht="14.4">
      <c r="A19" s="9"/>
      <c r="B19" s="12"/>
      <c r="C19" s="33"/>
      <c r="D19" s="26" t="s">
        <v>5</v>
      </c>
      <c r="E19" s="34"/>
      <c r="F19" s="68">
        <v>102</v>
      </c>
      <c r="G19" s="68">
        <f>L19-'Nov-21'!L19</f>
        <v>0</v>
      </c>
      <c r="H19" s="68">
        <f>M19-'Nov-21'!M19</f>
        <v>131</v>
      </c>
      <c r="I19" s="64" t="str">
        <f t="shared" si="0"/>
        <v>n/a</v>
      </c>
      <c r="J19" s="60">
        <f>F19/H19-1</f>
        <v>-0.22137404580152675</v>
      </c>
      <c r="K19" s="68">
        <v>411</v>
      </c>
      <c r="L19" s="68">
        <v>406</v>
      </c>
      <c r="M19" s="68">
        <v>1205</v>
      </c>
      <c r="N19" s="64">
        <f>K19/L19-1</f>
        <v>1.2315270935960632E-2</v>
      </c>
      <c r="O19" s="60">
        <f>K19/M19-1</f>
        <v>-0.65892116182572613</v>
      </c>
      <c r="P19" s="70">
        <v>406</v>
      </c>
      <c r="Q19" s="70">
        <v>1205</v>
      </c>
    </row>
    <row r="20" spans="1:33" ht="14.4">
      <c r="A20" s="9"/>
      <c r="B20" s="12"/>
      <c r="C20" s="33"/>
      <c r="D20" s="26" t="s">
        <v>11</v>
      </c>
      <c r="E20" s="32"/>
      <c r="F20" s="68">
        <v>200450</v>
      </c>
      <c r="G20" s="68">
        <f>L20-'Nov-21'!L20</f>
        <v>0</v>
      </c>
      <c r="H20" s="68">
        <f>M20-'Nov-21'!M20</f>
        <v>386408</v>
      </c>
      <c r="I20" s="64" t="str">
        <f t="shared" si="0"/>
        <v>n/a</v>
      </c>
      <c r="J20" s="60">
        <f>F20/H20-1</f>
        <v>-0.48124780025258274</v>
      </c>
      <c r="K20" s="68">
        <v>687449</v>
      </c>
      <c r="L20" s="68">
        <v>833999</v>
      </c>
      <c r="M20" s="68">
        <v>3859183</v>
      </c>
      <c r="N20" s="64">
        <f>K20/L20-1</f>
        <v>-0.17571963515543787</v>
      </c>
      <c r="O20" s="60">
        <f>K20/M20-1</f>
        <v>-0.82186670080169821</v>
      </c>
      <c r="P20" s="70">
        <v>833999</v>
      </c>
      <c r="Q20" s="70">
        <v>3859183</v>
      </c>
    </row>
    <row r="21" spans="1:33" ht="14.4">
      <c r="A21" s="9"/>
      <c r="B21" s="12"/>
      <c r="C21" s="31" t="s">
        <v>16</v>
      </c>
      <c r="D21" s="26"/>
      <c r="E21" s="32"/>
      <c r="F21" s="43"/>
      <c r="G21" s="43"/>
      <c r="H21" s="43"/>
      <c r="I21" s="64"/>
      <c r="J21" s="60"/>
      <c r="K21" s="43"/>
      <c r="L21" s="43"/>
      <c r="M21" s="43"/>
      <c r="N21" s="64"/>
      <c r="O21" s="60"/>
      <c r="P21" s="44"/>
      <c r="Q21" s="44"/>
    </row>
    <row r="22" spans="1:33" ht="14.4">
      <c r="A22" s="9"/>
      <c r="B22" s="12"/>
      <c r="C22" s="33"/>
      <c r="D22" s="26" t="s">
        <v>5</v>
      </c>
      <c r="E22" s="32"/>
      <c r="F22" s="68">
        <v>7</v>
      </c>
      <c r="G22" s="68">
        <f>L22-'Nov-21'!L22</f>
        <v>3</v>
      </c>
      <c r="H22" s="68">
        <f>M22-'Nov-21'!M22</f>
        <v>44</v>
      </c>
      <c r="I22" s="64">
        <f t="shared" si="0"/>
        <v>1.3333333333333335</v>
      </c>
      <c r="J22" s="60">
        <f>F22/H22-1</f>
        <v>-0.84090909090909094</v>
      </c>
      <c r="K22" s="68">
        <v>107</v>
      </c>
      <c r="L22" s="68">
        <v>32</v>
      </c>
      <c r="M22" s="68">
        <v>372</v>
      </c>
      <c r="N22" s="64">
        <f>K22/L22-1</f>
        <v>2.34375</v>
      </c>
      <c r="O22" s="60">
        <f>K22/M22-1</f>
        <v>-0.7123655913978495</v>
      </c>
      <c r="P22" s="70">
        <v>32</v>
      </c>
      <c r="Q22" s="70">
        <v>372</v>
      </c>
    </row>
    <row r="23" spans="1:33" ht="14.4">
      <c r="A23" s="9"/>
      <c r="B23" s="12"/>
      <c r="C23" s="33"/>
      <c r="D23" s="26" t="s">
        <v>11</v>
      </c>
      <c r="E23" s="32"/>
      <c r="F23" s="68">
        <v>13748</v>
      </c>
      <c r="G23" s="68">
        <f>L23-'Nov-21'!L23</f>
        <v>1045</v>
      </c>
      <c r="H23" s="68">
        <f>M23-'Nov-21'!M23</f>
        <v>52611</v>
      </c>
      <c r="I23" s="64">
        <f t="shared" si="0"/>
        <v>12.15598086124402</v>
      </c>
      <c r="J23" s="60">
        <f>F23/H23-1</f>
        <v>-0.7386858261580278</v>
      </c>
      <c r="K23" s="68">
        <v>147132</v>
      </c>
      <c r="L23" s="68">
        <v>59180</v>
      </c>
      <c r="M23" s="68">
        <v>902015</v>
      </c>
      <c r="N23" s="64">
        <f>K23/L23-1</f>
        <v>1.4861777627576882</v>
      </c>
      <c r="O23" s="60">
        <f>K23/M23-1</f>
        <v>-0.83688519592246247</v>
      </c>
      <c r="P23" s="70">
        <v>59180</v>
      </c>
      <c r="Q23" s="70">
        <v>902015</v>
      </c>
    </row>
    <row r="24" spans="1:33" ht="14.4">
      <c r="A24" s="9"/>
      <c r="B24" s="12"/>
      <c r="C24" s="31" t="s">
        <v>17</v>
      </c>
      <c r="D24" s="26"/>
      <c r="E24" s="32"/>
      <c r="F24" s="43"/>
      <c r="G24" s="43"/>
      <c r="H24" s="43"/>
      <c r="I24" s="64"/>
      <c r="J24" s="60"/>
      <c r="K24" s="43"/>
      <c r="L24" s="43"/>
      <c r="M24" s="43"/>
      <c r="N24" s="64"/>
      <c r="O24" s="60"/>
      <c r="P24" s="44"/>
      <c r="Q24" s="44"/>
    </row>
    <row r="25" spans="1:33" ht="14.4">
      <c r="B25" s="12"/>
      <c r="C25" s="33"/>
      <c r="D25" s="26" t="s">
        <v>5</v>
      </c>
      <c r="E25" s="32"/>
      <c r="F25" s="68">
        <v>0</v>
      </c>
      <c r="G25" s="68">
        <f>L25-'Nov-21'!L25</f>
        <v>5</v>
      </c>
      <c r="H25" s="68">
        <f>M25-'Nov-21'!M25</f>
        <v>20</v>
      </c>
      <c r="I25" s="64">
        <f t="shared" si="0"/>
        <v>-1</v>
      </c>
      <c r="J25" s="60">
        <f>F25/H25-1</f>
        <v>-1</v>
      </c>
      <c r="K25" s="68">
        <v>127</v>
      </c>
      <c r="L25" s="68">
        <v>37</v>
      </c>
      <c r="M25" s="68">
        <f>282+81</f>
        <v>363</v>
      </c>
      <c r="N25" s="64">
        <f>K25/L25-1</f>
        <v>2.4324324324324325</v>
      </c>
      <c r="O25" s="60">
        <f>K25/M25-1</f>
        <v>-0.65013774104683197</v>
      </c>
      <c r="P25" s="70">
        <v>37</v>
      </c>
      <c r="Q25" s="70">
        <f>282+81</f>
        <v>363</v>
      </c>
    </row>
    <row r="26" spans="1:33" ht="14.4">
      <c r="A26" s="9"/>
      <c r="B26" s="12"/>
      <c r="C26" s="33"/>
      <c r="D26" s="26" t="s">
        <v>11</v>
      </c>
      <c r="E26" s="32"/>
      <c r="F26" s="68">
        <v>0</v>
      </c>
      <c r="G26" s="68">
        <f>L26-'Nov-21'!L26</f>
        <v>1063</v>
      </c>
      <c r="H26" s="68">
        <f>M26-'Nov-21'!M26</f>
        <v>24347</v>
      </c>
      <c r="I26" s="64">
        <f t="shared" si="0"/>
        <v>-1</v>
      </c>
      <c r="J26" s="60">
        <f>F26/H26-1</f>
        <v>-1</v>
      </c>
      <c r="K26" s="68">
        <v>165083</v>
      </c>
      <c r="L26" s="68">
        <f>20768+8294</f>
        <v>29062</v>
      </c>
      <c r="M26" s="70">
        <f>659951+168729+38484</f>
        <v>867164</v>
      </c>
      <c r="N26" s="64">
        <f>K26/L26-1</f>
        <v>4.6803729956644418</v>
      </c>
      <c r="O26" s="60">
        <f>K26/M26-1</f>
        <v>-0.80962885913160598</v>
      </c>
      <c r="P26" s="70">
        <f>20768+8294</f>
        <v>29062</v>
      </c>
      <c r="Q26" s="70">
        <f>659951+168729+38484</f>
        <v>867164</v>
      </c>
    </row>
    <row r="27" spans="1:33" thickBot="1">
      <c r="A27" s="9"/>
      <c r="B27" s="12"/>
      <c r="C27" s="35" t="s">
        <v>12</v>
      </c>
      <c r="D27" s="36"/>
      <c r="E27" s="37"/>
      <c r="F27" s="46">
        <f t="shared" ref="F27:H28" si="1">F10+F13+F16+F19+F22+F25</f>
        <v>207</v>
      </c>
      <c r="G27" s="46">
        <f t="shared" si="1"/>
        <v>8</v>
      </c>
      <c r="H27" s="46">
        <f t="shared" si="1"/>
        <v>293</v>
      </c>
      <c r="I27" s="66">
        <f>F27/G27-1</f>
        <v>24.875</v>
      </c>
      <c r="J27" s="62">
        <f>F27/H27-1</f>
        <v>-0.29351535836177478</v>
      </c>
      <c r="K27" s="46">
        <f t="shared" ref="K27:L27" si="2">K10+K13+K16+K19+K22+K25</f>
        <v>1062</v>
      </c>
      <c r="L27" s="46">
        <f t="shared" si="2"/>
        <v>667</v>
      </c>
      <c r="M27" s="46">
        <f>M10+M13+M16+M19+M22+M25</f>
        <v>3344</v>
      </c>
      <c r="N27" s="66">
        <f>K27/L27-1</f>
        <v>0.59220389805097451</v>
      </c>
      <c r="O27" s="62">
        <f>K27/M27-1</f>
        <v>-0.68241626794258381</v>
      </c>
      <c r="P27" s="46">
        <f>P10+P13+P16+P19+P22+P25</f>
        <v>667</v>
      </c>
      <c r="Q27" s="46">
        <f>Q10+Q13+Q16+Q19+Q22+Q25</f>
        <v>3344</v>
      </c>
    </row>
    <row r="28" spans="1:33" s="22" customFormat="1" ht="15.6" thickTop="1" thickBot="1">
      <c r="A28" s="9"/>
      <c r="B28" s="12"/>
      <c r="C28" s="38" t="s">
        <v>13</v>
      </c>
      <c r="D28" s="39"/>
      <c r="E28" s="40"/>
      <c r="F28" s="47">
        <f t="shared" si="1"/>
        <v>307043</v>
      </c>
      <c r="G28" s="47">
        <f t="shared" si="1"/>
        <v>2108</v>
      </c>
      <c r="H28" s="47">
        <f t="shared" si="1"/>
        <v>652325</v>
      </c>
      <c r="I28" s="67">
        <f>F28/G28-1</f>
        <v>144.65607210626186</v>
      </c>
      <c r="J28" s="63">
        <f>F28/H28-1</f>
        <v>-0.52930977656842826</v>
      </c>
      <c r="K28" s="47">
        <f t="shared" ref="K28:L28" si="3">K11+K14+K17+K20+K23+K26</f>
        <v>1554247</v>
      </c>
      <c r="L28" s="47">
        <f t="shared" si="3"/>
        <v>1323431</v>
      </c>
      <c r="M28" s="47">
        <f>M11+M14+M17+M20+M23+M26</f>
        <v>9169021</v>
      </c>
      <c r="N28" s="67">
        <f>K28/L28-1</f>
        <v>0.17440727926125343</v>
      </c>
      <c r="O28" s="63">
        <f>K28/M28-1</f>
        <v>-0.83048931832526063</v>
      </c>
      <c r="P28" s="47">
        <f>P11+P14+P17+P20+P23+P26</f>
        <v>1323431</v>
      </c>
      <c r="Q28" s="47">
        <f>Q11+Q14+Q17+Q20+Q23+Q26</f>
        <v>9169021</v>
      </c>
      <c r="R28" s="9"/>
      <c r="S28" s="21"/>
      <c r="T28" s="21"/>
      <c r="U28" s="21"/>
      <c r="V28" s="21"/>
      <c r="W28" s="21"/>
      <c r="X28" s="21"/>
      <c r="Y28" s="21"/>
      <c r="Z28" s="21"/>
      <c r="AA28" s="21"/>
      <c r="AB28" s="21"/>
      <c r="AC28" s="21"/>
      <c r="AD28" s="21"/>
      <c r="AE28" s="21"/>
      <c r="AF28" s="21"/>
      <c r="AG28" s="21"/>
    </row>
    <row r="29" spans="1:33" thickTop="1">
      <c r="A29" s="9"/>
      <c r="B29" s="9"/>
      <c r="C29" s="9"/>
      <c r="D29" s="9"/>
      <c r="E29" s="9"/>
      <c r="F29" s="41"/>
      <c r="G29" s="41"/>
      <c r="H29" s="41"/>
      <c r="I29" s="9"/>
      <c r="J29" s="9"/>
      <c r="K29" s="9"/>
      <c r="L29" s="9"/>
      <c r="M29" s="9"/>
      <c r="N29" s="9"/>
      <c r="O29" s="9"/>
      <c r="P29" s="9"/>
      <c r="Q29" s="9"/>
    </row>
    <row r="30" spans="1:33" ht="14.4" hidden="1">
      <c r="A30" s="9"/>
      <c r="B30" s="9"/>
      <c r="C30" s="9"/>
      <c r="D30" s="9"/>
      <c r="E30" s="9"/>
      <c r="F30" s="41"/>
      <c r="G30" s="41"/>
      <c r="H30" s="41"/>
      <c r="I30" s="9"/>
      <c r="J30" s="9"/>
      <c r="K30" s="9"/>
      <c r="L30" s="9"/>
      <c r="M30" s="9"/>
      <c r="N30" s="9"/>
      <c r="O30" s="9"/>
      <c r="P30" s="9"/>
      <c r="Q30" s="9"/>
    </row>
    <row r="31" spans="1:33" ht="14.4" hidden="1">
      <c r="A31" s="9"/>
      <c r="B31" s="9"/>
      <c r="C31" s="9"/>
      <c r="D31" s="9"/>
      <c r="E31" s="9"/>
      <c r="F31" s="41"/>
      <c r="G31" s="41"/>
      <c r="H31" s="41"/>
      <c r="I31" s="9"/>
      <c r="J31" s="9"/>
      <c r="K31" s="9"/>
      <c r="L31" s="9"/>
      <c r="M31" s="9"/>
      <c r="N31" s="9"/>
      <c r="O31" s="9"/>
      <c r="P31" s="9"/>
      <c r="Q31" s="9"/>
    </row>
    <row r="32" spans="1:33" ht="14.4" hidden="1">
      <c r="A32" s="9"/>
      <c r="B32" s="9"/>
      <c r="C32" s="9"/>
      <c r="D32" s="9"/>
      <c r="E32" s="9"/>
      <c r="F32" s="41"/>
      <c r="G32" s="41"/>
      <c r="H32" s="41"/>
      <c r="I32" s="9"/>
      <c r="J32" s="9"/>
      <c r="K32" s="9"/>
      <c r="L32" s="9"/>
      <c r="M32" s="9"/>
      <c r="N32" s="9"/>
      <c r="O32" s="9"/>
      <c r="P32" s="9"/>
      <c r="Q32" s="9"/>
    </row>
    <row r="33" spans="6:8" s="9" customFormat="1" ht="14.4" hidden="1">
      <c r="F33" s="41"/>
      <c r="G33" s="41"/>
      <c r="H33" s="41"/>
    </row>
    <row r="34" spans="6:8" s="9" customFormat="1" ht="14.4" hidden="1">
      <c r="F34" s="41"/>
      <c r="G34" s="41"/>
      <c r="H34" s="41"/>
    </row>
    <row r="35" spans="6:8" s="9" customFormat="1" ht="14.4" hidden="1">
      <c r="F35" s="41"/>
      <c r="G35" s="41"/>
      <c r="H35" s="41"/>
    </row>
    <row r="36" spans="6:8" s="9" customFormat="1" ht="14.4" hidden="1">
      <c r="F36" s="41"/>
      <c r="G36" s="41"/>
      <c r="H36" s="41"/>
    </row>
    <row r="37" spans="6:8" s="9" customFormat="1" ht="14.4" hidden="1">
      <c r="F37" s="41"/>
      <c r="G37" s="41"/>
      <c r="H37" s="41"/>
    </row>
    <row r="38" spans="6:8" s="9" customFormat="1" ht="14.4" hidden="1">
      <c r="F38" s="41"/>
      <c r="G38" s="41"/>
      <c r="H38" s="41"/>
    </row>
    <row r="39" spans="6:8" s="9" customFormat="1" ht="14.4" hidden="1">
      <c r="F39" s="41"/>
      <c r="G39" s="41"/>
      <c r="H39" s="41"/>
    </row>
    <row r="40" spans="6:8" s="9" customFormat="1" ht="14.4" hidden="1">
      <c r="F40" s="41"/>
      <c r="G40" s="41"/>
      <c r="H40" s="41"/>
    </row>
    <row r="41" spans="6:8" s="9" customFormat="1" ht="14.4" hidden="1">
      <c r="F41" s="41"/>
      <c r="G41" s="41"/>
      <c r="H41" s="41"/>
    </row>
    <row r="42" spans="6:8" s="9" customFormat="1" ht="14.4" hidden="1">
      <c r="F42" s="41"/>
      <c r="G42" s="41"/>
      <c r="H42" s="41"/>
    </row>
    <row r="43" spans="6:8" s="9" customFormat="1" ht="14.4" hidden="1">
      <c r="F43" s="41"/>
      <c r="G43" s="41"/>
      <c r="H43" s="41"/>
    </row>
    <row r="44" spans="6:8" s="9" customFormat="1" ht="14.4" hidden="1">
      <c r="F44" s="41"/>
      <c r="G44" s="41"/>
      <c r="H44" s="41"/>
    </row>
    <row r="45" spans="6:8" s="9" customFormat="1" ht="14.4" hidden="1">
      <c r="F45" s="41"/>
      <c r="G45" s="41"/>
      <c r="H45" s="41"/>
    </row>
    <row r="46" spans="6:8" s="9" customFormat="1" ht="14.4" hidden="1">
      <c r="F46" s="41"/>
      <c r="G46" s="41"/>
      <c r="H46" s="41"/>
    </row>
    <row r="47" spans="6:8" s="9" customFormat="1" ht="14.4" hidden="1">
      <c r="F47" s="41"/>
      <c r="G47" s="41"/>
      <c r="H47" s="41"/>
    </row>
    <row r="48" spans="6:8" s="9" customFormat="1" ht="14.4" hidden="1"/>
  </sheetData>
  <customSheetViews>
    <customSheetView guid="{5F6D01E3-9E6F-4D7F-980F-63899AF95899}" scale="79" showGridLines="0" fitToPage="1" hiddenRows="1" hiddenColumns="1" topLeftCell="A7">
      <selection activeCell="P28" sqref="P28"/>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AG48"/>
  <sheetViews>
    <sheetView showGridLines="0" zoomScale="79" zoomScaleNormal="100" workbookViewId="0"/>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9" customWidth="1"/>
    <col min="19" max="33" width="0" style="9" hidden="1" customWidth="1"/>
    <col min="34" max="16384" width="9.109375" hidden="1"/>
  </cols>
  <sheetData>
    <row r="1" spans="1:33" ht="14.4">
      <c r="A1" s="9"/>
      <c r="B1" s="9"/>
      <c r="C1" s="9"/>
      <c r="D1" s="9"/>
      <c r="E1" s="9"/>
      <c r="F1" s="9"/>
      <c r="G1" s="9"/>
      <c r="H1" s="9"/>
      <c r="I1" s="9"/>
      <c r="J1" s="9"/>
      <c r="K1" s="9"/>
      <c r="L1" s="9"/>
      <c r="M1" s="9"/>
      <c r="N1" s="9"/>
      <c r="O1" s="9"/>
      <c r="P1" s="9"/>
      <c r="Q1" s="9"/>
    </row>
    <row r="2" spans="1:33" ht="18.600000000000001" thickBot="1">
      <c r="A2" s="9"/>
      <c r="B2" s="8" t="s">
        <v>6</v>
      </c>
      <c r="C2" s="23"/>
      <c r="D2" s="23"/>
      <c r="E2" s="23"/>
      <c r="F2" s="23"/>
      <c r="G2" s="23"/>
      <c r="H2" s="23"/>
      <c r="I2" s="23"/>
      <c r="J2" s="23"/>
      <c r="K2" s="23"/>
      <c r="L2" s="23"/>
      <c r="M2" s="23"/>
      <c r="N2" s="23"/>
      <c r="O2" s="23"/>
      <c r="P2" s="23"/>
      <c r="Q2" s="23"/>
    </row>
    <row r="3" spans="1:33" ht="14.4">
      <c r="A3" s="9"/>
      <c r="B3" s="10"/>
      <c r="C3" s="24"/>
      <c r="D3" s="24"/>
      <c r="E3" s="24"/>
      <c r="F3" s="24"/>
      <c r="G3" s="24"/>
      <c r="H3" s="24"/>
      <c r="I3" s="24"/>
      <c r="J3" s="24"/>
      <c r="K3" s="24"/>
      <c r="L3" s="24"/>
      <c r="M3" s="24"/>
      <c r="N3" s="24"/>
      <c r="O3" s="24"/>
      <c r="P3" s="24"/>
      <c r="Q3" s="25"/>
    </row>
    <row r="4" spans="1:33" ht="16.2">
      <c r="A4" s="9"/>
      <c r="B4" s="11" t="s">
        <v>7</v>
      </c>
      <c r="C4" s="26"/>
      <c r="D4" s="24"/>
      <c r="E4" s="58" t="s">
        <v>26</v>
      </c>
      <c r="F4" s="24"/>
      <c r="G4" s="24"/>
      <c r="H4" s="24"/>
      <c r="I4" s="24"/>
      <c r="J4" s="24"/>
      <c r="K4" s="24"/>
      <c r="L4" s="24"/>
      <c r="M4" s="24"/>
      <c r="N4" s="24"/>
      <c r="O4" s="24"/>
      <c r="P4" s="24"/>
      <c r="Q4" s="24"/>
    </row>
    <row r="5" spans="1:33" ht="14.4">
      <c r="A5" s="9"/>
      <c r="B5" s="10"/>
      <c r="C5" s="24"/>
      <c r="D5" s="24"/>
      <c r="E5" s="24"/>
      <c r="F5" s="24"/>
      <c r="G5" s="24"/>
      <c r="H5" s="24"/>
      <c r="I5" s="24"/>
      <c r="J5" s="24"/>
      <c r="K5" s="24"/>
      <c r="L5" s="24"/>
      <c r="M5" s="24"/>
      <c r="N5" s="24"/>
      <c r="O5" s="24"/>
      <c r="P5" s="24"/>
      <c r="Q5" s="24"/>
    </row>
    <row r="6" spans="1:33" s="20" customFormat="1" ht="14.4">
      <c r="A6" s="9"/>
      <c r="B6"/>
      <c r="C6" s="27" t="s">
        <v>7</v>
      </c>
      <c r="D6" s="28"/>
      <c r="E6" s="28"/>
      <c r="F6" s="130" t="s">
        <v>27</v>
      </c>
      <c r="G6" s="135"/>
      <c r="H6" s="135"/>
      <c r="I6" s="136"/>
      <c r="J6" s="137"/>
      <c r="K6" s="130" t="s">
        <v>28</v>
      </c>
      <c r="L6" s="135"/>
      <c r="M6" s="135"/>
      <c r="N6" s="136"/>
      <c r="O6" s="137"/>
      <c r="P6" s="128" t="s">
        <v>9</v>
      </c>
      <c r="Q6" s="135"/>
      <c r="R6" s="9"/>
      <c r="S6" s="19"/>
      <c r="T6" s="19"/>
      <c r="U6" s="19"/>
      <c r="V6" s="19"/>
      <c r="W6" s="19"/>
      <c r="X6" s="19"/>
      <c r="Y6" s="19"/>
      <c r="Z6" s="19"/>
      <c r="AA6" s="19"/>
      <c r="AB6" s="19"/>
      <c r="AC6" s="19"/>
      <c r="AD6" s="19"/>
      <c r="AE6" s="19"/>
      <c r="AF6" s="19"/>
      <c r="AG6" s="19"/>
    </row>
    <row r="7" spans="1:33" ht="14.4">
      <c r="A7" s="9"/>
      <c r="B7" s="18"/>
      <c r="C7" s="29"/>
      <c r="D7" s="30"/>
      <c r="E7" s="30"/>
      <c r="F7" s="29"/>
      <c r="G7" s="30"/>
      <c r="H7" s="30"/>
      <c r="I7" s="30"/>
      <c r="J7" s="56"/>
      <c r="K7" s="29"/>
      <c r="L7" s="30"/>
      <c r="M7" s="30"/>
      <c r="N7" s="30"/>
      <c r="O7" s="56"/>
      <c r="P7" s="30"/>
      <c r="Q7" s="30"/>
    </row>
    <row r="8" spans="1:33" s="54" customFormat="1" ht="20.399999999999999">
      <c r="A8" s="48"/>
      <c r="B8" s="49"/>
      <c r="C8" s="59" t="s">
        <v>29</v>
      </c>
      <c r="D8" s="50"/>
      <c r="E8" s="51"/>
      <c r="F8" s="55">
        <v>2021</v>
      </c>
      <c r="G8" s="52">
        <v>2020</v>
      </c>
      <c r="H8" s="52">
        <v>2019</v>
      </c>
      <c r="I8" s="53" t="s">
        <v>19</v>
      </c>
      <c r="J8" s="57" t="s">
        <v>18</v>
      </c>
      <c r="K8" s="55">
        <v>2021</v>
      </c>
      <c r="L8" s="52">
        <v>2020</v>
      </c>
      <c r="M8" s="52">
        <v>2019</v>
      </c>
      <c r="N8" s="53" t="s">
        <v>19</v>
      </c>
      <c r="O8" s="57" t="s">
        <v>18</v>
      </c>
      <c r="P8" s="52">
        <v>2020</v>
      </c>
      <c r="Q8" s="52">
        <v>2019</v>
      </c>
      <c r="R8" s="48"/>
      <c r="S8" s="48"/>
      <c r="T8" s="48"/>
      <c r="U8" s="48"/>
      <c r="V8" s="48"/>
      <c r="W8" s="48"/>
      <c r="X8" s="48"/>
      <c r="Y8" s="48"/>
      <c r="Z8" s="48"/>
      <c r="AA8" s="48"/>
      <c r="AB8" s="48"/>
      <c r="AC8" s="48"/>
      <c r="AD8" s="48"/>
      <c r="AE8" s="48"/>
      <c r="AF8" s="48"/>
      <c r="AG8" s="48"/>
    </row>
    <row r="9" spans="1:33" ht="14.4">
      <c r="A9" s="9"/>
      <c r="B9" s="12"/>
      <c r="C9" s="31" t="s">
        <v>14</v>
      </c>
      <c r="D9" s="26"/>
      <c r="E9" s="32"/>
      <c r="F9" s="26"/>
      <c r="G9" s="26"/>
      <c r="H9" s="26"/>
      <c r="I9" s="26"/>
      <c r="J9" s="32"/>
      <c r="K9" s="26"/>
      <c r="L9" s="26"/>
      <c r="M9" s="26"/>
      <c r="N9" s="26"/>
      <c r="O9" s="32"/>
      <c r="P9" s="26"/>
      <c r="Q9" s="26"/>
    </row>
    <row r="10" spans="1:33" ht="14.4">
      <c r="A10" s="9"/>
      <c r="B10" s="12"/>
      <c r="C10" s="33"/>
      <c r="D10" s="26" t="s">
        <v>5</v>
      </c>
      <c r="E10" s="32"/>
      <c r="F10" s="68">
        <v>21</v>
      </c>
      <c r="G10" s="68">
        <v>0</v>
      </c>
      <c r="H10" s="69">
        <v>51</v>
      </c>
      <c r="I10" s="64" t="str">
        <f>IFERROR(F10/G10-1,"n/a")</f>
        <v>n/a</v>
      </c>
      <c r="J10" s="60">
        <f>F10/H10-1</f>
        <v>-0.58823529411764708</v>
      </c>
      <c r="K10" s="68">
        <v>41</v>
      </c>
      <c r="L10" s="68">
        <v>145</v>
      </c>
      <c r="M10" s="68">
        <v>317</v>
      </c>
      <c r="N10" s="64">
        <f>K10/L10-1</f>
        <v>-0.71724137931034482</v>
      </c>
      <c r="O10" s="60">
        <f>K10/M10-1</f>
        <v>-0.87066246056782337</v>
      </c>
      <c r="P10" s="70">
        <v>145</v>
      </c>
      <c r="Q10" s="70">
        <v>386</v>
      </c>
    </row>
    <row r="11" spans="1:33" ht="14.4">
      <c r="A11" s="9"/>
      <c r="B11" s="12"/>
      <c r="C11" s="33"/>
      <c r="D11" s="26" t="s">
        <v>11</v>
      </c>
      <c r="E11" s="32"/>
      <c r="F11" s="68">
        <v>23175</v>
      </c>
      <c r="G11" s="68">
        <v>0</v>
      </c>
      <c r="H11" s="68">
        <v>89764</v>
      </c>
      <c r="I11" s="64" t="str">
        <f t="shared" ref="I11:I26" si="0">IFERROR(F11/G11-1,"n/a")</f>
        <v>n/a</v>
      </c>
      <c r="J11" s="60">
        <f>F11/H11-1</f>
        <v>-0.74182300253999378</v>
      </c>
      <c r="K11" s="68">
        <v>28096</v>
      </c>
      <c r="L11" s="68">
        <v>258885</v>
      </c>
      <c r="M11" s="68">
        <v>613093</v>
      </c>
      <c r="N11" s="64">
        <f>K11/L11-1</f>
        <v>-0.89147304787840165</v>
      </c>
      <c r="O11" s="60">
        <f>K11/M11-1</f>
        <v>-0.95417334727357839</v>
      </c>
      <c r="P11" s="70">
        <v>258885</v>
      </c>
      <c r="Q11" s="70">
        <v>733296</v>
      </c>
    </row>
    <row r="12" spans="1:33" ht="14.4">
      <c r="A12" s="9"/>
      <c r="B12" s="12"/>
      <c r="C12" s="31" t="s">
        <v>74</v>
      </c>
      <c r="D12" s="26"/>
      <c r="E12" s="32"/>
      <c r="F12" s="45"/>
      <c r="G12" s="45"/>
      <c r="H12" s="45"/>
      <c r="I12" s="64"/>
      <c r="J12" s="61"/>
      <c r="K12" s="43"/>
      <c r="L12" s="43"/>
      <c r="M12" s="43"/>
      <c r="N12" s="65"/>
      <c r="O12" s="61"/>
      <c r="P12" s="44"/>
      <c r="Q12" s="44"/>
    </row>
    <row r="13" spans="1:33" ht="14.4">
      <c r="A13" s="9"/>
      <c r="B13" s="12"/>
      <c r="C13" s="33"/>
      <c r="D13" s="26" t="s">
        <v>5</v>
      </c>
      <c r="E13" s="32"/>
      <c r="F13" s="68">
        <v>67</v>
      </c>
      <c r="G13" s="68">
        <v>0</v>
      </c>
      <c r="H13" s="68">
        <v>95</v>
      </c>
      <c r="I13" s="64" t="str">
        <f t="shared" si="0"/>
        <v>n/a</v>
      </c>
      <c r="J13" s="60">
        <f>F13/H13-1</f>
        <v>-0.29473684210526319</v>
      </c>
      <c r="K13" s="68">
        <v>258</v>
      </c>
      <c r="L13" s="68">
        <v>43</v>
      </c>
      <c r="M13" s="68">
        <v>807</v>
      </c>
      <c r="N13" s="64">
        <f>K13/L13-1</f>
        <v>5</v>
      </c>
      <c r="O13" s="60">
        <f>K13/M13-1</f>
        <v>-0.68029739776951681</v>
      </c>
      <c r="P13" s="70">
        <v>43</v>
      </c>
      <c r="Q13" s="70">
        <v>827</v>
      </c>
    </row>
    <row r="14" spans="1:33" ht="14.4">
      <c r="A14" s="9"/>
      <c r="B14" s="12"/>
      <c r="C14" s="33"/>
      <c r="D14" s="26" t="s">
        <v>11</v>
      </c>
      <c r="E14" s="32"/>
      <c r="F14" s="68">
        <v>83507</v>
      </c>
      <c r="G14" s="68">
        <v>0</v>
      </c>
      <c r="H14" s="68">
        <v>263747</v>
      </c>
      <c r="I14" s="64" t="str">
        <f t="shared" si="0"/>
        <v>n/a</v>
      </c>
      <c r="J14" s="60">
        <f>F14/H14-1</f>
        <v>-0.68338218065039602</v>
      </c>
      <c r="K14" s="68">
        <v>425895</v>
      </c>
      <c r="L14" s="68">
        <v>140552</v>
      </c>
      <c r="M14" s="68">
        <v>2493999</v>
      </c>
      <c r="N14" s="64">
        <f>K14/L14-1</f>
        <v>2.0301596562126472</v>
      </c>
      <c r="O14" s="60">
        <f>K14/M14-1</f>
        <v>-0.82923208870572918</v>
      </c>
      <c r="P14" s="70">
        <v>140552</v>
      </c>
      <c r="Q14" s="70">
        <v>2552942</v>
      </c>
    </row>
    <row r="15" spans="1:33" ht="14.4">
      <c r="A15" s="9"/>
      <c r="B15" s="12"/>
      <c r="C15" s="31" t="s">
        <v>15</v>
      </c>
      <c r="D15" s="26"/>
      <c r="E15" s="32"/>
      <c r="F15" s="43"/>
      <c r="G15" s="43"/>
      <c r="H15" s="43"/>
      <c r="I15" s="64"/>
      <c r="J15" s="60"/>
      <c r="K15" s="43"/>
      <c r="L15" s="43"/>
      <c r="M15" s="43"/>
      <c r="N15" s="64"/>
      <c r="O15" s="60"/>
      <c r="P15" s="44"/>
      <c r="Q15" s="44"/>
    </row>
    <row r="16" spans="1:33" ht="14.4">
      <c r="A16" s="9"/>
      <c r="B16" s="12"/>
      <c r="C16" s="33"/>
      <c r="D16" s="26" t="s">
        <v>5</v>
      </c>
      <c r="E16" s="32"/>
      <c r="F16" s="68">
        <v>9</v>
      </c>
      <c r="G16" s="68">
        <v>0</v>
      </c>
      <c r="H16" s="68">
        <v>10</v>
      </c>
      <c r="I16" s="64" t="str">
        <f t="shared" si="0"/>
        <v>n/a</v>
      </c>
      <c r="J16" s="60">
        <f>F16/H16-1</f>
        <v>-9.9999999999999978E-2</v>
      </c>
      <c r="K16" s="68">
        <v>20</v>
      </c>
      <c r="L16" s="68">
        <v>4</v>
      </c>
      <c r="M16" s="68">
        <v>182</v>
      </c>
      <c r="N16" s="64">
        <f>K16/L16-1</f>
        <v>4</v>
      </c>
      <c r="O16" s="60">
        <f>K16/M16-1</f>
        <v>-0.89010989010989006</v>
      </c>
      <c r="P16" s="70">
        <v>4</v>
      </c>
      <c r="Q16" s="70">
        <v>191</v>
      </c>
    </row>
    <row r="17" spans="1:33" ht="14.4">
      <c r="A17" s="9"/>
      <c r="B17" s="12"/>
      <c r="C17" s="33"/>
      <c r="D17" s="26" t="s">
        <v>11</v>
      </c>
      <c r="E17" s="32"/>
      <c r="F17" s="68">
        <v>4212</v>
      </c>
      <c r="G17" s="68">
        <v>0</v>
      </c>
      <c r="H17" s="68">
        <v>13055</v>
      </c>
      <c r="I17" s="64" t="str">
        <f t="shared" si="0"/>
        <v>n/a</v>
      </c>
      <c r="J17" s="60">
        <f>F17/H17-1</f>
        <v>-0.67736499425507468</v>
      </c>
      <c r="K17" s="68">
        <v>7747</v>
      </c>
      <c r="L17" s="68">
        <v>1753</v>
      </c>
      <c r="M17" s="68">
        <v>244608</v>
      </c>
      <c r="N17" s="64">
        <f>K17/L17-1</f>
        <v>3.4192812321734172</v>
      </c>
      <c r="O17" s="60">
        <f>K17/M17-1</f>
        <v>-0.96832891810570376</v>
      </c>
      <c r="P17" s="70">
        <v>1753</v>
      </c>
      <c r="Q17" s="70">
        <v>254421</v>
      </c>
    </row>
    <row r="18" spans="1:33" ht="14.4">
      <c r="A18" s="9"/>
      <c r="B18" s="12"/>
      <c r="C18" s="31" t="s">
        <v>10</v>
      </c>
      <c r="D18" s="26"/>
      <c r="E18" s="34"/>
      <c r="F18" s="43"/>
      <c r="G18" s="43"/>
      <c r="H18" s="43"/>
      <c r="I18" s="64"/>
      <c r="J18" s="60"/>
      <c r="K18" s="43"/>
      <c r="L18" s="43"/>
      <c r="M18" s="43"/>
      <c r="N18" s="64"/>
      <c r="O18" s="60"/>
      <c r="P18" s="44"/>
      <c r="Q18" s="44"/>
    </row>
    <row r="19" spans="1:33" ht="14.4">
      <c r="A19" s="9"/>
      <c r="B19" s="12"/>
      <c r="C19" s="33"/>
      <c r="D19" s="26" t="s">
        <v>5</v>
      </c>
      <c r="E19" s="34"/>
      <c r="F19" s="68">
        <v>94</v>
      </c>
      <c r="G19" s="68">
        <v>0</v>
      </c>
      <c r="H19" s="68">
        <v>121</v>
      </c>
      <c r="I19" s="64" t="str">
        <f t="shared" si="0"/>
        <v>n/a</v>
      </c>
      <c r="J19" s="60">
        <f>F19/H19-1</f>
        <v>-0.22314049586776863</v>
      </c>
      <c r="K19" s="68">
        <v>309</v>
      </c>
      <c r="L19" s="68">
        <v>406</v>
      </c>
      <c r="M19" s="68">
        <v>1074</v>
      </c>
      <c r="N19" s="64">
        <f>K19/L19-1</f>
        <v>-0.23891625615763545</v>
      </c>
      <c r="O19" s="60">
        <f>K19/M19-1</f>
        <v>-0.71229050279329609</v>
      </c>
      <c r="P19" s="70">
        <v>406</v>
      </c>
      <c r="Q19" s="70">
        <v>1205</v>
      </c>
    </row>
    <row r="20" spans="1:33" ht="14.4">
      <c r="A20" s="9"/>
      <c r="B20" s="12"/>
      <c r="C20" s="33"/>
      <c r="D20" s="26" t="s">
        <v>11</v>
      </c>
      <c r="E20" s="32"/>
      <c r="F20" s="68">
        <v>162789</v>
      </c>
      <c r="G20" s="68">
        <v>0</v>
      </c>
      <c r="H20" s="68">
        <v>331420</v>
      </c>
      <c r="I20" s="64" t="str">
        <f t="shared" si="0"/>
        <v>n/a</v>
      </c>
      <c r="J20" s="60">
        <f>F20/H20-1</f>
        <v>-0.50881359000663817</v>
      </c>
      <c r="K20" s="68">
        <v>486999</v>
      </c>
      <c r="L20" s="68">
        <v>833999</v>
      </c>
      <c r="M20" s="68">
        <v>3472775</v>
      </c>
      <c r="N20" s="64">
        <f>K20/L20-1</f>
        <v>-0.41606764516504213</v>
      </c>
      <c r="O20" s="60">
        <f>K20/M20-1</f>
        <v>-0.85976661315518565</v>
      </c>
      <c r="P20" s="70">
        <v>833999</v>
      </c>
      <c r="Q20" s="70">
        <v>3859183</v>
      </c>
    </row>
    <row r="21" spans="1:33" ht="14.4">
      <c r="A21" s="9"/>
      <c r="B21" s="12"/>
      <c r="C21" s="31" t="s">
        <v>16</v>
      </c>
      <c r="D21" s="26"/>
      <c r="E21" s="32"/>
      <c r="F21" s="43"/>
      <c r="G21" s="43"/>
      <c r="H21" s="43"/>
      <c r="I21" s="64"/>
      <c r="J21" s="60"/>
      <c r="K21" s="43"/>
      <c r="L21" s="43"/>
      <c r="M21" s="43"/>
      <c r="N21" s="64"/>
      <c r="O21" s="60"/>
      <c r="P21" s="44"/>
      <c r="Q21" s="44"/>
    </row>
    <row r="22" spans="1:33" ht="14.4">
      <c r="A22" s="9"/>
      <c r="B22" s="12"/>
      <c r="C22" s="33"/>
      <c r="D22" s="26" t="s">
        <v>5</v>
      </c>
      <c r="E22" s="32"/>
      <c r="F22" s="68">
        <v>13</v>
      </c>
      <c r="G22" s="68">
        <v>5</v>
      </c>
      <c r="H22" s="68">
        <v>20</v>
      </c>
      <c r="I22" s="64">
        <f t="shared" si="0"/>
        <v>1.6</v>
      </c>
      <c r="J22" s="60">
        <f>F22/H22-1</f>
        <v>-0.35</v>
      </c>
      <c r="K22" s="68">
        <v>100</v>
      </c>
      <c r="L22" s="68">
        <v>29</v>
      </c>
      <c r="M22" s="68">
        <v>328</v>
      </c>
      <c r="N22" s="64">
        <f>K22/L22-1</f>
        <v>2.4482758620689653</v>
      </c>
      <c r="O22" s="60">
        <f>K22/M22-1</f>
        <v>-0.69512195121951215</v>
      </c>
      <c r="P22" s="70">
        <v>32</v>
      </c>
      <c r="Q22" s="70">
        <v>372</v>
      </c>
    </row>
    <row r="23" spans="1:33" ht="14.4">
      <c r="A23" s="9"/>
      <c r="B23" s="12"/>
      <c r="C23" s="33"/>
      <c r="D23" s="26" t="s">
        <v>11</v>
      </c>
      <c r="E23" s="32"/>
      <c r="F23" s="68">
        <v>16166</v>
      </c>
      <c r="G23" s="68">
        <v>2473</v>
      </c>
      <c r="H23" s="68">
        <v>30720</v>
      </c>
      <c r="I23" s="64">
        <f t="shared" si="0"/>
        <v>5.5369995956328344</v>
      </c>
      <c r="J23" s="60">
        <f>F23/H23-1</f>
        <v>-0.47376302083333333</v>
      </c>
      <c r="K23" s="68">
        <v>133384</v>
      </c>
      <c r="L23" s="68">
        <v>58135</v>
      </c>
      <c r="M23" s="68">
        <v>849404</v>
      </c>
      <c r="N23" s="64">
        <f>K23/L23-1</f>
        <v>1.2943837619334309</v>
      </c>
      <c r="O23" s="60">
        <f>K23/M23-1</f>
        <v>-0.84296753959246717</v>
      </c>
      <c r="P23" s="70">
        <v>59180</v>
      </c>
      <c r="Q23" s="70">
        <v>902015</v>
      </c>
    </row>
    <row r="24" spans="1:33" ht="14.4">
      <c r="A24" s="9"/>
      <c r="B24" s="12"/>
      <c r="C24" s="31" t="s">
        <v>17</v>
      </c>
      <c r="D24" s="26"/>
      <c r="E24" s="32"/>
      <c r="F24" s="43"/>
      <c r="G24" s="43"/>
      <c r="H24" s="43"/>
      <c r="I24" s="64"/>
      <c r="J24" s="60"/>
      <c r="K24" s="43"/>
      <c r="L24" s="43"/>
      <c r="M24" s="43"/>
      <c r="N24" s="64"/>
      <c r="O24" s="60"/>
      <c r="P24" s="44"/>
      <c r="Q24" s="44"/>
    </row>
    <row r="25" spans="1:33" ht="14.4">
      <c r="B25" s="12"/>
      <c r="C25" s="33"/>
      <c r="D25" s="26" t="s">
        <v>5</v>
      </c>
      <c r="E25" s="32"/>
      <c r="F25" s="68">
        <v>20</v>
      </c>
      <c r="G25" s="68">
        <v>8</v>
      </c>
      <c r="H25" s="68">
        <v>17</v>
      </c>
      <c r="I25" s="64">
        <f t="shared" si="0"/>
        <v>1.5</v>
      </c>
      <c r="J25" s="60">
        <f>F25/H25-1</f>
        <v>0.17647058823529416</v>
      </c>
      <c r="K25" s="68">
        <v>127</v>
      </c>
      <c r="L25" s="68">
        <v>32</v>
      </c>
      <c r="M25" s="68">
        <v>343</v>
      </c>
      <c r="N25" s="64">
        <f>K25/L25-1</f>
        <v>2.96875</v>
      </c>
      <c r="O25" s="60">
        <f>K25/M25-1</f>
        <v>-0.629737609329446</v>
      </c>
      <c r="P25" s="70">
        <v>37</v>
      </c>
      <c r="Q25" s="70">
        <v>363</v>
      </c>
    </row>
    <row r="26" spans="1:33" ht="14.4">
      <c r="A26" s="9"/>
      <c r="B26" s="12"/>
      <c r="C26" s="33"/>
      <c r="D26" s="26" t="s">
        <v>11</v>
      </c>
      <c r="E26" s="32"/>
      <c r="F26" s="68">
        <v>14810</v>
      </c>
      <c r="G26" s="68">
        <v>2381</v>
      </c>
      <c r="H26" s="68">
        <v>16811</v>
      </c>
      <c r="I26" s="64">
        <f t="shared" si="0"/>
        <v>5.2200755984880303</v>
      </c>
      <c r="J26" s="60">
        <f>F26/H26-1</f>
        <v>-0.11902920706680153</v>
      </c>
      <c r="K26" s="68">
        <v>165083</v>
      </c>
      <c r="L26" s="68">
        <v>27999</v>
      </c>
      <c r="M26" s="68">
        <v>842817</v>
      </c>
      <c r="N26" s="64">
        <f>K26/L26-1</f>
        <v>4.8960320011428982</v>
      </c>
      <c r="O26" s="60">
        <f>K26/M26-1</f>
        <v>-0.80412948481105628</v>
      </c>
      <c r="P26" s="70">
        <v>29062</v>
      </c>
      <c r="Q26" s="70">
        <v>867164</v>
      </c>
    </row>
    <row r="27" spans="1:33" thickBot="1">
      <c r="A27" s="9"/>
      <c r="B27" s="12"/>
      <c r="C27" s="35" t="s">
        <v>12</v>
      </c>
      <c r="D27" s="36"/>
      <c r="E27" s="37"/>
      <c r="F27" s="46">
        <f t="shared" ref="F27:H28" si="1">F10+F13+F16+F19+F22+F25</f>
        <v>224</v>
      </c>
      <c r="G27" s="46">
        <f t="shared" si="1"/>
        <v>13</v>
      </c>
      <c r="H27" s="46">
        <f t="shared" si="1"/>
        <v>314</v>
      </c>
      <c r="I27" s="66">
        <f>F27/G27-1</f>
        <v>16.23076923076923</v>
      </c>
      <c r="J27" s="62">
        <f>F27/H27-1</f>
        <v>-0.2866242038216561</v>
      </c>
      <c r="K27" s="46">
        <f t="shared" ref="K27:M28" si="2">K10+K13+K16+K19+K22+K25</f>
        <v>855</v>
      </c>
      <c r="L27" s="46">
        <f t="shared" si="2"/>
        <v>659</v>
      </c>
      <c r="M27" s="46">
        <f t="shared" si="2"/>
        <v>3051</v>
      </c>
      <c r="N27" s="66">
        <f>K27/L27-1</f>
        <v>0.29742033383915012</v>
      </c>
      <c r="O27" s="62">
        <f>K27/M27-1</f>
        <v>-0.71976401179940996</v>
      </c>
      <c r="P27" s="46">
        <f>P10+P13+P16+P19+P22+P25</f>
        <v>667</v>
      </c>
      <c r="Q27" s="46">
        <f>Q10+Q13+Q16+Q19+Q22+Q25</f>
        <v>3344</v>
      </c>
    </row>
    <row r="28" spans="1:33" s="22" customFormat="1" ht="15.6" thickTop="1" thickBot="1">
      <c r="A28" s="9"/>
      <c r="B28" s="12"/>
      <c r="C28" s="38" t="s">
        <v>13</v>
      </c>
      <c r="D28" s="39"/>
      <c r="E28" s="40"/>
      <c r="F28" s="47">
        <f t="shared" si="1"/>
        <v>304659</v>
      </c>
      <c r="G28" s="47">
        <f t="shared" si="1"/>
        <v>4854</v>
      </c>
      <c r="H28" s="47">
        <f t="shared" si="1"/>
        <v>745517</v>
      </c>
      <c r="I28" s="67">
        <f>F28/G28-1</f>
        <v>61.764524103831889</v>
      </c>
      <c r="J28" s="63">
        <f>F28/H28-1</f>
        <v>-0.59134533484816576</v>
      </c>
      <c r="K28" s="47">
        <f t="shared" si="2"/>
        <v>1247204</v>
      </c>
      <c r="L28" s="47">
        <f t="shared" si="2"/>
        <v>1321323</v>
      </c>
      <c r="M28" s="47">
        <f t="shared" si="2"/>
        <v>8516696</v>
      </c>
      <c r="N28" s="67">
        <f>K28/L28-1</f>
        <v>-5.6094535552624114E-2</v>
      </c>
      <c r="O28" s="63">
        <f>K28/M28-1</f>
        <v>-0.85355776465427435</v>
      </c>
      <c r="P28" s="47">
        <f>P11+P14+P17+P20+P23+P26</f>
        <v>1323431</v>
      </c>
      <c r="Q28" s="47">
        <f>Q11+Q14+Q17+Q20+Q23+Q26</f>
        <v>9169021</v>
      </c>
      <c r="R28" s="9"/>
      <c r="S28" s="21"/>
      <c r="T28" s="21"/>
      <c r="U28" s="21"/>
      <c r="V28" s="21"/>
      <c r="W28" s="21"/>
      <c r="X28" s="21"/>
      <c r="Y28" s="21"/>
      <c r="Z28" s="21"/>
      <c r="AA28" s="21"/>
      <c r="AB28" s="21"/>
      <c r="AC28" s="21"/>
      <c r="AD28" s="21"/>
      <c r="AE28" s="21"/>
      <c r="AF28" s="21"/>
      <c r="AG28" s="21"/>
    </row>
    <row r="29" spans="1:33" thickTop="1">
      <c r="A29" s="9"/>
      <c r="B29" s="9"/>
      <c r="C29" s="9"/>
      <c r="D29" s="9"/>
      <c r="E29" s="9"/>
      <c r="F29" s="41"/>
      <c r="G29" s="41"/>
      <c r="H29" s="41"/>
      <c r="I29" s="9"/>
      <c r="J29" s="9"/>
      <c r="K29" s="9"/>
      <c r="L29" s="9"/>
      <c r="M29" s="9"/>
      <c r="N29" s="9"/>
      <c r="O29" s="9"/>
      <c r="P29" s="9"/>
      <c r="Q29" s="9"/>
    </row>
    <row r="30" spans="1:33" ht="14.4" hidden="1">
      <c r="A30" s="9"/>
      <c r="B30" s="9"/>
      <c r="C30" s="9"/>
      <c r="D30" s="9"/>
      <c r="E30" s="9"/>
      <c r="F30" s="41"/>
      <c r="G30" s="41"/>
      <c r="H30" s="41"/>
      <c r="I30" s="9"/>
      <c r="J30" s="9"/>
      <c r="K30" s="9"/>
      <c r="L30" s="9"/>
      <c r="M30" s="9"/>
      <c r="N30" s="9"/>
      <c r="O30" s="9"/>
      <c r="P30" s="9"/>
      <c r="Q30" s="9"/>
    </row>
    <row r="31" spans="1:33" ht="14.4" hidden="1">
      <c r="A31" s="9"/>
      <c r="B31" s="9"/>
      <c r="C31" s="9"/>
      <c r="D31" s="9"/>
      <c r="E31" s="9"/>
      <c r="F31" s="41"/>
      <c r="G31" s="41"/>
      <c r="H31" s="41"/>
      <c r="I31" s="9"/>
      <c r="J31" s="9"/>
      <c r="K31" s="9"/>
      <c r="L31" s="9"/>
      <c r="M31" s="9"/>
      <c r="N31" s="9"/>
      <c r="O31" s="9"/>
      <c r="P31" s="9"/>
      <c r="Q31" s="9"/>
    </row>
    <row r="32" spans="1:33" ht="14.4" hidden="1">
      <c r="A32" s="9"/>
      <c r="B32" s="9"/>
      <c r="C32" s="9"/>
      <c r="D32" s="9"/>
      <c r="E32" s="9"/>
      <c r="F32" s="41"/>
      <c r="G32" s="41"/>
      <c r="H32" s="41"/>
      <c r="I32" s="9"/>
      <c r="J32" s="9"/>
      <c r="K32" s="9"/>
      <c r="L32" s="9"/>
      <c r="M32" s="9"/>
      <c r="N32" s="9"/>
      <c r="O32" s="9"/>
      <c r="P32" s="9"/>
      <c r="Q32" s="9"/>
    </row>
    <row r="33" spans="1:17" ht="14.4" hidden="1">
      <c r="A33" s="9"/>
      <c r="B33" s="9"/>
      <c r="C33" s="9"/>
      <c r="D33" s="9"/>
      <c r="E33" s="9"/>
      <c r="F33" s="41"/>
      <c r="G33" s="41"/>
      <c r="H33" s="41"/>
      <c r="I33" s="9"/>
      <c r="J33" s="9"/>
      <c r="K33" s="9"/>
      <c r="L33" s="9"/>
      <c r="M33" s="9"/>
      <c r="N33" s="9"/>
      <c r="O33" s="9"/>
      <c r="P33" s="9"/>
      <c r="Q33" s="9"/>
    </row>
    <row r="34" spans="1:17" ht="14.4" hidden="1">
      <c r="A34" s="9"/>
      <c r="B34" s="9"/>
      <c r="C34" s="9"/>
      <c r="D34" s="9"/>
      <c r="E34" s="9"/>
      <c r="F34" s="41"/>
      <c r="G34" s="41"/>
      <c r="H34" s="41"/>
      <c r="I34" s="9"/>
      <c r="J34" s="9"/>
      <c r="K34" s="9"/>
      <c r="L34" s="9"/>
      <c r="M34" s="9"/>
      <c r="N34" s="9"/>
      <c r="O34" s="9"/>
      <c r="P34" s="9"/>
      <c r="Q34" s="9"/>
    </row>
    <row r="35" spans="1:17" ht="14.4" hidden="1">
      <c r="A35" s="9"/>
      <c r="B35" s="9"/>
      <c r="C35" s="9"/>
      <c r="D35" s="9"/>
      <c r="E35" s="9"/>
      <c r="F35" s="41"/>
      <c r="G35" s="41"/>
      <c r="H35" s="41"/>
      <c r="I35" s="9"/>
      <c r="J35" s="9"/>
      <c r="K35" s="9"/>
      <c r="L35" s="9"/>
      <c r="M35" s="9"/>
      <c r="N35" s="9"/>
      <c r="O35" s="9"/>
      <c r="P35" s="9"/>
      <c r="Q35" s="9"/>
    </row>
    <row r="36" spans="1:17" ht="14.4" hidden="1">
      <c r="A36" s="9"/>
      <c r="B36" s="9"/>
      <c r="C36" s="9"/>
      <c r="D36" s="9"/>
      <c r="E36" s="9"/>
      <c r="F36" s="41"/>
      <c r="G36" s="41"/>
      <c r="H36" s="41"/>
      <c r="I36" s="9"/>
      <c r="J36" s="9"/>
      <c r="K36" s="9"/>
      <c r="L36" s="9"/>
      <c r="M36" s="9"/>
      <c r="N36" s="9"/>
      <c r="O36" s="9"/>
      <c r="P36" s="9"/>
      <c r="Q36" s="9"/>
    </row>
    <row r="37" spans="1:17" ht="14.4" hidden="1">
      <c r="A37" s="9"/>
      <c r="B37" s="9"/>
      <c r="C37" s="9"/>
      <c r="D37" s="9"/>
      <c r="E37" s="9"/>
      <c r="F37" s="41"/>
      <c r="G37" s="41"/>
      <c r="H37" s="41"/>
      <c r="I37" s="9"/>
      <c r="J37" s="9"/>
      <c r="K37" s="9"/>
      <c r="L37" s="9"/>
      <c r="M37" s="9"/>
      <c r="N37" s="9"/>
      <c r="O37" s="9"/>
      <c r="P37" s="9"/>
      <c r="Q37" s="9"/>
    </row>
    <row r="38" spans="1:17" ht="14.4" hidden="1">
      <c r="A38" s="9"/>
      <c r="B38" s="9"/>
      <c r="C38" s="9"/>
      <c r="D38" s="9"/>
      <c r="E38" s="9"/>
      <c r="F38" s="41"/>
      <c r="G38" s="41"/>
      <c r="H38" s="41"/>
      <c r="I38" s="9"/>
      <c r="J38" s="9"/>
      <c r="K38" s="9"/>
      <c r="L38" s="9"/>
      <c r="M38" s="9"/>
      <c r="N38" s="9"/>
      <c r="O38" s="9"/>
      <c r="P38" s="9"/>
      <c r="Q38" s="9"/>
    </row>
    <row r="39" spans="1:17" ht="14.4" hidden="1">
      <c r="A39" s="9"/>
      <c r="B39" s="9"/>
      <c r="C39" s="9"/>
      <c r="D39" s="9"/>
      <c r="E39" s="9"/>
      <c r="F39" s="41"/>
      <c r="G39" s="41"/>
      <c r="H39" s="41"/>
      <c r="I39" s="9"/>
      <c r="J39" s="9"/>
      <c r="K39" s="9"/>
      <c r="L39" s="9"/>
      <c r="M39" s="9"/>
      <c r="N39" s="9"/>
      <c r="O39" s="9"/>
      <c r="P39" s="9"/>
      <c r="Q39" s="9"/>
    </row>
    <row r="40" spans="1:17" ht="14.4" hidden="1">
      <c r="A40" s="9"/>
      <c r="B40" s="9"/>
      <c r="C40" s="9"/>
      <c r="D40" s="9"/>
      <c r="E40" s="9"/>
      <c r="F40" s="41"/>
      <c r="G40" s="41"/>
      <c r="H40" s="41"/>
      <c r="I40" s="9"/>
      <c r="J40" s="9"/>
      <c r="K40" s="9"/>
      <c r="L40" s="9"/>
      <c r="M40" s="9"/>
      <c r="N40" s="9"/>
      <c r="O40" s="9"/>
      <c r="P40" s="9"/>
      <c r="Q40" s="9"/>
    </row>
    <row r="41" spans="1:17" ht="14.4" hidden="1">
      <c r="A41" s="9"/>
      <c r="B41" s="9"/>
      <c r="C41" s="9"/>
      <c r="D41" s="9"/>
      <c r="E41" s="9"/>
      <c r="F41" s="41"/>
      <c r="G41" s="41"/>
      <c r="H41" s="41"/>
      <c r="I41" s="9"/>
      <c r="J41" s="9"/>
      <c r="K41" s="9"/>
      <c r="L41" s="9"/>
      <c r="M41" s="9"/>
      <c r="N41" s="9"/>
      <c r="O41" s="9"/>
      <c r="P41" s="9"/>
      <c r="Q41" s="9"/>
    </row>
    <row r="42" spans="1:17" ht="14.4" hidden="1">
      <c r="A42" s="9"/>
      <c r="B42" s="9"/>
      <c r="C42" s="9"/>
      <c r="D42" s="9"/>
      <c r="E42" s="9"/>
      <c r="F42" s="41"/>
      <c r="G42" s="41"/>
      <c r="H42" s="41"/>
      <c r="I42" s="9"/>
      <c r="J42" s="9"/>
      <c r="K42" s="9"/>
      <c r="L42" s="9"/>
      <c r="M42" s="9"/>
      <c r="N42" s="9"/>
      <c r="O42" s="9"/>
      <c r="P42" s="9"/>
      <c r="Q42" s="9"/>
    </row>
    <row r="43" spans="1:17" ht="14.4" hidden="1">
      <c r="A43" s="9"/>
      <c r="B43" s="9"/>
      <c r="C43" s="9"/>
      <c r="D43" s="9"/>
      <c r="E43" s="9"/>
      <c r="F43" s="41"/>
      <c r="G43" s="41"/>
      <c r="H43" s="41"/>
      <c r="I43" s="9"/>
      <c r="J43" s="9"/>
      <c r="K43" s="9"/>
      <c r="L43" s="9"/>
      <c r="M43" s="9"/>
      <c r="N43" s="9"/>
      <c r="O43" s="9"/>
      <c r="P43" s="9"/>
      <c r="Q43" s="9"/>
    </row>
    <row r="44" spans="1:17" ht="14.4" hidden="1">
      <c r="A44" s="9"/>
      <c r="B44" s="9"/>
      <c r="C44" s="9"/>
      <c r="D44" s="9"/>
      <c r="E44" s="9"/>
      <c r="F44" s="41"/>
      <c r="G44" s="41"/>
      <c r="H44" s="41"/>
      <c r="I44" s="9"/>
      <c r="J44" s="9"/>
      <c r="K44" s="9"/>
      <c r="L44" s="9"/>
      <c r="M44" s="9"/>
      <c r="N44" s="9"/>
      <c r="O44" s="9"/>
      <c r="P44" s="9"/>
      <c r="Q44" s="9"/>
    </row>
    <row r="45" spans="1:17" ht="14.4" hidden="1">
      <c r="A45" s="9"/>
      <c r="B45" s="9"/>
      <c r="C45" s="9"/>
      <c r="D45" s="9"/>
      <c r="E45" s="9"/>
      <c r="F45" s="41"/>
      <c r="G45" s="41"/>
      <c r="H45" s="41"/>
      <c r="I45" s="9"/>
      <c r="J45" s="9"/>
      <c r="K45" s="9"/>
      <c r="L45" s="9"/>
      <c r="M45" s="9"/>
      <c r="N45" s="9"/>
      <c r="O45" s="9"/>
      <c r="P45" s="9"/>
      <c r="Q45" s="9"/>
    </row>
    <row r="46" spans="1:17" ht="14.4" hidden="1">
      <c r="A46" s="9"/>
      <c r="B46" s="9"/>
      <c r="C46" s="9"/>
      <c r="D46" s="9"/>
      <c r="E46" s="9"/>
      <c r="F46" s="41"/>
      <c r="G46" s="41"/>
      <c r="H46" s="41"/>
      <c r="I46" s="9"/>
      <c r="J46" s="9"/>
      <c r="K46" s="9"/>
      <c r="L46" s="9"/>
      <c r="M46" s="9"/>
      <c r="N46" s="9"/>
      <c r="O46" s="9"/>
      <c r="P46" s="9"/>
      <c r="Q46" s="9"/>
    </row>
    <row r="47" spans="1:17" ht="14.4" hidden="1">
      <c r="A47" s="9"/>
      <c r="B47" s="9"/>
      <c r="C47" s="9"/>
      <c r="D47" s="9"/>
      <c r="E47" s="9"/>
      <c r="F47" s="41"/>
      <c r="G47" s="41"/>
      <c r="H47" s="41"/>
      <c r="I47" s="9"/>
      <c r="J47" s="9"/>
      <c r="K47" s="9"/>
      <c r="L47" s="9"/>
      <c r="M47" s="9"/>
      <c r="N47" s="9"/>
      <c r="O47" s="9"/>
      <c r="P47" s="9"/>
      <c r="Q47" s="9"/>
    </row>
    <row r="48" spans="1:17" ht="14.4" hidden="1">
      <c r="A48" s="9"/>
      <c r="B48" s="9"/>
      <c r="C48" s="9"/>
      <c r="D48" s="9"/>
      <c r="E48" s="9"/>
      <c r="F48" s="9"/>
      <c r="G48" s="9"/>
      <c r="H48" s="9"/>
      <c r="I48" s="9"/>
      <c r="J48" s="9"/>
      <c r="K48" s="9"/>
      <c r="L48" s="9"/>
      <c r="M48" s="9"/>
      <c r="N48" s="9"/>
      <c r="O48" s="9"/>
      <c r="P48" s="9"/>
      <c r="Q48" s="9"/>
    </row>
  </sheetData>
  <customSheetViews>
    <customSheetView guid="{5F6D01E3-9E6F-4D7F-980F-63899AF95899}" scale="79" showGridLines="0" fitToPage="1" hiddenRows="1" hiddenColumns="1">
      <selection activeCell="P28" sqref="P28"/>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AG48"/>
  <sheetViews>
    <sheetView showGridLines="0" zoomScale="79" zoomScaleNormal="79" workbookViewId="0"/>
  </sheetViews>
  <sheetFormatPr defaultColWidth="0" defaultRowHeight="15" customHeight="1" zeroHeight="1"/>
  <cols>
    <col min="1" max="3" width="2.5546875" customWidth="1"/>
    <col min="4" max="4" width="9.109375" customWidth="1"/>
    <col min="5" max="5" width="15.44140625" customWidth="1"/>
    <col min="6" max="6" width="11" bestFit="1" customWidth="1"/>
    <col min="7" max="7" width="9.109375" customWidth="1"/>
    <col min="8" max="8" width="11" bestFit="1" customWidth="1"/>
    <col min="9" max="10" width="9.109375" customWidth="1"/>
    <col min="11" max="11" width="11" bestFit="1" customWidth="1"/>
    <col min="12" max="12" width="11.88671875" bestFit="1" customWidth="1"/>
    <col min="13" max="13" width="12.109375" bestFit="1" customWidth="1"/>
    <col min="14" max="15" width="9.109375" customWidth="1"/>
    <col min="16" max="16" width="11.88671875" bestFit="1" customWidth="1"/>
    <col min="17" max="17" width="12.44140625" customWidth="1"/>
    <col min="18" max="18" width="3.33203125" style="9" customWidth="1"/>
    <col min="19" max="33" width="0" style="9" hidden="1" customWidth="1"/>
    <col min="34" max="16384" width="9.109375" hidden="1"/>
  </cols>
  <sheetData>
    <row r="1" spans="1:33" ht="14.4">
      <c r="A1" s="9"/>
      <c r="B1" s="9"/>
      <c r="C1" s="9"/>
      <c r="D1" s="9"/>
      <c r="E1" s="9"/>
      <c r="F1" s="9"/>
      <c r="G1" s="9"/>
      <c r="H1" s="9"/>
      <c r="I1" s="9"/>
      <c r="J1" s="9"/>
      <c r="K1" s="9"/>
      <c r="L1" s="9"/>
      <c r="M1" s="9"/>
      <c r="N1" s="9"/>
      <c r="O1" s="9"/>
      <c r="P1" s="9"/>
      <c r="Q1" s="9"/>
    </row>
    <row r="2" spans="1:33" ht="18.600000000000001" thickBot="1">
      <c r="A2" s="9"/>
      <c r="B2" s="8" t="s">
        <v>6</v>
      </c>
      <c r="C2" s="23"/>
      <c r="D2" s="23"/>
      <c r="E2" s="23"/>
      <c r="F2" s="23"/>
      <c r="G2" s="23"/>
      <c r="H2" s="23"/>
      <c r="I2" s="23"/>
      <c r="J2" s="23"/>
      <c r="K2" s="23"/>
      <c r="L2" s="23"/>
      <c r="M2" s="23"/>
      <c r="N2" s="23"/>
      <c r="O2" s="23"/>
      <c r="P2" s="23"/>
      <c r="Q2" s="23"/>
    </row>
    <row r="3" spans="1:33" ht="14.4">
      <c r="A3" s="9"/>
      <c r="B3" s="10"/>
      <c r="C3" s="24"/>
      <c r="D3" s="24"/>
      <c r="E3" s="24"/>
      <c r="F3" s="24"/>
      <c r="G3" s="24"/>
      <c r="H3" s="24"/>
      <c r="I3" s="24"/>
      <c r="J3" s="24"/>
      <c r="K3" s="24"/>
      <c r="L3" s="24"/>
      <c r="M3" s="24"/>
      <c r="N3" s="24"/>
      <c r="O3" s="24"/>
      <c r="P3" s="24"/>
      <c r="Q3" s="25"/>
    </row>
    <row r="4" spans="1:33" ht="16.2">
      <c r="A4" s="9"/>
      <c r="B4" s="11" t="s">
        <v>7</v>
      </c>
      <c r="C4" s="26"/>
      <c r="D4" s="24"/>
      <c r="E4" s="58" t="s">
        <v>25</v>
      </c>
      <c r="F4" s="24"/>
      <c r="G4" s="24"/>
      <c r="H4" s="24"/>
      <c r="I4" s="24"/>
      <c r="J4" s="24"/>
      <c r="K4" s="24"/>
      <c r="L4" s="24"/>
      <c r="M4" s="24"/>
      <c r="N4" s="24"/>
      <c r="O4" s="24"/>
      <c r="P4" s="24"/>
      <c r="Q4" s="24"/>
    </row>
    <row r="5" spans="1:33" ht="14.4">
      <c r="A5" s="9"/>
      <c r="B5" s="10"/>
      <c r="C5" s="24"/>
      <c r="D5" s="24"/>
      <c r="E5" s="24"/>
      <c r="F5" s="24"/>
      <c r="G5" s="24"/>
      <c r="H5" s="24"/>
      <c r="I5" s="24"/>
      <c r="J5" s="24"/>
      <c r="K5" s="24"/>
      <c r="L5" s="24"/>
      <c r="M5" s="24"/>
      <c r="N5" s="24"/>
      <c r="O5" s="24"/>
      <c r="P5" s="24"/>
      <c r="Q5" s="24"/>
    </row>
    <row r="6" spans="1:33" s="20" customFormat="1" ht="14.4">
      <c r="A6" s="9"/>
      <c r="B6"/>
      <c r="C6" s="27" t="s">
        <v>7</v>
      </c>
      <c r="D6" s="28"/>
      <c r="E6" s="28"/>
      <c r="F6" s="130" t="s">
        <v>24</v>
      </c>
      <c r="G6" s="135"/>
      <c r="H6" s="135"/>
      <c r="I6" s="136"/>
      <c r="J6" s="137"/>
      <c r="K6" s="130" t="s">
        <v>8</v>
      </c>
      <c r="L6" s="135"/>
      <c r="M6" s="135"/>
      <c r="N6" s="136"/>
      <c r="O6" s="137"/>
      <c r="P6" s="128" t="s">
        <v>9</v>
      </c>
      <c r="Q6" s="135"/>
      <c r="R6" s="9"/>
      <c r="S6" s="19"/>
      <c r="T6" s="19"/>
      <c r="U6" s="19"/>
      <c r="V6" s="19"/>
      <c r="W6" s="19"/>
      <c r="X6" s="19"/>
      <c r="Y6" s="19"/>
      <c r="Z6" s="19"/>
      <c r="AA6" s="19"/>
      <c r="AB6" s="19"/>
      <c r="AC6" s="19"/>
      <c r="AD6" s="19"/>
      <c r="AE6" s="19"/>
      <c r="AF6" s="19"/>
      <c r="AG6" s="19"/>
    </row>
    <row r="7" spans="1:33" ht="14.4">
      <c r="A7" s="9"/>
      <c r="B7" s="18"/>
      <c r="C7" s="29"/>
      <c r="D7" s="30"/>
      <c r="E7" s="30"/>
      <c r="F7" s="29"/>
      <c r="G7" s="30"/>
      <c r="H7" s="30"/>
      <c r="I7" s="30"/>
      <c r="J7" s="56"/>
      <c r="K7" s="29"/>
      <c r="L7" s="30"/>
      <c r="M7" s="30"/>
      <c r="N7" s="30"/>
      <c r="O7" s="56"/>
      <c r="P7" s="30"/>
      <c r="Q7" s="30"/>
    </row>
    <row r="8" spans="1:33" s="54" customFormat="1" ht="20.399999999999999">
      <c r="A8" s="48"/>
      <c r="B8" s="49"/>
      <c r="C8" s="59" t="s">
        <v>29</v>
      </c>
      <c r="D8" s="50"/>
      <c r="E8" s="51"/>
      <c r="F8" s="55">
        <v>2021</v>
      </c>
      <c r="G8" s="52">
        <v>2020</v>
      </c>
      <c r="H8" s="52">
        <v>2019</v>
      </c>
      <c r="I8" s="53" t="s">
        <v>19</v>
      </c>
      <c r="J8" s="57" t="s">
        <v>18</v>
      </c>
      <c r="K8" s="55">
        <v>2021</v>
      </c>
      <c r="L8" s="52">
        <v>2020</v>
      </c>
      <c r="M8" s="52">
        <v>2019</v>
      </c>
      <c r="N8" s="53" t="s">
        <v>19</v>
      </c>
      <c r="O8" s="57" t="s">
        <v>18</v>
      </c>
      <c r="P8" s="52">
        <v>2020</v>
      </c>
      <c r="Q8" s="52">
        <v>2019</v>
      </c>
      <c r="R8" s="48"/>
      <c r="S8" s="48"/>
      <c r="T8" s="48"/>
      <c r="U8" s="48"/>
      <c r="V8" s="48"/>
      <c r="W8" s="48"/>
      <c r="X8" s="48"/>
      <c r="Y8" s="48"/>
      <c r="Z8" s="48"/>
      <c r="AA8" s="48"/>
      <c r="AB8" s="48"/>
      <c r="AC8" s="48"/>
      <c r="AD8" s="48"/>
      <c r="AE8" s="48"/>
      <c r="AF8" s="48"/>
      <c r="AG8" s="48"/>
    </row>
    <row r="9" spans="1:33" ht="14.4">
      <c r="A9" s="9"/>
      <c r="B9" s="12"/>
      <c r="C9" s="31" t="s">
        <v>14</v>
      </c>
      <c r="D9" s="26"/>
      <c r="E9" s="32"/>
      <c r="F9" s="26"/>
      <c r="G9" s="26"/>
      <c r="H9" s="26"/>
      <c r="I9" s="26"/>
      <c r="J9" s="32"/>
      <c r="K9" s="26"/>
      <c r="L9" s="26"/>
      <c r="M9" s="26"/>
      <c r="N9" s="26"/>
      <c r="O9" s="32"/>
      <c r="P9" s="26"/>
      <c r="Q9" s="26"/>
    </row>
    <row r="10" spans="1:33" ht="14.4">
      <c r="A10" s="9"/>
      <c r="B10" s="12"/>
      <c r="C10" s="33"/>
      <c r="D10" s="26" t="s">
        <v>5</v>
      </c>
      <c r="E10" s="32"/>
      <c r="F10" s="68">
        <v>4</v>
      </c>
      <c r="G10" s="68">
        <v>0</v>
      </c>
      <c r="H10" s="68">
        <v>13</v>
      </c>
      <c r="I10" s="64" t="str">
        <f>IFERROR(F10/G10-1,"n/a")</f>
        <v>n/a</v>
      </c>
      <c r="J10" s="60">
        <f>F10/H10-1</f>
        <v>-0.69230769230769229</v>
      </c>
      <c r="K10" s="68">
        <v>20</v>
      </c>
      <c r="L10" s="68">
        <v>145</v>
      </c>
      <c r="M10" s="68">
        <v>266</v>
      </c>
      <c r="N10" s="64">
        <f>K10/L10-1</f>
        <v>-0.86206896551724133</v>
      </c>
      <c r="O10" s="60">
        <f>K10/M10-1</f>
        <v>-0.92481203007518797</v>
      </c>
      <c r="P10" s="70">
        <v>145</v>
      </c>
      <c r="Q10" s="70">
        <v>386</v>
      </c>
    </row>
    <row r="11" spans="1:33" ht="14.4">
      <c r="A11" s="9"/>
      <c r="B11" s="12"/>
      <c r="C11" s="33"/>
      <c r="D11" s="26" t="s">
        <v>11</v>
      </c>
      <c r="E11" s="32"/>
      <c r="F11" s="68">
        <v>720</v>
      </c>
      <c r="G11" s="68">
        <v>0</v>
      </c>
      <c r="H11" s="68">
        <v>31050</v>
      </c>
      <c r="I11" s="64" t="str">
        <f t="shared" ref="I11:I26" si="0">IFERROR(F11/G11-1,"n/a")</f>
        <v>n/a</v>
      </c>
      <c r="J11" s="60">
        <f>F11/H11-1</f>
        <v>-0.97681159420289854</v>
      </c>
      <c r="K11" s="68">
        <v>4921</v>
      </c>
      <c r="L11" s="68">
        <v>258885</v>
      </c>
      <c r="M11" s="68">
        <v>523329</v>
      </c>
      <c r="N11" s="64">
        <f>K11/L11-1</f>
        <v>-0.98099155995905518</v>
      </c>
      <c r="O11" s="60">
        <f>K11/M11-1</f>
        <v>-0.99059673742521437</v>
      </c>
      <c r="P11" s="70">
        <v>258885</v>
      </c>
      <c r="Q11" s="70">
        <v>733296</v>
      </c>
    </row>
    <row r="12" spans="1:33" ht="14.4">
      <c r="A12" s="9"/>
      <c r="B12" s="12"/>
      <c r="C12" s="31" t="s">
        <v>20</v>
      </c>
      <c r="D12" s="26"/>
      <c r="E12" s="32"/>
      <c r="F12" s="45"/>
      <c r="G12" s="45"/>
      <c r="H12" s="45"/>
      <c r="I12" s="64"/>
      <c r="J12" s="61"/>
      <c r="K12" s="43"/>
      <c r="L12" s="43"/>
      <c r="M12" s="43"/>
      <c r="N12" s="65"/>
      <c r="O12" s="61"/>
      <c r="P12" s="44"/>
      <c r="Q12" s="44"/>
    </row>
    <row r="13" spans="1:33" ht="14.4">
      <c r="A13" s="9"/>
      <c r="B13" s="12"/>
      <c r="C13" s="33"/>
      <c r="D13" s="26" t="s">
        <v>5</v>
      </c>
      <c r="E13" s="32"/>
      <c r="F13" s="68">
        <v>107</v>
      </c>
      <c r="G13" s="68">
        <v>0</v>
      </c>
      <c r="H13" s="68">
        <v>127</v>
      </c>
      <c r="I13" s="64" t="str">
        <f t="shared" si="0"/>
        <v>n/a</v>
      </c>
      <c r="J13" s="60">
        <f>F13/H13-1</f>
        <v>-0.15748031496062997</v>
      </c>
      <c r="K13" s="68">
        <v>191</v>
      </c>
      <c r="L13" s="68">
        <v>43</v>
      </c>
      <c r="M13" s="68">
        <v>712</v>
      </c>
      <c r="N13" s="64">
        <f>K13/L13-1</f>
        <v>3.441860465116279</v>
      </c>
      <c r="O13" s="60">
        <f>K13/M13-1</f>
        <v>-0.73174157303370779</v>
      </c>
      <c r="P13" s="70">
        <v>43</v>
      </c>
      <c r="Q13" s="70">
        <v>827</v>
      </c>
    </row>
    <row r="14" spans="1:33" ht="14.4">
      <c r="A14" s="9"/>
      <c r="B14" s="12"/>
      <c r="C14" s="33"/>
      <c r="D14" s="26" t="s">
        <v>11</v>
      </c>
      <c r="E14" s="32"/>
      <c r="F14" s="68">
        <v>174505</v>
      </c>
      <c r="G14" s="68">
        <v>0</v>
      </c>
      <c r="H14" s="68">
        <v>332808</v>
      </c>
      <c r="I14" s="64" t="str">
        <f t="shared" si="0"/>
        <v>n/a</v>
      </c>
      <c r="J14" s="60">
        <f>F14/H14-1</f>
        <v>-0.47565863801350927</v>
      </c>
      <c r="K14" s="68">
        <v>342388</v>
      </c>
      <c r="L14" s="68">
        <v>140552</v>
      </c>
      <c r="M14" s="68">
        <v>2230252</v>
      </c>
      <c r="N14" s="64">
        <f>K14/L14-1</f>
        <v>1.4360236780693265</v>
      </c>
      <c r="O14" s="60">
        <f>K14/M14-1</f>
        <v>-0.84648012870294476</v>
      </c>
      <c r="P14" s="70">
        <v>140552</v>
      </c>
      <c r="Q14" s="70">
        <v>2552942</v>
      </c>
    </row>
    <row r="15" spans="1:33" ht="14.4">
      <c r="A15" s="9"/>
      <c r="B15" s="12"/>
      <c r="C15" s="31" t="s">
        <v>15</v>
      </c>
      <c r="D15" s="26"/>
      <c r="E15" s="32"/>
      <c r="F15" s="43"/>
      <c r="G15" s="43"/>
      <c r="H15" s="43"/>
      <c r="I15" s="64"/>
      <c r="J15" s="60"/>
      <c r="K15" s="43"/>
      <c r="L15" s="43"/>
      <c r="M15" s="43"/>
      <c r="N15" s="64"/>
      <c r="O15" s="60"/>
      <c r="P15" s="44"/>
      <c r="Q15" s="44"/>
    </row>
    <row r="16" spans="1:33" ht="14.4">
      <c r="A16" s="9"/>
      <c r="B16" s="12"/>
      <c r="C16" s="33"/>
      <c r="D16" s="26" t="s">
        <v>5</v>
      </c>
      <c r="E16" s="32"/>
      <c r="F16" s="68">
        <v>9</v>
      </c>
      <c r="G16" s="68">
        <v>0</v>
      </c>
      <c r="H16" s="68">
        <v>21</v>
      </c>
      <c r="I16" s="64" t="str">
        <f t="shared" si="0"/>
        <v>n/a</v>
      </c>
      <c r="J16" s="60">
        <f>F16/H16-1</f>
        <v>-0.5714285714285714</v>
      </c>
      <c r="K16" s="68">
        <v>11</v>
      </c>
      <c r="L16" s="68">
        <v>4</v>
      </c>
      <c r="M16" s="68">
        <v>172</v>
      </c>
      <c r="N16" s="64">
        <f>K16/L16-1</f>
        <v>1.75</v>
      </c>
      <c r="O16" s="60">
        <f>K16/M16-1</f>
        <v>-0.93604651162790697</v>
      </c>
      <c r="P16" s="70">
        <v>4</v>
      </c>
      <c r="Q16" s="70">
        <v>191</v>
      </c>
    </row>
    <row r="17" spans="1:33" ht="14.4">
      <c r="A17" s="9"/>
      <c r="B17" s="12"/>
      <c r="C17" s="33"/>
      <c r="D17" s="26" t="s">
        <v>11</v>
      </c>
      <c r="E17" s="32"/>
      <c r="F17" s="68">
        <v>3111</v>
      </c>
      <c r="G17" s="68">
        <v>0</v>
      </c>
      <c r="H17" s="68">
        <v>28163</v>
      </c>
      <c r="I17" s="64" t="str">
        <f t="shared" si="0"/>
        <v>n/a</v>
      </c>
      <c r="J17" s="60">
        <f>F17/H17-1</f>
        <v>-0.88953591591804848</v>
      </c>
      <c r="K17" s="68">
        <v>3535</v>
      </c>
      <c r="L17" s="68">
        <v>1753</v>
      </c>
      <c r="M17" s="68">
        <v>231553</v>
      </c>
      <c r="N17" s="64">
        <f>K17/L17-1</f>
        <v>1.0165430690245292</v>
      </c>
      <c r="O17" s="60">
        <f>K17/M17-1</f>
        <v>-0.98473351673267029</v>
      </c>
      <c r="P17" s="70">
        <v>1753</v>
      </c>
      <c r="Q17" s="70">
        <v>254421</v>
      </c>
    </row>
    <row r="18" spans="1:33" ht="14.4">
      <c r="A18" s="9"/>
      <c r="B18" s="12"/>
      <c r="C18" s="31" t="s">
        <v>10</v>
      </c>
      <c r="D18" s="26"/>
      <c r="E18" s="34"/>
      <c r="F18" s="43"/>
      <c r="G18" s="43"/>
      <c r="H18" s="43"/>
      <c r="I18" s="64"/>
      <c r="J18" s="60"/>
      <c r="K18" s="43"/>
      <c r="L18" s="43"/>
      <c r="M18" s="43"/>
      <c r="N18" s="64"/>
      <c r="O18" s="60"/>
      <c r="P18" s="44"/>
      <c r="Q18" s="44"/>
    </row>
    <row r="19" spans="1:33" ht="14.4">
      <c r="A19" s="9"/>
      <c r="B19" s="12"/>
      <c r="C19" s="33"/>
      <c r="D19" s="26" t="s">
        <v>5</v>
      </c>
      <c r="E19" s="34"/>
      <c r="F19" s="68">
        <v>85</v>
      </c>
      <c r="G19" s="68">
        <v>0</v>
      </c>
      <c r="H19" s="68">
        <v>97</v>
      </c>
      <c r="I19" s="64" t="str">
        <f t="shared" si="0"/>
        <v>n/a</v>
      </c>
      <c r="J19" s="60">
        <f>F19/H19-1</f>
        <v>-0.12371134020618557</v>
      </c>
      <c r="K19" s="68">
        <v>215</v>
      </c>
      <c r="L19" s="68">
        <v>406</v>
      </c>
      <c r="M19" s="68">
        <v>953</v>
      </c>
      <c r="N19" s="64">
        <f>K19/L19-1</f>
        <v>-0.47044334975369462</v>
      </c>
      <c r="O19" s="60">
        <f>K19/M19-1</f>
        <v>-0.77439664218258131</v>
      </c>
      <c r="P19" s="70">
        <v>406</v>
      </c>
      <c r="Q19" s="70">
        <v>1205</v>
      </c>
    </row>
    <row r="20" spans="1:33" ht="14.4">
      <c r="A20" s="9"/>
      <c r="B20" s="12"/>
      <c r="C20" s="33"/>
      <c r="D20" s="26" t="s">
        <v>11</v>
      </c>
      <c r="E20" s="32"/>
      <c r="F20" s="68">
        <v>142400</v>
      </c>
      <c r="G20" s="68">
        <v>0</v>
      </c>
      <c r="H20" s="68">
        <v>268813</v>
      </c>
      <c r="I20" s="64" t="str">
        <f t="shared" si="0"/>
        <v>n/a</v>
      </c>
      <c r="J20" s="60">
        <f>F20/H20-1</f>
        <v>-0.47026371492450147</v>
      </c>
      <c r="K20" s="68">
        <v>324210</v>
      </c>
      <c r="L20" s="68">
        <v>833999</v>
      </c>
      <c r="M20" s="68">
        <v>3141355</v>
      </c>
      <c r="N20" s="64">
        <f>K20/L20-1</f>
        <v>-0.61125852668888092</v>
      </c>
      <c r="O20" s="60">
        <f>K20/M20-1</f>
        <v>-0.8967929444459477</v>
      </c>
      <c r="P20" s="70">
        <v>833999</v>
      </c>
      <c r="Q20" s="70">
        <v>3859183</v>
      </c>
    </row>
    <row r="21" spans="1:33" ht="14.4">
      <c r="A21" s="9"/>
      <c r="B21" s="12"/>
      <c r="C21" s="31" t="s">
        <v>16</v>
      </c>
      <c r="D21" s="26"/>
      <c r="E21" s="32"/>
      <c r="F21" s="43"/>
      <c r="G21" s="43"/>
      <c r="H21" s="43"/>
      <c r="I21" s="64"/>
      <c r="J21" s="60"/>
      <c r="K21" s="43"/>
      <c r="L21" s="43"/>
      <c r="M21" s="43"/>
      <c r="N21" s="64"/>
      <c r="O21" s="60"/>
      <c r="P21" s="44"/>
      <c r="Q21" s="44"/>
    </row>
    <row r="22" spans="1:33" ht="14.4">
      <c r="A22" s="9"/>
      <c r="B22" s="12"/>
      <c r="C22" s="33"/>
      <c r="D22" s="26" t="s">
        <v>5</v>
      </c>
      <c r="E22" s="32"/>
      <c r="F22" s="68">
        <v>16</v>
      </c>
      <c r="G22" s="68">
        <v>8</v>
      </c>
      <c r="H22" s="68">
        <v>64</v>
      </c>
      <c r="I22" s="64">
        <f t="shared" si="0"/>
        <v>1</v>
      </c>
      <c r="J22" s="60">
        <f>F22/H22-1</f>
        <v>-0.75</v>
      </c>
      <c r="K22" s="68">
        <v>87</v>
      </c>
      <c r="L22" s="68">
        <v>24</v>
      </c>
      <c r="M22" s="68">
        <v>308</v>
      </c>
      <c r="N22" s="64">
        <f>K22/L22-1</f>
        <v>2.625</v>
      </c>
      <c r="O22" s="60">
        <f>K22/M22-1</f>
        <v>-0.71753246753246747</v>
      </c>
      <c r="P22" s="70">
        <v>32</v>
      </c>
      <c r="Q22" s="70">
        <v>372</v>
      </c>
    </row>
    <row r="23" spans="1:33" ht="14.4">
      <c r="A23" s="9"/>
      <c r="B23" s="12"/>
      <c r="C23" s="33"/>
      <c r="D23" s="26" t="s">
        <v>11</v>
      </c>
      <c r="E23" s="32"/>
      <c r="F23" s="68">
        <v>16203</v>
      </c>
      <c r="G23" s="68">
        <v>8362</v>
      </c>
      <c r="H23" s="68">
        <v>130501</v>
      </c>
      <c r="I23" s="64">
        <f t="shared" si="0"/>
        <v>0.93769433149964132</v>
      </c>
      <c r="J23" s="60">
        <f>F23/H23-1</f>
        <v>-0.87584003187715043</v>
      </c>
      <c r="K23" s="68">
        <v>117218</v>
      </c>
      <c r="L23" s="68">
        <v>55662</v>
      </c>
      <c r="M23" s="68">
        <v>818684</v>
      </c>
      <c r="N23" s="64">
        <f>K23/L23-1</f>
        <v>1.1058891164528761</v>
      </c>
      <c r="O23" s="60">
        <f>K23/M23-1</f>
        <v>-0.85682143537677535</v>
      </c>
      <c r="P23" s="70">
        <v>59180</v>
      </c>
      <c r="Q23" s="70">
        <v>902015</v>
      </c>
    </row>
    <row r="24" spans="1:33" ht="14.4">
      <c r="A24" s="9"/>
      <c r="B24" s="12"/>
      <c r="C24" s="31" t="s">
        <v>17</v>
      </c>
      <c r="D24" s="26"/>
      <c r="E24" s="32"/>
      <c r="F24" s="43"/>
      <c r="G24" s="43"/>
      <c r="H24" s="43"/>
      <c r="I24" s="64"/>
      <c r="J24" s="60"/>
      <c r="K24" s="43"/>
      <c r="L24" s="43"/>
      <c r="M24" s="43"/>
      <c r="N24" s="64"/>
      <c r="O24" s="60"/>
      <c r="P24" s="44"/>
      <c r="Q24" s="44"/>
    </row>
    <row r="25" spans="1:33" ht="14.4">
      <c r="B25" s="12"/>
      <c r="C25" s="33"/>
      <c r="D25" s="26" t="s">
        <v>5</v>
      </c>
      <c r="E25" s="32"/>
      <c r="F25" s="68">
        <v>28</v>
      </c>
      <c r="G25" s="68">
        <v>12</v>
      </c>
      <c r="H25" s="68">
        <v>71</v>
      </c>
      <c r="I25" s="64">
        <f t="shared" si="0"/>
        <v>1.3333333333333335</v>
      </c>
      <c r="J25" s="60">
        <f>F25/H25-1</f>
        <v>-0.60563380281690149</v>
      </c>
      <c r="K25" s="68">
        <v>107</v>
      </c>
      <c r="L25" s="68">
        <v>24</v>
      </c>
      <c r="M25" s="68">
        <v>326</v>
      </c>
      <c r="N25" s="64">
        <f>K25/L25-1</f>
        <v>3.458333333333333</v>
      </c>
      <c r="O25" s="60">
        <f>K25/M25-1</f>
        <v>-0.67177914110429449</v>
      </c>
      <c r="P25" s="70">
        <v>37</v>
      </c>
      <c r="Q25" s="70">
        <v>363</v>
      </c>
    </row>
    <row r="26" spans="1:33" ht="14.4">
      <c r="A26" s="9"/>
      <c r="B26" s="12"/>
      <c r="C26" s="33"/>
      <c r="D26" s="26" t="s">
        <v>11</v>
      </c>
      <c r="E26" s="32"/>
      <c r="F26" s="68">
        <v>32614</v>
      </c>
      <c r="G26" s="68">
        <v>5592</v>
      </c>
      <c r="H26" s="68">
        <v>138907</v>
      </c>
      <c r="I26" s="64">
        <f t="shared" si="0"/>
        <v>4.8322603719599426</v>
      </c>
      <c r="J26" s="60">
        <f>F26/H26-1</f>
        <v>-0.76520981663991017</v>
      </c>
      <c r="K26" s="68">
        <v>150273</v>
      </c>
      <c r="L26" s="68">
        <v>25618</v>
      </c>
      <c r="M26" s="68">
        <v>826006</v>
      </c>
      <c r="N26" s="64">
        <f>K26/L26-1</f>
        <v>4.8659145913029898</v>
      </c>
      <c r="O26" s="60">
        <f>K26/M26-1</f>
        <v>-0.81807275007687597</v>
      </c>
      <c r="P26" s="70">
        <v>29062</v>
      </c>
      <c r="Q26" s="70">
        <v>867164</v>
      </c>
    </row>
    <row r="27" spans="1:33" thickBot="1">
      <c r="A27" s="9"/>
      <c r="B27" s="12"/>
      <c r="C27" s="35" t="s">
        <v>12</v>
      </c>
      <c r="D27" s="36"/>
      <c r="E27" s="37"/>
      <c r="F27" s="46">
        <f t="shared" ref="F27:H28" si="1">F10+F13+F16+F19+F22+F25</f>
        <v>249</v>
      </c>
      <c r="G27" s="46">
        <f t="shared" si="1"/>
        <v>20</v>
      </c>
      <c r="H27" s="46">
        <f t="shared" si="1"/>
        <v>393</v>
      </c>
      <c r="I27" s="66">
        <f>F27/G27-1</f>
        <v>11.45</v>
      </c>
      <c r="J27" s="62">
        <f>F27/H27-1</f>
        <v>-0.36641221374045807</v>
      </c>
      <c r="K27" s="46">
        <f t="shared" ref="K27:M28" si="2">K10+K13+K16+K19+K22+K25</f>
        <v>631</v>
      </c>
      <c r="L27" s="46">
        <f t="shared" si="2"/>
        <v>646</v>
      </c>
      <c r="M27" s="46">
        <f t="shared" si="2"/>
        <v>2737</v>
      </c>
      <c r="N27" s="66">
        <f>K27/L27-1</f>
        <v>-2.3219814241486114E-2</v>
      </c>
      <c r="O27" s="62">
        <f>K27/M27-1</f>
        <v>-0.76945560833028859</v>
      </c>
      <c r="P27" s="46">
        <f>P10+P13+P16+P19+P22+P25</f>
        <v>667</v>
      </c>
      <c r="Q27" s="46">
        <f>Q10+Q13+Q16+Q19+Q22+Q25</f>
        <v>3344</v>
      </c>
    </row>
    <row r="28" spans="1:33" s="22" customFormat="1" ht="15.6" thickTop="1" thickBot="1">
      <c r="A28" s="9"/>
      <c r="B28" s="12"/>
      <c r="C28" s="38" t="s">
        <v>13</v>
      </c>
      <c r="D28" s="39"/>
      <c r="E28" s="40"/>
      <c r="F28" s="47">
        <f t="shared" si="1"/>
        <v>369553</v>
      </c>
      <c r="G28" s="47">
        <f t="shared" si="1"/>
        <v>13954</v>
      </c>
      <c r="H28" s="47">
        <f t="shared" si="1"/>
        <v>930242</v>
      </c>
      <c r="I28" s="67">
        <f>F28/G28-1</f>
        <v>25.483660599111367</v>
      </c>
      <c r="J28" s="63">
        <f>F28/H28-1</f>
        <v>-0.60273455724424396</v>
      </c>
      <c r="K28" s="47">
        <f t="shared" si="2"/>
        <v>942545</v>
      </c>
      <c r="L28" s="47">
        <f t="shared" si="2"/>
        <v>1316469</v>
      </c>
      <c r="M28" s="47">
        <f t="shared" si="2"/>
        <v>7771179</v>
      </c>
      <c r="N28" s="67">
        <f>K28/L28-1</f>
        <v>-0.28403555267917435</v>
      </c>
      <c r="O28" s="63">
        <f>K28/M28-1</f>
        <v>-0.87871274101394392</v>
      </c>
      <c r="P28" s="47">
        <f>P11+P14+P17+P20+P23+P26</f>
        <v>1323431</v>
      </c>
      <c r="Q28" s="47">
        <f>Q11+Q14+Q17+Q20+Q23+Q26</f>
        <v>9169021</v>
      </c>
      <c r="R28" s="9"/>
      <c r="S28" s="21"/>
      <c r="T28" s="21"/>
      <c r="U28" s="21"/>
      <c r="V28" s="21"/>
      <c r="W28" s="21"/>
      <c r="X28" s="21"/>
      <c r="Y28" s="21"/>
      <c r="Z28" s="21"/>
      <c r="AA28" s="21"/>
      <c r="AB28" s="21"/>
      <c r="AC28" s="21"/>
      <c r="AD28" s="21"/>
      <c r="AE28" s="21"/>
      <c r="AF28" s="21"/>
      <c r="AG28" s="21"/>
    </row>
    <row r="29" spans="1:33" thickTop="1">
      <c r="A29" s="9"/>
      <c r="B29" s="9"/>
      <c r="C29" s="9"/>
      <c r="D29" s="9"/>
      <c r="E29" s="9"/>
      <c r="F29" s="41"/>
      <c r="G29" s="41"/>
      <c r="H29" s="41"/>
      <c r="I29" s="9"/>
      <c r="J29" s="9"/>
      <c r="K29" s="9"/>
      <c r="L29" s="9"/>
      <c r="M29" s="9"/>
      <c r="N29" s="9"/>
      <c r="O29" s="9"/>
      <c r="P29" s="9"/>
      <c r="Q29" s="9"/>
    </row>
    <row r="30" spans="1:33" ht="14.4" hidden="1">
      <c r="A30" s="9"/>
      <c r="B30" s="9"/>
      <c r="C30" s="9"/>
      <c r="D30" s="9"/>
      <c r="E30" s="9"/>
      <c r="F30" s="41"/>
      <c r="G30" s="41"/>
      <c r="H30" s="41"/>
      <c r="I30" s="9"/>
      <c r="J30" s="9"/>
      <c r="K30" s="9"/>
      <c r="L30" s="9"/>
      <c r="M30" s="9"/>
      <c r="N30" s="9"/>
      <c r="O30" s="9"/>
      <c r="P30" s="9"/>
      <c r="Q30" s="9"/>
    </row>
    <row r="31" spans="1:33" ht="14.4" hidden="1">
      <c r="A31" s="9"/>
      <c r="B31" s="9"/>
      <c r="C31" s="9"/>
      <c r="D31" s="9"/>
      <c r="E31" s="9"/>
      <c r="F31" s="41"/>
      <c r="G31" s="41"/>
      <c r="H31" s="41"/>
      <c r="I31" s="9"/>
      <c r="J31" s="9"/>
      <c r="K31" s="9"/>
      <c r="L31" s="9"/>
      <c r="M31" s="9"/>
      <c r="N31" s="9"/>
      <c r="O31" s="9"/>
      <c r="P31" s="9"/>
      <c r="Q31" s="9"/>
    </row>
    <row r="32" spans="1:33" ht="14.4" hidden="1">
      <c r="A32" s="9"/>
      <c r="B32" s="9"/>
      <c r="C32" s="9"/>
      <c r="D32" s="9"/>
      <c r="E32" s="9"/>
      <c r="F32" s="41"/>
      <c r="G32" s="41"/>
      <c r="H32" s="41"/>
      <c r="I32" s="9"/>
      <c r="J32" s="9"/>
      <c r="K32" s="9"/>
      <c r="L32" s="9"/>
      <c r="M32" s="9"/>
      <c r="N32" s="9"/>
      <c r="O32" s="9"/>
      <c r="P32" s="9"/>
      <c r="Q32" s="9"/>
    </row>
    <row r="33" spans="1:17" ht="14.4" hidden="1">
      <c r="A33" s="9"/>
      <c r="B33" s="9"/>
      <c r="C33" s="9"/>
      <c r="D33" s="9"/>
      <c r="E33" s="9"/>
      <c r="F33" s="41"/>
      <c r="G33" s="41"/>
      <c r="H33" s="41"/>
      <c r="I33" s="9"/>
      <c r="J33" s="9"/>
      <c r="K33" s="9"/>
      <c r="L33" s="9"/>
      <c r="M33" s="9"/>
      <c r="N33" s="9"/>
      <c r="O33" s="9"/>
      <c r="P33" s="9"/>
      <c r="Q33" s="9"/>
    </row>
    <row r="34" spans="1:17" ht="14.4" hidden="1">
      <c r="A34" s="9"/>
      <c r="B34" s="9"/>
      <c r="C34" s="9"/>
      <c r="D34" s="9"/>
      <c r="E34" s="9"/>
      <c r="F34" s="41"/>
      <c r="G34" s="41"/>
      <c r="H34" s="41"/>
      <c r="I34" s="9"/>
      <c r="J34" s="9"/>
      <c r="K34" s="9"/>
      <c r="L34" s="9"/>
      <c r="M34" s="9"/>
      <c r="N34" s="9"/>
      <c r="O34" s="9"/>
      <c r="P34" s="9"/>
      <c r="Q34" s="9"/>
    </row>
    <row r="35" spans="1:17" ht="14.4" hidden="1">
      <c r="A35" s="9"/>
      <c r="B35" s="9"/>
      <c r="C35" s="9"/>
      <c r="D35" s="9"/>
      <c r="E35" s="9"/>
      <c r="F35" s="41"/>
      <c r="G35" s="41"/>
      <c r="H35" s="41"/>
      <c r="I35" s="9"/>
      <c r="J35" s="9"/>
      <c r="K35" s="9"/>
      <c r="L35" s="9"/>
      <c r="M35" s="9"/>
      <c r="N35" s="9"/>
      <c r="O35" s="9"/>
      <c r="P35" s="9"/>
      <c r="Q35" s="9"/>
    </row>
    <row r="36" spans="1:17" ht="14.4" hidden="1">
      <c r="A36" s="9"/>
      <c r="B36" s="9"/>
      <c r="C36" s="9"/>
      <c r="D36" s="9"/>
      <c r="E36" s="9"/>
      <c r="F36" s="41"/>
      <c r="G36" s="41"/>
      <c r="H36" s="41"/>
      <c r="I36" s="9"/>
      <c r="J36" s="9"/>
      <c r="K36" s="9"/>
      <c r="L36" s="9"/>
      <c r="M36" s="9"/>
      <c r="N36" s="9"/>
      <c r="O36" s="9"/>
      <c r="P36" s="9"/>
      <c r="Q36" s="9"/>
    </row>
    <row r="37" spans="1:17" ht="14.4" hidden="1">
      <c r="A37" s="9"/>
      <c r="B37" s="9"/>
      <c r="C37" s="9"/>
      <c r="D37" s="9"/>
      <c r="E37" s="9"/>
      <c r="F37" s="41"/>
      <c r="G37" s="41"/>
      <c r="H37" s="41"/>
      <c r="I37" s="9"/>
      <c r="J37" s="9"/>
      <c r="K37" s="9"/>
      <c r="L37" s="9"/>
      <c r="M37" s="9"/>
      <c r="N37" s="9"/>
      <c r="O37" s="9"/>
      <c r="P37" s="9"/>
      <c r="Q37" s="9"/>
    </row>
    <row r="38" spans="1:17" ht="14.4" hidden="1">
      <c r="A38" s="9"/>
      <c r="B38" s="9"/>
      <c r="C38" s="9"/>
      <c r="D38" s="9"/>
      <c r="E38" s="9"/>
      <c r="F38" s="41"/>
      <c r="G38" s="41"/>
      <c r="H38" s="41"/>
      <c r="I38" s="9"/>
      <c r="J38" s="9"/>
      <c r="K38" s="9"/>
      <c r="L38" s="9"/>
      <c r="M38" s="9"/>
      <c r="N38" s="9"/>
      <c r="O38" s="9"/>
      <c r="P38" s="9"/>
      <c r="Q38" s="9"/>
    </row>
    <row r="39" spans="1:17" ht="14.4" hidden="1">
      <c r="A39" s="9"/>
      <c r="B39" s="9"/>
      <c r="C39" s="9"/>
      <c r="D39" s="9"/>
      <c r="E39" s="9"/>
      <c r="F39" s="41"/>
      <c r="G39" s="41"/>
      <c r="H39" s="41"/>
      <c r="I39" s="9"/>
      <c r="J39" s="9"/>
      <c r="K39" s="9"/>
      <c r="L39" s="9"/>
      <c r="M39" s="9"/>
      <c r="N39" s="9"/>
      <c r="O39" s="9"/>
      <c r="P39" s="9"/>
      <c r="Q39" s="9"/>
    </row>
    <row r="40" spans="1:17" ht="14.4" hidden="1">
      <c r="A40" s="9"/>
      <c r="B40" s="9"/>
      <c r="C40" s="9"/>
      <c r="D40" s="9"/>
      <c r="E40" s="9"/>
      <c r="F40" s="41"/>
      <c r="G40" s="41"/>
      <c r="H40" s="41"/>
      <c r="I40" s="9"/>
      <c r="J40" s="9"/>
      <c r="K40" s="9"/>
      <c r="L40" s="9"/>
      <c r="M40" s="9"/>
      <c r="N40" s="9"/>
      <c r="O40" s="9"/>
      <c r="P40" s="9"/>
      <c r="Q40" s="9"/>
    </row>
    <row r="41" spans="1:17" ht="14.4" hidden="1">
      <c r="A41" s="9"/>
      <c r="B41" s="9"/>
      <c r="C41" s="9"/>
      <c r="D41" s="9"/>
      <c r="E41" s="9"/>
      <c r="F41" s="41"/>
      <c r="G41" s="41"/>
      <c r="H41" s="41"/>
      <c r="I41" s="9"/>
      <c r="J41" s="9"/>
      <c r="K41" s="9"/>
      <c r="L41" s="9"/>
      <c r="M41" s="9"/>
      <c r="N41" s="9"/>
      <c r="O41" s="9"/>
      <c r="P41" s="9"/>
      <c r="Q41" s="9"/>
    </row>
    <row r="42" spans="1:17" ht="14.4" hidden="1">
      <c r="A42" s="9"/>
      <c r="B42" s="9"/>
      <c r="C42" s="9"/>
      <c r="D42" s="9"/>
      <c r="E42" s="9"/>
      <c r="F42" s="41"/>
      <c r="G42" s="41"/>
      <c r="H42" s="41"/>
      <c r="I42" s="9"/>
      <c r="J42" s="9"/>
      <c r="K42" s="9"/>
      <c r="L42" s="9"/>
      <c r="M42" s="9"/>
      <c r="N42" s="9"/>
      <c r="O42" s="9"/>
      <c r="P42" s="9"/>
      <c r="Q42" s="9"/>
    </row>
    <row r="43" spans="1:17" ht="14.4" hidden="1">
      <c r="A43" s="9"/>
      <c r="B43" s="9"/>
      <c r="C43" s="9"/>
      <c r="D43" s="9"/>
      <c r="E43" s="9"/>
      <c r="F43" s="41"/>
      <c r="G43" s="41"/>
      <c r="H43" s="41"/>
      <c r="I43" s="9"/>
      <c r="J43" s="9"/>
      <c r="K43" s="9"/>
      <c r="L43" s="9"/>
      <c r="M43" s="9"/>
      <c r="N43" s="9"/>
      <c r="O43" s="9"/>
      <c r="P43" s="9"/>
      <c r="Q43" s="9"/>
    </row>
    <row r="44" spans="1:17" ht="14.4" hidden="1">
      <c r="A44" s="9"/>
      <c r="B44" s="9"/>
      <c r="C44" s="9"/>
      <c r="D44" s="9"/>
      <c r="E44" s="9"/>
      <c r="F44" s="41"/>
      <c r="G44" s="41"/>
      <c r="H44" s="41"/>
      <c r="I44" s="9"/>
      <c r="J44" s="9"/>
      <c r="K44" s="9"/>
      <c r="L44" s="9"/>
      <c r="M44" s="9"/>
      <c r="N44" s="9"/>
      <c r="O44" s="9"/>
      <c r="P44" s="9"/>
      <c r="Q44" s="9"/>
    </row>
    <row r="45" spans="1:17" ht="14.4" hidden="1">
      <c r="A45" s="9"/>
      <c r="B45" s="9"/>
      <c r="C45" s="9"/>
      <c r="D45" s="9"/>
      <c r="E45" s="9"/>
      <c r="F45" s="41"/>
      <c r="G45" s="41"/>
      <c r="H45" s="41"/>
      <c r="I45" s="9"/>
      <c r="J45" s="9"/>
      <c r="K45" s="9"/>
      <c r="L45" s="9"/>
      <c r="M45" s="9"/>
      <c r="N45" s="9"/>
      <c r="O45" s="9"/>
      <c r="P45" s="9"/>
      <c r="Q45" s="9"/>
    </row>
    <row r="46" spans="1:17" ht="14.4" hidden="1">
      <c r="A46" s="9"/>
      <c r="B46" s="9"/>
      <c r="C46" s="9"/>
      <c r="D46" s="9"/>
      <c r="E46" s="9"/>
      <c r="F46" s="41"/>
      <c r="G46" s="41"/>
      <c r="H46" s="41"/>
      <c r="I46" s="9"/>
      <c r="J46" s="9"/>
      <c r="K46" s="9"/>
      <c r="L46" s="9"/>
      <c r="M46" s="9"/>
      <c r="N46" s="9"/>
      <c r="O46" s="9"/>
      <c r="P46" s="9"/>
      <c r="Q46" s="9"/>
    </row>
    <row r="47" spans="1:17" ht="14.4" hidden="1">
      <c r="A47" s="9"/>
      <c r="B47" s="9"/>
      <c r="C47" s="9"/>
      <c r="D47" s="9"/>
      <c r="E47" s="9"/>
      <c r="F47" s="41"/>
      <c r="G47" s="41"/>
      <c r="H47" s="41"/>
      <c r="I47" s="9"/>
      <c r="J47" s="9"/>
      <c r="K47" s="9"/>
      <c r="L47" s="9"/>
      <c r="M47" s="9"/>
      <c r="N47" s="9"/>
      <c r="O47" s="9"/>
      <c r="P47" s="9"/>
      <c r="Q47" s="9"/>
    </row>
    <row r="48" spans="1:17" ht="14.4" hidden="1">
      <c r="A48" s="9"/>
      <c r="B48" s="9"/>
      <c r="C48" s="9"/>
      <c r="D48" s="9"/>
      <c r="E48" s="9"/>
      <c r="F48" s="9"/>
      <c r="G48" s="9"/>
      <c r="H48" s="9"/>
      <c r="I48" s="9"/>
      <c r="J48" s="9"/>
      <c r="K48" s="9"/>
      <c r="L48" s="9"/>
      <c r="M48" s="9"/>
      <c r="N48" s="9"/>
      <c r="O48" s="9"/>
      <c r="P48" s="9"/>
      <c r="Q48" s="9"/>
    </row>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AG48"/>
  <sheetViews>
    <sheetView zoomScale="79" zoomScaleNormal="79" workbookViewId="0"/>
  </sheetViews>
  <sheetFormatPr defaultColWidth="0" defaultRowHeight="15" customHeight="1" zeroHeight="1"/>
  <cols>
    <col min="1" max="3" width="2.5546875" customWidth="1"/>
    <col min="4" max="4" width="9.109375" customWidth="1"/>
    <col min="5" max="5" width="15.44140625" customWidth="1"/>
    <col min="6" max="6" width="11.33203125" bestFit="1" customWidth="1"/>
    <col min="7" max="7" width="9.109375" customWidth="1"/>
    <col min="8" max="8" width="11.109375" bestFit="1" customWidth="1"/>
    <col min="9" max="10" width="9.109375" customWidth="1"/>
    <col min="11" max="11" width="11" bestFit="1" customWidth="1"/>
    <col min="12" max="13" width="12.33203125" bestFit="1" customWidth="1"/>
    <col min="14" max="15" width="9.109375" customWidth="1"/>
    <col min="16" max="16" width="13" bestFit="1" customWidth="1"/>
    <col min="17" max="17" width="12.44140625" customWidth="1"/>
    <col min="18" max="18" width="3.33203125" style="9" customWidth="1"/>
    <col min="19" max="33" width="0" style="9" hidden="1" customWidth="1"/>
    <col min="34" max="16384" width="9.109375" hidden="1"/>
  </cols>
  <sheetData>
    <row r="1" spans="1:33" ht="14.4">
      <c r="A1" s="9"/>
      <c r="B1" s="9"/>
      <c r="C1" s="9"/>
      <c r="D1" s="9"/>
      <c r="E1" s="9"/>
      <c r="F1" s="9"/>
      <c r="G1" s="9"/>
      <c r="H1" s="9"/>
      <c r="I1" s="9"/>
      <c r="J1" s="9"/>
      <c r="K1" s="9"/>
      <c r="L1" s="9"/>
      <c r="M1" s="9"/>
      <c r="N1" s="9"/>
      <c r="O1" s="9"/>
      <c r="P1" s="9"/>
      <c r="Q1" s="9"/>
    </row>
    <row r="2" spans="1:33" ht="18.600000000000001" thickBot="1">
      <c r="A2" s="9"/>
      <c r="B2" s="8" t="s">
        <v>6</v>
      </c>
      <c r="C2" s="23"/>
      <c r="D2" s="23"/>
      <c r="E2" s="23"/>
      <c r="F2" s="23"/>
      <c r="G2" s="23"/>
      <c r="H2" s="23"/>
      <c r="I2" s="23"/>
      <c r="J2" s="23"/>
      <c r="K2" s="23"/>
      <c r="L2" s="23"/>
      <c r="M2" s="23"/>
      <c r="N2" s="23"/>
      <c r="O2" s="23"/>
      <c r="P2" s="23"/>
      <c r="Q2" s="23"/>
    </row>
    <row r="3" spans="1:33" ht="14.4">
      <c r="A3" s="9"/>
      <c r="B3" s="10"/>
      <c r="C3" s="24"/>
      <c r="D3" s="24"/>
      <c r="E3" s="24"/>
      <c r="F3" s="24"/>
      <c r="G3" s="24"/>
      <c r="H3" s="24"/>
      <c r="I3" s="24"/>
      <c r="J3" s="24"/>
      <c r="K3" s="24"/>
      <c r="L3" s="24"/>
      <c r="M3" s="24"/>
      <c r="N3" s="24"/>
      <c r="O3" s="24"/>
      <c r="P3" s="24"/>
      <c r="Q3" s="25"/>
    </row>
    <row r="4" spans="1:33" ht="16.2">
      <c r="A4" s="9"/>
      <c r="B4" s="11" t="s">
        <v>7</v>
      </c>
      <c r="C4" s="26"/>
      <c r="D4" s="24"/>
      <c r="E4" s="58" t="s">
        <v>21</v>
      </c>
      <c r="F4" s="24"/>
      <c r="G4" s="24"/>
      <c r="H4" s="24"/>
      <c r="I4" s="24"/>
      <c r="J4" s="24"/>
      <c r="K4" s="24"/>
      <c r="L4" s="24"/>
      <c r="M4" s="24"/>
      <c r="N4" s="24"/>
      <c r="O4" s="24"/>
      <c r="P4" s="24"/>
      <c r="Q4" s="24"/>
    </row>
    <row r="5" spans="1:33" ht="14.4">
      <c r="A5" s="9"/>
      <c r="B5" s="10"/>
      <c r="C5" s="24"/>
      <c r="D5" s="24"/>
      <c r="E5" s="24"/>
      <c r="F5" s="24"/>
      <c r="G5" s="24"/>
      <c r="H5" s="24"/>
      <c r="I5" s="24"/>
      <c r="J5" s="24"/>
      <c r="K5" s="24"/>
      <c r="L5" s="24"/>
      <c r="M5" s="24"/>
      <c r="N5" s="24"/>
      <c r="O5" s="24"/>
      <c r="P5" s="24"/>
      <c r="Q5" s="24"/>
    </row>
    <row r="6" spans="1:33" s="20" customFormat="1" ht="14.4">
      <c r="A6" s="9"/>
      <c r="B6"/>
      <c r="C6" s="27" t="s">
        <v>7</v>
      </c>
      <c r="D6" s="28"/>
      <c r="E6" s="28"/>
      <c r="F6" s="130" t="s">
        <v>22</v>
      </c>
      <c r="G6" s="135"/>
      <c r="H6" s="135"/>
      <c r="I6" s="136"/>
      <c r="J6" s="137"/>
      <c r="K6" s="130" t="s">
        <v>23</v>
      </c>
      <c r="L6" s="135"/>
      <c r="M6" s="135"/>
      <c r="N6" s="136"/>
      <c r="O6" s="137"/>
      <c r="P6" s="128" t="s">
        <v>9</v>
      </c>
      <c r="Q6" s="135"/>
      <c r="R6" s="9"/>
      <c r="S6" s="19"/>
      <c r="T6" s="19"/>
      <c r="U6" s="19"/>
      <c r="V6" s="19"/>
      <c r="W6" s="19"/>
      <c r="X6" s="19"/>
      <c r="Y6" s="19"/>
      <c r="Z6" s="19"/>
      <c r="AA6" s="19"/>
      <c r="AB6" s="19"/>
      <c r="AC6" s="19"/>
      <c r="AD6" s="19"/>
      <c r="AE6" s="19"/>
      <c r="AF6" s="19"/>
      <c r="AG6" s="19"/>
    </row>
    <row r="7" spans="1:33" ht="14.4">
      <c r="A7" s="9"/>
      <c r="B7" s="18"/>
      <c r="C7" s="29"/>
      <c r="D7" s="30"/>
      <c r="E7" s="30"/>
      <c r="F7" s="29"/>
      <c r="G7" s="30"/>
      <c r="H7" s="30"/>
      <c r="I7" s="30"/>
      <c r="J7" s="56"/>
      <c r="K7" s="29"/>
      <c r="L7" s="30"/>
      <c r="M7" s="30"/>
      <c r="N7" s="30"/>
      <c r="O7" s="56"/>
      <c r="P7" s="30"/>
      <c r="Q7" s="30"/>
    </row>
    <row r="8" spans="1:33" s="54" customFormat="1" ht="20.399999999999999">
      <c r="A8" s="48"/>
      <c r="B8" s="49"/>
      <c r="C8" s="59" t="s">
        <v>29</v>
      </c>
      <c r="D8" s="50"/>
      <c r="E8" s="51"/>
      <c r="F8" s="55">
        <v>2021</v>
      </c>
      <c r="G8" s="52">
        <v>2020</v>
      </c>
      <c r="H8" s="52">
        <v>2019</v>
      </c>
      <c r="I8" s="53" t="s">
        <v>19</v>
      </c>
      <c r="J8" s="57" t="s">
        <v>18</v>
      </c>
      <c r="K8" s="55">
        <v>2021</v>
      </c>
      <c r="L8" s="52">
        <v>2020</v>
      </c>
      <c r="M8" s="52">
        <v>2019</v>
      </c>
      <c r="N8" s="53" t="s">
        <v>19</v>
      </c>
      <c r="O8" s="57" t="s">
        <v>18</v>
      </c>
      <c r="P8" s="52">
        <v>2020</v>
      </c>
      <c r="Q8" s="52">
        <v>2019</v>
      </c>
      <c r="R8" s="48"/>
      <c r="S8" s="48"/>
      <c r="T8" s="48"/>
      <c r="U8" s="48"/>
      <c r="V8" s="48"/>
      <c r="W8" s="48"/>
      <c r="X8" s="48"/>
      <c r="Y8" s="48"/>
      <c r="Z8" s="48"/>
      <c r="AA8" s="48"/>
      <c r="AB8" s="48"/>
      <c r="AC8" s="48"/>
      <c r="AD8" s="48"/>
      <c r="AE8" s="48"/>
      <c r="AF8" s="48"/>
      <c r="AG8" s="48"/>
    </row>
    <row r="9" spans="1:33" ht="14.4">
      <c r="A9" s="9"/>
      <c r="B9" s="12"/>
      <c r="C9" s="31" t="s">
        <v>14</v>
      </c>
      <c r="D9" s="26"/>
      <c r="E9" s="32"/>
      <c r="F9" s="26"/>
      <c r="G9" s="26"/>
      <c r="H9" s="26"/>
      <c r="I9" s="26"/>
      <c r="J9" s="32"/>
      <c r="K9" s="26"/>
      <c r="L9" s="26"/>
      <c r="M9" s="26"/>
      <c r="N9" s="26"/>
      <c r="O9" s="32"/>
      <c r="P9" s="26"/>
      <c r="Q9" s="26"/>
    </row>
    <row r="10" spans="1:33" ht="14.4">
      <c r="A10" s="9"/>
      <c r="B10" s="12"/>
      <c r="C10" s="33"/>
      <c r="D10" s="26" t="s">
        <v>5</v>
      </c>
      <c r="E10" s="32"/>
      <c r="F10" s="68">
        <v>3</v>
      </c>
      <c r="G10" s="68">
        <v>0</v>
      </c>
      <c r="H10" s="68">
        <v>3</v>
      </c>
      <c r="I10" s="64" t="str">
        <f>IFERROR(F10/G10-1,"n/a")</f>
        <v>n/a</v>
      </c>
      <c r="J10" s="60">
        <f>F10/H10-1</f>
        <v>0</v>
      </c>
      <c r="K10" s="68">
        <v>16</v>
      </c>
      <c r="L10" s="68">
        <v>145</v>
      </c>
      <c r="M10" s="68">
        <v>253</v>
      </c>
      <c r="N10" s="64">
        <f>K10/L10-1</f>
        <v>-0.8896551724137931</v>
      </c>
      <c r="O10" s="60">
        <f>K10/M10-1</f>
        <v>-0.93675889328063244</v>
      </c>
      <c r="P10" s="70">
        <v>145</v>
      </c>
      <c r="Q10" s="70">
        <v>386</v>
      </c>
    </row>
    <row r="11" spans="1:33" ht="14.4">
      <c r="A11" s="9"/>
      <c r="B11" s="12"/>
      <c r="C11" s="33"/>
      <c r="D11" s="26" t="s">
        <v>11</v>
      </c>
      <c r="E11" s="32"/>
      <c r="F11" s="68">
        <v>1618</v>
      </c>
      <c r="G11" s="68">
        <v>0</v>
      </c>
      <c r="H11" s="68">
        <v>11148</v>
      </c>
      <c r="I11" s="64" t="str">
        <f t="shared" ref="I11:I26" si="0">IFERROR(F11/G11-1,"n/a")</f>
        <v>n/a</v>
      </c>
      <c r="J11" s="60">
        <f>F11/H11-1</f>
        <v>-0.8548618586293506</v>
      </c>
      <c r="K11" s="68">
        <v>4201</v>
      </c>
      <c r="L11" s="68">
        <v>258885</v>
      </c>
      <c r="M11" s="68">
        <v>492279</v>
      </c>
      <c r="N11" s="64">
        <f>K11/L11-1</f>
        <v>-0.98377271761592988</v>
      </c>
      <c r="O11" s="60">
        <f>K11/M11-1</f>
        <v>-0.99146622139071539</v>
      </c>
      <c r="P11" s="70">
        <v>258885</v>
      </c>
      <c r="Q11" s="70">
        <v>733296</v>
      </c>
    </row>
    <row r="12" spans="1:33" ht="14.4">
      <c r="A12" s="9"/>
      <c r="B12" s="12"/>
      <c r="C12" s="31" t="s">
        <v>20</v>
      </c>
      <c r="D12" s="26"/>
      <c r="E12" s="32"/>
      <c r="F12" s="45"/>
      <c r="G12" s="45"/>
      <c r="H12" s="45"/>
      <c r="I12" s="64"/>
      <c r="J12" s="61"/>
      <c r="K12" s="43"/>
      <c r="L12" s="43"/>
      <c r="M12" s="43"/>
      <c r="N12" s="65"/>
      <c r="O12" s="61"/>
      <c r="P12" s="44"/>
      <c r="Q12" s="44"/>
    </row>
    <row r="13" spans="1:33" ht="14.4">
      <c r="A13" s="9"/>
      <c r="B13" s="12"/>
      <c r="C13" s="33"/>
      <c r="D13" s="26" t="s">
        <v>5</v>
      </c>
      <c r="E13" s="32"/>
      <c r="F13" s="68">
        <v>46</v>
      </c>
      <c r="G13" s="68">
        <v>0</v>
      </c>
      <c r="H13" s="68">
        <v>86</v>
      </c>
      <c r="I13" s="64" t="str">
        <f t="shared" si="0"/>
        <v>n/a</v>
      </c>
      <c r="J13" s="60">
        <f>F13/H13-1</f>
        <v>-0.46511627906976749</v>
      </c>
      <c r="K13" s="68">
        <v>84</v>
      </c>
      <c r="L13" s="68">
        <v>43</v>
      </c>
      <c r="M13" s="68">
        <v>585</v>
      </c>
      <c r="N13" s="64">
        <f>K13/L13-1</f>
        <v>0.95348837209302317</v>
      </c>
      <c r="O13" s="60">
        <f>K13/M13-1</f>
        <v>-0.85641025641025648</v>
      </c>
      <c r="P13" s="70">
        <v>43</v>
      </c>
      <c r="Q13" s="70">
        <v>827</v>
      </c>
    </row>
    <row r="14" spans="1:33" ht="14.4">
      <c r="A14" s="9"/>
      <c r="B14" s="12"/>
      <c r="C14" s="33"/>
      <c r="D14" s="26" t="s">
        <v>11</v>
      </c>
      <c r="E14" s="32"/>
      <c r="F14" s="68">
        <v>89719</v>
      </c>
      <c r="G14" s="68">
        <v>0</v>
      </c>
      <c r="H14" s="68">
        <v>304036</v>
      </c>
      <c r="I14" s="64" t="str">
        <f t="shared" si="0"/>
        <v>n/a</v>
      </c>
      <c r="J14" s="60">
        <f>F14/H14-1</f>
        <v>-0.70490665579076162</v>
      </c>
      <c r="K14" s="68">
        <v>167883</v>
      </c>
      <c r="L14" s="68">
        <v>140552</v>
      </c>
      <c r="M14" s="68">
        <v>1897444</v>
      </c>
      <c r="N14" s="64">
        <f>K14/L14-1</f>
        <v>0.19445472138425646</v>
      </c>
      <c r="O14" s="60">
        <f>K14/M14-1</f>
        <v>-0.91152149944873206</v>
      </c>
      <c r="P14" s="70">
        <v>140552</v>
      </c>
      <c r="Q14" s="70">
        <v>2552942</v>
      </c>
    </row>
    <row r="15" spans="1:33" ht="14.4">
      <c r="A15" s="9"/>
      <c r="B15" s="12"/>
      <c r="C15" s="31" t="s">
        <v>15</v>
      </c>
      <c r="D15" s="26"/>
      <c r="E15" s="32"/>
      <c r="F15" s="43"/>
      <c r="G15" s="43"/>
      <c r="H15" s="43"/>
      <c r="I15" s="64"/>
      <c r="J15" s="60"/>
      <c r="K15" s="43"/>
      <c r="L15" s="43"/>
      <c r="M15" s="43"/>
      <c r="N15" s="64"/>
      <c r="O15" s="60"/>
      <c r="P15" s="44"/>
      <c r="Q15" s="44"/>
    </row>
    <row r="16" spans="1:33" ht="14.4">
      <c r="A16" s="9"/>
      <c r="B16" s="12"/>
      <c r="C16" s="33"/>
      <c r="D16" s="26" t="s">
        <v>5</v>
      </c>
      <c r="E16" s="32"/>
      <c r="F16" s="68">
        <v>2</v>
      </c>
      <c r="G16" s="68">
        <v>0</v>
      </c>
      <c r="H16" s="68">
        <v>23</v>
      </c>
      <c r="I16" s="64" t="str">
        <f t="shared" si="0"/>
        <v>n/a</v>
      </c>
      <c r="J16" s="60">
        <f>F16/H16-1</f>
        <v>-0.91304347826086962</v>
      </c>
      <c r="K16" s="68">
        <v>2</v>
      </c>
      <c r="L16" s="68">
        <v>4</v>
      </c>
      <c r="M16" s="68">
        <v>151</v>
      </c>
      <c r="N16" s="64">
        <f>K16/L16-1</f>
        <v>-0.5</v>
      </c>
      <c r="O16" s="60">
        <f>K16/M16-1</f>
        <v>-0.98675496688741726</v>
      </c>
      <c r="P16" s="70">
        <v>4</v>
      </c>
      <c r="Q16" s="70">
        <v>191</v>
      </c>
    </row>
    <row r="17" spans="1:33" ht="14.4">
      <c r="A17" s="9"/>
      <c r="B17" s="12"/>
      <c r="C17" s="33"/>
      <c r="D17" s="26" t="s">
        <v>11</v>
      </c>
      <c r="E17" s="32"/>
      <c r="F17" s="68">
        <f>424</f>
        <v>424</v>
      </c>
      <c r="G17" s="68">
        <v>0</v>
      </c>
      <c r="H17" s="68">
        <v>35836</v>
      </c>
      <c r="I17" s="64" t="str">
        <f t="shared" si="0"/>
        <v>n/a</v>
      </c>
      <c r="J17" s="60">
        <f>F17/H17-1</f>
        <v>-0.98816832235740593</v>
      </c>
      <c r="K17" s="68">
        <v>424</v>
      </c>
      <c r="L17" s="68">
        <v>1753</v>
      </c>
      <c r="M17" s="68">
        <v>203390</v>
      </c>
      <c r="N17" s="64">
        <f>K17/L17-1</f>
        <v>-0.75812892184826008</v>
      </c>
      <c r="O17" s="60">
        <f>K17/M17-1</f>
        <v>-0.99791533507055408</v>
      </c>
      <c r="P17" s="70">
        <v>1753</v>
      </c>
      <c r="Q17" s="70">
        <v>254421</v>
      </c>
    </row>
    <row r="18" spans="1:33" ht="14.4">
      <c r="A18" s="9"/>
      <c r="B18" s="12"/>
      <c r="C18" s="31" t="s">
        <v>10</v>
      </c>
      <c r="D18" s="26"/>
      <c r="E18" s="34"/>
      <c r="F18" s="43"/>
      <c r="G18" s="43"/>
      <c r="H18" s="43"/>
      <c r="I18" s="64"/>
      <c r="J18" s="60"/>
      <c r="K18" s="43"/>
      <c r="L18" s="43"/>
      <c r="M18" s="43"/>
      <c r="N18" s="64"/>
      <c r="O18" s="60"/>
      <c r="P18" s="44"/>
      <c r="Q18" s="44"/>
    </row>
    <row r="19" spans="1:33" ht="14.4">
      <c r="A19" s="9"/>
      <c r="B19" s="12"/>
      <c r="C19" s="33"/>
      <c r="D19" s="26" t="s">
        <v>5</v>
      </c>
      <c r="E19" s="34"/>
      <c r="F19" s="68">
        <v>57</v>
      </c>
      <c r="G19" s="68">
        <v>0</v>
      </c>
      <c r="H19" s="68">
        <v>76</v>
      </c>
      <c r="I19" s="64" t="str">
        <f t="shared" si="0"/>
        <v>n/a</v>
      </c>
      <c r="J19" s="60">
        <f>F19/H19-1</f>
        <v>-0.25</v>
      </c>
      <c r="K19" s="68">
        <v>130</v>
      </c>
      <c r="L19" s="68">
        <v>406</v>
      </c>
      <c r="M19" s="68">
        <v>856</v>
      </c>
      <c r="N19" s="64">
        <f>K19/L19-1</f>
        <v>-0.67980295566502469</v>
      </c>
      <c r="O19" s="60">
        <f>K19/M19-1</f>
        <v>-0.84813084112149539</v>
      </c>
      <c r="P19" s="70">
        <v>406</v>
      </c>
      <c r="Q19" s="70">
        <v>1205</v>
      </c>
    </row>
    <row r="20" spans="1:33" ht="14.4">
      <c r="A20" s="9"/>
      <c r="B20" s="12"/>
      <c r="C20" s="33"/>
      <c r="D20" s="26" t="s">
        <v>11</v>
      </c>
      <c r="E20" s="32"/>
      <c r="F20" s="68">
        <v>81777</v>
      </c>
      <c r="G20" s="68">
        <v>0</v>
      </c>
      <c r="H20" s="68">
        <v>223305</v>
      </c>
      <c r="I20" s="64" t="str">
        <f t="shared" si="0"/>
        <v>n/a</v>
      </c>
      <c r="J20" s="60">
        <f>F20/H20-1</f>
        <v>-0.63378786861019676</v>
      </c>
      <c r="K20" s="68">
        <v>181810</v>
      </c>
      <c r="L20" s="68">
        <v>833999</v>
      </c>
      <c r="M20" s="68">
        <v>2872542</v>
      </c>
      <c r="N20" s="64">
        <f>K20/L20-1</f>
        <v>-0.7820021366932095</v>
      </c>
      <c r="O20" s="60">
        <f>K20/M20-1</f>
        <v>-0.93670762690327936</v>
      </c>
      <c r="P20" s="70">
        <v>833999</v>
      </c>
      <c r="Q20" s="70">
        <v>3859183</v>
      </c>
    </row>
    <row r="21" spans="1:33" ht="14.4">
      <c r="A21" s="9"/>
      <c r="B21" s="12"/>
      <c r="C21" s="31" t="s">
        <v>16</v>
      </c>
      <c r="D21" s="26"/>
      <c r="E21" s="32"/>
      <c r="F21" s="43"/>
      <c r="G21" s="43"/>
      <c r="H21" s="43"/>
      <c r="I21" s="64"/>
      <c r="J21" s="60"/>
      <c r="K21" s="43"/>
      <c r="L21" s="43"/>
      <c r="M21" s="43"/>
      <c r="N21" s="64"/>
      <c r="O21" s="60"/>
      <c r="P21" s="44"/>
      <c r="Q21" s="44"/>
    </row>
    <row r="22" spans="1:33" ht="14.4">
      <c r="A22" s="9"/>
      <c r="B22" s="12"/>
      <c r="C22" s="33"/>
      <c r="D22" s="26" t="s">
        <v>5</v>
      </c>
      <c r="E22" s="32"/>
      <c r="F22" s="68">
        <v>17</v>
      </c>
      <c r="G22" s="68">
        <v>5</v>
      </c>
      <c r="H22" s="68">
        <v>40</v>
      </c>
      <c r="I22" s="64">
        <f t="shared" si="0"/>
        <v>2.4</v>
      </c>
      <c r="J22" s="60">
        <f>F22/H22-1</f>
        <v>-0.57499999999999996</v>
      </c>
      <c r="K22" s="68">
        <v>71</v>
      </c>
      <c r="L22" s="68">
        <v>16</v>
      </c>
      <c r="M22" s="68">
        <v>244</v>
      </c>
      <c r="N22" s="64">
        <f>K22/L22-1</f>
        <v>3.4375</v>
      </c>
      <c r="O22" s="60">
        <f>K22/M22-1</f>
        <v>-0.70901639344262302</v>
      </c>
      <c r="P22" s="70">
        <v>32</v>
      </c>
      <c r="Q22" s="70">
        <v>372</v>
      </c>
    </row>
    <row r="23" spans="1:33" ht="14.4">
      <c r="A23" s="9"/>
      <c r="B23" s="12"/>
      <c r="C23" s="33"/>
      <c r="D23" s="26" t="s">
        <v>11</v>
      </c>
      <c r="E23" s="32"/>
      <c r="F23" s="68">
        <v>31465</v>
      </c>
      <c r="G23" s="68">
        <v>4538</v>
      </c>
      <c r="H23" s="68">
        <v>102143</v>
      </c>
      <c r="I23" s="64">
        <f t="shared" si="0"/>
        <v>5.9336712208021156</v>
      </c>
      <c r="J23" s="60">
        <f>F23/H23-1</f>
        <v>-0.69195147978814009</v>
      </c>
      <c r="K23" s="68">
        <v>101015</v>
      </c>
      <c r="L23" s="68">
        <v>47300</v>
      </c>
      <c r="M23" s="68">
        <v>688183</v>
      </c>
      <c r="N23" s="64">
        <f>K23/L23-1</f>
        <v>1.1356236786469345</v>
      </c>
      <c r="O23" s="60">
        <f>K23/M23-1</f>
        <v>-0.8532149152187718</v>
      </c>
      <c r="P23" s="70">
        <v>59180</v>
      </c>
      <c r="Q23" s="70">
        <v>902015</v>
      </c>
    </row>
    <row r="24" spans="1:33" ht="14.4">
      <c r="A24" s="9"/>
      <c r="B24" s="12"/>
      <c r="C24" s="31" t="s">
        <v>17</v>
      </c>
      <c r="D24" s="26"/>
      <c r="E24" s="32"/>
      <c r="F24" s="43"/>
      <c r="G24" s="43"/>
      <c r="H24" s="43"/>
      <c r="I24" s="64"/>
      <c r="J24" s="60"/>
      <c r="K24" s="43"/>
      <c r="L24" s="43"/>
      <c r="M24" s="43"/>
      <c r="N24" s="64"/>
      <c r="O24" s="60"/>
      <c r="P24" s="44"/>
      <c r="Q24" s="44"/>
    </row>
    <row r="25" spans="1:33" ht="14.4">
      <c r="B25" s="12"/>
      <c r="C25" s="33"/>
      <c r="D25" s="26" t="s">
        <v>5</v>
      </c>
      <c r="E25" s="32"/>
      <c r="F25" s="68">
        <v>23</v>
      </c>
      <c r="G25" s="68">
        <v>7</v>
      </c>
      <c r="H25" s="68">
        <v>41</v>
      </c>
      <c r="I25" s="64">
        <f t="shared" si="0"/>
        <v>2.2857142857142856</v>
      </c>
      <c r="J25" s="60">
        <f>F25/H25-1</f>
        <v>-0.43902439024390238</v>
      </c>
      <c r="K25" s="68">
        <v>79</v>
      </c>
      <c r="L25" s="68">
        <v>12</v>
      </c>
      <c r="M25" s="68">
        <v>255</v>
      </c>
      <c r="N25" s="64">
        <f>K25/L25-1</f>
        <v>5.583333333333333</v>
      </c>
      <c r="O25" s="60">
        <f>K25/M25-1</f>
        <v>-0.69019607843137254</v>
      </c>
      <c r="P25" s="70">
        <v>37</v>
      </c>
      <c r="Q25" s="70">
        <v>363</v>
      </c>
    </row>
    <row r="26" spans="1:33" ht="14.4">
      <c r="A26" s="9"/>
      <c r="B26" s="12"/>
      <c r="C26" s="33"/>
      <c r="D26" s="26" t="s">
        <v>11</v>
      </c>
      <c r="E26" s="32"/>
      <c r="F26" s="68">
        <v>35845</v>
      </c>
      <c r="G26" s="68">
        <v>1534</v>
      </c>
      <c r="H26" s="68">
        <v>107800</v>
      </c>
      <c r="I26" s="64">
        <f t="shared" si="0"/>
        <v>22.367014341590611</v>
      </c>
      <c r="J26" s="60">
        <f>F26/H26-1</f>
        <v>-0.66748608534322817</v>
      </c>
      <c r="K26" s="68">
        <v>117659</v>
      </c>
      <c r="L26" s="68">
        <v>20026</v>
      </c>
      <c r="M26" s="68">
        <v>690353</v>
      </c>
      <c r="N26" s="64">
        <f>K26/L26-1</f>
        <v>4.8753120942774393</v>
      </c>
      <c r="O26" s="60">
        <f>K26/M26-1</f>
        <v>-0.8295669027294732</v>
      </c>
      <c r="P26" s="70">
        <v>29062</v>
      </c>
      <c r="Q26" s="70">
        <v>867164</v>
      </c>
    </row>
    <row r="27" spans="1:33" thickBot="1">
      <c r="A27" s="9"/>
      <c r="B27" s="12"/>
      <c r="C27" s="35" t="s">
        <v>12</v>
      </c>
      <c r="D27" s="36"/>
      <c r="E27" s="37"/>
      <c r="F27" s="46">
        <f t="shared" ref="F27:H28" si="1">F10+F13+F16+F19+F22+F25</f>
        <v>148</v>
      </c>
      <c r="G27" s="46">
        <f t="shared" si="1"/>
        <v>12</v>
      </c>
      <c r="H27" s="46">
        <f t="shared" si="1"/>
        <v>269</v>
      </c>
      <c r="I27" s="66">
        <f>F27/G27-1</f>
        <v>11.333333333333334</v>
      </c>
      <c r="J27" s="62">
        <f>F27/H27-1</f>
        <v>-0.44981412639405205</v>
      </c>
      <c r="K27" s="46">
        <f t="shared" ref="K27:M28" si="2">K10+K13+K16+K19+K22+K25</f>
        <v>382</v>
      </c>
      <c r="L27" s="46">
        <f t="shared" si="2"/>
        <v>626</v>
      </c>
      <c r="M27" s="46">
        <f t="shared" si="2"/>
        <v>2344</v>
      </c>
      <c r="N27" s="66">
        <f>K27/L27-1</f>
        <v>-0.38977635782747599</v>
      </c>
      <c r="O27" s="62">
        <f>K27/M27-1</f>
        <v>-0.83703071672354945</v>
      </c>
      <c r="P27" s="46">
        <f>P10+P13+P16+P19+P22+P25</f>
        <v>667</v>
      </c>
      <c r="Q27" s="46">
        <f>Q10+Q13+Q16+Q19+Q22+Q25</f>
        <v>3344</v>
      </c>
    </row>
    <row r="28" spans="1:33" s="22" customFormat="1" ht="15.6" thickTop="1" thickBot="1">
      <c r="A28" s="9"/>
      <c r="B28" s="12"/>
      <c r="C28" s="38" t="s">
        <v>13</v>
      </c>
      <c r="D28" s="39"/>
      <c r="E28" s="40"/>
      <c r="F28" s="47">
        <f t="shared" si="1"/>
        <v>240848</v>
      </c>
      <c r="G28" s="47">
        <f t="shared" si="1"/>
        <v>6072</v>
      </c>
      <c r="H28" s="47">
        <f t="shared" si="1"/>
        <v>784268</v>
      </c>
      <c r="I28" s="67">
        <f>F28/G28-1</f>
        <v>38.665349143610015</v>
      </c>
      <c r="J28" s="63">
        <f>F28/H28-1</f>
        <v>-0.69290089612224393</v>
      </c>
      <c r="K28" s="47">
        <f t="shared" si="2"/>
        <v>572992</v>
      </c>
      <c r="L28" s="47">
        <f t="shared" si="2"/>
        <v>1302515</v>
      </c>
      <c r="M28" s="47">
        <f t="shared" si="2"/>
        <v>6844191</v>
      </c>
      <c r="N28" s="67">
        <f>K28/L28-1</f>
        <v>-0.56008798363166645</v>
      </c>
      <c r="O28" s="63">
        <f>K28/M28-1</f>
        <v>-0.91628053629713135</v>
      </c>
      <c r="P28" s="47">
        <f>P11+P14+P17+P20+P23+P26</f>
        <v>1323431</v>
      </c>
      <c r="Q28" s="47">
        <f>Q11+Q14+Q17+Q20+Q23+Q26</f>
        <v>9169021</v>
      </c>
      <c r="R28" s="9"/>
      <c r="S28" s="21"/>
      <c r="T28" s="21"/>
      <c r="U28" s="21"/>
      <c r="V28" s="21"/>
      <c r="W28" s="21"/>
      <c r="X28" s="21"/>
      <c r="Y28" s="21"/>
      <c r="Z28" s="21"/>
      <c r="AA28" s="21"/>
      <c r="AB28" s="21"/>
      <c r="AC28" s="21"/>
      <c r="AD28" s="21"/>
      <c r="AE28" s="21"/>
      <c r="AF28" s="21"/>
      <c r="AG28" s="21"/>
    </row>
    <row r="29" spans="1:33" thickTop="1">
      <c r="A29" s="9"/>
      <c r="B29" s="9"/>
      <c r="C29" s="9"/>
      <c r="D29" s="9"/>
      <c r="E29" s="9"/>
      <c r="F29" s="41"/>
      <c r="G29" s="41"/>
      <c r="H29" s="41"/>
      <c r="I29" s="9"/>
      <c r="J29" s="9"/>
      <c r="K29" s="9"/>
      <c r="L29" s="9"/>
      <c r="M29" s="9"/>
      <c r="N29" s="9"/>
      <c r="O29" s="9"/>
      <c r="P29" s="9"/>
      <c r="Q29" s="9"/>
    </row>
    <row r="30" spans="1:33" ht="14.4" hidden="1">
      <c r="A30" s="9"/>
      <c r="B30" s="9"/>
      <c r="C30" s="9"/>
      <c r="D30" s="9"/>
      <c r="E30" s="9"/>
      <c r="F30" s="41"/>
      <c r="G30" s="41"/>
      <c r="H30" s="41"/>
      <c r="I30" s="9"/>
      <c r="J30" s="9"/>
      <c r="K30" s="9"/>
      <c r="L30" s="9"/>
      <c r="M30" s="9"/>
      <c r="N30" s="9"/>
      <c r="O30" s="9"/>
      <c r="P30" s="9"/>
      <c r="Q30" s="9"/>
    </row>
    <row r="31" spans="1:33" ht="14.4" hidden="1">
      <c r="A31" s="9"/>
      <c r="B31" s="9"/>
      <c r="C31" s="9"/>
      <c r="D31" s="9"/>
      <c r="E31" s="9"/>
      <c r="F31" s="41"/>
      <c r="G31" s="41"/>
      <c r="H31" s="41"/>
      <c r="I31" s="9"/>
      <c r="J31" s="9"/>
      <c r="K31" s="9"/>
      <c r="L31" s="9"/>
      <c r="M31" s="9"/>
      <c r="N31" s="9"/>
      <c r="O31" s="9"/>
      <c r="P31" s="9"/>
      <c r="Q31" s="9"/>
    </row>
    <row r="32" spans="1:33" ht="14.4" hidden="1">
      <c r="A32" s="9"/>
      <c r="B32" s="9"/>
      <c r="C32" s="9"/>
      <c r="D32" s="9"/>
      <c r="E32" s="9"/>
      <c r="F32" s="41"/>
      <c r="G32" s="41"/>
      <c r="H32" s="41"/>
      <c r="I32" s="9"/>
      <c r="J32" s="9"/>
      <c r="K32" s="9"/>
      <c r="L32" s="9"/>
      <c r="M32" s="9"/>
      <c r="N32" s="9"/>
      <c r="O32" s="9"/>
      <c r="P32" s="9"/>
      <c r="Q32" s="9"/>
    </row>
    <row r="33" spans="1:17" ht="14.4" hidden="1">
      <c r="A33" s="9"/>
      <c r="B33" s="9"/>
      <c r="C33" s="9"/>
      <c r="D33" s="9"/>
      <c r="E33" s="9"/>
      <c r="F33" s="41"/>
      <c r="G33" s="41"/>
      <c r="H33" s="41"/>
      <c r="I33" s="9"/>
      <c r="J33" s="9"/>
      <c r="K33" s="9"/>
      <c r="L33" s="9"/>
      <c r="M33" s="9"/>
      <c r="N33" s="9"/>
      <c r="O33" s="9"/>
      <c r="P33" s="9"/>
      <c r="Q33" s="9"/>
    </row>
    <row r="34" spans="1:17" ht="14.4" hidden="1">
      <c r="A34" s="9"/>
      <c r="B34" s="9"/>
      <c r="C34" s="9"/>
      <c r="D34" s="9"/>
      <c r="E34" s="9"/>
      <c r="F34" s="41"/>
      <c r="G34" s="41"/>
      <c r="H34" s="41"/>
      <c r="I34" s="9"/>
      <c r="J34" s="9"/>
      <c r="K34" s="9"/>
      <c r="L34" s="9"/>
      <c r="M34" s="9"/>
      <c r="N34" s="9"/>
      <c r="O34" s="9"/>
      <c r="P34" s="9"/>
      <c r="Q34" s="9"/>
    </row>
    <row r="35" spans="1:17" ht="14.4" hidden="1">
      <c r="A35" s="9"/>
      <c r="B35" s="9"/>
      <c r="C35" s="9"/>
      <c r="D35" s="9"/>
      <c r="E35" s="9"/>
      <c r="F35" s="41"/>
      <c r="G35" s="41"/>
      <c r="H35" s="41"/>
      <c r="I35" s="9"/>
      <c r="J35" s="9"/>
      <c r="K35" s="9"/>
      <c r="L35" s="9"/>
      <c r="M35" s="9"/>
      <c r="N35" s="9"/>
      <c r="O35" s="9"/>
      <c r="P35" s="9"/>
      <c r="Q35" s="9"/>
    </row>
    <row r="36" spans="1:17" ht="14.4" hidden="1">
      <c r="A36" s="9"/>
      <c r="B36" s="9"/>
      <c r="C36" s="9"/>
      <c r="D36" s="9"/>
      <c r="E36" s="9"/>
      <c r="F36" s="41"/>
      <c r="G36" s="41"/>
      <c r="H36" s="41"/>
      <c r="I36" s="9"/>
      <c r="J36" s="9"/>
      <c r="K36" s="9"/>
      <c r="L36" s="9"/>
      <c r="M36" s="9"/>
      <c r="N36" s="9"/>
      <c r="O36" s="9"/>
      <c r="P36" s="9"/>
      <c r="Q36" s="9"/>
    </row>
    <row r="37" spans="1:17" ht="14.4" hidden="1">
      <c r="A37" s="9"/>
      <c r="B37" s="9"/>
      <c r="C37" s="9"/>
      <c r="D37" s="9"/>
      <c r="E37" s="9"/>
      <c r="F37" s="41"/>
      <c r="G37" s="41"/>
      <c r="H37" s="41"/>
      <c r="I37" s="9"/>
      <c r="J37" s="9"/>
      <c r="K37" s="9"/>
      <c r="L37" s="9"/>
      <c r="M37" s="9"/>
      <c r="N37" s="9"/>
      <c r="O37" s="9"/>
      <c r="P37" s="9"/>
      <c r="Q37" s="9"/>
    </row>
    <row r="38" spans="1:17" ht="14.4" hidden="1">
      <c r="A38" s="9"/>
      <c r="B38" s="9"/>
      <c r="C38" s="9"/>
      <c r="D38" s="9"/>
      <c r="E38" s="9"/>
      <c r="F38" s="41"/>
      <c r="G38" s="41"/>
      <c r="H38" s="41"/>
      <c r="I38" s="9"/>
      <c r="J38" s="9"/>
      <c r="K38" s="9"/>
      <c r="L38" s="9"/>
      <c r="M38" s="9"/>
      <c r="N38" s="9"/>
      <c r="O38" s="9"/>
      <c r="P38" s="9"/>
      <c r="Q38" s="9"/>
    </row>
    <row r="39" spans="1:17" ht="14.4" hidden="1">
      <c r="A39" s="9"/>
      <c r="B39" s="9"/>
      <c r="C39" s="9"/>
      <c r="D39" s="9"/>
      <c r="E39" s="9"/>
      <c r="F39" s="41"/>
      <c r="G39" s="41"/>
      <c r="H39" s="41"/>
      <c r="I39" s="9"/>
      <c r="J39" s="9"/>
      <c r="K39" s="9"/>
      <c r="L39" s="9"/>
      <c r="M39" s="9"/>
      <c r="N39" s="9"/>
      <c r="O39" s="9"/>
      <c r="P39" s="9"/>
      <c r="Q39" s="9"/>
    </row>
    <row r="40" spans="1:17" ht="14.4" hidden="1">
      <c r="A40" s="9"/>
      <c r="B40" s="9"/>
      <c r="C40" s="9"/>
      <c r="D40" s="9"/>
      <c r="E40" s="9"/>
      <c r="F40" s="41"/>
      <c r="G40" s="41"/>
      <c r="H40" s="41"/>
      <c r="I40" s="9"/>
      <c r="J40" s="9"/>
      <c r="K40" s="9"/>
      <c r="L40" s="9"/>
      <c r="M40" s="9"/>
      <c r="N40" s="9"/>
      <c r="O40" s="9"/>
      <c r="P40" s="9"/>
      <c r="Q40" s="9"/>
    </row>
    <row r="41" spans="1:17" ht="14.4" hidden="1">
      <c r="A41" s="9"/>
      <c r="B41" s="9"/>
      <c r="C41" s="9"/>
      <c r="D41" s="9"/>
      <c r="E41" s="9"/>
      <c r="F41" s="41"/>
      <c r="G41" s="41"/>
      <c r="H41" s="41"/>
      <c r="I41" s="9"/>
      <c r="J41" s="9"/>
      <c r="K41" s="9"/>
      <c r="L41" s="9"/>
      <c r="M41" s="9"/>
      <c r="N41" s="9"/>
      <c r="O41" s="9"/>
      <c r="P41" s="9"/>
      <c r="Q41" s="9"/>
    </row>
    <row r="42" spans="1:17" ht="14.4" hidden="1">
      <c r="A42" s="9"/>
      <c r="B42" s="9"/>
      <c r="C42" s="9"/>
      <c r="D42" s="9"/>
      <c r="E42" s="9"/>
      <c r="F42" s="41"/>
      <c r="G42" s="41"/>
      <c r="H42" s="41"/>
      <c r="I42" s="9"/>
      <c r="J42" s="9"/>
      <c r="K42" s="9"/>
      <c r="L42" s="9"/>
      <c r="M42" s="9"/>
      <c r="N42" s="9"/>
      <c r="O42" s="9"/>
      <c r="P42" s="9"/>
      <c r="Q42" s="9"/>
    </row>
    <row r="43" spans="1:17" ht="14.4" hidden="1">
      <c r="A43" s="9"/>
      <c r="B43" s="9"/>
      <c r="C43" s="9"/>
      <c r="D43" s="9"/>
      <c r="E43" s="9"/>
      <c r="F43" s="41"/>
      <c r="G43" s="41"/>
      <c r="H43" s="41"/>
      <c r="I43" s="9"/>
      <c r="J43" s="9"/>
      <c r="K43" s="9"/>
      <c r="L43" s="9"/>
      <c r="M43" s="9"/>
      <c r="N43" s="9"/>
      <c r="O43" s="9"/>
      <c r="P43" s="9"/>
      <c r="Q43" s="9"/>
    </row>
    <row r="44" spans="1:17" ht="14.4" hidden="1">
      <c r="A44" s="9"/>
      <c r="B44" s="9"/>
      <c r="C44" s="9"/>
      <c r="D44" s="9"/>
      <c r="E44" s="9"/>
      <c r="F44" s="41"/>
      <c r="G44" s="41"/>
      <c r="H44" s="41"/>
      <c r="I44" s="9"/>
      <c r="J44" s="9"/>
      <c r="K44" s="9"/>
      <c r="L44" s="9"/>
      <c r="M44" s="9"/>
      <c r="N44" s="9"/>
      <c r="O44" s="9"/>
      <c r="P44" s="9"/>
      <c r="Q44" s="9"/>
    </row>
    <row r="45" spans="1:17" ht="14.4" hidden="1">
      <c r="A45" s="9"/>
      <c r="B45" s="9"/>
      <c r="C45" s="9"/>
      <c r="D45" s="9"/>
      <c r="E45" s="9"/>
      <c r="F45" s="41"/>
      <c r="G45" s="41"/>
      <c r="H45" s="41"/>
      <c r="I45" s="9"/>
      <c r="J45" s="9"/>
      <c r="K45" s="9"/>
      <c r="L45" s="9"/>
      <c r="M45" s="9"/>
      <c r="N45" s="9"/>
      <c r="O45" s="9"/>
      <c r="P45" s="9"/>
      <c r="Q45" s="9"/>
    </row>
    <row r="46" spans="1:17" ht="14.4" hidden="1">
      <c r="A46" s="9"/>
      <c r="B46" s="9"/>
      <c r="C46" s="9"/>
      <c r="D46" s="9"/>
      <c r="E46" s="9"/>
      <c r="F46" s="41"/>
      <c r="G46" s="41"/>
      <c r="H46" s="41"/>
      <c r="I46" s="9"/>
      <c r="J46" s="9"/>
      <c r="K46" s="9"/>
      <c r="L46" s="9"/>
      <c r="M46" s="9"/>
      <c r="N46" s="9"/>
      <c r="O46" s="9"/>
      <c r="P46" s="9"/>
      <c r="Q46" s="9"/>
    </row>
    <row r="47" spans="1:17" ht="14.4" hidden="1">
      <c r="A47" s="9"/>
      <c r="B47" s="9"/>
      <c r="C47" s="9"/>
      <c r="D47" s="9"/>
      <c r="E47" s="9"/>
      <c r="F47" s="41"/>
      <c r="G47" s="41"/>
      <c r="H47" s="41"/>
      <c r="I47" s="9"/>
      <c r="J47" s="9"/>
      <c r="K47" s="9"/>
      <c r="L47" s="9"/>
      <c r="M47" s="9"/>
      <c r="N47" s="9"/>
      <c r="O47" s="9"/>
      <c r="P47" s="9"/>
      <c r="Q47" s="9"/>
    </row>
    <row r="48" spans="1:17" ht="14.4" hidden="1">
      <c r="A48" s="9"/>
      <c r="B48" s="9"/>
      <c r="C48" s="9"/>
      <c r="D48" s="9"/>
      <c r="E48" s="9"/>
      <c r="F48" s="9"/>
      <c r="G48" s="9"/>
      <c r="H48" s="9"/>
      <c r="I48" s="9"/>
      <c r="J48" s="9"/>
      <c r="K48" s="9"/>
      <c r="L48" s="9"/>
      <c r="M48" s="9"/>
      <c r="N48" s="9"/>
      <c r="O48" s="9"/>
      <c r="P48" s="9"/>
      <c r="Q48" s="9"/>
    </row>
  </sheetData>
  <customSheetViews>
    <customSheetView guid="{5F6D01E3-9E6F-4D7F-980F-63899AF95899}" scale="79" fitToPage="1" hiddenRows="1" hiddenColumns="1">
      <pageMargins left="0.7" right="0.7" top="0.75" bottom="0.75" header="0.3" footer="0.3"/>
      <pageSetup paperSize="9" scale="85" orientation="landscape" horizontalDpi="4294967293" verticalDpi="4294967293" r:id="rId1"/>
    </customSheetView>
  </customSheetViews>
  <mergeCells count="3">
    <mergeCell ref="P6:Q6"/>
    <mergeCell ref="K6:O6"/>
    <mergeCell ref="F6:J6"/>
  </mergeCells>
  <pageMargins left="0.7" right="0.7" top="0.75" bottom="0.75" header="0.3" footer="0.3"/>
  <pageSetup paperSize="9" scale="85" orientation="landscape" horizontalDpi="4294967293" verticalDpi="4294967293"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0" tint="-0.14999847407452621"/>
    <pageSetUpPr fitToPage="1"/>
  </sheetPr>
  <dimension ref="A1:AH44"/>
  <sheetViews>
    <sheetView showGridLines="0" zoomScale="85" zoomScaleNormal="85" workbookViewId="0"/>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18" width="10.33203125" style="2" customWidth="1"/>
    <col min="19" max="33" width="10.33203125" style="2" hidden="1" customWidth="1"/>
    <col min="34" max="34" width="4.6640625" style="2" hidden="1" customWidth="1"/>
    <col min="35" max="16384" width="10.33203125" style="2" hidden="1"/>
  </cols>
  <sheetData>
    <row r="1" spans="2:34" ht="23.4">
      <c r="B1" s="13"/>
      <c r="C1" s="14"/>
      <c r="D1" s="14"/>
      <c r="E1" s="14"/>
      <c r="F1" s="14"/>
      <c r="G1" s="14"/>
      <c r="H1" s="14"/>
      <c r="I1" s="13"/>
      <c r="J1" s="13"/>
      <c r="K1" s="13"/>
      <c r="L1" s="13"/>
      <c r="M1" s="13"/>
      <c r="N1" s="13"/>
      <c r="O1" s="13"/>
      <c r="P1" s="13"/>
      <c r="Q1" s="13"/>
      <c r="R1" s="13"/>
      <c r="S1" s="13"/>
      <c r="T1" s="13"/>
      <c r="U1" s="13"/>
      <c r="V1" s="13"/>
      <c r="W1" s="13"/>
      <c r="X1" s="13"/>
      <c r="Y1" s="13"/>
      <c r="Z1" s="13"/>
      <c r="AA1" s="13"/>
      <c r="AB1" s="13"/>
      <c r="AC1" s="13"/>
      <c r="AD1" s="13"/>
      <c r="AE1" s="13"/>
      <c r="AF1" s="13"/>
      <c r="AG1" s="13"/>
      <c r="AH1" s="13"/>
    </row>
    <row r="2" spans="2:34" ht="28.8" thickBot="1">
      <c r="B2" s="13"/>
      <c r="C2" s="15" t="s">
        <v>4</v>
      </c>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3"/>
    </row>
    <row r="3" spans="2:34" ht="13.8">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row>
    <row r="4" spans="2:34" ht="17.25" customHeight="1">
      <c r="B4" s="13"/>
      <c r="C4" s="17"/>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row>
    <row r="5" spans="2:34" ht="17.25" customHeight="1">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row>
    <row r="6" spans="2:34" ht="17.25" customHeight="1">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2:34" ht="17.25" customHeight="1">
      <c r="B7" s="13"/>
      <c r="C7" s="17"/>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row>
    <row r="8" spans="2:34" ht="17.25" customHeight="1">
      <c r="B8" s="13"/>
      <c r="C8" s="13"/>
      <c r="D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row>
    <row r="9" spans="2:34" ht="17.25" customHeight="1">
      <c r="B9" s="13"/>
      <c r="C9" s="13"/>
      <c r="D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row>
    <row r="10" spans="2:34" ht="17.25" customHeight="1">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row>
    <row r="11" spans="2:34" ht="17.25" customHeight="1">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row>
    <row r="12" spans="2:34" ht="17.25" customHeight="1">
      <c r="B12" s="13"/>
      <c r="C12" s="17"/>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row>
    <row r="13" spans="2:34" ht="17.25" customHeight="1">
      <c r="B13" s="13"/>
      <c r="C13" s="42"/>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row>
    <row r="14" spans="2:34" ht="17.25" customHeight="1">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row>
    <row r="15" spans="2:34" ht="17.25" customHeight="1">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row>
    <row r="16" spans="2:34" ht="17.25" customHeight="1">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row>
    <row r="17" spans="2:34" ht="17.25" customHeight="1">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row>
    <row r="18" spans="2:34" ht="17.25" customHeight="1">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row>
    <row r="19" spans="2:34" ht="17.25" customHeight="1">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row>
    <row r="20" spans="2:34" ht="17.25" customHeight="1">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row>
    <row r="21" spans="2:34" ht="17.25" customHeight="1">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row>
    <row r="22" spans="2:34" ht="17.25" customHeight="1">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row>
    <row r="23" spans="2:34" ht="17.25" customHeight="1">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row>
    <row r="24" spans="2:34" ht="17.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row>
    <row r="25" spans="2:34" ht="17.25" customHeight="1">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row>
    <row r="26" spans="2:34" ht="17.25" customHeight="1">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row>
    <row r="27" spans="2:34" ht="17.25" hidden="1" customHeight="1">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row>
    <row r="28" spans="2:34" ht="17.25" hidden="1" customHeight="1">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row>
    <row r="29" spans="2:34" ht="17.25" hidden="1" customHeight="1">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customSheetViews>
    <customSheetView guid="{5F6D01E3-9E6F-4D7F-980F-63899AF95899}" scale="85" showGridLines="0" fitToPage="1" hiddenRows="1" hiddenColumns="1" topLeftCell="B1">
      <selection activeCell="B1" sqref="B1"/>
      <pageMargins left="0.7" right="0.7" top="0.75" bottom="0.75" header="0.3" footer="0.3"/>
      <pageSetup paperSize="9" scale="62" orientation="landscape" r:id="rId1"/>
    </customSheetView>
  </customSheetViews>
  <pageMargins left="0.7" right="0.7" top="0.75" bottom="0.75" header="0.3" footer="0.3"/>
  <pageSetup paperSize="9" scale="62"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6" tint="-0.499984740745262"/>
    <pageSetUpPr fitToPage="1"/>
  </sheetPr>
  <dimension ref="A1:AV58"/>
  <sheetViews>
    <sheetView showGridLines="0" zoomScale="90" zoomScaleNormal="90" zoomScalePageLayoutView="40" workbookViewId="0"/>
  </sheetViews>
  <sheetFormatPr defaultColWidth="0" defaultRowHeight="0" customHeight="1" zeroHeight="1"/>
  <cols>
    <col min="1" max="2" width="2.5546875" customWidth="1"/>
    <col min="3" max="3" width="39" customWidth="1"/>
    <col min="4" max="4" width="1.6640625" customWidth="1"/>
    <col min="5" max="5" width="15.44140625" customWidth="1"/>
    <col min="6" max="17" width="5.88671875" style="94" bestFit="1" customWidth="1"/>
    <col min="18" max="18" width="6.33203125" bestFit="1" customWidth="1"/>
    <col min="19" max="20" width="7.44140625" bestFit="1" customWidth="1"/>
    <col min="21" max="21" width="8.88671875" bestFit="1" customWidth="1"/>
    <col min="22" max="22" width="3.33203125" style="9" customWidth="1"/>
    <col min="23" max="37" width="0" style="9" hidden="1" customWidth="1"/>
    <col min="38" max="48" width="0" hidden="1" customWidth="1"/>
    <col min="49" max="16384" width="9.109375" hidden="1"/>
  </cols>
  <sheetData>
    <row r="1" spans="1:37" ht="14.4">
      <c r="A1" s="9"/>
      <c r="B1" s="9"/>
      <c r="C1" s="9"/>
      <c r="D1" s="9"/>
      <c r="E1" s="9"/>
      <c r="F1" s="91"/>
      <c r="G1" s="91"/>
      <c r="H1" s="91"/>
      <c r="I1" s="91"/>
      <c r="J1" s="91"/>
      <c r="K1" s="91"/>
      <c r="L1" s="91"/>
      <c r="M1" s="91"/>
      <c r="N1" s="91"/>
      <c r="O1" s="91"/>
      <c r="P1" s="91"/>
      <c r="Q1" s="91"/>
      <c r="R1" s="9"/>
      <c r="S1" s="9"/>
      <c r="T1" s="9"/>
      <c r="U1" s="9"/>
    </row>
    <row r="2" spans="1:37" ht="18.600000000000001" thickBot="1">
      <c r="A2" s="9"/>
      <c r="B2" s="8" t="s">
        <v>85</v>
      </c>
      <c r="C2" s="23"/>
      <c r="D2" s="23"/>
      <c r="E2" s="23"/>
      <c r="F2" s="92"/>
      <c r="G2" s="92"/>
      <c r="H2" s="92"/>
      <c r="I2" s="92"/>
      <c r="J2" s="92"/>
      <c r="K2" s="92"/>
      <c r="L2" s="92"/>
      <c r="M2" s="92"/>
      <c r="N2" s="92"/>
      <c r="O2" s="92"/>
      <c r="P2" s="92"/>
      <c r="Q2" s="92"/>
      <c r="R2" s="23"/>
      <c r="S2" s="23"/>
      <c r="T2" s="23"/>
      <c r="U2" s="23"/>
    </row>
    <row r="3" spans="1:37" ht="14.4">
      <c r="A3" s="9"/>
      <c r="B3" s="10"/>
      <c r="C3" s="24"/>
      <c r="D3" s="24"/>
      <c r="E3" s="24"/>
      <c r="F3" s="93"/>
      <c r="G3" s="93"/>
      <c r="H3" s="93"/>
      <c r="I3" s="93"/>
      <c r="J3" s="93"/>
      <c r="K3" s="93"/>
      <c r="L3" s="93"/>
      <c r="M3" s="93"/>
      <c r="N3" s="93"/>
      <c r="O3" s="93"/>
      <c r="P3" s="93"/>
      <c r="Q3" s="93"/>
      <c r="R3" s="24"/>
      <c r="S3" s="24"/>
      <c r="U3" s="25">
        <f>+' '!I17</f>
        <v>45092</v>
      </c>
    </row>
    <row r="4" spans="1:37" ht="16.2">
      <c r="A4" s="9"/>
      <c r="B4" s="11" t="s">
        <v>7</v>
      </c>
      <c r="C4" s="26"/>
      <c r="D4" s="24"/>
      <c r="E4" s="58" t="s">
        <v>114</v>
      </c>
      <c r="F4" s="93"/>
      <c r="G4" s="93"/>
      <c r="H4" s="93"/>
      <c r="I4" s="93"/>
      <c r="J4" s="93"/>
      <c r="K4" s="93"/>
      <c r="L4" s="93"/>
      <c r="M4" s="93"/>
      <c r="N4" s="93"/>
      <c r="O4" s="93"/>
      <c r="P4" s="93"/>
      <c r="Q4" s="93"/>
      <c r="R4" s="24"/>
      <c r="S4" s="24"/>
      <c r="T4" s="24"/>
      <c r="U4" s="24"/>
    </row>
    <row r="5" spans="1:37" ht="14.4">
      <c r="A5" s="9"/>
      <c r="B5" s="10"/>
      <c r="C5" s="24"/>
      <c r="D5" s="24"/>
      <c r="E5" s="24"/>
      <c r="F5" s="93"/>
      <c r="G5" s="93"/>
      <c r="H5" s="93"/>
      <c r="I5" s="93"/>
      <c r="J5" s="93"/>
      <c r="K5" s="93"/>
      <c r="L5" s="93"/>
      <c r="M5" s="93"/>
      <c r="N5" s="93"/>
      <c r="O5" s="93"/>
      <c r="P5" s="93"/>
      <c r="Q5" s="93"/>
      <c r="R5" s="24"/>
      <c r="S5" s="24"/>
      <c r="T5" s="24"/>
      <c r="U5" s="24"/>
    </row>
    <row r="6" spans="1:37" ht="14.4">
      <c r="A6" s="9"/>
      <c r="B6" s="86" t="s">
        <v>105</v>
      </c>
      <c r="D6" s="24"/>
      <c r="E6" s="24"/>
      <c r="F6" s="93"/>
      <c r="G6" s="93"/>
      <c r="H6" s="93"/>
      <c r="I6" s="93"/>
      <c r="J6" s="93"/>
      <c r="K6" s="93"/>
      <c r="L6" s="93"/>
      <c r="M6" s="93"/>
      <c r="N6" s="93"/>
      <c r="O6" s="93"/>
      <c r="P6" s="93"/>
      <c r="Q6" s="93"/>
      <c r="R6" s="24"/>
      <c r="S6" s="24"/>
      <c r="T6" s="24"/>
      <c r="U6" s="24"/>
    </row>
    <row r="7" spans="1:37" ht="14.4">
      <c r="A7" s="9"/>
      <c r="B7" s="10"/>
      <c r="C7" s="105" t="s">
        <v>106</v>
      </c>
      <c r="D7" s="106"/>
      <c r="E7" s="107"/>
      <c r="F7" s="112">
        <v>2022</v>
      </c>
      <c r="G7" s="112">
        <v>2022</v>
      </c>
      <c r="H7" s="112">
        <v>2022</v>
      </c>
      <c r="I7" s="112">
        <v>2022</v>
      </c>
      <c r="J7" s="112">
        <v>2022</v>
      </c>
      <c r="K7" s="112">
        <v>2022</v>
      </c>
      <c r="L7" s="112">
        <v>2022</v>
      </c>
      <c r="M7" s="112">
        <v>2022</v>
      </c>
      <c r="N7" s="112">
        <v>2022</v>
      </c>
      <c r="O7" s="112">
        <v>2022</v>
      </c>
      <c r="P7" s="112">
        <v>2022</v>
      </c>
      <c r="Q7" s="112">
        <v>2022</v>
      </c>
      <c r="R7" s="112">
        <v>2023</v>
      </c>
      <c r="S7" s="112">
        <v>2023</v>
      </c>
      <c r="T7" s="112">
        <v>2023</v>
      </c>
      <c r="U7" s="112">
        <v>2023</v>
      </c>
    </row>
    <row r="8" spans="1:37" s="20" customFormat="1" ht="14.4">
      <c r="A8" s="9"/>
      <c r="B8"/>
      <c r="C8" s="27" t="s">
        <v>7</v>
      </c>
      <c r="D8" s="28"/>
      <c r="E8" s="28"/>
      <c r="F8" s="101" t="s">
        <v>75</v>
      </c>
      <c r="G8" s="101" t="s">
        <v>76</v>
      </c>
      <c r="H8" s="101" t="s">
        <v>77</v>
      </c>
      <c r="I8" s="101" t="s">
        <v>45</v>
      </c>
      <c r="J8" s="101" t="s">
        <v>47</v>
      </c>
      <c r="K8" s="101" t="s">
        <v>51</v>
      </c>
      <c r="L8" s="101" t="s">
        <v>55</v>
      </c>
      <c r="M8" s="101" t="s">
        <v>78</v>
      </c>
      <c r="N8" s="101" t="s">
        <v>79</v>
      </c>
      <c r="O8" s="101" t="s">
        <v>80</v>
      </c>
      <c r="P8" s="101" t="s">
        <v>81</v>
      </c>
      <c r="Q8" s="101" t="s">
        <v>82</v>
      </c>
      <c r="R8" s="101" t="s">
        <v>75</v>
      </c>
      <c r="S8" s="113" t="s">
        <v>76</v>
      </c>
      <c r="T8" s="113" t="s">
        <v>77</v>
      </c>
      <c r="U8" s="113" t="s">
        <v>122</v>
      </c>
      <c r="V8" s="9"/>
      <c r="W8" s="19"/>
      <c r="X8" s="19"/>
      <c r="Y8" s="19"/>
      <c r="Z8" s="19"/>
      <c r="AA8" s="19"/>
      <c r="AB8" s="19"/>
      <c r="AC8" s="19"/>
      <c r="AD8" s="19"/>
      <c r="AE8" s="19"/>
      <c r="AF8" s="19"/>
      <c r="AG8" s="19"/>
      <c r="AH8" s="19"/>
      <c r="AI8" s="19"/>
      <c r="AJ8" s="19"/>
      <c r="AK8" s="19"/>
    </row>
    <row r="9" spans="1:37" ht="20.25" customHeight="1">
      <c r="A9" s="9"/>
      <c r="B9" s="18"/>
      <c r="C9" s="114" t="s">
        <v>83</v>
      </c>
      <c r="D9" s="115"/>
      <c r="E9" s="115"/>
      <c r="F9" s="116">
        <v>0.438</v>
      </c>
      <c r="G9" s="117">
        <v>0.48799999999999999</v>
      </c>
      <c r="H9" s="117">
        <v>0.63400000000000001</v>
      </c>
      <c r="I9" s="117">
        <v>0.67100000000000004</v>
      </c>
      <c r="J9" s="117">
        <v>0.65500000000000003</v>
      </c>
      <c r="K9" s="117">
        <v>0.78100000000000003</v>
      </c>
      <c r="L9" s="117">
        <v>0.89800000000000002</v>
      </c>
      <c r="M9" s="117">
        <v>0.96599999999999997</v>
      </c>
      <c r="N9" s="117">
        <v>0.88600000000000001</v>
      </c>
      <c r="O9" s="117">
        <v>0.87811353241344148</v>
      </c>
      <c r="P9" s="117">
        <v>0.87302339390587125</v>
      </c>
      <c r="Q9" s="117">
        <v>0.97759515227240656</v>
      </c>
      <c r="R9" s="118">
        <v>0.99686465614917141</v>
      </c>
      <c r="S9" s="118">
        <v>1.032</v>
      </c>
      <c r="T9" s="118">
        <v>1.0449999999999999</v>
      </c>
      <c r="U9" s="118">
        <v>1.0569</v>
      </c>
    </row>
    <row r="10" spans="1:37" ht="20.25" customHeight="1">
      <c r="A10" s="9"/>
      <c r="B10" s="18"/>
      <c r="C10" s="102"/>
      <c r="D10" s="103"/>
      <c r="E10" s="103"/>
      <c r="F10" s="99"/>
      <c r="G10" s="99"/>
      <c r="H10" s="99"/>
      <c r="I10" s="99"/>
      <c r="J10" s="99"/>
      <c r="K10" s="99"/>
      <c r="L10" s="99"/>
      <c r="M10" s="99"/>
      <c r="N10" s="99"/>
      <c r="O10" s="99"/>
      <c r="P10" s="99"/>
      <c r="Q10" s="104"/>
      <c r="R10" s="9"/>
      <c r="S10" s="9"/>
    </row>
    <row r="11" spans="1:37" ht="20.25" customHeight="1">
      <c r="A11" s="9"/>
      <c r="B11" s="9"/>
      <c r="C11" s="9"/>
      <c r="D11" s="9"/>
      <c r="E11" s="9"/>
      <c r="F11"/>
      <c r="G11"/>
      <c r="H11"/>
      <c r="I11"/>
      <c r="J11"/>
      <c r="K11"/>
      <c r="L11"/>
      <c r="M11"/>
      <c r="N11"/>
      <c r="O11" s="91"/>
      <c r="P11" s="91"/>
      <c r="Q11" s="91"/>
      <c r="R11" s="9"/>
      <c r="S11" s="9"/>
    </row>
    <row r="12" spans="1:37" ht="20.25" customHeight="1">
      <c r="A12" s="9"/>
      <c r="B12" s="9"/>
      <c r="C12" s="100" t="s">
        <v>98</v>
      </c>
      <c r="D12" s="9"/>
      <c r="E12" s="9"/>
      <c r="F12"/>
      <c r="G12"/>
      <c r="H12"/>
      <c r="I12"/>
      <c r="J12"/>
      <c r="K12"/>
      <c r="L12"/>
      <c r="M12"/>
      <c r="N12"/>
      <c r="O12" s="91"/>
      <c r="P12" s="91"/>
      <c r="Q12" s="91"/>
      <c r="R12" s="9"/>
      <c r="S12" s="9"/>
    </row>
    <row r="13" spans="1:37" ht="20.25" customHeight="1">
      <c r="A13" s="9"/>
      <c r="B13" s="9"/>
      <c r="C13" s="100" t="s">
        <v>99</v>
      </c>
      <c r="D13" s="9"/>
      <c r="E13" s="9"/>
      <c r="F13"/>
      <c r="G13"/>
      <c r="H13"/>
      <c r="I13"/>
      <c r="J13"/>
      <c r="K13"/>
      <c r="L13"/>
      <c r="M13"/>
      <c r="N13"/>
      <c r="O13" s="91"/>
      <c r="P13" s="91"/>
      <c r="Q13" s="91"/>
      <c r="R13" s="9"/>
      <c r="S13" s="9"/>
    </row>
    <row r="14" spans="1:37" ht="26.7" hidden="1" customHeight="1"/>
    <row r="15" spans="1:37" ht="26.4" hidden="1" customHeight="1"/>
    <row r="16" spans="1:37" ht="26.4" hidden="1" customHeight="1"/>
    <row r="17" ht="26.7" hidden="1" customHeight="1"/>
    <row r="18" ht="26.7" hidden="1" customHeight="1"/>
    <row r="19" ht="26.7" hidden="1" customHeight="1"/>
    <row r="20" ht="26.7" hidden="1" customHeight="1"/>
    <row r="21" ht="26.7" hidden="1" customHeight="1"/>
    <row r="22" ht="26.7" hidden="1" customHeight="1"/>
    <row r="23" ht="26.7" hidden="1" customHeight="1"/>
    <row r="24" ht="26.7" hidden="1" customHeight="1"/>
    <row r="25" ht="26.7" hidden="1" customHeight="1"/>
    <row r="26" ht="26.7" hidden="1" customHeight="1"/>
    <row r="27" ht="26.7" hidden="1" customHeight="1"/>
    <row r="28" ht="26.7" hidden="1" customHeight="1"/>
    <row r="29" ht="26.7" hidden="1" customHeight="1"/>
    <row r="30" ht="26.7" hidden="1" customHeight="1"/>
    <row r="31" ht="26.7" hidden="1" customHeight="1"/>
    <row r="32" ht="26.7" hidden="1" customHeight="1"/>
    <row r="33" ht="26.7" hidden="1" customHeight="1"/>
    <row r="34" ht="26.7" hidden="1" customHeight="1"/>
    <row r="35" ht="26.7" hidden="1" customHeight="1"/>
    <row r="36" ht="26.7" hidden="1" customHeight="1"/>
    <row r="37" ht="26.7" hidden="1" customHeight="1"/>
    <row r="38" ht="26.7" hidden="1" customHeight="1"/>
    <row r="39" ht="11.4" hidden="1" customHeight="1"/>
    <row r="40" ht="9" hidden="1" customHeight="1"/>
    <row r="41" ht="17.399999999999999" hidden="1" customHeight="1"/>
    <row r="42" ht="26.7" hidden="1" customHeight="1"/>
    <row r="43" ht="26.7" hidden="1" customHeight="1"/>
    <row r="44" ht="26.7" hidden="1" customHeight="1"/>
    <row r="45" ht="26.7" hidden="1" customHeight="1"/>
    <row r="46" ht="26.7" hidden="1" customHeight="1"/>
    <row r="47" ht="26.7" hidden="1" customHeight="1"/>
    <row r="48" ht="26.7" hidden="1" customHeight="1"/>
    <row r="49" ht="26.7" hidden="1" customHeight="1"/>
    <row r="50" ht="26.7" hidden="1" customHeight="1"/>
    <row r="51" ht="26.7" hidden="1" customHeight="1"/>
    <row r="52" ht="26.7" hidden="1" customHeight="1"/>
    <row r="53" ht="26.7" hidden="1" customHeight="1"/>
    <row r="54" ht="26.7" hidden="1" customHeight="1"/>
    <row r="55" ht="26.7" hidden="1" customHeight="1"/>
    <row r="56" ht="26.7" hidden="1" customHeight="1"/>
    <row r="57" ht="26.7" hidden="1" customHeight="1"/>
    <row r="58" ht="26.7" hidden="1" customHeight="1"/>
  </sheetData>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586577"/>
    <pageSetUpPr fitToPage="1"/>
  </sheetPr>
  <dimension ref="A1:AH44"/>
  <sheetViews>
    <sheetView showGridLines="0" topLeftCell="B1" zoomScale="85" zoomScaleNormal="85" workbookViewId="0">
      <selection activeCell="B1" sqref="B1"/>
    </sheetView>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18" width="10.33203125" style="2" customWidth="1"/>
    <col min="19" max="33" width="10.33203125" style="2" hidden="1" customWidth="1"/>
    <col min="34" max="34" width="4.6640625" style="2" hidden="1" customWidth="1"/>
    <col min="35" max="16384" width="10.33203125" style="2" hidden="1"/>
  </cols>
  <sheetData>
    <row r="1" spans="2:34" ht="23.4">
      <c r="B1" s="13"/>
      <c r="C1" s="14"/>
      <c r="D1" s="14"/>
      <c r="E1" s="14"/>
      <c r="F1" s="14"/>
      <c r="G1" s="14"/>
      <c r="H1" s="14"/>
      <c r="I1" s="13"/>
      <c r="J1" s="13"/>
      <c r="K1" s="13"/>
      <c r="L1" s="13"/>
      <c r="M1" s="13"/>
      <c r="N1" s="13"/>
      <c r="O1" s="13"/>
      <c r="P1" s="13"/>
      <c r="Q1" s="13"/>
      <c r="R1" s="13"/>
      <c r="S1" s="13"/>
      <c r="T1" s="13"/>
      <c r="U1" s="13"/>
      <c r="V1" s="13"/>
      <c r="W1" s="13"/>
      <c r="X1" s="13"/>
      <c r="Y1" s="13"/>
      <c r="Z1" s="13"/>
      <c r="AA1" s="13"/>
      <c r="AB1" s="13"/>
      <c r="AC1" s="13"/>
      <c r="AD1" s="13"/>
      <c r="AE1" s="13"/>
      <c r="AF1" s="13"/>
      <c r="AG1" s="13"/>
      <c r="AH1" s="13"/>
    </row>
    <row r="2" spans="2:34" ht="18.600000000000001" thickBot="1">
      <c r="B2" s="13"/>
      <c r="C2" s="8" t="s">
        <v>6</v>
      </c>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3"/>
    </row>
    <row r="3" spans="2:34" ht="13.8">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row>
    <row r="4" spans="2:34" ht="17.25" customHeight="1">
      <c r="B4" s="13"/>
      <c r="C4" s="17" t="s">
        <v>84</v>
      </c>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row>
    <row r="5" spans="2:34" ht="17.25" customHeight="1">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row>
    <row r="6" spans="2:34" ht="17.25" customHeight="1">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2:34" ht="17.25" customHeight="1">
      <c r="B7" s="13"/>
      <c r="C7" s="17"/>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row>
    <row r="8" spans="2:34" ht="17.25" customHeight="1">
      <c r="B8" s="13"/>
      <c r="C8" s="13"/>
      <c r="D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row>
    <row r="9" spans="2:34" ht="17.25" customHeight="1">
      <c r="B9" s="13"/>
      <c r="C9" s="13"/>
      <c r="D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row>
    <row r="10" spans="2:34" ht="17.25" customHeight="1">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row>
    <row r="11" spans="2:34" ht="17.25" customHeight="1">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row>
    <row r="12" spans="2:34" ht="17.25" customHeight="1">
      <c r="B12" s="13"/>
      <c r="C12" s="17"/>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row>
    <row r="13" spans="2:34" ht="17.25" customHeight="1">
      <c r="B13" s="13"/>
      <c r="C13" s="42"/>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row>
    <row r="14" spans="2:34" ht="17.25" customHeight="1">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row>
    <row r="15" spans="2:34" ht="17.25" customHeight="1">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row>
    <row r="16" spans="2:34" ht="17.25" customHeight="1">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row>
    <row r="17" spans="2:34" ht="17.25" customHeight="1">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row>
    <row r="18" spans="2:34" ht="17.25" customHeight="1">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row>
    <row r="19" spans="2:34" ht="17.25" customHeight="1">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row>
    <row r="20" spans="2:34" ht="17.25" customHeight="1">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row>
    <row r="21" spans="2:34" ht="17.25" customHeight="1">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row>
    <row r="22" spans="2:34" ht="17.25" customHeight="1">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row>
    <row r="23" spans="2:34" ht="17.25" customHeight="1">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row>
    <row r="24" spans="2:34" ht="17.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row>
    <row r="25" spans="2:34" ht="17.25" customHeight="1">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row>
    <row r="26" spans="2:34" ht="17.25" customHeight="1">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row>
    <row r="27" spans="2:34" ht="17.25" hidden="1" customHeight="1">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row>
    <row r="28" spans="2:34" ht="17.25" hidden="1" customHeight="1">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row>
    <row r="29" spans="2:34" ht="17.25" hidden="1" customHeight="1">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abSelected="1" zoomScale="85" zoomScaleNormal="85" workbookViewId="0"/>
  </sheetViews>
  <sheetFormatPr defaultColWidth="0" defaultRowHeight="15" customHeight="1" zeroHeight="1"/>
  <cols>
    <col min="1" max="2" width="4.109375" customWidth="1"/>
    <col min="3" max="3" width="3.6640625" customWidth="1"/>
    <col min="4" max="4" width="8.88671875" customWidth="1"/>
    <col min="5" max="5" width="10.6640625" bestFit="1" customWidth="1"/>
    <col min="6" max="6" width="10.33203125" bestFit="1" customWidth="1"/>
    <col min="7" max="7" width="9.44140625" bestFit="1" customWidth="1"/>
    <col min="8" max="9" width="8.88671875" customWidth="1"/>
    <col min="10" max="10" width="9.44140625" bestFit="1" customWidth="1"/>
    <col min="11" max="11" width="8" customWidth="1"/>
    <col min="12" max="12" width="8.88671875" bestFit="1" customWidth="1"/>
    <col min="13" max="14" width="8" customWidth="1"/>
    <col min="15" max="18" width="10.44140625" bestFit="1" customWidth="1"/>
    <col min="19" max="19" width="11" bestFit="1" customWidth="1"/>
    <col min="20" max="20" width="9.109375" bestFit="1" customWidth="1"/>
    <col min="21" max="21" width="8.88671875" bestFit="1" customWidth="1"/>
    <col min="22" max="22" width="9" bestFit="1" customWidth="1"/>
    <col min="23" max="23" width="7.6640625" customWidth="1"/>
    <col min="24" max="24" width="12.44140625" bestFit="1" customWidth="1"/>
    <col min="25" max="26" width="12" bestFit="1" customWidth="1"/>
    <col min="27" max="27" width="12.44140625" bestFit="1" customWidth="1"/>
    <col min="28" max="28" width="11.33203125" customWidth="1"/>
    <col min="29" max="29" width="3.44140625" customWidth="1"/>
    <col min="30" max="16384" width="8.88671875" hidden="1"/>
  </cols>
  <sheetData>
    <row r="1" spans="1:29" ht="14.4">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45092</v>
      </c>
      <c r="AB3" s="25"/>
      <c r="AC3" s="9"/>
    </row>
    <row r="4" spans="1:29" ht="16.2">
      <c r="A4" s="9"/>
      <c r="B4" s="11" t="s">
        <v>7</v>
      </c>
      <c r="C4" s="26"/>
      <c r="D4" s="24"/>
      <c r="E4" s="58" t="s">
        <v>123</v>
      </c>
      <c r="F4" s="24"/>
      <c r="G4" s="24"/>
      <c r="H4" s="24"/>
      <c r="I4" s="24"/>
      <c r="J4" s="24"/>
      <c r="K4" s="24"/>
      <c r="L4" s="24"/>
      <c r="M4" s="24"/>
      <c r="N4" s="24"/>
      <c r="O4" s="24"/>
      <c r="P4" s="24"/>
      <c r="Q4" s="24"/>
      <c r="R4" s="24"/>
      <c r="S4" s="24"/>
      <c r="T4" s="24"/>
      <c r="U4" s="24"/>
      <c r="V4" s="24"/>
      <c r="W4" s="24"/>
      <c r="X4" s="24"/>
      <c r="Y4" s="24"/>
      <c r="Z4" s="24"/>
      <c r="AA4" s="24"/>
      <c r="AB4" s="24"/>
      <c r="AC4" s="9"/>
    </row>
    <row r="5" spans="1:29"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ht="14.4">
      <c r="A9" s="9"/>
      <c r="C9" s="27" t="s">
        <v>7</v>
      </c>
      <c r="D9" s="28"/>
      <c r="E9" s="28"/>
      <c r="F9" s="128" t="s">
        <v>47</v>
      </c>
      <c r="G9" s="128"/>
      <c r="H9" s="128"/>
      <c r="I9" s="128"/>
      <c r="J9" s="128"/>
      <c r="K9" s="128"/>
      <c r="L9" s="128"/>
      <c r="M9" s="128"/>
      <c r="N9" s="129"/>
      <c r="O9" s="130" t="s">
        <v>49</v>
      </c>
      <c r="P9" s="128"/>
      <c r="Q9" s="128"/>
      <c r="R9" s="128"/>
      <c r="S9" s="128"/>
      <c r="T9" s="128"/>
      <c r="U9" s="128"/>
      <c r="V9" s="128"/>
      <c r="W9" s="129"/>
      <c r="X9" s="130" t="s">
        <v>57</v>
      </c>
      <c r="Y9" s="128"/>
      <c r="Z9" s="128"/>
      <c r="AA9" s="131"/>
      <c r="AB9" s="9"/>
      <c r="AC9" s="9"/>
    </row>
    <row r="10" spans="1:29" ht="14.4">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9"/>
      <c r="AC10" s="9"/>
    </row>
    <row r="11" spans="1:29" ht="25.95" customHeight="1">
      <c r="A11" s="48"/>
      <c r="B11" s="49"/>
      <c r="C11" s="59" t="s">
        <v>29</v>
      </c>
      <c r="D11" s="50"/>
      <c r="E11" s="51"/>
      <c r="F11" s="55">
        <v>2023</v>
      </c>
      <c r="G11" s="52">
        <v>2022</v>
      </c>
      <c r="H11" s="52">
        <v>2021</v>
      </c>
      <c r="I11" s="52">
        <v>2020</v>
      </c>
      <c r="J11" s="52">
        <v>2019</v>
      </c>
      <c r="K11" s="53" t="s">
        <v>66</v>
      </c>
      <c r="L11" s="53" t="s">
        <v>67</v>
      </c>
      <c r="M11" s="53" t="s">
        <v>68</v>
      </c>
      <c r="N11" s="57" t="s">
        <v>102</v>
      </c>
      <c r="O11" s="53">
        <v>2023</v>
      </c>
      <c r="P11" s="53">
        <v>2022</v>
      </c>
      <c r="Q11" s="52">
        <v>2021</v>
      </c>
      <c r="R11" s="52">
        <v>2020</v>
      </c>
      <c r="S11" s="52">
        <v>2019</v>
      </c>
      <c r="T11" s="53" t="s">
        <v>66</v>
      </c>
      <c r="U11" s="53" t="s">
        <v>67</v>
      </c>
      <c r="V11" s="53" t="s">
        <v>68</v>
      </c>
      <c r="W11" s="57" t="s">
        <v>102</v>
      </c>
      <c r="X11" s="53">
        <v>2022</v>
      </c>
      <c r="Y11" s="53">
        <v>2021</v>
      </c>
      <c r="Z11" s="52">
        <v>2020</v>
      </c>
      <c r="AA11" s="77">
        <v>2019</v>
      </c>
      <c r="AB11" s="48"/>
      <c r="AC11" s="48"/>
    </row>
    <row r="12" spans="1:29" ht="14.4">
      <c r="A12" s="9"/>
      <c r="B12" s="12"/>
      <c r="C12" s="31" t="s">
        <v>109</v>
      </c>
      <c r="D12" s="26"/>
      <c r="E12" s="32"/>
      <c r="F12" s="26"/>
      <c r="G12" s="26"/>
      <c r="H12" s="26"/>
      <c r="I12" s="26"/>
      <c r="J12" s="26"/>
      <c r="K12" s="26"/>
      <c r="L12" s="26"/>
      <c r="M12" s="26"/>
      <c r="N12" s="32"/>
      <c r="O12" s="26"/>
      <c r="P12" s="26"/>
      <c r="Q12" s="26"/>
      <c r="R12" s="26"/>
      <c r="S12" s="26"/>
      <c r="T12" s="26"/>
      <c r="U12" s="26"/>
      <c r="V12" s="26"/>
      <c r="W12" s="32"/>
      <c r="X12" s="26"/>
      <c r="Y12" s="26"/>
      <c r="Z12" s="26"/>
      <c r="AA12" s="32"/>
      <c r="AB12" s="9"/>
      <c r="AC12" s="9"/>
    </row>
    <row r="13" spans="1:29" ht="14.4">
      <c r="A13" s="9"/>
      <c r="B13" s="12"/>
      <c r="C13" s="33"/>
      <c r="D13" s="26" t="s">
        <v>5</v>
      </c>
      <c r="E13" s="32"/>
      <c r="F13" s="73">
        <v>99</v>
      </c>
      <c r="G13" s="71">
        <v>83</v>
      </c>
      <c r="H13" s="71">
        <v>0</v>
      </c>
      <c r="I13" s="71">
        <v>0</v>
      </c>
      <c r="J13" s="71">
        <v>90</v>
      </c>
      <c r="K13" s="64">
        <f>IFERROR(F13/G13-1,"n/a")</f>
        <v>0.19277108433734935</v>
      </c>
      <c r="L13" s="64" t="str">
        <f t="shared" ref="L13:L28" si="0">IFERROR(F13/H13-1,"n/a")</f>
        <v>n/a</v>
      </c>
      <c r="M13" s="64" t="str">
        <f>IFERROR(F13/I13-1,"n/a")</f>
        <v>n/a</v>
      </c>
      <c r="N13" s="60">
        <f t="shared" ref="N13:N14" si="1">IFERROR(F13/J13-1,"n/a")</f>
        <v>0.10000000000000009</v>
      </c>
      <c r="O13" s="68">
        <f>'Apr-23'!O13+'May-23'!F13</f>
        <v>758</v>
      </c>
      <c r="P13" s="68">
        <f>'Apr-23'!$P$13+G13</f>
        <v>749</v>
      </c>
      <c r="Q13" s="68">
        <f>'Apr-23'!Q13+'May-23'!H13</f>
        <v>0</v>
      </c>
      <c r="R13" s="68">
        <f>'Apr-23'!R13+'May-23'!I13</f>
        <v>551</v>
      </c>
      <c r="S13" s="68">
        <f>'Apr-23'!S13+'May-23'!J13</f>
        <v>735</v>
      </c>
      <c r="T13" s="64">
        <f>IFERROR(O13/P13-1,"n/a")</f>
        <v>1.2016021361815676E-2</v>
      </c>
      <c r="U13" s="64" t="str">
        <f>IFERROR(O13/Q13-1,"n/a")</f>
        <v>n/a</v>
      </c>
      <c r="V13" s="64">
        <f>IFERROR(O13/R13-1,"n/a")</f>
        <v>0.37568058076225053</v>
      </c>
      <c r="W13" s="60">
        <f>IFERROR(O13/S13-1,"n/a")</f>
        <v>3.12925170068028E-2</v>
      </c>
      <c r="X13" s="68">
        <v>346</v>
      </c>
      <c r="Y13" s="68">
        <v>111</v>
      </c>
      <c r="Z13" s="70">
        <v>145</v>
      </c>
      <c r="AA13" s="78">
        <v>386</v>
      </c>
      <c r="AB13" s="9"/>
      <c r="AC13" s="9"/>
    </row>
    <row r="14" spans="1:29" ht="14.4">
      <c r="A14" s="9"/>
      <c r="B14" s="12"/>
      <c r="C14" s="33"/>
      <c r="D14" s="26" t="s">
        <v>11</v>
      </c>
      <c r="E14" s="32"/>
      <c r="F14" s="73">
        <v>353242</v>
      </c>
      <c r="G14" s="71">
        <v>234968</v>
      </c>
      <c r="H14" s="71">
        <v>0</v>
      </c>
      <c r="I14" s="71">
        <v>0</v>
      </c>
      <c r="J14" s="71">
        <v>303053</v>
      </c>
      <c r="K14" s="64">
        <f>IFERROR(F14/G14-1,"n/a")</f>
        <v>0.50336215995369593</v>
      </c>
      <c r="L14" s="64" t="str">
        <f t="shared" si="0"/>
        <v>n/a</v>
      </c>
      <c r="M14" s="64" t="str">
        <f t="shared" ref="M14" si="2">IFERROR(F14/I14-1,"n/a")</f>
        <v>n/a</v>
      </c>
      <c r="N14" s="60">
        <f t="shared" si="1"/>
        <v>0.16561129571395106</v>
      </c>
      <c r="O14" s="68">
        <f>'Apr-23'!$O$14+F14</f>
        <v>2341177</v>
      </c>
      <c r="P14" s="68">
        <f>'Apr-23'!P14+'May-23'!G14</f>
        <v>1292414</v>
      </c>
      <c r="Q14" s="68">
        <f>'Apr-23'!Q14+'May-23'!H14</f>
        <v>0</v>
      </c>
      <c r="R14" s="68">
        <f>'Apr-23'!R14+'May-23'!I14</f>
        <v>1092884</v>
      </c>
      <c r="S14" s="68">
        <f>'Apr-23'!S14+'May-23'!J14</f>
        <v>2148202</v>
      </c>
      <c r="T14" s="64">
        <f>IFERROR(O14/P14-1,"n/a")</f>
        <v>0.81147604405399498</v>
      </c>
      <c r="U14" s="64" t="str">
        <f>IFERROR(O14/Q14-1,"n/a")</f>
        <v>n/a</v>
      </c>
      <c r="V14" s="64">
        <f>IFERROR(O14/R14-1,"n/a")</f>
        <v>1.1422008191171251</v>
      </c>
      <c r="W14" s="60">
        <f>IFERROR(O14/S14-1,"n/a")</f>
        <v>8.9830937686493195E-2</v>
      </c>
      <c r="X14" s="68">
        <v>380182</v>
      </c>
      <c r="Y14" s="68">
        <v>80863</v>
      </c>
      <c r="Z14" s="70">
        <v>258885</v>
      </c>
      <c r="AA14" s="78">
        <v>733296</v>
      </c>
      <c r="AB14" s="9"/>
      <c r="AC14" s="9"/>
    </row>
    <row r="15" spans="1:29" ht="14.4">
      <c r="A15" s="9"/>
      <c r="B15" s="12"/>
      <c r="C15" s="31" t="s">
        <v>110</v>
      </c>
      <c r="D15" s="26"/>
      <c r="E15" s="32"/>
      <c r="F15" s="97"/>
      <c r="G15" s="26"/>
      <c r="H15" s="26"/>
      <c r="I15" s="26"/>
      <c r="J15" s="26"/>
      <c r="K15" s="64"/>
      <c r="L15" s="64"/>
      <c r="M15" s="64"/>
      <c r="N15" s="61"/>
      <c r="O15" s="87"/>
      <c r="P15" s="87"/>
      <c r="Q15" s="87"/>
      <c r="R15" s="87"/>
      <c r="S15" s="87"/>
      <c r="T15" s="64"/>
      <c r="U15" s="64"/>
      <c r="V15" s="65"/>
      <c r="W15" s="61"/>
      <c r="X15" s="43"/>
      <c r="Y15" s="43"/>
      <c r="Z15" s="44"/>
      <c r="AA15" s="79"/>
      <c r="AB15" s="9"/>
      <c r="AC15" s="9"/>
    </row>
    <row r="16" spans="1:29" ht="14.4">
      <c r="A16" s="9"/>
      <c r="B16" s="12"/>
      <c r="C16" s="33"/>
      <c r="D16" s="26" t="s">
        <v>5</v>
      </c>
      <c r="E16" s="32"/>
      <c r="F16" s="74">
        <v>70</v>
      </c>
      <c r="G16" s="71">
        <v>71</v>
      </c>
      <c r="H16" s="71">
        <v>17</v>
      </c>
      <c r="I16" s="71">
        <v>0</v>
      </c>
      <c r="J16" s="71">
        <v>71</v>
      </c>
      <c r="K16" s="64">
        <f>IFERROR(F16/G16-1,"n/a")</f>
        <v>-1.4084507042253502E-2</v>
      </c>
      <c r="L16" s="64">
        <f t="shared" si="0"/>
        <v>3.117647058823529</v>
      </c>
      <c r="M16" s="64" t="str">
        <f t="shared" ref="M16:M17" si="3">IFERROR(F16/I16-1,"n/a")</f>
        <v>n/a</v>
      </c>
      <c r="N16" s="60">
        <f t="shared" ref="N16:N17" si="4">IFERROR(F16/J16-1,"n/a")</f>
        <v>-1.4084507042253502E-2</v>
      </c>
      <c r="O16" s="68">
        <f>'Apr-23'!$O$16+F16</f>
        <v>143</v>
      </c>
      <c r="P16" s="68">
        <f>'Apr-23'!P16+'May-23'!G16</f>
        <v>163</v>
      </c>
      <c r="Q16" s="68">
        <f>'Apr-23'!Q16+'May-23'!H16</f>
        <v>34</v>
      </c>
      <c r="R16" s="68">
        <f>'Apr-23'!R16+'May-23'!I16</f>
        <v>10</v>
      </c>
      <c r="S16" s="68">
        <f>'Apr-23'!S16+'May-23'!J16</f>
        <v>145</v>
      </c>
      <c r="T16" s="64">
        <f>IFERROR(O16/P16-1,"n/a")</f>
        <v>-0.12269938650306744</v>
      </c>
      <c r="U16" s="64">
        <f t="shared" ref="U16:U17" si="5">IFERROR(O16/Q16-1,"n/a")</f>
        <v>3.2058823529411766</v>
      </c>
      <c r="V16" s="64">
        <f t="shared" ref="V16:V17" si="6">IFERROR(O16/R16-1,"n/a")</f>
        <v>13.3</v>
      </c>
      <c r="W16" s="60">
        <f t="shared" ref="W16:W17" si="7">IFERROR(O16/S16-1,"n/a")</f>
        <v>-1.379310344827589E-2</v>
      </c>
      <c r="X16" s="68">
        <v>778</v>
      </c>
      <c r="Y16" s="68">
        <v>283</v>
      </c>
      <c r="Z16" s="70">
        <v>43</v>
      </c>
      <c r="AA16" s="78">
        <v>827</v>
      </c>
      <c r="AB16" s="9"/>
      <c r="AC16" s="9"/>
    </row>
    <row r="17" spans="1:29" ht="14.4">
      <c r="A17" s="9"/>
      <c r="B17" s="12"/>
      <c r="C17" s="33"/>
      <c r="D17" s="26" t="s">
        <v>11</v>
      </c>
      <c r="E17" s="32"/>
      <c r="F17" s="74">
        <v>161083</v>
      </c>
      <c r="G17" s="71">
        <v>82038</v>
      </c>
      <c r="H17" s="71">
        <v>24481</v>
      </c>
      <c r="I17" s="71">
        <v>0</v>
      </c>
      <c r="J17" s="71">
        <v>165399</v>
      </c>
      <c r="K17" s="64">
        <f>IFERROR(F17/G17-1,"n/a")</f>
        <v>0.96351690679928814</v>
      </c>
      <c r="L17" s="64">
        <f t="shared" si="0"/>
        <v>5.5799191209509411</v>
      </c>
      <c r="M17" s="64" t="str">
        <f t="shared" si="3"/>
        <v>n/a</v>
      </c>
      <c r="N17" s="60">
        <f t="shared" si="4"/>
        <v>-2.6094474573606807E-2</v>
      </c>
      <c r="O17" s="68">
        <f>'Apr-23'!O17+'May-23'!F17</f>
        <v>351486</v>
      </c>
      <c r="P17" s="68">
        <f>'Apr-23'!P17+'May-23'!G17</f>
        <v>178913</v>
      </c>
      <c r="Q17" s="68">
        <f>'Apr-23'!Q17+'May-23'!H17</f>
        <v>40586</v>
      </c>
      <c r="R17" s="68">
        <f>'Apr-23'!R17+'May-23'!I17</f>
        <v>41113</v>
      </c>
      <c r="S17" s="68">
        <f>'Apr-23'!S17+'May-23'!J17</f>
        <v>393104</v>
      </c>
      <c r="T17" s="64">
        <f>IFERROR(O17/P17-1,"n/a")</f>
        <v>0.964563782397031</v>
      </c>
      <c r="U17" s="64">
        <f t="shared" si="5"/>
        <v>7.660276942788153</v>
      </c>
      <c r="V17" s="64">
        <f t="shared" si="6"/>
        <v>7.5492666553158365</v>
      </c>
      <c r="W17" s="60">
        <f t="shared" si="7"/>
        <v>-0.10587020228743538</v>
      </c>
      <c r="X17" s="68">
        <v>1843624</v>
      </c>
      <c r="Y17" s="68">
        <v>465109</v>
      </c>
      <c r="Z17" s="70">
        <v>140552</v>
      </c>
      <c r="AA17" s="78">
        <v>2552942</v>
      </c>
      <c r="AB17" s="9"/>
      <c r="AC17" s="9"/>
    </row>
    <row r="18" spans="1:29" ht="14.4">
      <c r="A18" s="9"/>
      <c r="B18" s="12"/>
      <c r="C18" s="31" t="s">
        <v>111</v>
      </c>
      <c r="D18" s="26"/>
      <c r="E18" s="32"/>
      <c r="F18" s="72"/>
      <c r="G18" s="72"/>
      <c r="H18" s="72"/>
      <c r="I18" s="72"/>
      <c r="J18" s="72"/>
      <c r="K18" s="64"/>
      <c r="L18" s="64"/>
      <c r="M18" s="64"/>
      <c r="N18" s="60"/>
      <c r="O18" s="87"/>
      <c r="P18" s="87"/>
      <c r="Q18" s="87"/>
      <c r="R18" s="87"/>
      <c r="S18" s="87"/>
      <c r="T18" s="64"/>
      <c r="U18" s="64"/>
      <c r="V18" s="64"/>
      <c r="W18" s="60"/>
      <c r="X18" s="43"/>
      <c r="Y18" s="43"/>
      <c r="Z18" s="44"/>
      <c r="AA18" s="79"/>
      <c r="AB18" s="9"/>
      <c r="AC18" s="9"/>
    </row>
    <row r="19" spans="1:29" ht="14.4">
      <c r="A19" s="9"/>
      <c r="B19" s="12"/>
      <c r="C19" s="33"/>
      <c r="D19" s="26" t="s">
        <v>5</v>
      </c>
      <c r="E19" s="32"/>
      <c r="F19" s="73">
        <v>99</v>
      </c>
      <c r="G19" s="71">
        <v>91</v>
      </c>
      <c r="H19" s="71">
        <v>1</v>
      </c>
      <c r="I19" s="71">
        <v>0</v>
      </c>
      <c r="J19" s="71">
        <v>37</v>
      </c>
      <c r="K19" s="64">
        <f>IFERROR(F19/G19-1,"n/a")</f>
        <v>8.7912087912087822E-2</v>
      </c>
      <c r="L19" s="64">
        <f t="shared" si="0"/>
        <v>98</v>
      </c>
      <c r="M19" s="64" t="str">
        <f t="shared" ref="M19:M20" si="8">IFERROR(F19/I19-1,"n/a")</f>
        <v>n/a</v>
      </c>
      <c r="N19" s="60">
        <f>IFERROR(F19/J19-1,"n/a")</f>
        <v>1.6756756756756759</v>
      </c>
      <c r="O19" s="68">
        <f>'Apr-23'!O19+'May-23'!F19</f>
        <v>169</v>
      </c>
      <c r="P19" s="68">
        <f>'Apr-23'!P19+'May-23'!G19</f>
        <v>138</v>
      </c>
      <c r="Q19" s="68">
        <f>'Apr-23'!Q19+'May-23'!H19</f>
        <v>3</v>
      </c>
      <c r="R19" s="68">
        <f>'Apr-23'!R19+'May-23'!I19</f>
        <v>3</v>
      </c>
      <c r="S19" s="68">
        <f>'Apr-23'!S19+'May-23'!J19</f>
        <v>64</v>
      </c>
      <c r="T19" s="64">
        <f>IFERROR(O19/P19-1,"n/a")</f>
        <v>0.2246376811594204</v>
      </c>
      <c r="U19" s="64">
        <f t="shared" ref="U19:U20" si="9">IFERROR(O19/Q19-1,"n/a")</f>
        <v>55.333333333333336</v>
      </c>
      <c r="V19" s="64">
        <f t="shared" ref="V19:V20" si="10">IFERROR(O19/R19-1,"n/a")</f>
        <v>55.333333333333336</v>
      </c>
      <c r="W19" s="60">
        <f t="shared" ref="W19:W20" si="11">IFERROR(O19/S19-1,"n/a")</f>
        <v>1.640625</v>
      </c>
      <c r="X19" s="68">
        <v>475</v>
      </c>
      <c r="Y19" s="68">
        <v>23</v>
      </c>
      <c r="Z19" s="70">
        <v>4</v>
      </c>
      <c r="AA19" s="78">
        <v>191</v>
      </c>
      <c r="AB19" s="9"/>
      <c r="AC19" s="9"/>
    </row>
    <row r="20" spans="1:29" ht="14.4">
      <c r="A20" s="9"/>
      <c r="B20" s="12"/>
      <c r="C20" s="33"/>
      <c r="D20" s="26" t="s">
        <v>11</v>
      </c>
      <c r="E20" s="32"/>
      <c r="F20" s="73">
        <f>118705+9737+8876</f>
        <v>137318</v>
      </c>
      <c r="G20" s="71">
        <f>72273+4865+11437</f>
        <v>88575</v>
      </c>
      <c r="H20" s="71">
        <v>0</v>
      </c>
      <c r="I20" s="71">
        <v>0</v>
      </c>
      <c r="J20" s="71">
        <f>48298+13058+5020</f>
        <v>66376</v>
      </c>
      <c r="K20" s="64">
        <f>IFERROR(F20/G20-1,"n/a")</f>
        <v>0.55030200395145368</v>
      </c>
      <c r="L20" s="64" t="str">
        <f t="shared" si="0"/>
        <v>n/a</v>
      </c>
      <c r="M20" s="64" t="str">
        <f t="shared" si="8"/>
        <v>n/a</v>
      </c>
      <c r="N20" s="60">
        <f t="shared" ref="N20:N28" si="12">IFERROR(F20/J20-1,"n/a")</f>
        <v>1.0687899240689407</v>
      </c>
      <c r="O20" s="68">
        <f>'Apr-23'!O20+'May-23'!F20</f>
        <v>224466</v>
      </c>
      <c r="P20" s="68">
        <f>'Apr-23'!P20+'May-23'!G20</f>
        <v>124236</v>
      </c>
      <c r="Q20" s="68">
        <f>'Apr-23'!Q20+'May-23'!H20</f>
        <v>0</v>
      </c>
      <c r="R20" s="68">
        <f>'Apr-23'!R20+'May-23'!I20</f>
        <v>1753</v>
      </c>
      <c r="S20" s="68">
        <f>'Apr-23'!S20+'May-23'!J20</f>
        <v>108923</v>
      </c>
      <c r="T20" s="64">
        <f>IFERROR(O20/P20-1,"n/a")</f>
        <v>0.80677098425577132</v>
      </c>
      <c r="U20" s="64" t="str">
        <f t="shared" si="9"/>
        <v>n/a</v>
      </c>
      <c r="V20" s="64">
        <f t="shared" si="10"/>
        <v>127.04677695379348</v>
      </c>
      <c r="W20" s="60">
        <f t="shared" si="11"/>
        <v>1.0607768790797167</v>
      </c>
      <c r="X20" s="68">
        <v>561984</v>
      </c>
      <c r="Y20" s="68">
        <v>8611</v>
      </c>
      <c r="Z20" s="70">
        <v>1753</v>
      </c>
      <c r="AA20" s="78">
        <v>254421</v>
      </c>
      <c r="AB20" s="9"/>
      <c r="AC20" s="9"/>
    </row>
    <row r="21" spans="1:29" ht="14.4">
      <c r="A21" s="9"/>
      <c r="B21" s="12"/>
      <c r="C21" s="31" t="s">
        <v>112</v>
      </c>
      <c r="D21" s="26"/>
      <c r="E21" s="34"/>
      <c r="F21" s="72"/>
      <c r="G21" s="72"/>
      <c r="H21" s="72"/>
      <c r="I21" s="72"/>
      <c r="J21" s="72"/>
      <c r="K21" s="64"/>
      <c r="L21" s="64"/>
      <c r="M21" s="64"/>
      <c r="N21" s="60"/>
      <c r="O21" s="87"/>
      <c r="P21" s="87"/>
      <c r="Q21" s="87"/>
      <c r="R21" s="87"/>
      <c r="S21" s="87"/>
      <c r="T21" s="64"/>
      <c r="U21" s="64"/>
      <c r="V21" s="64"/>
      <c r="W21" s="60"/>
      <c r="X21" s="43"/>
      <c r="Y21" s="43"/>
      <c r="Z21" s="44"/>
      <c r="AA21" s="79"/>
      <c r="AB21" s="9"/>
      <c r="AC21" s="9"/>
    </row>
    <row r="22" spans="1:29" ht="14.4">
      <c r="A22" s="9"/>
      <c r="B22" s="12"/>
      <c r="C22" s="33"/>
      <c r="D22" s="26" t="s">
        <v>5</v>
      </c>
      <c r="E22" s="34"/>
      <c r="F22" s="74">
        <v>159</v>
      </c>
      <c r="G22" s="71">
        <v>107</v>
      </c>
      <c r="H22" s="71">
        <v>0</v>
      </c>
      <c r="I22" s="71">
        <v>1</v>
      </c>
      <c r="J22" s="71">
        <v>134</v>
      </c>
      <c r="K22" s="64">
        <f>IFERROR(F22/G22-1,"n/a")</f>
        <v>0.48598130841121501</v>
      </c>
      <c r="L22" s="64" t="str">
        <f t="shared" si="0"/>
        <v>n/a</v>
      </c>
      <c r="M22" s="64">
        <f t="shared" ref="M22:M23" si="13">IFERROR(F22/I22-1,"n/a")</f>
        <v>158</v>
      </c>
      <c r="N22" s="60">
        <f t="shared" si="12"/>
        <v>0.18656716417910446</v>
      </c>
      <c r="O22" s="68">
        <f>'Apr-23'!O22+'May-23'!F22</f>
        <v>607</v>
      </c>
      <c r="P22" s="68">
        <f>'Apr-23'!P22+'May-23'!G22</f>
        <v>260</v>
      </c>
      <c r="Q22" s="68">
        <f>'Apr-23'!Q22+'May-23'!H22</f>
        <v>0</v>
      </c>
      <c r="R22" s="68">
        <f>'Apr-23'!R22+'May-23'!I22</f>
        <v>206</v>
      </c>
      <c r="S22" s="68">
        <f>'Apr-23'!S22+'May-23'!J22</f>
        <v>652</v>
      </c>
      <c r="T22" s="64">
        <f>IFERROR(O22/P22-1,"n/a")</f>
        <v>1.3346153846153848</v>
      </c>
      <c r="U22" s="64" t="str">
        <f t="shared" ref="U22:U23" si="14">IFERROR(O22/Q22-1,"n/a")</f>
        <v>n/a</v>
      </c>
      <c r="V22" s="64">
        <f t="shared" ref="V22:V23" si="15">IFERROR(O22/R22-1,"n/a")</f>
        <v>1.9466019417475726</v>
      </c>
      <c r="W22" s="60">
        <f t="shared" ref="W22:W23" si="16">IFERROR(O22/S22-1,"n/a")</f>
        <v>-6.9018404907975506E-2</v>
      </c>
      <c r="X22" s="68">
        <v>1140</v>
      </c>
      <c r="Y22" s="68">
        <v>411</v>
      </c>
      <c r="Z22" s="70">
        <v>406</v>
      </c>
      <c r="AA22" s="78">
        <v>1205</v>
      </c>
      <c r="AB22" s="9"/>
      <c r="AC22" s="9"/>
    </row>
    <row r="23" spans="1:29" ht="14.4">
      <c r="A23" s="9"/>
      <c r="B23" s="12"/>
      <c r="C23" s="33"/>
      <c r="D23" s="26" t="s">
        <v>11</v>
      </c>
      <c r="E23" s="32"/>
      <c r="F23" s="73">
        <v>390316</v>
      </c>
      <c r="G23" s="71">
        <v>173929</v>
      </c>
      <c r="H23" s="71">
        <v>0</v>
      </c>
      <c r="I23" s="71">
        <v>2010</v>
      </c>
      <c r="J23" s="71">
        <v>322764</v>
      </c>
      <c r="K23" s="64">
        <f>IFERROR(F23/G23-1,"n/a")</f>
        <v>1.2441111028063174</v>
      </c>
      <c r="L23" s="64" t="str">
        <f t="shared" si="0"/>
        <v>n/a</v>
      </c>
      <c r="M23" s="64">
        <f t="shared" si="13"/>
        <v>193.18706467661693</v>
      </c>
      <c r="N23" s="60">
        <f t="shared" si="12"/>
        <v>0.20929223829175503</v>
      </c>
      <c r="O23" s="68">
        <f>'Apr-23'!O23+'May-23'!F23</f>
        <v>1558894</v>
      </c>
      <c r="P23" s="68">
        <f>'Apr-23'!P23+'May-23'!G23</f>
        <v>358192</v>
      </c>
      <c r="Q23" s="68">
        <f>'Apr-23'!Q23+'May-23'!H23</f>
        <v>0</v>
      </c>
      <c r="R23" s="68">
        <f>'Apr-23'!R23+'May-23'!I23</f>
        <v>547984</v>
      </c>
      <c r="S23" s="68">
        <f>'Apr-23'!S23+'May-23'!J23</f>
        <v>1626327</v>
      </c>
      <c r="T23" s="64">
        <f>IFERROR(O23/P23-1,"n/a")</f>
        <v>3.352118416938402</v>
      </c>
      <c r="U23" s="64" t="str">
        <f t="shared" si="14"/>
        <v>n/a</v>
      </c>
      <c r="V23" s="64">
        <f t="shared" si="15"/>
        <v>1.8447801395661187</v>
      </c>
      <c r="W23" s="60">
        <f t="shared" si="16"/>
        <v>-4.1463371142457794E-2</v>
      </c>
      <c r="X23" s="68">
        <v>3212646</v>
      </c>
      <c r="Y23" s="68">
        <v>687449</v>
      </c>
      <c r="Z23" s="70">
        <v>833999</v>
      </c>
      <c r="AA23" s="78">
        <v>3859183</v>
      </c>
      <c r="AB23" s="9"/>
      <c r="AC23" s="9"/>
    </row>
    <row r="24" spans="1:29" ht="14.4">
      <c r="A24" s="9"/>
      <c r="B24" s="12"/>
      <c r="C24" s="31" t="s">
        <v>113</v>
      </c>
      <c r="D24" s="26"/>
      <c r="E24" s="32"/>
      <c r="F24" s="72"/>
      <c r="G24" s="72"/>
      <c r="H24" s="72"/>
      <c r="I24" s="72"/>
      <c r="J24" s="72"/>
      <c r="K24" s="64"/>
      <c r="L24" s="64"/>
      <c r="M24" s="64"/>
      <c r="N24" s="60"/>
      <c r="O24" s="87"/>
      <c r="P24" s="87"/>
      <c r="Q24" s="87"/>
      <c r="R24" s="87"/>
      <c r="S24" s="87"/>
      <c r="T24" s="64"/>
      <c r="U24" s="64"/>
      <c r="V24" s="64"/>
      <c r="W24" s="60"/>
      <c r="X24" s="43"/>
      <c r="Y24" s="43"/>
      <c r="Z24" s="44"/>
      <c r="AA24" s="79"/>
      <c r="AB24" s="9"/>
      <c r="AC24" s="9"/>
    </row>
    <row r="25" spans="1:29" ht="14.4">
      <c r="B25" s="12"/>
      <c r="C25" s="33"/>
      <c r="D25" s="26" t="s">
        <v>5</v>
      </c>
      <c r="E25" s="32"/>
      <c r="F25" s="71">
        <v>0</v>
      </c>
      <c r="G25" s="71">
        <v>0</v>
      </c>
      <c r="H25" s="71">
        <v>0</v>
      </c>
      <c r="I25" s="71">
        <v>0</v>
      </c>
      <c r="J25" s="71">
        <v>2</v>
      </c>
      <c r="K25" s="64" t="str">
        <f>IFERROR(F25/G25-1,"n/a")</f>
        <v>n/a</v>
      </c>
      <c r="L25" s="64" t="str">
        <f t="shared" si="0"/>
        <v>n/a</v>
      </c>
      <c r="M25" s="64" t="str">
        <f t="shared" ref="M25:M28" si="17">IFERROR(F25/I25-1,"n/a")</f>
        <v>n/a</v>
      </c>
      <c r="N25" s="60">
        <f t="shared" si="12"/>
        <v>-1</v>
      </c>
      <c r="O25" s="68">
        <f>'Apr-23'!O25+'May-23'!F25</f>
        <v>0</v>
      </c>
      <c r="P25" s="68">
        <f>'Apr-23'!P25+'May-23'!G25</f>
        <v>1</v>
      </c>
      <c r="Q25" s="68">
        <f>'Apr-23'!Q25+'May-23'!H25</f>
        <v>0</v>
      </c>
      <c r="R25" s="68">
        <f>'Apr-23'!R25+'May-23'!I25</f>
        <v>0</v>
      </c>
      <c r="S25" s="68">
        <f>'Apr-23'!S25+'May-23'!J25</f>
        <v>3</v>
      </c>
      <c r="T25" s="64">
        <f>IFERROR(O25/P25-1,"n/a")</f>
        <v>-1</v>
      </c>
      <c r="U25" s="64" t="str">
        <f t="shared" ref="U25:U28" si="18">IFERROR(O25/Q25-1,"n/a")</f>
        <v>n/a</v>
      </c>
      <c r="V25" s="64" t="str">
        <f t="shared" ref="V25:V28" si="19">IFERROR(O25/R25-1,"n/a")</f>
        <v>n/a</v>
      </c>
      <c r="W25" s="60">
        <f t="shared" ref="W25:W28" si="20">IFERROR(O25/S25-1,"n/a")</f>
        <v>-1</v>
      </c>
      <c r="X25" s="68">
        <v>605</v>
      </c>
      <c r="Y25" s="68">
        <v>127</v>
      </c>
      <c r="Z25" s="70">
        <v>37</v>
      </c>
      <c r="AA25" s="78">
        <f>282+81</f>
        <v>363</v>
      </c>
      <c r="AB25" s="9"/>
      <c r="AC25" s="9"/>
    </row>
    <row r="26" spans="1:29" ht="14.4">
      <c r="A26" s="9"/>
      <c r="B26" s="12"/>
      <c r="C26" s="33"/>
      <c r="D26" s="26" t="s">
        <v>11</v>
      </c>
      <c r="E26" s="32"/>
      <c r="F26" s="71">
        <v>0</v>
      </c>
      <c r="G26" s="71">
        <v>0</v>
      </c>
      <c r="H26" s="71">
        <v>0</v>
      </c>
      <c r="I26" s="71">
        <v>0</v>
      </c>
      <c r="J26" s="71">
        <v>2351</v>
      </c>
      <c r="K26" s="64" t="str">
        <f>IFERROR(F26/G26-1,"n/a")</f>
        <v>n/a</v>
      </c>
      <c r="L26" s="64" t="str">
        <f t="shared" si="0"/>
        <v>n/a</v>
      </c>
      <c r="M26" s="64" t="str">
        <f t="shared" si="17"/>
        <v>n/a</v>
      </c>
      <c r="N26" s="60">
        <f t="shared" si="12"/>
        <v>-1</v>
      </c>
      <c r="O26" s="68">
        <v>0</v>
      </c>
      <c r="P26" s="68">
        <f>'Apr-23'!P26+'May-23'!G26</f>
        <v>925</v>
      </c>
      <c r="Q26" s="68">
        <f>'Apr-23'!Q26+'May-23'!H26</f>
        <v>0</v>
      </c>
      <c r="R26" s="68">
        <f>'Apr-23'!R26+'May-23'!I26</f>
        <v>0</v>
      </c>
      <c r="S26" s="68">
        <f>'Apr-23'!S26+'May-23'!J26</f>
        <v>3410</v>
      </c>
      <c r="T26" s="64">
        <f>IFERROR(O26/P26-1,"n/a")</f>
        <v>-1</v>
      </c>
      <c r="U26" s="64" t="str">
        <f t="shared" si="18"/>
        <v>n/a</v>
      </c>
      <c r="V26" s="64" t="str">
        <f t="shared" si="19"/>
        <v>n/a</v>
      </c>
      <c r="W26" s="60">
        <f t="shared" si="20"/>
        <v>-1</v>
      </c>
      <c r="X26" s="68">
        <v>1098243</v>
      </c>
      <c r="Y26" s="68">
        <v>165083</v>
      </c>
      <c r="Z26" s="70">
        <f>20768+8294</f>
        <v>29062</v>
      </c>
      <c r="AA26" s="78">
        <f>659951+168729+38484</f>
        <v>867164</v>
      </c>
      <c r="AB26" s="9"/>
      <c r="AC26" s="9"/>
    </row>
    <row r="27" spans="1:29" thickBot="1">
      <c r="A27" s="9"/>
      <c r="B27" s="12"/>
      <c r="C27" s="35" t="s">
        <v>12</v>
      </c>
      <c r="D27" s="36"/>
      <c r="E27" s="37"/>
      <c r="F27" s="75">
        <f t="shared" ref="F27:J28" si="21">F13+F16+F19+F22+F25</f>
        <v>427</v>
      </c>
      <c r="G27" s="75">
        <f t="shared" si="21"/>
        <v>352</v>
      </c>
      <c r="H27" s="75">
        <f t="shared" si="21"/>
        <v>18</v>
      </c>
      <c r="I27" s="75">
        <f t="shared" si="21"/>
        <v>1</v>
      </c>
      <c r="J27" s="75">
        <f t="shared" si="21"/>
        <v>334</v>
      </c>
      <c r="K27" s="66">
        <f>IFERROR(F27/G27-1,"n/a")</f>
        <v>0.21306818181818188</v>
      </c>
      <c r="L27" s="66">
        <f t="shared" si="0"/>
        <v>22.722222222222221</v>
      </c>
      <c r="M27" s="66">
        <f t="shared" si="17"/>
        <v>426</v>
      </c>
      <c r="N27" s="62">
        <f t="shared" si="12"/>
        <v>0.27844311377245501</v>
      </c>
      <c r="O27" s="75">
        <f t="shared" ref="O27:S28" si="22">O13+O16+O19+O22+O25</f>
        <v>1677</v>
      </c>
      <c r="P27" s="75">
        <f t="shared" si="22"/>
        <v>1311</v>
      </c>
      <c r="Q27" s="75">
        <f t="shared" si="22"/>
        <v>37</v>
      </c>
      <c r="R27" s="75">
        <f t="shared" si="22"/>
        <v>770</v>
      </c>
      <c r="S27" s="75">
        <f t="shared" si="22"/>
        <v>1599</v>
      </c>
      <c r="T27" s="66">
        <f>IFERROR(O27/P27-1,"n/a")</f>
        <v>0.2791762013729977</v>
      </c>
      <c r="U27" s="66">
        <f t="shared" si="18"/>
        <v>44.324324324324323</v>
      </c>
      <c r="V27" s="66">
        <f t="shared" si="19"/>
        <v>1.1779220779220778</v>
      </c>
      <c r="W27" s="62">
        <f t="shared" si="20"/>
        <v>4.8780487804878092E-2</v>
      </c>
      <c r="X27" s="75">
        <f>X13+X16+X19+X22+X25</f>
        <v>3344</v>
      </c>
      <c r="Y27" s="46">
        <f t="shared" ref="Y27:AA28" si="23">Y13+Y16+Y19+Y22+Y25</f>
        <v>955</v>
      </c>
      <c r="Z27" s="46">
        <f t="shared" si="23"/>
        <v>635</v>
      </c>
      <c r="AA27" s="80">
        <f t="shared" si="23"/>
        <v>2972</v>
      </c>
      <c r="AB27" s="9"/>
      <c r="AC27" s="9"/>
    </row>
    <row r="28" spans="1:29" ht="15.6" thickTop="1" thickBot="1">
      <c r="A28" s="9"/>
      <c r="B28" s="12"/>
      <c r="C28" s="38" t="s">
        <v>13</v>
      </c>
      <c r="D28" s="39"/>
      <c r="E28" s="40"/>
      <c r="F28" s="76">
        <f t="shared" si="21"/>
        <v>1041959</v>
      </c>
      <c r="G28" s="76">
        <f t="shared" si="21"/>
        <v>579510</v>
      </c>
      <c r="H28" s="76">
        <f t="shared" si="21"/>
        <v>24481</v>
      </c>
      <c r="I28" s="76">
        <f t="shared" si="21"/>
        <v>2010</v>
      </c>
      <c r="J28" s="76">
        <f t="shared" si="21"/>
        <v>859943</v>
      </c>
      <c r="K28" s="67">
        <f>IFERROR(F28/G28-1,"n/a")</f>
        <v>0.79800003451191515</v>
      </c>
      <c r="L28" s="67">
        <f t="shared" si="0"/>
        <v>41.561945998937951</v>
      </c>
      <c r="M28" s="67">
        <f t="shared" si="17"/>
        <v>517.38756218905473</v>
      </c>
      <c r="N28" s="63">
        <f t="shared" si="12"/>
        <v>0.21166054029162407</v>
      </c>
      <c r="O28" s="76">
        <f t="shared" si="22"/>
        <v>4476023</v>
      </c>
      <c r="P28" s="76">
        <f t="shared" si="22"/>
        <v>1954680</v>
      </c>
      <c r="Q28" s="76">
        <f t="shared" si="22"/>
        <v>40586</v>
      </c>
      <c r="R28" s="76">
        <f t="shared" si="22"/>
        <v>1683734</v>
      </c>
      <c r="S28" s="76">
        <f t="shared" si="22"/>
        <v>4279966</v>
      </c>
      <c r="T28" s="67">
        <f>IFERROR(O28/P28-1,"n/a")</f>
        <v>1.2899006486995312</v>
      </c>
      <c r="U28" s="67">
        <f t="shared" si="18"/>
        <v>109.28490119745724</v>
      </c>
      <c r="V28" s="67">
        <f t="shared" si="19"/>
        <v>1.6583908147011344</v>
      </c>
      <c r="W28" s="63">
        <f t="shared" si="20"/>
        <v>4.5808074176290292E-2</v>
      </c>
      <c r="X28" s="76">
        <f>X14+X17+X20+X23+X26</f>
        <v>7096679</v>
      </c>
      <c r="Y28" s="47">
        <f t="shared" si="23"/>
        <v>1407115</v>
      </c>
      <c r="Z28" s="47">
        <f t="shared" si="23"/>
        <v>1264251</v>
      </c>
      <c r="AA28" s="81">
        <f t="shared" si="23"/>
        <v>8267006</v>
      </c>
      <c r="AB28" s="9"/>
      <c r="AC28" s="9"/>
    </row>
    <row r="29" spans="1:29" thickTop="1">
      <c r="A29" s="9"/>
      <c r="B29" s="9"/>
      <c r="C29" s="9"/>
      <c r="D29" s="9"/>
      <c r="E29" s="9"/>
      <c r="F29" s="41"/>
      <c r="G29" s="41"/>
      <c r="H29" s="41"/>
      <c r="I29" s="41"/>
      <c r="J29" s="41"/>
      <c r="K29" s="41"/>
      <c r="L29" s="41"/>
      <c r="M29" s="41"/>
      <c r="N29" s="9"/>
      <c r="O29" s="9"/>
      <c r="P29" s="9"/>
      <c r="Q29" s="9"/>
      <c r="R29" s="9"/>
      <c r="S29" s="9"/>
      <c r="T29" s="9"/>
      <c r="U29" s="9"/>
      <c r="V29" s="9"/>
      <c r="W29" s="9"/>
      <c r="X29" s="9"/>
      <c r="Y29" s="9"/>
      <c r="Z29" s="9"/>
      <c r="AA29" s="9"/>
      <c r="AB29" s="9"/>
      <c r="AC29" s="9"/>
    </row>
    <row r="30" spans="1:29" ht="14.4">
      <c r="A30" s="9"/>
      <c r="B30" s="9"/>
      <c r="C30" s="9"/>
      <c r="D30" s="9"/>
      <c r="E30" s="9"/>
      <c r="F30" s="41"/>
      <c r="G30" s="41"/>
      <c r="H30" s="41"/>
      <c r="I30" s="41"/>
      <c r="J30" s="41"/>
      <c r="K30" s="41"/>
      <c r="L30" s="41"/>
      <c r="M30" s="41"/>
      <c r="N30" s="9"/>
      <c r="O30" s="41"/>
      <c r="P30" s="9"/>
      <c r="Q30" s="9"/>
      <c r="R30" s="9"/>
      <c r="S30" s="9"/>
      <c r="T30" s="9"/>
      <c r="U30" s="9"/>
      <c r="V30" s="9"/>
      <c r="W30" s="9"/>
      <c r="X30" s="9"/>
      <c r="Y30" s="9"/>
      <c r="Z30" s="9"/>
      <c r="AA30" s="9"/>
      <c r="AB30" s="9"/>
      <c r="AC30" s="9"/>
    </row>
    <row r="31" spans="1:29" ht="14.4">
      <c r="A31" s="9"/>
      <c r="B31" s="10"/>
      <c r="C31" s="86"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9"/>
    </row>
    <row r="32" spans="1:29" ht="14.4">
      <c r="A32" s="9"/>
      <c r="B32" s="1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9"/>
    </row>
    <row r="33" spans="1:29" ht="14.4">
      <c r="A33" s="9"/>
      <c r="B33" s="9"/>
      <c r="C33" s="27" t="s">
        <v>7</v>
      </c>
      <c r="D33" s="28"/>
      <c r="E33" s="28"/>
      <c r="F33" s="128" t="str">
        <f>F9</f>
        <v>May</v>
      </c>
      <c r="G33" s="128"/>
      <c r="H33" s="128"/>
      <c r="I33" s="128"/>
      <c r="J33" s="128"/>
      <c r="K33" s="128"/>
      <c r="L33" s="128"/>
      <c r="M33" s="128"/>
      <c r="N33" s="129"/>
      <c r="O33" s="132" t="s">
        <v>121</v>
      </c>
      <c r="P33" s="133"/>
      <c r="Q33" s="133"/>
      <c r="R33" s="133"/>
      <c r="S33" s="133"/>
      <c r="T33" s="133"/>
      <c r="U33" s="133"/>
      <c r="V33" s="133"/>
      <c r="W33" s="134"/>
      <c r="X33" s="130" t="s">
        <v>58</v>
      </c>
      <c r="Y33" s="128"/>
      <c r="Z33" s="128"/>
      <c r="AA33" s="131"/>
    </row>
    <row r="34" spans="1:29" ht="14.4">
      <c r="A34" s="9"/>
      <c r="B34" s="9"/>
      <c r="C34" s="29"/>
      <c r="D34" s="30"/>
      <c r="E34" s="30"/>
      <c r="F34" s="125"/>
      <c r="G34" s="126"/>
      <c r="H34" s="126"/>
      <c r="I34" s="126"/>
      <c r="J34" s="126"/>
      <c r="K34" s="126"/>
      <c r="L34" s="126"/>
      <c r="M34" s="126"/>
      <c r="N34" s="127"/>
      <c r="O34" s="125"/>
      <c r="P34" s="126"/>
      <c r="Q34" s="126"/>
      <c r="R34" s="126"/>
      <c r="S34" s="126"/>
      <c r="T34" s="126"/>
      <c r="U34" s="126"/>
      <c r="V34" s="126"/>
      <c r="W34" s="127"/>
      <c r="X34" s="125"/>
      <c r="Y34" s="126"/>
      <c r="Z34" s="126"/>
      <c r="AA34" s="127"/>
    </row>
    <row r="35" spans="1:29" ht="20.399999999999999">
      <c r="A35" s="9"/>
      <c r="B35" s="9"/>
      <c r="C35" s="59" t="s">
        <v>29</v>
      </c>
      <c r="D35" s="50"/>
      <c r="E35" s="51"/>
      <c r="F35" s="55">
        <v>2023</v>
      </c>
      <c r="G35" s="52">
        <v>2022</v>
      </c>
      <c r="H35" s="52">
        <v>2021</v>
      </c>
      <c r="I35" s="52">
        <v>2020</v>
      </c>
      <c r="J35" s="52">
        <v>2019</v>
      </c>
      <c r="K35" s="53" t="s">
        <v>66</v>
      </c>
      <c r="L35" s="53" t="s">
        <v>67</v>
      </c>
      <c r="M35" s="53" t="s">
        <v>68</v>
      </c>
      <c r="N35" s="57" t="s">
        <v>102</v>
      </c>
      <c r="O35" s="53" t="s">
        <v>116</v>
      </c>
      <c r="P35" s="53" t="s">
        <v>53</v>
      </c>
      <c r="Q35" s="52" t="s">
        <v>54</v>
      </c>
      <c r="R35" s="52" t="s">
        <v>59</v>
      </c>
      <c r="S35" s="52" t="s">
        <v>64</v>
      </c>
      <c r="T35" s="53" t="s">
        <v>117</v>
      </c>
      <c r="U35" s="53" t="s">
        <v>118</v>
      </c>
      <c r="V35" s="53" t="s">
        <v>119</v>
      </c>
      <c r="W35" s="57" t="s">
        <v>120</v>
      </c>
      <c r="X35" s="53" t="s">
        <v>53</v>
      </c>
      <c r="Y35" s="53" t="s">
        <v>54</v>
      </c>
      <c r="Z35" s="53" t="s">
        <v>65</v>
      </c>
      <c r="AA35" s="57" t="s">
        <v>73</v>
      </c>
      <c r="AC35" s="9"/>
    </row>
    <row r="36" spans="1:29" ht="14.4">
      <c r="A36" s="9"/>
      <c r="B36" s="9"/>
      <c r="C36" s="31" t="s">
        <v>109</v>
      </c>
      <c r="D36" s="26"/>
      <c r="E36" s="32"/>
      <c r="F36" s="26"/>
      <c r="G36" s="26"/>
      <c r="H36" s="26"/>
      <c r="I36" s="26"/>
      <c r="J36" s="26"/>
      <c r="K36" s="26"/>
      <c r="L36" s="26"/>
      <c r="M36" s="26"/>
      <c r="N36" s="32"/>
      <c r="O36" s="26"/>
      <c r="P36" s="26"/>
      <c r="Q36" s="26"/>
      <c r="R36" s="26"/>
      <c r="S36" s="9"/>
      <c r="T36" s="26"/>
      <c r="U36" s="9"/>
      <c r="V36" s="26"/>
      <c r="W36" s="32"/>
      <c r="X36" s="33"/>
      <c r="Y36" s="26"/>
      <c r="Z36" s="88"/>
      <c r="AA36" s="85"/>
      <c r="AC36" s="9"/>
    </row>
    <row r="37" spans="1:29" ht="14.4">
      <c r="A37" s="9"/>
      <c r="B37" s="9"/>
      <c r="C37" s="33"/>
      <c r="D37" s="26" t="s">
        <v>5</v>
      </c>
      <c r="E37" s="32"/>
      <c r="F37" s="74">
        <f t="shared" ref="F37:J38" si="24">F13</f>
        <v>99</v>
      </c>
      <c r="G37" s="74">
        <f t="shared" si="24"/>
        <v>83</v>
      </c>
      <c r="H37" s="74">
        <f t="shared" si="24"/>
        <v>0</v>
      </c>
      <c r="I37" s="74">
        <f t="shared" si="24"/>
        <v>0</v>
      </c>
      <c r="J37" s="74">
        <f t="shared" si="24"/>
        <v>90</v>
      </c>
      <c r="K37" s="64">
        <f>IFERROR(F37/G37-1,"n/a")</f>
        <v>0.19277108433734935</v>
      </c>
      <c r="L37" s="64" t="str">
        <f t="shared" ref="L37:L38" si="25">IFERROR(F37/H37-1,"n/a")</f>
        <v>n/a</v>
      </c>
      <c r="M37" s="64" t="str">
        <f>IFERROR(F37/I37-1,"n/a")</f>
        <v>n/a</v>
      </c>
      <c r="N37" s="60">
        <f t="shared" ref="N37:N38" si="26">IFERROR(F37/J37-1,"n/a")</f>
        <v>0.10000000000000009</v>
      </c>
      <c r="O37" s="74">
        <f>'Apr-23'!O37+'May-23'!F37</f>
        <v>228</v>
      </c>
      <c r="P37" s="74">
        <f>'Apr-23'!P37+'May-23'!G37</f>
        <v>219</v>
      </c>
      <c r="Q37" s="74">
        <f>'Apr-23'!Q37+'May-23'!H37</f>
        <v>0</v>
      </c>
      <c r="R37" s="74">
        <f>'Apr-23'!R37+'May-23'!I37</f>
        <v>42</v>
      </c>
      <c r="S37" s="74">
        <f>'Apr-23'!S37+'May-23'!J37</f>
        <v>219</v>
      </c>
      <c r="T37" s="122">
        <f>IFERROR(O37/P37-1,"n/a")</f>
        <v>4.1095890410958846E-2</v>
      </c>
      <c r="U37" s="122" t="str">
        <f>IFERROR(O37/Q37-1,"n/a")</f>
        <v>n/a</v>
      </c>
      <c r="V37" s="122">
        <f>IFERROR(O37/R37-1,"n/a")</f>
        <v>4.4285714285714288</v>
      </c>
      <c r="W37" s="123">
        <f>IFERROR(O37/S37-1,"n/a")</f>
        <v>4.1095890410958846E-2</v>
      </c>
      <c r="X37" s="89">
        <v>1486</v>
      </c>
      <c r="Y37" s="89">
        <v>1052</v>
      </c>
      <c r="Z37" s="70">
        <v>551</v>
      </c>
      <c r="AA37" s="78">
        <v>1584</v>
      </c>
      <c r="AC37" s="9"/>
    </row>
    <row r="38" spans="1:29" ht="14.4">
      <c r="A38" s="9"/>
      <c r="B38" s="9"/>
      <c r="C38" s="33"/>
      <c r="D38" s="26" t="s">
        <v>11</v>
      </c>
      <c r="E38" s="32"/>
      <c r="F38" s="74">
        <f t="shared" si="24"/>
        <v>353242</v>
      </c>
      <c r="G38" s="74">
        <f t="shared" si="24"/>
        <v>234968</v>
      </c>
      <c r="H38" s="74">
        <f t="shared" si="24"/>
        <v>0</v>
      </c>
      <c r="I38" s="74">
        <f t="shared" si="24"/>
        <v>0</v>
      </c>
      <c r="J38" s="74">
        <f t="shared" si="24"/>
        <v>303053</v>
      </c>
      <c r="K38" s="64">
        <f>IFERROR(F38/G38-1,"n/a")</f>
        <v>0.50336215995369593</v>
      </c>
      <c r="L38" s="64" t="str">
        <f t="shared" si="25"/>
        <v>n/a</v>
      </c>
      <c r="M38" s="64" t="str">
        <f t="shared" ref="M38" si="27">IFERROR(F38/I38-1,"n/a")</f>
        <v>n/a</v>
      </c>
      <c r="N38" s="60">
        <f t="shared" si="26"/>
        <v>0.16561129571395106</v>
      </c>
      <c r="O38" s="74">
        <f>'Apr-23'!O38+'May-23'!F38</f>
        <v>802993</v>
      </c>
      <c r="P38" s="74">
        <f>'Apr-23'!P38+'May-23'!G38</f>
        <v>532756</v>
      </c>
      <c r="Q38" s="74">
        <f>'Apr-23'!Q38+'May-23'!H38</f>
        <v>0</v>
      </c>
      <c r="R38" s="74">
        <f>'Apr-23'!R38+'May-23'!I38</f>
        <v>0</v>
      </c>
      <c r="S38" s="74">
        <f>'Apr-23'!S38+'May-23'!J38</f>
        <v>697098</v>
      </c>
      <c r="T38" s="122">
        <f>IFERROR(O38/P38-1,"n/a")</f>
        <v>0.50724346605200132</v>
      </c>
      <c r="U38" s="122" t="str">
        <f>IFERROR(O38/Q38-1,"n/a")</f>
        <v>n/a</v>
      </c>
      <c r="V38" s="122" t="str">
        <f>IFERROR(O38/R38-1,"n/a")</f>
        <v>n/a</v>
      </c>
      <c r="W38" s="123">
        <f>IFERROR(O38/S38-1,"n/a")</f>
        <v>0.15190834000384457</v>
      </c>
      <c r="X38" s="89">
        <v>4370939</v>
      </c>
      <c r="Y38" s="89">
        <v>1527970</v>
      </c>
      <c r="Z38" s="84">
        <v>1092884</v>
      </c>
      <c r="AA38" s="78">
        <v>4234259</v>
      </c>
      <c r="AC38" s="9"/>
    </row>
    <row r="39" spans="1:29" ht="14.4">
      <c r="A39" s="9"/>
      <c r="B39" s="9"/>
      <c r="C39" s="31" t="s">
        <v>110</v>
      </c>
      <c r="D39" s="26"/>
      <c r="E39" s="32"/>
      <c r="F39" s="26"/>
      <c r="G39" s="26"/>
      <c r="H39" s="26"/>
      <c r="I39" s="26"/>
      <c r="J39" s="26"/>
      <c r="K39" s="64"/>
      <c r="L39" s="64"/>
      <c r="M39" s="64"/>
      <c r="N39" s="61"/>
      <c r="O39" s="26"/>
      <c r="P39" s="26"/>
      <c r="Q39" s="26"/>
      <c r="R39" s="26"/>
      <c r="S39" s="26"/>
      <c r="T39" s="65"/>
      <c r="U39" s="65"/>
      <c r="V39" s="65"/>
      <c r="W39" s="61"/>
      <c r="X39" s="90"/>
      <c r="Y39" s="90"/>
      <c r="Z39" s="44"/>
      <c r="AA39" s="79"/>
      <c r="AC39" s="9"/>
    </row>
    <row r="40" spans="1:29" ht="14.4">
      <c r="A40" s="9"/>
      <c r="B40" s="9"/>
      <c r="C40" s="33"/>
      <c r="D40" s="26" t="s">
        <v>5</v>
      </c>
      <c r="E40" s="32"/>
      <c r="F40" s="74">
        <f t="shared" ref="F40:J41" si="28">F16</f>
        <v>70</v>
      </c>
      <c r="G40" s="74">
        <f t="shared" si="28"/>
        <v>71</v>
      </c>
      <c r="H40" s="74">
        <f t="shared" si="28"/>
        <v>17</v>
      </c>
      <c r="I40" s="74">
        <f t="shared" si="28"/>
        <v>0</v>
      </c>
      <c r="J40" s="74">
        <f t="shared" si="28"/>
        <v>71</v>
      </c>
      <c r="K40" s="64">
        <f>IFERROR(F40/G40-1,"n/a")</f>
        <v>-1.4084507042253502E-2</v>
      </c>
      <c r="L40" s="64">
        <f t="shared" ref="L40:L41" si="29">IFERROR(F40/H40-1,"n/a")</f>
        <v>3.117647058823529</v>
      </c>
      <c r="M40" s="64" t="str">
        <f t="shared" ref="M40:M41" si="30">IFERROR(F40/I40-1,"n/a")</f>
        <v>n/a</v>
      </c>
      <c r="N40" s="60">
        <f t="shared" ref="N40:N41" si="31">IFERROR(F40/J40-1,"n/a")</f>
        <v>-1.4084507042253502E-2</v>
      </c>
      <c r="O40" s="74">
        <f>'Apr-23'!O40+'May-23'!F40</f>
        <v>116</v>
      </c>
      <c r="P40" s="74">
        <f>'Apr-23'!P40+'May-23'!G40</f>
        <v>127</v>
      </c>
      <c r="Q40" s="74">
        <f>'Apr-23'!Q40+'May-23'!H40</f>
        <v>22</v>
      </c>
      <c r="R40" s="74">
        <f>'Apr-23'!R40+'May-23'!I40</f>
        <v>0</v>
      </c>
      <c r="S40" s="74">
        <f>'Apr-23'!S40+'May-23'!J40</f>
        <v>122</v>
      </c>
      <c r="T40" s="122">
        <f t="shared" ref="T40:T41" si="32">IFERROR(O40/P40-1,"n/a")</f>
        <v>-8.6614173228346414E-2</v>
      </c>
      <c r="U40" s="122">
        <f t="shared" ref="U40:U41" si="33">IFERROR(O40/Q40-1,"n/a")</f>
        <v>4.2727272727272725</v>
      </c>
      <c r="V40" s="122" t="str">
        <f>IFERROR(O40/R40-1,"n/a")</f>
        <v>n/a</v>
      </c>
      <c r="W40" s="123">
        <f>IFERROR(O40/S40-1,"n/a")</f>
        <v>-4.9180327868852514E-2</v>
      </c>
      <c r="X40" s="89">
        <v>563</v>
      </c>
      <c r="Y40" s="89">
        <v>226</v>
      </c>
      <c r="Z40" s="70">
        <v>66</v>
      </c>
      <c r="AA40" s="78">
        <v>573</v>
      </c>
      <c r="AC40" s="9"/>
    </row>
    <row r="41" spans="1:29" ht="14.4">
      <c r="A41" s="9"/>
      <c r="B41" s="9"/>
      <c r="C41" s="33"/>
      <c r="D41" s="26" t="s">
        <v>11</v>
      </c>
      <c r="E41" s="32"/>
      <c r="F41" s="74">
        <f t="shared" si="28"/>
        <v>161083</v>
      </c>
      <c r="G41" s="74">
        <f t="shared" si="28"/>
        <v>82038</v>
      </c>
      <c r="H41" s="74">
        <f t="shared" si="28"/>
        <v>24481</v>
      </c>
      <c r="I41" s="74">
        <f t="shared" si="28"/>
        <v>0</v>
      </c>
      <c r="J41" s="74">
        <f t="shared" si="28"/>
        <v>165399</v>
      </c>
      <c r="K41" s="64">
        <f>IFERROR(F41/G41-1,"n/a")</f>
        <v>0.96351690679928814</v>
      </c>
      <c r="L41" s="64">
        <f t="shared" si="29"/>
        <v>5.5799191209509411</v>
      </c>
      <c r="M41" s="64" t="str">
        <f t="shared" si="30"/>
        <v>n/a</v>
      </c>
      <c r="N41" s="60">
        <f t="shared" si="31"/>
        <v>-2.6094474573606807E-2</v>
      </c>
      <c r="O41" s="74">
        <f>'Apr-23'!O41+'May-23'!F41</f>
        <v>268431</v>
      </c>
      <c r="P41" s="74">
        <f>'Apr-23'!P41+'May-23'!G41</f>
        <v>142405</v>
      </c>
      <c r="Q41" s="74">
        <f>'Apr-23'!Q41+'May-23'!H41</f>
        <v>30483</v>
      </c>
      <c r="R41" s="74">
        <f>'Apr-23'!R41+'May-23'!I41</f>
        <v>0</v>
      </c>
      <c r="S41" s="74">
        <f>'Apr-23'!S41+'May-23'!J41</f>
        <v>312730</v>
      </c>
      <c r="T41" s="122">
        <f t="shared" si="32"/>
        <v>0.88498297110354263</v>
      </c>
      <c r="U41" s="122">
        <f t="shared" si="33"/>
        <v>7.8059246137191227</v>
      </c>
      <c r="V41" s="122" t="str">
        <f>IFERROR(O41/R41-1,"n/a")</f>
        <v>n/a</v>
      </c>
      <c r="W41" s="123">
        <f>IFERROR(O41/S41-1,"n/a")</f>
        <v>-0.14165254372781633</v>
      </c>
      <c r="X41" s="89">
        <v>1012510</v>
      </c>
      <c r="Y41" s="89">
        <v>327926</v>
      </c>
      <c r="Z41" s="84">
        <v>80778</v>
      </c>
      <c r="AA41" s="78">
        <v>1361671</v>
      </c>
      <c r="AC41" s="9"/>
    </row>
    <row r="42" spans="1:29" ht="14.4">
      <c r="A42" s="9"/>
      <c r="B42" s="9"/>
      <c r="C42" s="31" t="s">
        <v>111</v>
      </c>
      <c r="D42" s="26"/>
      <c r="E42" s="32"/>
      <c r="F42" s="87"/>
      <c r="G42" s="87"/>
      <c r="H42" s="87"/>
      <c r="I42" s="87"/>
      <c r="J42" s="72"/>
      <c r="K42" s="64"/>
      <c r="L42" s="64"/>
      <c r="M42" s="64"/>
      <c r="N42" s="60"/>
      <c r="O42" s="87"/>
      <c r="P42" s="87"/>
      <c r="Q42" s="87"/>
      <c r="R42" s="87"/>
      <c r="S42" s="72"/>
      <c r="T42" s="64"/>
      <c r="U42" s="64"/>
      <c r="V42" s="64"/>
      <c r="W42" s="60"/>
      <c r="X42" s="90"/>
      <c r="Y42" s="90"/>
      <c r="Z42" s="44"/>
      <c r="AA42" s="79"/>
      <c r="AC42" s="9"/>
    </row>
    <row r="43" spans="1:29" ht="14.4">
      <c r="A43" s="9"/>
      <c r="B43" s="9"/>
      <c r="C43" s="33"/>
      <c r="D43" s="26" t="s">
        <v>5</v>
      </c>
      <c r="E43" s="32"/>
      <c r="F43" s="74">
        <f t="shared" ref="F43:J44" si="34">F19</f>
        <v>99</v>
      </c>
      <c r="G43" s="74">
        <f t="shared" si="34"/>
        <v>91</v>
      </c>
      <c r="H43" s="74">
        <f t="shared" si="34"/>
        <v>1</v>
      </c>
      <c r="I43" s="74">
        <f t="shared" si="34"/>
        <v>0</v>
      </c>
      <c r="J43" s="74">
        <f t="shared" si="34"/>
        <v>37</v>
      </c>
      <c r="K43" s="64">
        <f>IFERROR(F43/G43-1,"n/a")</f>
        <v>8.7912087912087822E-2</v>
      </c>
      <c r="L43" s="64">
        <f t="shared" ref="L43:L44" si="35">IFERROR(F43/H43-1,"n/a")</f>
        <v>98</v>
      </c>
      <c r="M43" s="64" t="str">
        <f t="shared" ref="M43:M44" si="36">IFERROR(F43/I43-1,"n/a")</f>
        <v>n/a</v>
      </c>
      <c r="N43" s="60">
        <f>IFERROR(F43/J43-1,"n/a")</f>
        <v>1.6756756756756759</v>
      </c>
      <c r="O43" s="74">
        <f>'Apr-23'!O43+'May-23'!F43</f>
        <v>146</v>
      </c>
      <c r="P43" s="74">
        <f>'Apr-23'!P43+'May-23'!G43</f>
        <v>126</v>
      </c>
      <c r="Q43" s="74">
        <f>'Apr-23'!Q43+'May-23'!H43</f>
        <v>3</v>
      </c>
      <c r="R43" s="74">
        <f>'Apr-23'!R43+'May-23'!I43</f>
        <v>0</v>
      </c>
      <c r="S43" s="74">
        <f>'Apr-23'!S43+'May-23'!J43</f>
        <v>58</v>
      </c>
      <c r="T43" s="122">
        <f t="shared" ref="T43:T44" si="37">IFERROR(O43/P43-1,"n/a")</f>
        <v>0.15873015873015883</v>
      </c>
      <c r="U43" s="122">
        <f>IFERROR(O43/Q43-1,"n/a")</f>
        <v>47.666666666666664</v>
      </c>
      <c r="V43" s="122" t="str">
        <f>IFERROR(O43/R43-1,"n/a")</f>
        <v>n/a</v>
      </c>
      <c r="W43" s="123">
        <f>IFERROR(O43/S43-1,"n/a")</f>
        <v>1.5172413793103448</v>
      </c>
      <c r="X43" s="89">
        <v>669</v>
      </c>
      <c r="Y43" s="89">
        <v>59</v>
      </c>
      <c r="Z43" s="70">
        <v>9</v>
      </c>
      <c r="AA43" s="78">
        <v>287</v>
      </c>
      <c r="AC43" s="9"/>
    </row>
    <row r="44" spans="1:29" ht="14.4">
      <c r="A44" s="9"/>
      <c r="B44" s="9"/>
      <c r="C44" s="33"/>
      <c r="D44" s="26" t="s">
        <v>11</v>
      </c>
      <c r="E44" s="32"/>
      <c r="F44" s="74">
        <f t="shared" si="34"/>
        <v>137318</v>
      </c>
      <c r="G44" s="74">
        <f t="shared" si="34"/>
        <v>88575</v>
      </c>
      <c r="H44" s="74">
        <f t="shared" si="34"/>
        <v>0</v>
      </c>
      <c r="I44" s="74">
        <f t="shared" si="34"/>
        <v>0</v>
      </c>
      <c r="J44" s="74">
        <f t="shared" si="34"/>
        <v>66376</v>
      </c>
      <c r="K44" s="64">
        <f>IFERROR(F44/G44-1,"n/a")</f>
        <v>0.55030200395145368</v>
      </c>
      <c r="L44" s="64" t="str">
        <f t="shared" si="35"/>
        <v>n/a</v>
      </c>
      <c r="M44" s="64" t="str">
        <f t="shared" si="36"/>
        <v>n/a</v>
      </c>
      <c r="N44" s="60">
        <f t="shared" ref="N44" si="38">IFERROR(F44/J44-1,"n/a")</f>
        <v>1.0687899240689407</v>
      </c>
      <c r="O44" s="74">
        <f>'Apr-23'!O44+'May-23'!F44</f>
        <v>203620</v>
      </c>
      <c r="P44" s="74">
        <f>'Apr-23'!P44+'May-23'!G44</f>
        <v>121151</v>
      </c>
      <c r="Q44" s="74">
        <f>'Apr-23'!Q44+'May-23'!H44</f>
        <v>0</v>
      </c>
      <c r="R44" s="74">
        <f>'Apr-23'!R44+'May-23'!I44</f>
        <v>0</v>
      </c>
      <c r="S44" s="74">
        <f>'Apr-23'!S44+'May-23'!J44</f>
        <v>102439</v>
      </c>
      <c r="T44" s="122">
        <f t="shared" si="37"/>
        <v>0.6807124992777609</v>
      </c>
      <c r="U44" s="122" t="str">
        <f>IFERROR(O44/Q44-1,"n/a")</f>
        <v>n/a</v>
      </c>
      <c r="V44" s="122" t="str">
        <f>IFERROR(O44/R44-1,"n/a")</f>
        <v>n/a</v>
      </c>
      <c r="W44" s="123">
        <f>IFERROR(O44/S44-1,"n/a")</f>
        <v>0.98771952088560022</v>
      </c>
      <c r="X44" s="82">
        <f>709768+195488</f>
        <v>905256</v>
      </c>
      <c r="Y44" s="82">
        <f>17541+6306</f>
        <v>23847</v>
      </c>
      <c r="Z44" s="84">
        <f>1642</f>
        <v>1642</v>
      </c>
      <c r="AA44" s="78">
        <v>351261</v>
      </c>
      <c r="AC44" s="9"/>
    </row>
    <row r="45" spans="1:29" ht="14.4">
      <c r="A45" s="9"/>
      <c r="B45" s="9"/>
      <c r="C45" s="31" t="s">
        <v>112</v>
      </c>
      <c r="D45" s="26"/>
      <c r="E45" s="34"/>
      <c r="F45" s="72"/>
      <c r="G45" s="72"/>
      <c r="H45" s="72"/>
      <c r="I45" s="72"/>
      <c r="J45" s="72"/>
      <c r="K45" s="64"/>
      <c r="L45" s="64"/>
      <c r="M45" s="64"/>
      <c r="N45" s="60"/>
      <c r="O45" s="72"/>
      <c r="P45" s="72"/>
      <c r="Q45" s="72"/>
      <c r="R45" s="72"/>
      <c r="S45" s="72"/>
      <c r="T45" s="64"/>
      <c r="U45" s="64"/>
      <c r="V45" s="64"/>
      <c r="W45" s="60"/>
      <c r="X45" s="90"/>
      <c r="Y45" s="90"/>
      <c r="Z45" s="44"/>
      <c r="AA45" s="79"/>
      <c r="AC45" s="9"/>
    </row>
    <row r="46" spans="1:29" ht="14.4">
      <c r="A46" s="9"/>
      <c r="B46" s="9"/>
      <c r="C46" s="33"/>
      <c r="D46" s="26" t="s">
        <v>5</v>
      </c>
      <c r="E46" s="34"/>
      <c r="F46" s="74">
        <f t="shared" ref="F46:J47" si="39">F22</f>
        <v>159</v>
      </c>
      <c r="G46" s="74">
        <f t="shared" si="39"/>
        <v>107</v>
      </c>
      <c r="H46" s="74">
        <f t="shared" si="39"/>
        <v>0</v>
      </c>
      <c r="I46" s="74">
        <f t="shared" si="39"/>
        <v>1</v>
      </c>
      <c r="J46" s="74">
        <f t="shared" si="39"/>
        <v>134</v>
      </c>
      <c r="K46" s="64">
        <f>IFERROR(F46/G46-1,"n/a")</f>
        <v>0.48598130841121501</v>
      </c>
      <c r="L46" s="64" t="str">
        <f t="shared" ref="L46:L47" si="40">IFERROR(F46/H46-1,"n/a")</f>
        <v>n/a</v>
      </c>
      <c r="M46" s="64">
        <f t="shared" ref="M46:M47" si="41">IFERROR(F46/I46-1,"n/a")</f>
        <v>158</v>
      </c>
      <c r="N46" s="60">
        <f t="shared" ref="N46:N47" si="42">IFERROR(F46/J46-1,"n/a")</f>
        <v>0.18656716417910446</v>
      </c>
      <c r="O46" s="74">
        <f>'Apr-23'!O46+'May-23'!F46</f>
        <v>311</v>
      </c>
      <c r="P46" s="74">
        <f>'Apr-23'!P46+'May-23'!G46</f>
        <v>207</v>
      </c>
      <c r="Q46" s="74">
        <f>'Apr-23'!Q46+'May-23'!H46</f>
        <v>0</v>
      </c>
      <c r="R46" s="74">
        <f>'Apr-23'!R46+'May-23'!I46</f>
        <v>1</v>
      </c>
      <c r="S46" s="74">
        <f>'Apr-23'!S46+'May-23'!J46</f>
        <v>329</v>
      </c>
      <c r="T46" s="122">
        <f t="shared" ref="T46:T47" si="43">IFERROR(O46/P46-1,"n/a")</f>
        <v>0.50241545893719808</v>
      </c>
      <c r="U46" s="122" t="str">
        <f>IFERROR(O46/Q46-1,"n/a")</f>
        <v>n/a</v>
      </c>
      <c r="V46" s="122">
        <f>IFERROR(O46/R46-1,"n/a")</f>
        <v>310</v>
      </c>
      <c r="W46" s="123">
        <f>IFERROR(O46/S46-1,"n/a")</f>
        <v>-5.4711246200607855E-2</v>
      </c>
      <c r="X46" s="89">
        <v>1129</v>
      </c>
      <c r="Y46" s="89">
        <v>336</v>
      </c>
      <c r="Z46" s="84">
        <v>260</v>
      </c>
      <c r="AA46" s="78">
        <v>1452</v>
      </c>
      <c r="AC46" s="9"/>
    </row>
    <row r="47" spans="1:29" ht="14.4">
      <c r="A47" s="9"/>
      <c r="B47" s="9"/>
      <c r="C47" s="33"/>
      <c r="D47" s="26" t="s">
        <v>11</v>
      </c>
      <c r="E47" s="32"/>
      <c r="F47" s="74">
        <f t="shared" si="39"/>
        <v>390316</v>
      </c>
      <c r="G47" s="74">
        <f t="shared" si="39"/>
        <v>173929</v>
      </c>
      <c r="H47" s="74">
        <f t="shared" si="39"/>
        <v>0</v>
      </c>
      <c r="I47" s="74">
        <f t="shared" si="39"/>
        <v>2010</v>
      </c>
      <c r="J47" s="74">
        <f t="shared" si="39"/>
        <v>322764</v>
      </c>
      <c r="K47" s="64">
        <f>IFERROR(F47/G47-1,"n/a")</f>
        <v>1.2441111028063174</v>
      </c>
      <c r="L47" s="64" t="str">
        <f t="shared" si="40"/>
        <v>n/a</v>
      </c>
      <c r="M47" s="64">
        <f t="shared" si="41"/>
        <v>193.18706467661693</v>
      </c>
      <c r="N47" s="60">
        <f t="shared" si="42"/>
        <v>0.20929223829175503</v>
      </c>
      <c r="O47" s="74">
        <f>'Apr-23'!O47+'May-23'!F47</f>
        <v>710048</v>
      </c>
      <c r="P47" s="74">
        <f>'Apr-23'!P47+'May-23'!G47</f>
        <v>289738</v>
      </c>
      <c r="Q47" s="74">
        <f>'Apr-23'!Q47+'May-23'!H47</f>
        <v>0</v>
      </c>
      <c r="R47" s="74">
        <f>'Apr-23'!R47+'May-23'!I47</f>
        <v>2010</v>
      </c>
      <c r="S47" s="74">
        <f>'Apr-23'!S47+'May-23'!J47</f>
        <v>706512</v>
      </c>
      <c r="T47" s="122">
        <f t="shared" si="43"/>
        <v>1.4506554197240265</v>
      </c>
      <c r="U47" s="122" t="str">
        <f>IFERROR(O47/Q47-1,"n/a")</f>
        <v>n/a</v>
      </c>
      <c r="V47" s="122">
        <f>IFERROR(O47/R47-1,"n/a")</f>
        <v>352.25771144278605</v>
      </c>
      <c r="W47" s="123">
        <f>IFERROR(O47/S47-1,"n/a")</f>
        <v>5.0048689901940335E-3</v>
      </c>
      <c r="X47" s="82">
        <v>2932981</v>
      </c>
      <c r="Y47" s="82">
        <v>533563</v>
      </c>
      <c r="Z47" s="84">
        <v>602416</v>
      </c>
      <c r="AA47" s="78">
        <v>3652688</v>
      </c>
      <c r="AC47" s="9"/>
    </row>
    <row r="48" spans="1:29" ht="14.4">
      <c r="C48" s="31" t="s">
        <v>113</v>
      </c>
      <c r="D48" s="26"/>
      <c r="E48" s="32"/>
      <c r="F48" s="72"/>
      <c r="G48" s="72"/>
      <c r="H48" s="72"/>
      <c r="I48" s="72"/>
      <c r="J48" s="72"/>
      <c r="K48" s="64"/>
      <c r="L48" s="64"/>
      <c r="M48" s="64"/>
      <c r="N48" s="60"/>
      <c r="O48" s="72"/>
      <c r="P48" s="72"/>
      <c r="Q48" s="72"/>
      <c r="R48" s="72"/>
      <c r="S48" s="72"/>
      <c r="T48" s="64"/>
      <c r="U48" s="64"/>
      <c r="V48" s="64"/>
      <c r="W48" s="60"/>
      <c r="X48" s="90"/>
      <c r="Y48" s="90"/>
      <c r="Z48" s="44"/>
      <c r="AA48" s="79"/>
      <c r="AC48" s="9"/>
    </row>
    <row r="49" spans="3:29" ht="14.4">
      <c r="C49" s="33"/>
      <c r="D49" s="26" t="s">
        <v>5</v>
      </c>
      <c r="E49" s="32"/>
      <c r="F49" s="74">
        <f t="shared" ref="F49:J50" si="44">F25</f>
        <v>0</v>
      </c>
      <c r="G49" s="74">
        <f t="shared" si="44"/>
        <v>0</v>
      </c>
      <c r="H49" s="74">
        <f t="shared" si="44"/>
        <v>0</v>
      </c>
      <c r="I49" s="74">
        <f t="shared" si="44"/>
        <v>0</v>
      </c>
      <c r="J49" s="74">
        <f t="shared" si="44"/>
        <v>2</v>
      </c>
      <c r="K49" s="64" t="str">
        <f>IFERROR(F49/G49-1,"n/a")</f>
        <v>n/a</v>
      </c>
      <c r="L49" s="64" t="str">
        <f t="shared" ref="L49:L52" si="45">IFERROR(F49/H49-1,"n/a")</f>
        <v>n/a</v>
      </c>
      <c r="M49" s="64" t="str">
        <f t="shared" ref="M49:M52" si="46">IFERROR(F49/I49-1,"n/a")</f>
        <v>n/a</v>
      </c>
      <c r="N49" s="60">
        <f t="shared" ref="N49:N52" si="47">IFERROR(F49/J49-1,"n/a")</f>
        <v>-1</v>
      </c>
      <c r="O49" s="74">
        <f>'Apr-23'!O49+'May-23'!F49</f>
        <v>0</v>
      </c>
      <c r="P49" s="74">
        <f>'Apr-23'!P49+'May-23'!G49</f>
        <v>1</v>
      </c>
      <c r="Q49" s="74">
        <f>'Apr-23'!Q49+'May-23'!H49</f>
        <v>0</v>
      </c>
      <c r="R49" s="74">
        <f>'Apr-23'!R49+'May-23'!I49</f>
        <v>0</v>
      </c>
      <c r="S49" s="74">
        <f>'Apr-23'!S49+'May-23'!J49</f>
        <v>3</v>
      </c>
      <c r="T49" s="122">
        <f t="shared" ref="T49:T52" si="48">IFERROR(O49/P49-1,"n/a")</f>
        <v>-1</v>
      </c>
      <c r="U49" s="122" t="str">
        <f>IFERROR(O49/Q49-1,"n/a")</f>
        <v>n/a</v>
      </c>
      <c r="V49" s="122" t="str">
        <f>IFERROR(O49/R49-1,"n/a")</f>
        <v>n/a</v>
      </c>
      <c r="W49" s="123">
        <f>IFERROR(O49/S49-1,"n/a")</f>
        <v>-1</v>
      </c>
      <c r="X49" s="89">
        <v>9</v>
      </c>
      <c r="Y49" s="82">
        <v>0</v>
      </c>
      <c r="Z49" s="82">
        <v>0</v>
      </c>
      <c r="AA49" s="78">
        <v>16</v>
      </c>
      <c r="AC49" s="9"/>
    </row>
    <row r="50" spans="3:29" ht="14.4">
      <c r="C50" s="33"/>
      <c r="D50" s="26" t="s">
        <v>11</v>
      </c>
      <c r="E50" s="32"/>
      <c r="F50" s="74">
        <f t="shared" si="44"/>
        <v>0</v>
      </c>
      <c r="G50" s="74">
        <f t="shared" si="44"/>
        <v>0</v>
      </c>
      <c r="H50" s="74">
        <f t="shared" si="44"/>
        <v>0</v>
      </c>
      <c r="I50" s="74">
        <f t="shared" si="44"/>
        <v>0</v>
      </c>
      <c r="J50" s="74">
        <f t="shared" si="44"/>
        <v>2351</v>
      </c>
      <c r="K50" s="64" t="str">
        <f>IFERROR(F50/G50-1,"n/a")</f>
        <v>n/a</v>
      </c>
      <c r="L50" s="64" t="str">
        <f t="shared" si="45"/>
        <v>n/a</v>
      </c>
      <c r="M50" s="64" t="str">
        <f t="shared" si="46"/>
        <v>n/a</v>
      </c>
      <c r="N50" s="60">
        <f t="shared" si="47"/>
        <v>-1</v>
      </c>
      <c r="O50" s="74">
        <f>'Apr-23'!O50+'May-23'!F50</f>
        <v>0</v>
      </c>
      <c r="P50" s="74">
        <f>'Apr-23'!P50+'May-23'!G50</f>
        <v>925</v>
      </c>
      <c r="Q50" s="74">
        <f>'Apr-23'!Q50+'May-23'!H50</f>
        <v>0</v>
      </c>
      <c r="R50" s="74">
        <f>'Apr-23'!R50+'May-23'!I50</f>
        <v>0</v>
      </c>
      <c r="S50" s="74">
        <f>'Apr-23'!S50+'May-23'!J50</f>
        <v>3410</v>
      </c>
      <c r="T50" s="122">
        <f t="shared" si="48"/>
        <v>-1</v>
      </c>
      <c r="U50" s="122" t="str">
        <f>IFERROR(O50/Q50-1,"n/a")</f>
        <v>n/a</v>
      </c>
      <c r="V50" s="122" t="str">
        <f>IFERROR(O50/R50-1,"n/a")</f>
        <v>n/a</v>
      </c>
      <c r="W50" s="123">
        <f>IFERROR(O50/S50-1,"n/a")</f>
        <v>-1</v>
      </c>
      <c r="X50" s="82">
        <v>15637</v>
      </c>
      <c r="Y50" s="82">
        <v>0</v>
      </c>
      <c r="Z50" s="82">
        <v>0</v>
      </c>
      <c r="AA50" s="78">
        <v>20248</v>
      </c>
      <c r="AC50" s="9"/>
    </row>
    <row r="51" spans="3:29" thickBot="1">
      <c r="C51" s="35" t="s">
        <v>12</v>
      </c>
      <c r="D51" s="36"/>
      <c r="E51" s="37"/>
      <c r="F51" s="75">
        <f>F37+F40+F43+F46+F49</f>
        <v>427</v>
      </c>
      <c r="G51" s="75">
        <f t="shared" ref="G51:J52" si="49">G37+G40+G43+G46+G49</f>
        <v>352</v>
      </c>
      <c r="H51" s="75">
        <f t="shared" si="49"/>
        <v>18</v>
      </c>
      <c r="I51" s="75">
        <f t="shared" si="49"/>
        <v>1</v>
      </c>
      <c r="J51" s="75">
        <f t="shared" si="49"/>
        <v>334</v>
      </c>
      <c r="K51" s="66">
        <f>IFERROR(F51/G51-1,"n/a")</f>
        <v>0.21306818181818188</v>
      </c>
      <c r="L51" s="66">
        <f>IFERROR(F51/H51-1,"n/a")</f>
        <v>22.722222222222221</v>
      </c>
      <c r="M51" s="66">
        <f t="shared" si="46"/>
        <v>426</v>
      </c>
      <c r="N51" s="62">
        <f t="shared" si="47"/>
        <v>0.27844311377245501</v>
      </c>
      <c r="O51" s="75">
        <f t="shared" ref="O51:S52" si="50">O37+O40+O43+O46+O49</f>
        <v>801</v>
      </c>
      <c r="P51" s="75">
        <f t="shared" si="50"/>
        <v>680</v>
      </c>
      <c r="Q51" s="75">
        <f t="shared" si="50"/>
        <v>25</v>
      </c>
      <c r="R51" s="75">
        <f t="shared" si="50"/>
        <v>43</v>
      </c>
      <c r="S51" s="75">
        <f t="shared" si="50"/>
        <v>731</v>
      </c>
      <c r="T51" s="66">
        <f>IFERROR(O51/P51-1,"n/a")</f>
        <v>0.17794117647058827</v>
      </c>
      <c r="U51" s="66">
        <f>IFERROR(O51/Q51-1,"n/a")</f>
        <v>31.04</v>
      </c>
      <c r="V51" s="66">
        <f>IFERROR(O51/R51-1,"n/a")</f>
        <v>17.627906976744185</v>
      </c>
      <c r="W51" s="62">
        <f>IFERROR(O51/S51-1,"n/a")</f>
        <v>9.5759233926128617E-2</v>
      </c>
      <c r="X51" s="46">
        <f t="shared" ref="X51:Z52" si="51">X37+X40+X43+X46+X49</f>
        <v>3856</v>
      </c>
      <c r="Y51" s="46">
        <f t="shared" si="51"/>
        <v>1673</v>
      </c>
      <c r="Z51" s="46">
        <f t="shared" si="51"/>
        <v>886</v>
      </c>
      <c r="AA51" s="80">
        <f>AA37+AA40+AA43+AA46+AA49</f>
        <v>3912</v>
      </c>
      <c r="AC51" s="9"/>
    </row>
    <row r="52" spans="3:29" ht="15.6" thickTop="1" thickBot="1">
      <c r="C52" s="38" t="s">
        <v>13</v>
      </c>
      <c r="D52" s="39"/>
      <c r="E52" s="40"/>
      <c r="F52" s="76">
        <f>F38+F41+F44+F47+F50</f>
        <v>1041959</v>
      </c>
      <c r="G52" s="76">
        <f t="shared" si="49"/>
        <v>579510</v>
      </c>
      <c r="H52" s="76">
        <f t="shared" si="49"/>
        <v>24481</v>
      </c>
      <c r="I52" s="76">
        <f t="shared" si="49"/>
        <v>2010</v>
      </c>
      <c r="J52" s="76">
        <f t="shared" si="49"/>
        <v>859943</v>
      </c>
      <c r="K52" s="67">
        <f>IFERROR(F52/G52-1,"n/a")</f>
        <v>0.79800003451191515</v>
      </c>
      <c r="L52" s="67">
        <f t="shared" si="45"/>
        <v>41.561945998937951</v>
      </c>
      <c r="M52" s="67">
        <f t="shared" si="46"/>
        <v>517.38756218905473</v>
      </c>
      <c r="N52" s="63">
        <f t="shared" si="47"/>
        <v>0.21166054029162407</v>
      </c>
      <c r="O52" s="76">
        <f t="shared" si="50"/>
        <v>1985092</v>
      </c>
      <c r="P52" s="76">
        <f t="shared" si="50"/>
        <v>1086975</v>
      </c>
      <c r="Q52" s="76">
        <f t="shared" si="50"/>
        <v>30483</v>
      </c>
      <c r="R52" s="76">
        <f t="shared" si="50"/>
        <v>2010</v>
      </c>
      <c r="S52" s="76">
        <f t="shared" si="50"/>
        <v>1822189</v>
      </c>
      <c r="T52" s="67">
        <f t="shared" si="48"/>
        <v>0.82625359368890727</v>
      </c>
      <c r="U52" s="120">
        <f>IFERROR(O52/Q52-1,"n/a")</f>
        <v>64.121280713840505</v>
      </c>
      <c r="V52" s="120">
        <f>IFERROR(O52/R52-1,"n/a")</f>
        <v>986.60796019900499</v>
      </c>
      <c r="W52" s="121">
        <f>IFERROR(O52/S52-1,"n/a")</f>
        <v>8.9399617712542456E-2</v>
      </c>
      <c r="X52" s="47">
        <f t="shared" si="51"/>
        <v>9237323</v>
      </c>
      <c r="Y52" s="47">
        <f t="shared" si="51"/>
        <v>2413306</v>
      </c>
      <c r="Z52" s="47">
        <f t="shared" si="51"/>
        <v>1777720</v>
      </c>
      <c r="AA52" s="81">
        <f>AA38+AA41+AA44+AA47+AA50</f>
        <v>9620127</v>
      </c>
      <c r="AC52" s="9"/>
    </row>
    <row r="53" spans="3:29" thickTop="1">
      <c r="AC53" s="9"/>
    </row>
    <row r="54" spans="3:29" ht="14.4">
      <c r="P54" s="111"/>
      <c r="Q54" s="111"/>
      <c r="R54" s="111"/>
      <c r="S54" s="111"/>
      <c r="AC54" s="9"/>
    </row>
    <row r="55" spans="3:29" ht="14.4">
      <c r="P55" s="111"/>
      <c r="Q55" s="111"/>
      <c r="R55" s="111"/>
      <c r="S55" s="111"/>
      <c r="AC55" s="9"/>
    </row>
    <row r="56" spans="3:29" ht="14.4">
      <c r="P56" s="111"/>
      <c r="Q56" s="111"/>
      <c r="R56" s="111"/>
      <c r="S56" s="111"/>
      <c r="AC56" s="9"/>
    </row>
    <row r="57" spans="3:29" ht="14.4">
      <c r="P57" s="111"/>
      <c r="Q57" s="111"/>
      <c r="R57" s="111"/>
      <c r="S57" s="111"/>
      <c r="AC57" s="9"/>
    </row>
    <row r="58" spans="3:29" ht="14.4">
      <c r="AC58" s="9"/>
    </row>
    <row r="59" spans="3:29" ht="14.4">
      <c r="AC59" s="9"/>
    </row>
    <row r="60" spans="3:29" ht="14.4">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A20" zoomScale="84" workbookViewId="0">
      <selection activeCell="F22" sqref="F22:F23"/>
    </sheetView>
  </sheetViews>
  <sheetFormatPr defaultColWidth="0" defaultRowHeight="15" customHeight="1" zeroHeight="1"/>
  <cols>
    <col min="1" max="2" width="4.109375" customWidth="1"/>
    <col min="3" max="3" width="3.6640625" customWidth="1"/>
    <col min="4" max="4" width="8.88671875" customWidth="1"/>
    <col min="5" max="5" width="10.6640625" bestFit="1" customWidth="1"/>
    <col min="6" max="6" width="9.109375" bestFit="1" customWidth="1"/>
    <col min="7" max="7" width="9.44140625" bestFit="1" customWidth="1"/>
    <col min="8" max="9" width="8.88671875" customWidth="1"/>
    <col min="10" max="10" width="9.44140625" bestFit="1" customWidth="1"/>
    <col min="11" max="11" width="8" customWidth="1"/>
    <col min="12" max="12" width="8.88671875" bestFit="1" customWidth="1"/>
    <col min="13" max="14" width="8" customWidth="1"/>
    <col min="15" max="18" width="10.44140625" bestFit="1" customWidth="1"/>
    <col min="19" max="19" width="11" bestFit="1" customWidth="1"/>
    <col min="20" max="20" width="9.109375" bestFit="1" customWidth="1"/>
    <col min="21" max="21" width="8.88671875" bestFit="1" customWidth="1"/>
    <col min="22" max="22" width="9" bestFit="1" customWidth="1"/>
    <col min="23" max="23" width="7.6640625" customWidth="1"/>
    <col min="24" max="24" width="12.44140625" bestFit="1" customWidth="1"/>
    <col min="25" max="26" width="12" bestFit="1" customWidth="1"/>
    <col min="27" max="27" width="12.44140625" bestFit="1" customWidth="1"/>
    <col min="28" max="28" width="11.33203125" customWidth="1"/>
    <col min="29" max="29" width="3.44140625" customWidth="1"/>
    <col min="30" max="16384" width="8.88671875" hidden="1"/>
  </cols>
  <sheetData>
    <row r="1" spans="1:29" ht="14.4">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45058</v>
      </c>
      <c r="AB3" s="25"/>
      <c r="AC3" s="9"/>
    </row>
    <row r="4" spans="1:29" ht="16.2">
      <c r="A4" s="9"/>
      <c r="B4" s="11" t="s">
        <v>7</v>
      </c>
      <c r="C4" s="26"/>
      <c r="D4" s="24"/>
      <c r="E4" s="58" t="s">
        <v>114</v>
      </c>
      <c r="F4" s="24"/>
      <c r="G4" s="24"/>
      <c r="H4" s="24"/>
      <c r="I4" s="24"/>
      <c r="J4" s="24"/>
      <c r="K4" s="24"/>
      <c r="L4" s="24"/>
      <c r="M4" s="24"/>
      <c r="N4" s="24"/>
      <c r="O4" s="24"/>
      <c r="P4" s="24"/>
      <c r="Q4" s="24"/>
      <c r="R4" s="24"/>
      <c r="S4" s="24"/>
      <c r="T4" s="24"/>
      <c r="U4" s="24"/>
      <c r="V4" s="24"/>
      <c r="W4" s="24"/>
      <c r="X4" s="24"/>
      <c r="Y4" s="24"/>
      <c r="Z4" s="24"/>
      <c r="AA4" s="24"/>
      <c r="AB4" s="24"/>
      <c r="AC4" s="9"/>
    </row>
    <row r="5" spans="1:29"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ht="14.4">
      <c r="A9" s="9"/>
      <c r="C9" s="27" t="s">
        <v>7</v>
      </c>
      <c r="D9" s="28"/>
      <c r="E9" s="28"/>
      <c r="F9" s="128" t="s">
        <v>45</v>
      </c>
      <c r="G9" s="128"/>
      <c r="H9" s="128"/>
      <c r="I9" s="128"/>
      <c r="J9" s="128"/>
      <c r="K9" s="128"/>
      <c r="L9" s="128"/>
      <c r="M9" s="128"/>
      <c r="N9" s="129"/>
      <c r="O9" s="130" t="s">
        <v>46</v>
      </c>
      <c r="P9" s="128"/>
      <c r="Q9" s="128"/>
      <c r="R9" s="128"/>
      <c r="S9" s="128"/>
      <c r="T9" s="128"/>
      <c r="U9" s="128"/>
      <c r="V9" s="128"/>
      <c r="W9" s="129"/>
      <c r="X9" s="130" t="s">
        <v>57</v>
      </c>
      <c r="Y9" s="128"/>
      <c r="Z9" s="128"/>
      <c r="AA9" s="131"/>
      <c r="AB9" s="9"/>
      <c r="AC9" s="9"/>
    </row>
    <row r="10" spans="1:29" ht="14.4">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9"/>
      <c r="AC10" s="9"/>
    </row>
    <row r="11" spans="1:29" ht="25.95" customHeight="1">
      <c r="A11" s="48"/>
      <c r="B11" s="49"/>
      <c r="C11" s="59" t="s">
        <v>29</v>
      </c>
      <c r="D11" s="50"/>
      <c r="E11" s="51"/>
      <c r="F11" s="55">
        <v>2023</v>
      </c>
      <c r="G11" s="52">
        <v>2022</v>
      </c>
      <c r="H11" s="52">
        <v>2021</v>
      </c>
      <c r="I11" s="52">
        <v>2020</v>
      </c>
      <c r="J11" s="52">
        <v>2019</v>
      </c>
      <c r="K11" s="53" t="s">
        <v>66</v>
      </c>
      <c r="L11" s="53" t="s">
        <v>67</v>
      </c>
      <c r="M11" s="53" t="s">
        <v>68</v>
      </c>
      <c r="N11" s="57" t="s">
        <v>102</v>
      </c>
      <c r="O11" s="53">
        <v>2023</v>
      </c>
      <c r="P11" s="53">
        <v>2022</v>
      </c>
      <c r="Q11" s="52">
        <v>2021</v>
      </c>
      <c r="R11" s="52">
        <v>2020</v>
      </c>
      <c r="S11" s="52">
        <v>2019</v>
      </c>
      <c r="T11" s="53" t="s">
        <v>66</v>
      </c>
      <c r="U11" s="53" t="s">
        <v>67</v>
      </c>
      <c r="V11" s="53" t="s">
        <v>68</v>
      </c>
      <c r="W11" s="57" t="s">
        <v>102</v>
      </c>
      <c r="X11" s="53">
        <v>2022</v>
      </c>
      <c r="Y11" s="53">
        <v>2021</v>
      </c>
      <c r="Z11" s="52">
        <v>2020</v>
      </c>
      <c r="AA11" s="77">
        <v>2019</v>
      </c>
      <c r="AB11" s="48"/>
      <c r="AC11" s="48"/>
    </row>
    <row r="12" spans="1:29" ht="14.4">
      <c r="A12" s="9"/>
      <c r="B12" s="12"/>
      <c r="C12" s="31" t="s">
        <v>109</v>
      </c>
      <c r="D12" s="26"/>
      <c r="E12" s="32"/>
      <c r="F12" s="26"/>
      <c r="G12" s="26"/>
      <c r="H12" s="26"/>
      <c r="I12" s="26"/>
      <c r="J12" s="26"/>
      <c r="K12" s="26"/>
      <c r="L12" s="26"/>
      <c r="M12" s="26"/>
      <c r="N12" s="32"/>
      <c r="O12" s="26"/>
      <c r="P12" s="26"/>
      <c r="Q12" s="26"/>
      <c r="R12" s="26"/>
      <c r="S12" s="26"/>
      <c r="T12" s="26"/>
      <c r="U12" s="26"/>
      <c r="V12" s="26"/>
      <c r="W12" s="32"/>
      <c r="X12" s="26"/>
      <c r="Y12" s="26"/>
      <c r="Z12" s="26"/>
      <c r="AA12" s="32"/>
      <c r="AB12" s="9"/>
      <c r="AC12" s="9"/>
    </row>
    <row r="13" spans="1:29" ht="14.4">
      <c r="A13" s="9"/>
      <c r="B13" s="12"/>
      <c r="C13" s="33"/>
      <c r="D13" s="26" t="s">
        <v>5</v>
      </c>
      <c r="E13" s="32"/>
      <c r="F13" s="73">
        <v>129</v>
      </c>
      <c r="G13" s="71">
        <v>136</v>
      </c>
      <c r="H13" s="71">
        <v>0</v>
      </c>
      <c r="I13" s="71">
        <v>42</v>
      </c>
      <c r="J13" s="71">
        <v>129</v>
      </c>
      <c r="K13" s="64">
        <f>IFERROR(F13/G13-1,"n/a")</f>
        <v>-5.1470588235294157E-2</v>
      </c>
      <c r="L13" s="64" t="str">
        <f t="shared" ref="L13:L28" si="0">IFERROR(F13/H13-1,"n/a")</f>
        <v>n/a</v>
      </c>
      <c r="M13" s="64">
        <f>IFERROR(F13/I13-1,"n/a")</f>
        <v>2.0714285714285716</v>
      </c>
      <c r="N13" s="60">
        <f t="shared" ref="N13:N14" si="1">IFERROR(F13/J13-1,"n/a")</f>
        <v>0</v>
      </c>
      <c r="O13" s="68">
        <f>'Mar-23'!O13+'Apr-23'!F13</f>
        <v>659</v>
      </c>
      <c r="P13" s="68">
        <f>'Mar-23'!$P$13+G13</f>
        <v>666</v>
      </c>
      <c r="Q13" s="68">
        <f>'Mar-23'!Q13+'Apr-23'!H13</f>
        <v>0</v>
      </c>
      <c r="R13" s="68">
        <f>'Mar-23'!R13+'Apr-23'!I13</f>
        <v>551</v>
      </c>
      <c r="S13" s="68">
        <f>'Mar-23'!S13+'Apr-23'!J13</f>
        <v>645</v>
      </c>
      <c r="T13" s="64">
        <f>IFERROR(O13/P13-1,"n/a")</f>
        <v>-1.0510510510510551E-2</v>
      </c>
      <c r="U13" s="64" t="str">
        <f>IFERROR(O13/Q13-1,"n/a")</f>
        <v>n/a</v>
      </c>
      <c r="V13" s="64">
        <f>IFERROR(O13/R13-1,"n/a")</f>
        <v>0.19600725952813058</v>
      </c>
      <c r="W13" s="60">
        <f>IFERROR(O13/S13-1,"n/a")</f>
        <v>2.170542635658923E-2</v>
      </c>
      <c r="X13" s="68">
        <v>346</v>
      </c>
      <c r="Y13" s="68">
        <v>111</v>
      </c>
      <c r="Z13" s="70">
        <v>145</v>
      </c>
      <c r="AA13" s="78">
        <v>386</v>
      </c>
      <c r="AB13" s="9"/>
      <c r="AC13" s="9"/>
    </row>
    <row r="14" spans="1:29" ht="14.4">
      <c r="A14" s="9"/>
      <c r="B14" s="12"/>
      <c r="C14" s="33"/>
      <c r="D14" s="26" t="s">
        <v>11</v>
      </c>
      <c r="E14" s="32"/>
      <c r="F14" s="73">
        <v>449751</v>
      </c>
      <c r="G14" s="71">
        <v>297788</v>
      </c>
      <c r="H14" s="71">
        <v>0</v>
      </c>
      <c r="I14" s="71">
        <v>0</v>
      </c>
      <c r="J14" s="71">
        <v>394045</v>
      </c>
      <c r="K14" s="64">
        <f>IFERROR(F14/G14-1,"n/a")</f>
        <v>0.51030598949588302</v>
      </c>
      <c r="L14" s="64" t="str">
        <f t="shared" si="0"/>
        <v>n/a</v>
      </c>
      <c r="M14" s="64" t="str">
        <f t="shared" ref="M14" si="2">IFERROR(F14/I14-1,"n/a")</f>
        <v>n/a</v>
      </c>
      <c r="N14" s="60">
        <f t="shared" si="1"/>
        <v>0.14136964052329049</v>
      </c>
      <c r="O14" s="68">
        <f>'Mar-23'!$O$14+F14</f>
        <v>1987935</v>
      </c>
      <c r="P14" s="68">
        <f>'Mar-23'!P14+'Apr-23'!G14</f>
        <v>1057446</v>
      </c>
      <c r="Q14" s="68">
        <f>'Mar-23'!Q14+'Apr-23'!H14</f>
        <v>0</v>
      </c>
      <c r="R14" s="68">
        <f>'Mar-23'!R14+'Apr-23'!I14</f>
        <v>1092884</v>
      </c>
      <c r="S14" s="68">
        <f>'Mar-23'!S14+'Apr-23'!J14</f>
        <v>1845149</v>
      </c>
      <c r="T14" s="64">
        <f>IFERROR(O14/P14-1,"n/a")</f>
        <v>0.87993996856577072</v>
      </c>
      <c r="U14" s="64" t="str">
        <f>IFERROR(O14/Q14-1,"n/a")</f>
        <v>n/a</v>
      </c>
      <c r="V14" s="64">
        <f>IFERROR(O14/R14-1,"n/a")</f>
        <v>0.81898078844598321</v>
      </c>
      <c r="W14" s="60">
        <f>IFERROR(O14/S14-1,"n/a")</f>
        <v>7.7384536424971673E-2</v>
      </c>
      <c r="X14" s="68">
        <v>380182</v>
      </c>
      <c r="Y14" s="68">
        <v>80863</v>
      </c>
      <c r="Z14" s="70">
        <v>258885</v>
      </c>
      <c r="AA14" s="78">
        <v>733296</v>
      </c>
      <c r="AB14" s="9"/>
      <c r="AC14" s="9"/>
    </row>
    <row r="15" spans="1:29" ht="14.4">
      <c r="A15" s="9"/>
      <c r="B15" s="12"/>
      <c r="C15" s="31" t="s">
        <v>110</v>
      </c>
      <c r="D15" s="26"/>
      <c r="E15" s="32"/>
      <c r="F15" s="97"/>
      <c r="G15" s="26"/>
      <c r="H15" s="26"/>
      <c r="I15" s="26"/>
      <c r="J15" s="26"/>
      <c r="K15" s="64"/>
      <c r="L15" s="64"/>
      <c r="M15" s="64"/>
      <c r="N15" s="61"/>
      <c r="O15" s="87"/>
      <c r="P15" s="87"/>
      <c r="Q15" s="87"/>
      <c r="R15" s="87"/>
      <c r="S15" s="87"/>
      <c r="T15" s="64"/>
      <c r="U15" s="64"/>
      <c r="V15" s="65"/>
      <c r="W15" s="61"/>
      <c r="X15" s="43"/>
      <c r="Y15" s="43"/>
      <c r="Z15" s="44"/>
      <c r="AA15" s="79"/>
      <c r="AB15" s="9"/>
      <c r="AC15" s="9"/>
    </row>
    <row r="16" spans="1:29" ht="14.4">
      <c r="A16" s="9"/>
      <c r="B16" s="12"/>
      <c r="C16" s="33"/>
      <c r="D16" s="26" t="s">
        <v>5</v>
      </c>
      <c r="E16" s="32"/>
      <c r="F16" s="74">
        <v>46</v>
      </c>
      <c r="G16" s="71">
        <v>56</v>
      </c>
      <c r="H16" s="71">
        <f>'[2]Cruise KPI 2019&amp;2023Regional-BD'!$G$13</f>
        <v>5</v>
      </c>
      <c r="I16" s="71">
        <v>0</v>
      </c>
      <c r="J16" s="71">
        <v>51</v>
      </c>
      <c r="K16" s="64">
        <f>IFERROR(F16/G16-1,"n/a")</f>
        <v>-0.1785714285714286</v>
      </c>
      <c r="L16" s="64">
        <f t="shared" si="0"/>
        <v>8.1999999999999993</v>
      </c>
      <c r="M16" s="64" t="str">
        <f t="shared" ref="M16:M17" si="3">IFERROR(F16/I16-1,"n/a")</f>
        <v>n/a</v>
      </c>
      <c r="N16" s="60">
        <f t="shared" ref="N16:N17" si="4">IFERROR(F16/J16-1,"n/a")</f>
        <v>-9.8039215686274495E-2</v>
      </c>
      <c r="O16" s="68">
        <f>'Mar-23'!$O$16+F16</f>
        <v>73</v>
      </c>
      <c r="P16" s="68">
        <f>'Mar-23'!P16+'Apr-23'!G16</f>
        <v>92</v>
      </c>
      <c r="Q16" s="68">
        <f>'Mar-23'!Q16+'Apr-23'!H16</f>
        <v>17</v>
      </c>
      <c r="R16" s="68">
        <f>'Mar-23'!R16+'Apr-23'!I16</f>
        <v>10</v>
      </c>
      <c r="S16" s="68">
        <f>'Mar-23'!S16+'Apr-23'!J16</f>
        <v>74</v>
      </c>
      <c r="T16" s="64">
        <f>IFERROR(O16/P16-1,"n/a")</f>
        <v>-0.20652173913043481</v>
      </c>
      <c r="U16" s="64">
        <f t="shared" ref="U16:U17" si="5">IFERROR(O16/Q16-1,"n/a")</f>
        <v>3.2941176470588234</v>
      </c>
      <c r="V16" s="64">
        <f t="shared" ref="V16:V17" si="6">IFERROR(O16/R16-1,"n/a")</f>
        <v>6.3</v>
      </c>
      <c r="W16" s="60">
        <f t="shared" ref="W16:W17" si="7">IFERROR(O16/S16-1,"n/a")</f>
        <v>-1.3513513513513487E-2</v>
      </c>
      <c r="X16" s="68">
        <v>778</v>
      </c>
      <c r="Y16" s="68">
        <v>283</v>
      </c>
      <c r="Z16" s="70">
        <v>43</v>
      </c>
      <c r="AA16" s="78">
        <v>827</v>
      </c>
      <c r="AB16" s="9"/>
      <c r="AC16" s="9"/>
    </row>
    <row r="17" spans="1:29" ht="14.4">
      <c r="A17" s="9"/>
      <c r="B17" s="12"/>
      <c r="C17" s="33"/>
      <c r="D17" s="26" t="s">
        <v>11</v>
      </c>
      <c r="E17" s="32"/>
      <c r="F17" s="74">
        <v>107348</v>
      </c>
      <c r="G17" s="71">
        <v>60367</v>
      </c>
      <c r="H17" s="71">
        <v>6002</v>
      </c>
      <c r="I17" s="71">
        <v>0</v>
      </c>
      <c r="J17" s="71">
        <v>147331</v>
      </c>
      <c r="K17" s="64">
        <f>IFERROR(F17/G17-1,"n/a")</f>
        <v>0.7782563321019762</v>
      </c>
      <c r="L17" s="64">
        <f t="shared" si="0"/>
        <v>16.885371542819062</v>
      </c>
      <c r="M17" s="64" t="str">
        <f t="shared" si="3"/>
        <v>n/a</v>
      </c>
      <c r="N17" s="60">
        <f t="shared" si="4"/>
        <v>-0.27138212596127087</v>
      </c>
      <c r="O17" s="68">
        <f>'Mar-23'!O17+'Apr-23'!F17</f>
        <v>190403</v>
      </c>
      <c r="P17" s="68">
        <f>'Mar-23'!P17+'Apr-23'!G17</f>
        <v>96875</v>
      </c>
      <c r="Q17" s="68">
        <f>'Mar-23'!Q17+'Apr-23'!H17</f>
        <v>16105</v>
      </c>
      <c r="R17" s="68">
        <f>'Mar-23'!R17+'Apr-23'!I17</f>
        <v>41113</v>
      </c>
      <c r="S17" s="68">
        <f>'Mar-23'!S17+'Apr-23'!J17</f>
        <v>227705</v>
      </c>
      <c r="T17" s="64">
        <f>IFERROR(O17/P17-1,"n/a")</f>
        <v>0.96545032258064523</v>
      </c>
      <c r="U17" s="64">
        <f t="shared" si="5"/>
        <v>10.822601676497982</v>
      </c>
      <c r="V17" s="64">
        <f t="shared" si="6"/>
        <v>3.6312115389292927</v>
      </c>
      <c r="W17" s="60">
        <f t="shared" si="7"/>
        <v>-0.16381721964822904</v>
      </c>
      <c r="X17" s="68">
        <v>1843624</v>
      </c>
      <c r="Y17" s="68">
        <v>465109</v>
      </c>
      <c r="Z17" s="70">
        <v>140552</v>
      </c>
      <c r="AA17" s="78">
        <v>2552942</v>
      </c>
      <c r="AB17" s="9"/>
      <c r="AC17" s="9"/>
    </row>
    <row r="18" spans="1:29" ht="14.4">
      <c r="A18" s="9"/>
      <c r="B18" s="12"/>
      <c r="C18" s="31" t="s">
        <v>111</v>
      </c>
      <c r="D18" s="26"/>
      <c r="E18" s="32"/>
      <c r="F18" s="72"/>
      <c r="G18" s="72"/>
      <c r="H18" s="72"/>
      <c r="I18" s="72"/>
      <c r="J18" s="72"/>
      <c r="K18" s="64"/>
      <c r="L18" s="64"/>
      <c r="M18" s="64"/>
      <c r="N18" s="60"/>
      <c r="O18" s="87"/>
      <c r="P18" s="87"/>
      <c r="Q18" s="87"/>
      <c r="R18" s="87"/>
      <c r="S18" s="87"/>
      <c r="T18" s="64"/>
      <c r="U18" s="64"/>
      <c r="V18" s="64"/>
      <c r="W18" s="60"/>
      <c r="X18" s="43"/>
      <c r="Y18" s="43"/>
      <c r="Z18" s="44"/>
      <c r="AA18" s="79"/>
      <c r="AB18" s="9"/>
      <c r="AC18" s="9"/>
    </row>
    <row r="19" spans="1:29" ht="14.4">
      <c r="A19" s="9"/>
      <c r="B19" s="12"/>
      <c r="C19" s="33"/>
      <c r="D19" s="26" t="s">
        <v>5</v>
      </c>
      <c r="E19" s="32"/>
      <c r="F19" s="73">
        <v>47</v>
      </c>
      <c r="G19" s="71">
        <v>35</v>
      </c>
      <c r="H19" s="71">
        <v>2</v>
      </c>
      <c r="I19" s="71">
        <v>0</v>
      </c>
      <c r="J19" s="71">
        <v>21</v>
      </c>
      <c r="K19" s="64">
        <f>IFERROR(F19/G19-1,"n/a")</f>
        <v>0.34285714285714275</v>
      </c>
      <c r="L19" s="64">
        <f t="shared" si="0"/>
        <v>22.5</v>
      </c>
      <c r="M19" s="64" t="str">
        <f t="shared" ref="M19:M20" si="8">IFERROR(F19/I19-1,"n/a")</f>
        <v>n/a</v>
      </c>
      <c r="N19" s="60">
        <f>IFERROR(F19/J19-1,"n/a")</f>
        <v>1.2380952380952381</v>
      </c>
      <c r="O19" s="68">
        <f>'Mar-23'!O19+'Apr-23'!F19</f>
        <v>70</v>
      </c>
      <c r="P19" s="68">
        <f>'Mar-23'!P19+'Apr-23'!G19</f>
        <v>47</v>
      </c>
      <c r="Q19" s="68">
        <f>'Mar-23'!Q19+'Apr-23'!H19</f>
        <v>2</v>
      </c>
      <c r="R19" s="68">
        <f>'Mar-23'!R19+'Apr-23'!I19</f>
        <v>3</v>
      </c>
      <c r="S19" s="68">
        <f>'Mar-23'!S19+'Apr-23'!J19</f>
        <v>27</v>
      </c>
      <c r="T19" s="64">
        <f>IFERROR(O19/P19-1,"n/a")</f>
        <v>0.4893617021276595</v>
      </c>
      <c r="U19" s="64">
        <f t="shared" ref="U19:U20" si="9">IFERROR(O19/Q19-1,"n/a")</f>
        <v>34</v>
      </c>
      <c r="V19" s="64">
        <f t="shared" ref="V19:V20" si="10">IFERROR(O19/R19-1,"n/a")</f>
        <v>22.333333333333332</v>
      </c>
      <c r="W19" s="60">
        <f t="shared" ref="W19:W20" si="11">IFERROR(O19/S19-1,"n/a")</f>
        <v>1.5925925925925926</v>
      </c>
      <c r="X19" s="68">
        <v>475</v>
      </c>
      <c r="Y19" s="68">
        <v>23</v>
      </c>
      <c r="Z19" s="70">
        <v>4</v>
      </c>
      <c r="AA19" s="78">
        <v>191</v>
      </c>
      <c r="AB19" s="9"/>
      <c r="AC19" s="9"/>
    </row>
    <row r="20" spans="1:29" ht="14.4">
      <c r="A20" s="9"/>
      <c r="B20" s="12"/>
      <c r="C20" s="33"/>
      <c r="D20" s="26" t="s">
        <v>11</v>
      </c>
      <c r="E20" s="32"/>
      <c r="F20" s="73">
        <f>61254+257+4791</f>
        <v>66302</v>
      </c>
      <c r="G20" s="71">
        <f>27021+5555</f>
        <v>32576</v>
      </c>
      <c r="H20" s="71">
        <v>0</v>
      </c>
      <c r="I20" s="71">
        <v>0</v>
      </c>
      <c r="J20" s="71">
        <f>29071+6992</f>
        <v>36063</v>
      </c>
      <c r="K20" s="64">
        <f>IFERROR(F20/G20-1,"n/a")</f>
        <v>1.0353020628683693</v>
      </c>
      <c r="L20" s="64" t="str">
        <f t="shared" si="0"/>
        <v>n/a</v>
      </c>
      <c r="M20" s="64" t="str">
        <f t="shared" si="8"/>
        <v>n/a</v>
      </c>
      <c r="N20" s="60">
        <f t="shared" ref="N20:N28" si="12">IFERROR(F20/J20-1,"n/a")</f>
        <v>0.83850483875440207</v>
      </c>
      <c r="O20" s="68">
        <f>'Mar-23'!O20+'Apr-23'!F20</f>
        <v>87148</v>
      </c>
      <c r="P20" s="68">
        <f>'Mar-23'!P20+'Apr-23'!G20</f>
        <v>35661</v>
      </c>
      <c r="Q20" s="68">
        <f>'Mar-23'!Q20+'Apr-23'!H20</f>
        <v>0</v>
      </c>
      <c r="R20" s="68">
        <f>'Mar-23'!R20+'Apr-23'!I20</f>
        <v>1753</v>
      </c>
      <c r="S20" s="68">
        <f>'Mar-23'!S20+'Apr-23'!J20</f>
        <v>42547</v>
      </c>
      <c r="T20" s="64">
        <f>IFERROR(O20/P20-1,"n/a")</f>
        <v>1.443790134881243</v>
      </c>
      <c r="U20" s="64" t="str">
        <f t="shared" si="9"/>
        <v>n/a</v>
      </c>
      <c r="V20" s="64">
        <f t="shared" si="10"/>
        <v>48.71363377067884</v>
      </c>
      <c r="W20" s="60">
        <f t="shared" si="11"/>
        <v>1.0482760241615154</v>
      </c>
      <c r="X20" s="68">
        <v>561984</v>
      </c>
      <c r="Y20" s="68">
        <v>8611</v>
      </c>
      <c r="Z20" s="70">
        <v>1753</v>
      </c>
      <c r="AA20" s="78">
        <v>254421</v>
      </c>
      <c r="AB20" s="9"/>
      <c r="AC20" s="9"/>
    </row>
    <row r="21" spans="1:29" ht="14.4">
      <c r="A21" s="9"/>
      <c r="B21" s="12"/>
      <c r="C21" s="31" t="s">
        <v>112</v>
      </c>
      <c r="D21" s="26"/>
      <c r="E21" s="34"/>
      <c r="F21" s="72"/>
      <c r="G21" s="72"/>
      <c r="H21" s="72"/>
      <c r="I21" s="72"/>
      <c r="J21" s="72"/>
      <c r="K21" s="64"/>
      <c r="L21" s="64"/>
      <c r="M21" s="64"/>
      <c r="N21" s="60"/>
      <c r="O21" s="87"/>
      <c r="P21" s="87"/>
      <c r="Q21" s="87"/>
      <c r="R21" s="87"/>
      <c r="S21" s="87"/>
      <c r="T21" s="64"/>
      <c r="U21" s="64"/>
      <c r="V21" s="64"/>
      <c r="W21" s="60"/>
      <c r="X21" s="43"/>
      <c r="Y21" s="43"/>
      <c r="Z21" s="44"/>
      <c r="AA21" s="79"/>
      <c r="AB21" s="9"/>
      <c r="AC21" s="9"/>
    </row>
    <row r="22" spans="1:29" ht="14.4">
      <c r="A22" s="9"/>
      <c r="B22" s="12"/>
      <c r="C22" s="33"/>
      <c r="D22" s="26" t="s">
        <v>5</v>
      </c>
      <c r="E22" s="34"/>
      <c r="F22" s="74">
        <f>152+9</f>
        <v>161</v>
      </c>
      <c r="G22" s="71">
        <v>100</v>
      </c>
      <c r="H22" s="71">
        <v>0</v>
      </c>
      <c r="I22" s="71">
        <v>0</v>
      </c>
      <c r="J22" s="71">
        <v>195</v>
      </c>
      <c r="K22" s="64">
        <f>IFERROR(F22/G22-1,"n/a")</f>
        <v>0.6100000000000001</v>
      </c>
      <c r="L22" s="64" t="str">
        <f t="shared" si="0"/>
        <v>n/a</v>
      </c>
      <c r="M22" s="64" t="str">
        <f t="shared" ref="M22:M23" si="13">IFERROR(F22/I22-1,"n/a")</f>
        <v>n/a</v>
      </c>
      <c r="N22" s="60">
        <f t="shared" si="12"/>
        <v>-0.17435897435897441</v>
      </c>
      <c r="O22" s="68">
        <f>'Mar-23'!O22+'Apr-23'!F22</f>
        <v>448</v>
      </c>
      <c r="P22" s="68">
        <f>'Mar-23'!P22+'Apr-23'!G22</f>
        <v>153</v>
      </c>
      <c r="Q22" s="68">
        <f>'Mar-23'!Q22+'Apr-23'!H22</f>
        <v>0</v>
      </c>
      <c r="R22" s="68">
        <f>'Mar-23'!R22+'Apr-23'!I22</f>
        <v>205</v>
      </c>
      <c r="S22" s="68">
        <f>'Mar-23'!S22+'Apr-23'!J22</f>
        <v>518</v>
      </c>
      <c r="T22" s="64">
        <f>IFERROR(O22/P22-1,"n/a")</f>
        <v>1.9281045751633985</v>
      </c>
      <c r="U22" s="64" t="str">
        <f t="shared" ref="U22:U23" si="14">IFERROR(O22/Q22-1,"n/a")</f>
        <v>n/a</v>
      </c>
      <c r="V22" s="64">
        <f t="shared" ref="V22:V23" si="15">IFERROR(O22/R22-1,"n/a")</f>
        <v>1.1853658536585368</v>
      </c>
      <c r="W22" s="60">
        <f t="shared" ref="W22:W23" si="16">IFERROR(O22/S22-1,"n/a")</f>
        <v>-0.13513513513513509</v>
      </c>
      <c r="X22" s="68">
        <v>1140</v>
      </c>
      <c r="Y22" s="68">
        <v>411</v>
      </c>
      <c r="Z22" s="70">
        <v>406</v>
      </c>
      <c r="AA22" s="78">
        <v>1205</v>
      </c>
      <c r="AB22" s="9"/>
      <c r="AC22" s="9"/>
    </row>
    <row r="23" spans="1:29" ht="14.4">
      <c r="A23" s="9"/>
      <c r="B23" s="12"/>
      <c r="C23" s="33"/>
      <c r="D23" s="26" t="s">
        <v>11</v>
      </c>
      <c r="E23" s="32"/>
      <c r="F23" s="73">
        <f>319732+12572</f>
        <v>332304</v>
      </c>
      <c r="G23" s="71">
        <v>115809</v>
      </c>
      <c r="H23" s="71">
        <v>0</v>
      </c>
      <c r="I23" s="71">
        <v>0</v>
      </c>
      <c r="J23" s="71">
        <v>383748</v>
      </c>
      <c r="K23" s="64">
        <f>IFERROR(F23/G23-1,"n/a")</f>
        <v>1.8694142942258374</v>
      </c>
      <c r="L23" s="64" t="str">
        <f t="shared" si="0"/>
        <v>n/a</v>
      </c>
      <c r="M23" s="64" t="str">
        <f t="shared" si="13"/>
        <v>n/a</v>
      </c>
      <c r="N23" s="60">
        <f t="shared" si="12"/>
        <v>-0.13405672472560115</v>
      </c>
      <c r="O23" s="68">
        <f>'Mar-23'!O23+'Apr-23'!F23</f>
        <v>1168578</v>
      </c>
      <c r="P23" s="68">
        <f>'Mar-23'!P23+'Apr-23'!G23</f>
        <v>184263</v>
      </c>
      <c r="Q23" s="68">
        <f>'Mar-23'!Q23+'Apr-23'!H23</f>
        <v>0</v>
      </c>
      <c r="R23" s="68">
        <f>'Mar-23'!R23+'Apr-23'!I23</f>
        <v>545974</v>
      </c>
      <c r="S23" s="68">
        <f>'Mar-23'!S23+'Apr-23'!J23</f>
        <v>1303563</v>
      </c>
      <c r="T23" s="64">
        <f>IFERROR(O23/P23-1,"n/a")</f>
        <v>5.3419026066003488</v>
      </c>
      <c r="U23" s="64" t="str">
        <f t="shared" si="14"/>
        <v>n/a</v>
      </c>
      <c r="V23" s="64">
        <f t="shared" si="15"/>
        <v>1.1403546689036475</v>
      </c>
      <c r="W23" s="60">
        <f t="shared" si="16"/>
        <v>-0.10355080652028326</v>
      </c>
      <c r="X23" s="68">
        <v>3212646</v>
      </c>
      <c r="Y23" s="68">
        <v>687449</v>
      </c>
      <c r="Z23" s="70">
        <v>833999</v>
      </c>
      <c r="AA23" s="78">
        <v>3859183</v>
      </c>
      <c r="AB23" s="9"/>
      <c r="AC23" s="9"/>
    </row>
    <row r="24" spans="1:29" ht="14.4">
      <c r="A24" s="9"/>
      <c r="B24" s="12"/>
      <c r="C24" s="31" t="s">
        <v>113</v>
      </c>
      <c r="D24" s="26"/>
      <c r="E24" s="32"/>
      <c r="F24" s="72"/>
      <c r="G24" s="72"/>
      <c r="H24" s="72"/>
      <c r="I24" s="72"/>
      <c r="J24" s="72"/>
      <c r="K24" s="64"/>
      <c r="L24" s="64"/>
      <c r="M24" s="64"/>
      <c r="N24" s="60"/>
      <c r="O24" s="87"/>
      <c r="P24" s="87"/>
      <c r="Q24" s="87"/>
      <c r="R24" s="87"/>
      <c r="S24" s="87"/>
      <c r="T24" s="64"/>
      <c r="U24" s="64"/>
      <c r="V24" s="64"/>
      <c r="W24" s="60"/>
      <c r="X24" s="43"/>
      <c r="Y24" s="43"/>
      <c r="Z24" s="44"/>
      <c r="AA24" s="79"/>
      <c r="AB24" s="9"/>
      <c r="AC24" s="9"/>
    </row>
    <row r="25" spans="1:29" ht="14.4">
      <c r="B25" s="12"/>
      <c r="C25" s="33"/>
      <c r="D25" s="26" t="s">
        <v>5</v>
      </c>
      <c r="E25" s="32"/>
      <c r="F25" s="71">
        <v>0</v>
      </c>
      <c r="G25" s="71">
        <v>1</v>
      </c>
      <c r="H25" s="71">
        <v>0</v>
      </c>
      <c r="I25" s="71">
        <v>0</v>
      </c>
      <c r="J25" s="71">
        <v>1</v>
      </c>
      <c r="K25" s="64">
        <f>IFERROR(F25/G25-1,"n/a")</f>
        <v>-1</v>
      </c>
      <c r="L25" s="64" t="str">
        <f t="shared" si="0"/>
        <v>n/a</v>
      </c>
      <c r="M25" s="64" t="str">
        <f t="shared" ref="M25:M28" si="17">IFERROR(F25/I25-1,"n/a")</f>
        <v>n/a</v>
      </c>
      <c r="N25" s="60">
        <f t="shared" si="12"/>
        <v>-1</v>
      </c>
      <c r="O25" s="68">
        <f>'Mar-23'!O25+'Apr-23'!F25</f>
        <v>0</v>
      </c>
      <c r="P25" s="68">
        <f>'Mar-23'!P25+'Apr-23'!G25</f>
        <v>1</v>
      </c>
      <c r="Q25" s="68">
        <f>'Mar-23'!Q25+'Apr-23'!H25</f>
        <v>0</v>
      </c>
      <c r="R25" s="68">
        <f>'Mar-23'!R25+'Apr-23'!I25</f>
        <v>0</v>
      </c>
      <c r="S25" s="68">
        <f>'Mar-23'!S25+'Apr-23'!J25</f>
        <v>1</v>
      </c>
      <c r="T25" s="64">
        <f>IFERROR(O25/P25-1,"n/a")</f>
        <v>-1</v>
      </c>
      <c r="U25" s="64" t="str">
        <f t="shared" ref="U25:U28" si="18">IFERROR(O25/Q25-1,"n/a")</f>
        <v>n/a</v>
      </c>
      <c r="V25" s="64" t="str">
        <f t="shared" ref="V25:V28" si="19">IFERROR(O25/R25-1,"n/a")</f>
        <v>n/a</v>
      </c>
      <c r="W25" s="60">
        <f t="shared" ref="W25:W28" si="20">IFERROR(O25/S25-1,"n/a")</f>
        <v>-1</v>
      </c>
      <c r="X25" s="68">
        <v>605</v>
      </c>
      <c r="Y25" s="68">
        <v>127</v>
      </c>
      <c r="Z25" s="70">
        <v>37</v>
      </c>
      <c r="AA25" s="78">
        <f>282+81</f>
        <v>363</v>
      </c>
      <c r="AB25" s="9"/>
      <c r="AC25" s="9"/>
    </row>
    <row r="26" spans="1:29" ht="14.4">
      <c r="A26" s="9"/>
      <c r="B26" s="12"/>
      <c r="C26" s="33"/>
      <c r="D26" s="26" t="s">
        <v>11</v>
      </c>
      <c r="E26" s="32"/>
      <c r="F26" s="71">
        <v>0</v>
      </c>
      <c r="G26" s="71">
        <v>925</v>
      </c>
      <c r="H26" s="71">
        <v>0</v>
      </c>
      <c r="I26" s="71">
        <v>0</v>
      </c>
      <c r="J26" s="71">
        <v>1059</v>
      </c>
      <c r="K26" s="64">
        <f>IFERROR(F26/G26-1,"n/a")</f>
        <v>-1</v>
      </c>
      <c r="L26" s="64" t="str">
        <f t="shared" si="0"/>
        <v>n/a</v>
      </c>
      <c r="M26" s="64" t="str">
        <f t="shared" si="17"/>
        <v>n/a</v>
      </c>
      <c r="N26" s="60">
        <f t="shared" si="12"/>
        <v>-1</v>
      </c>
      <c r="O26" s="68">
        <v>0</v>
      </c>
      <c r="P26" s="68">
        <f>'Mar-23'!P26+'Apr-23'!G26</f>
        <v>925</v>
      </c>
      <c r="Q26" s="68">
        <f>'Mar-23'!Q26+'Apr-23'!H26</f>
        <v>0</v>
      </c>
      <c r="R26" s="68">
        <f>'Mar-23'!R26+'Apr-23'!I26</f>
        <v>0</v>
      </c>
      <c r="S26" s="68">
        <f>'Mar-23'!S26+'Apr-23'!J26</f>
        <v>1059</v>
      </c>
      <c r="T26" s="64">
        <f>IFERROR(O26/P26-1,"n/a")</f>
        <v>-1</v>
      </c>
      <c r="U26" s="64" t="str">
        <f t="shared" si="18"/>
        <v>n/a</v>
      </c>
      <c r="V26" s="64" t="str">
        <f t="shared" si="19"/>
        <v>n/a</v>
      </c>
      <c r="W26" s="60">
        <f t="shared" si="20"/>
        <v>-1</v>
      </c>
      <c r="X26" s="68">
        <v>1098243</v>
      </c>
      <c r="Y26" s="68">
        <v>165083</v>
      </c>
      <c r="Z26" s="70">
        <f>20768+8294</f>
        <v>29062</v>
      </c>
      <c r="AA26" s="78">
        <f>659951+168729+38484</f>
        <v>867164</v>
      </c>
      <c r="AB26" s="9"/>
      <c r="AC26" s="9"/>
    </row>
    <row r="27" spans="1:29" thickBot="1">
      <c r="A27" s="9"/>
      <c r="B27" s="12"/>
      <c r="C27" s="35" t="s">
        <v>12</v>
      </c>
      <c r="D27" s="36"/>
      <c r="E27" s="37"/>
      <c r="F27" s="75">
        <f t="shared" ref="F27:J28" si="21">F13+F16+F19+F22+F25</f>
        <v>383</v>
      </c>
      <c r="G27" s="75">
        <f t="shared" si="21"/>
        <v>328</v>
      </c>
      <c r="H27" s="75">
        <f t="shared" si="21"/>
        <v>7</v>
      </c>
      <c r="I27" s="75">
        <f t="shared" si="21"/>
        <v>42</v>
      </c>
      <c r="J27" s="75">
        <f t="shared" si="21"/>
        <v>397</v>
      </c>
      <c r="K27" s="66">
        <f>IFERROR(F27/G27-1,"n/a")</f>
        <v>0.16768292682926833</v>
      </c>
      <c r="L27" s="66">
        <f t="shared" si="0"/>
        <v>53.714285714285715</v>
      </c>
      <c r="M27" s="66">
        <f t="shared" si="17"/>
        <v>8.1190476190476186</v>
      </c>
      <c r="N27" s="62">
        <f t="shared" si="12"/>
        <v>-3.5264483627204024E-2</v>
      </c>
      <c r="O27" s="75">
        <f t="shared" ref="O27:S28" si="22">O13+O16+O19+O22+O25</f>
        <v>1250</v>
      </c>
      <c r="P27" s="75">
        <f t="shared" si="22"/>
        <v>959</v>
      </c>
      <c r="Q27" s="75">
        <f t="shared" si="22"/>
        <v>19</v>
      </c>
      <c r="R27" s="75">
        <f t="shared" si="22"/>
        <v>769</v>
      </c>
      <c r="S27" s="75">
        <f t="shared" si="22"/>
        <v>1265</v>
      </c>
      <c r="T27" s="66">
        <f>IFERROR(O27/P27-1,"n/a")</f>
        <v>0.30344108446298224</v>
      </c>
      <c r="U27" s="66">
        <f t="shared" si="18"/>
        <v>64.78947368421052</v>
      </c>
      <c r="V27" s="66">
        <f t="shared" si="19"/>
        <v>0.62548764629388809</v>
      </c>
      <c r="W27" s="62">
        <f t="shared" si="20"/>
        <v>-1.1857707509881465E-2</v>
      </c>
      <c r="X27" s="75">
        <f>X13+X16+X19+X22+X25</f>
        <v>3344</v>
      </c>
      <c r="Y27" s="46">
        <f t="shared" ref="Y27:AA28" si="23">Y13+Y16+Y19+Y22+Y25</f>
        <v>955</v>
      </c>
      <c r="Z27" s="46">
        <f t="shared" si="23"/>
        <v>635</v>
      </c>
      <c r="AA27" s="80">
        <f t="shared" si="23"/>
        <v>2972</v>
      </c>
      <c r="AB27" s="9"/>
      <c r="AC27" s="9"/>
    </row>
    <row r="28" spans="1:29" ht="15.6" thickTop="1" thickBot="1">
      <c r="A28" s="9"/>
      <c r="B28" s="12"/>
      <c r="C28" s="38" t="s">
        <v>13</v>
      </c>
      <c r="D28" s="39"/>
      <c r="E28" s="40"/>
      <c r="F28" s="76">
        <f t="shared" si="21"/>
        <v>955705</v>
      </c>
      <c r="G28" s="76">
        <f t="shared" si="21"/>
        <v>507465</v>
      </c>
      <c r="H28" s="76">
        <f t="shared" si="21"/>
        <v>6002</v>
      </c>
      <c r="I28" s="76">
        <f t="shared" si="21"/>
        <v>0</v>
      </c>
      <c r="J28" s="76">
        <f t="shared" si="21"/>
        <v>962246</v>
      </c>
      <c r="K28" s="67">
        <f>IFERROR(F28/G28-1,"n/a")</f>
        <v>0.88329244381385918</v>
      </c>
      <c r="L28" s="67">
        <f t="shared" si="0"/>
        <v>158.23108963678774</v>
      </c>
      <c r="M28" s="67" t="str">
        <f t="shared" si="17"/>
        <v>n/a</v>
      </c>
      <c r="N28" s="63">
        <f t="shared" si="12"/>
        <v>-6.7976380260349467E-3</v>
      </c>
      <c r="O28" s="76">
        <f t="shared" si="22"/>
        <v>3434064</v>
      </c>
      <c r="P28" s="76">
        <f t="shared" si="22"/>
        <v>1375170</v>
      </c>
      <c r="Q28" s="76">
        <f t="shared" si="22"/>
        <v>16105</v>
      </c>
      <c r="R28" s="76">
        <f t="shared" si="22"/>
        <v>1681724</v>
      </c>
      <c r="S28" s="76">
        <f t="shared" si="22"/>
        <v>3420023</v>
      </c>
      <c r="T28" s="67">
        <f>IFERROR(O28/P28-1,"n/a")</f>
        <v>1.4971923471279913</v>
      </c>
      <c r="U28" s="67">
        <f t="shared" si="18"/>
        <v>212.22968022353305</v>
      </c>
      <c r="V28" s="67">
        <f t="shared" si="19"/>
        <v>1.041990243345519</v>
      </c>
      <c r="W28" s="63">
        <f t="shared" si="20"/>
        <v>4.1055279452799631E-3</v>
      </c>
      <c r="X28" s="76">
        <f>X14+X17+X20+X23+X26</f>
        <v>7096679</v>
      </c>
      <c r="Y28" s="47">
        <f t="shared" si="23"/>
        <v>1407115</v>
      </c>
      <c r="Z28" s="47">
        <f t="shared" si="23"/>
        <v>1264251</v>
      </c>
      <c r="AA28" s="81">
        <f t="shared" si="23"/>
        <v>8267006</v>
      </c>
      <c r="AB28" s="9"/>
      <c r="AC28" s="9"/>
    </row>
    <row r="29" spans="1:29" thickTop="1">
      <c r="A29" s="9"/>
      <c r="B29" s="9"/>
      <c r="C29" s="9"/>
      <c r="D29" s="9"/>
      <c r="E29" s="9"/>
      <c r="F29" s="41"/>
      <c r="G29" s="41"/>
      <c r="H29" s="41"/>
      <c r="I29" s="41"/>
      <c r="J29" s="41"/>
      <c r="K29" s="41"/>
      <c r="L29" s="41"/>
      <c r="M29" s="41"/>
      <c r="N29" s="9"/>
      <c r="O29" s="9"/>
      <c r="P29" s="9"/>
      <c r="Q29" s="9"/>
      <c r="R29" s="9"/>
      <c r="S29" s="9"/>
      <c r="T29" s="9"/>
      <c r="U29" s="9"/>
      <c r="V29" s="9"/>
      <c r="W29" s="9"/>
      <c r="X29" s="9"/>
      <c r="Y29" s="9"/>
      <c r="Z29" s="9"/>
      <c r="AA29" s="9"/>
      <c r="AB29" s="9"/>
      <c r="AC29" s="9"/>
    </row>
    <row r="30" spans="1:29" ht="14.4">
      <c r="A30" s="9"/>
      <c r="B30" s="9"/>
      <c r="C30" s="9"/>
      <c r="D30" s="9"/>
      <c r="E30" s="9"/>
      <c r="F30" s="41"/>
      <c r="G30" s="41"/>
      <c r="H30" s="41"/>
      <c r="I30" s="41"/>
      <c r="J30" s="41"/>
      <c r="K30" s="41"/>
      <c r="L30" s="41"/>
      <c r="M30" s="41"/>
      <c r="N30" s="9"/>
      <c r="O30" s="9"/>
      <c r="P30" s="9"/>
      <c r="Q30" s="9"/>
      <c r="R30" s="9"/>
      <c r="S30" s="9"/>
      <c r="T30" s="9"/>
      <c r="U30" s="9"/>
      <c r="V30" s="9"/>
      <c r="W30" s="9"/>
      <c r="X30" s="9"/>
      <c r="Y30" s="9"/>
      <c r="Z30" s="9"/>
      <c r="AA30" s="9"/>
      <c r="AB30" s="9"/>
      <c r="AC30" s="9"/>
    </row>
    <row r="31" spans="1:29" ht="14.4">
      <c r="A31" s="9"/>
      <c r="B31" s="10"/>
      <c r="C31" s="86"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9"/>
    </row>
    <row r="32" spans="1:29" ht="14.4">
      <c r="A32" s="9"/>
      <c r="B32" s="1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9"/>
    </row>
    <row r="33" spans="1:29" ht="14.4">
      <c r="A33" s="9"/>
      <c r="B33" s="9"/>
      <c r="C33" s="27" t="s">
        <v>7</v>
      </c>
      <c r="D33" s="28"/>
      <c r="E33" s="28"/>
      <c r="F33" s="128" t="str">
        <f>F9</f>
        <v>April</v>
      </c>
      <c r="G33" s="128"/>
      <c r="H33" s="128"/>
      <c r="I33" s="128"/>
      <c r="J33" s="128"/>
      <c r="K33" s="128"/>
      <c r="L33" s="128"/>
      <c r="M33" s="128"/>
      <c r="N33" s="129"/>
      <c r="O33" s="132" t="s">
        <v>115</v>
      </c>
      <c r="P33" s="133"/>
      <c r="Q33" s="133"/>
      <c r="R33" s="133"/>
      <c r="S33" s="133"/>
      <c r="T33" s="133"/>
      <c r="U33" s="133"/>
      <c r="V33" s="133"/>
      <c r="W33" s="134"/>
      <c r="X33" s="130" t="s">
        <v>58</v>
      </c>
      <c r="Y33" s="128"/>
      <c r="Z33" s="128"/>
      <c r="AA33" s="131"/>
    </row>
    <row r="34" spans="1:29" ht="14.4">
      <c r="A34" s="9"/>
      <c r="B34" s="9"/>
      <c r="C34" s="29"/>
      <c r="D34" s="30"/>
      <c r="E34" s="30"/>
      <c r="F34" s="125"/>
      <c r="G34" s="126"/>
      <c r="H34" s="126"/>
      <c r="I34" s="126"/>
      <c r="J34" s="126"/>
      <c r="K34" s="126"/>
      <c r="L34" s="126"/>
      <c r="M34" s="126"/>
      <c r="N34" s="127"/>
      <c r="O34" s="125"/>
      <c r="P34" s="126"/>
      <c r="Q34" s="126"/>
      <c r="R34" s="126"/>
      <c r="S34" s="126"/>
      <c r="T34" s="126"/>
      <c r="U34" s="126"/>
      <c r="V34" s="126"/>
      <c r="W34" s="127"/>
      <c r="X34" s="125"/>
      <c r="Y34" s="126"/>
      <c r="Z34" s="126"/>
      <c r="AA34" s="127"/>
    </row>
    <row r="35" spans="1:29" ht="20.399999999999999">
      <c r="A35" s="9"/>
      <c r="B35" s="9"/>
      <c r="C35" s="59" t="s">
        <v>29</v>
      </c>
      <c r="D35" s="50"/>
      <c r="E35" s="51"/>
      <c r="F35" s="55">
        <v>2023</v>
      </c>
      <c r="G35" s="52">
        <v>2022</v>
      </c>
      <c r="H35" s="52">
        <v>2021</v>
      </c>
      <c r="I35" s="52">
        <v>2020</v>
      </c>
      <c r="J35" s="52">
        <v>2019</v>
      </c>
      <c r="K35" s="53" t="s">
        <v>66</v>
      </c>
      <c r="L35" s="53" t="s">
        <v>67</v>
      </c>
      <c r="M35" s="53" t="s">
        <v>68</v>
      </c>
      <c r="N35" s="57" t="s">
        <v>102</v>
      </c>
      <c r="O35" s="53" t="s">
        <v>116</v>
      </c>
      <c r="P35" s="53" t="s">
        <v>53</v>
      </c>
      <c r="Q35" s="52" t="s">
        <v>54</v>
      </c>
      <c r="R35" s="52" t="s">
        <v>59</v>
      </c>
      <c r="S35" s="52" t="s">
        <v>64</v>
      </c>
      <c r="T35" s="53" t="s">
        <v>117</v>
      </c>
      <c r="U35" s="53" t="s">
        <v>118</v>
      </c>
      <c r="V35" s="53" t="s">
        <v>119</v>
      </c>
      <c r="W35" s="57" t="s">
        <v>120</v>
      </c>
      <c r="X35" s="53" t="s">
        <v>53</v>
      </c>
      <c r="Y35" s="53" t="s">
        <v>54</v>
      </c>
      <c r="Z35" s="53" t="s">
        <v>65</v>
      </c>
      <c r="AA35" s="57" t="s">
        <v>73</v>
      </c>
      <c r="AC35" s="9"/>
    </row>
    <row r="36" spans="1:29" ht="14.4">
      <c r="A36" s="9"/>
      <c r="B36" s="9"/>
      <c r="C36" s="31" t="s">
        <v>109</v>
      </c>
      <c r="D36" s="26"/>
      <c r="E36" s="32"/>
      <c r="F36" s="26"/>
      <c r="G36" s="26"/>
      <c r="H36" s="26"/>
      <c r="I36" s="26"/>
      <c r="J36" s="26"/>
      <c r="K36" s="26"/>
      <c r="L36" s="26"/>
      <c r="M36" s="26"/>
      <c r="N36" s="32"/>
      <c r="O36" s="26"/>
      <c r="P36" s="26"/>
      <c r="Q36" s="26"/>
      <c r="R36" s="26"/>
      <c r="S36" s="9"/>
      <c r="T36" s="26"/>
      <c r="U36" s="9"/>
      <c r="V36" s="26"/>
      <c r="W36" s="32"/>
      <c r="X36" s="33"/>
      <c r="Y36" s="26"/>
      <c r="Z36" s="88"/>
      <c r="AA36" s="85"/>
      <c r="AC36" s="9"/>
    </row>
    <row r="37" spans="1:29" ht="14.4">
      <c r="A37" s="9"/>
      <c r="B37" s="9"/>
      <c r="C37" s="33"/>
      <c r="D37" s="26" t="s">
        <v>5</v>
      </c>
      <c r="E37" s="32"/>
      <c r="F37" s="74">
        <f t="shared" ref="F37:J38" si="24">F13</f>
        <v>129</v>
      </c>
      <c r="G37" s="74">
        <f t="shared" si="24"/>
        <v>136</v>
      </c>
      <c r="H37" s="74">
        <f t="shared" si="24"/>
        <v>0</v>
      </c>
      <c r="I37" s="74">
        <f t="shared" si="24"/>
        <v>42</v>
      </c>
      <c r="J37" s="74">
        <f t="shared" si="24"/>
        <v>129</v>
      </c>
      <c r="K37" s="64">
        <f>IFERROR(F37/G37-1,"n/a")</f>
        <v>-5.1470588235294157E-2</v>
      </c>
      <c r="L37" s="64" t="str">
        <f t="shared" ref="L37:L38" si="25">IFERROR(F37/H37-1,"n/a")</f>
        <v>n/a</v>
      </c>
      <c r="M37" s="64">
        <f>IFERROR(F37/I37-1,"n/a")</f>
        <v>2.0714285714285716</v>
      </c>
      <c r="N37" s="60">
        <f t="shared" ref="N37:N38" si="26">IFERROR(F37/J37-1,"n/a")</f>
        <v>0</v>
      </c>
      <c r="O37" s="74">
        <v>129</v>
      </c>
      <c r="P37" s="74">
        <v>136</v>
      </c>
      <c r="Q37" s="74">
        <v>0</v>
      </c>
      <c r="R37" s="74">
        <v>42</v>
      </c>
      <c r="S37" s="74">
        <v>129</v>
      </c>
      <c r="T37" s="122">
        <f>IFERROR(O37/P37-1,"n/a")</f>
        <v>-5.1470588235294157E-2</v>
      </c>
      <c r="U37" s="122" t="str">
        <f>IFERROR(O37/Q37-1,"n/a")</f>
        <v>n/a</v>
      </c>
      <c r="V37" s="122">
        <f>IFERROR(O37/R37-1,"n/a")</f>
        <v>2.0714285714285716</v>
      </c>
      <c r="W37" s="123">
        <f>IFERROR(O37/S37-1,"n/a")</f>
        <v>0</v>
      </c>
      <c r="X37" s="89">
        <v>1486</v>
      </c>
      <c r="Y37" s="89">
        <v>1052</v>
      </c>
      <c r="Z37" s="70">
        <v>551</v>
      </c>
      <c r="AA37" s="78">
        <v>1584</v>
      </c>
      <c r="AC37" s="9"/>
    </row>
    <row r="38" spans="1:29" ht="14.4">
      <c r="A38" s="9"/>
      <c r="B38" s="9"/>
      <c r="C38" s="33"/>
      <c r="D38" s="26" t="s">
        <v>11</v>
      </c>
      <c r="E38" s="32"/>
      <c r="F38" s="74">
        <f t="shared" si="24"/>
        <v>449751</v>
      </c>
      <c r="G38" s="74">
        <f t="shared" si="24"/>
        <v>297788</v>
      </c>
      <c r="H38" s="74">
        <f t="shared" si="24"/>
        <v>0</v>
      </c>
      <c r="I38" s="74">
        <f t="shared" si="24"/>
        <v>0</v>
      </c>
      <c r="J38" s="74">
        <f t="shared" si="24"/>
        <v>394045</v>
      </c>
      <c r="K38" s="64">
        <f>IFERROR(F38/G38-1,"n/a")</f>
        <v>0.51030598949588302</v>
      </c>
      <c r="L38" s="64" t="str">
        <f t="shared" si="25"/>
        <v>n/a</v>
      </c>
      <c r="M38" s="64" t="str">
        <f t="shared" ref="M38" si="27">IFERROR(F38/I38-1,"n/a")</f>
        <v>n/a</v>
      </c>
      <c r="N38" s="60">
        <f t="shared" si="26"/>
        <v>0.14136964052329049</v>
      </c>
      <c r="O38" s="74">
        <v>449751</v>
      </c>
      <c r="P38" s="74">
        <v>297788</v>
      </c>
      <c r="Q38" s="74">
        <v>0</v>
      </c>
      <c r="R38" s="74">
        <v>0</v>
      </c>
      <c r="S38" s="74">
        <v>394045</v>
      </c>
      <c r="T38" s="122">
        <f>IFERROR(O38/P38-1,"n/a")</f>
        <v>0.51030598949588302</v>
      </c>
      <c r="U38" s="122" t="str">
        <f>IFERROR(O38/Q38-1,"n/a")</f>
        <v>n/a</v>
      </c>
      <c r="V38" s="122" t="str">
        <f>IFERROR(O38/R38-1,"n/a")</f>
        <v>n/a</v>
      </c>
      <c r="W38" s="123">
        <f>IFERROR(O38/S38-1,"n/a")</f>
        <v>0.14136964052329049</v>
      </c>
      <c r="X38" s="89">
        <v>4370939</v>
      </c>
      <c r="Y38" s="89">
        <v>1527970</v>
      </c>
      <c r="Z38" s="84">
        <v>1092884</v>
      </c>
      <c r="AA38" s="78">
        <v>4234259</v>
      </c>
      <c r="AC38" s="9"/>
    </row>
    <row r="39" spans="1:29" ht="14.4">
      <c r="A39" s="9"/>
      <c r="B39" s="9"/>
      <c r="C39" s="31" t="s">
        <v>110</v>
      </c>
      <c r="D39" s="26"/>
      <c r="E39" s="32"/>
      <c r="F39" s="26"/>
      <c r="G39" s="26"/>
      <c r="H39" s="26"/>
      <c r="I39" s="26"/>
      <c r="J39" s="26"/>
      <c r="K39" s="64"/>
      <c r="L39" s="64"/>
      <c r="M39" s="64"/>
      <c r="N39" s="61"/>
      <c r="O39" s="26"/>
      <c r="P39" s="26"/>
      <c r="Q39" s="26"/>
      <c r="R39" s="26"/>
      <c r="S39" s="26"/>
      <c r="T39" s="65"/>
      <c r="U39" s="65"/>
      <c r="V39" s="65"/>
      <c r="W39" s="61"/>
      <c r="X39" s="90"/>
      <c r="Y39" s="90"/>
      <c r="Z39" s="44"/>
      <c r="AA39" s="79"/>
      <c r="AC39" s="9"/>
    </row>
    <row r="40" spans="1:29" ht="14.4">
      <c r="A40" s="9"/>
      <c r="B40" s="9"/>
      <c r="C40" s="33"/>
      <c r="D40" s="26" t="s">
        <v>5</v>
      </c>
      <c r="E40" s="32"/>
      <c r="F40" s="74">
        <f t="shared" ref="F40:J41" si="28">F16</f>
        <v>46</v>
      </c>
      <c r="G40" s="74">
        <f t="shared" si="28"/>
        <v>56</v>
      </c>
      <c r="H40" s="74">
        <f t="shared" si="28"/>
        <v>5</v>
      </c>
      <c r="I40" s="74">
        <f t="shared" si="28"/>
        <v>0</v>
      </c>
      <c r="J40" s="74">
        <f t="shared" si="28"/>
        <v>51</v>
      </c>
      <c r="K40" s="64">
        <f>IFERROR(F40/G40-1,"n/a")</f>
        <v>-0.1785714285714286</v>
      </c>
      <c r="L40" s="64">
        <f t="shared" ref="L40:L41" si="29">IFERROR(F40/H40-1,"n/a")</f>
        <v>8.1999999999999993</v>
      </c>
      <c r="M40" s="64" t="str">
        <f t="shared" ref="M40:M41" si="30">IFERROR(F40/I40-1,"n/a")</f>
        <v>n/a</v>
      </c>
      <c r="N40" s="60">
        <f t="shared" ref="N40:N41" si="31">IFERROR(F40/J40-1,"n/a")</f>
        <v>-9.8039215686274495E-2</v>
      </c>
      <c r="O40" s="74">
        <v>46</v>
      </c>
      <c r="P40" s="74">
        <v>56</v>
      </c>
      <c r="Q40" s="74">
        <v>5</v>
      </c>
      <c r="R40" s="74">
        <v>0</v>
      </c>
      <c r="S40" s="74">
        <v>51</v>
      </c>
      <c r="T40" s="122">
        <f t="shared" ref="T40:T41" si="32">IFERROR(O40/P40-1,"n/a")</f>
        <v>-0.1785714285714286</v>
      </c>
      <c r="U40" s="122">
        <f t="shared" ref="U40:U41" si="33">IFERROR(O40/Q40-1,"n/a")</f>
        <v>8.1999999999999993</v>
      </c>
      <c r="V40" s="122" t="str">
        <f>IFERROR(O40/R40-1,"n/a")</f>
        <v>n/a</v>
      </c>
      <c r="W40" s="123">
        <f>IFERROR(O40/S40-1,"n/a")</f>
        <v>-9.8039215686274495E-2</v>
      </c>
      <c r="X40" s="89">
        <v>563</v>
      </c>
      <c r="Y40" s="89">
        <v>226</v>
      </c>
      <c r="Z40" s="70">
        <v>66</v>
      </c>
      <c r="AA40" s="78">
        <v>573</v>
      </c>
      <c r="AC40" s="9"/>
    </row>
    <row r="41" spans="1:29" ht="14.4">
      <c r="A41" s="9"/>
      <c r="B41" s="9"/>
      <c r="C41" s="33"/>
      <c r="D41" s="26" t="s">
        <v>11</v>
      </c>
      <c r="E41" s="32"/>
      <c r="F41" s="74">
        <f t="shared" si="28"/>
        <v>107348</v>
      </c>
      <c r="G41" s="74">
        <f t="shared" si="28"/>
        <v>60367</v>
      </c>
      <c r="H41" s="74">
        <f t="shared" si="28"/>
        <v>6002</v>
      </c>
      <c r="I41" s="74">
        <f t="shared" si="28"/>
        <v>0</v>
      </c>
      <c r="J41" s="74">
        <f t="shared" si="28"/>
        <v>147331</v>
      </c>
      <c r="K41" s="64">
        <f>IFERROR(F41/G41-1,"n/a")</f>
        <v>0.7782563321019762</v>
      </c>
      <c r="L41" s="64">
        <f t="shared" si="29"/>
        <v>16.885371542819062</v>
      </c>
      <c r="M41" s="64" t="str">
        <f t="shared" si="30"/>
        <v>n/a</v>
      </c>
      <c r="N41" s="60">
        <f t="shared" si="31"/>
        <v>-0.27138212596127087</v>
      </c>
      <c r="O41" s="74">
        <v>107348</v>
      </c>
      <c r="P41" s="74">
        <v>60367</v>
      </c>
      <c r="Q41" s="74">
        <v>6002</v>
      </c>
      <c r="R41" s="74">
        <v>0</v>
      </c>
      <c r="S41" s="74">
        <v>147331</v>
      </c>
      <c r="T41" s="122">
        <f t="shared" si="32"/>
        <v>0.7782563321019762</v>
      </c>
      <c r="U41" s="122">
        <f t="shared" si="33"/>
        <v>16.885371542819062</v>
      </c>
      <c r="V41" s="122" t="str">
        <f>IFERROR(O41/R41-1,"n/a")</f>
        <v>n/a</v>
      </c>
      <c r="W41" s="123">
        <f>IFERROR(O41/S41-1,"n/a")</f>
        <v>-0.27138212596127087</v>
      </c>
      <c r="X41" s="89">
        <v>1012510</v>
      </c>
      <c r="Y41" s="89">
        <v>327926</v>
      </c>
      <c r="Z41" s="84">
        <v>80778</v>
      </c>
      <c r="AA41" s="78">
        <v>1361671</v>
      </c>
      <c r="AC41" s="9"/>
    </row>
    <row r="42" spans="1:29" ht="14.4">
      <c r="A42" s="9"/>
      <c r="B42" s="9"/>
      <c r="C42" s="31" t="s">
        <v>111</v>
      </c>
      <c r="D42" s="26"/>
      <c r="E42" s="32"/>
      <c r="F42" s="87"/>
      <c r="G42" s="87"/>
      <c r="H42" s="87"/>
      <c r="I42" s="87"/>
      <c r="J42" s="72"/>
      <c r="K42" s="64"/>
      <c r="L42" s="64"/>
      <c r="M42" s="64"/>
      <c r="N42" s="60"/>
      <c r="O42" s="87"/>
      <c r="P42" s="87"/>
      <c r="Q42" s="87"/>
      <c r="R42" s="87"/>
      <c r="S42" s="72"/>
      <c r="T42" s="64"/>
      <c r="U42" s="64"/>
      <c r="V42" s="64"/>
      <c r="W42" s="60"/>
      <c r="X42" s="90"/>
      <c r="Y42" s="90"/>
      <c r="Z42" s="44"/>
      <c r="AA42" s="79"/>
      <c r="AC42" s="9"/>
    </row>
    <row r="43" spans="1:29" ht="14.4">
      <c r="A43" s="9"/>
      <c r="B43" s="9"/>
      <c r="C43" s="33"/>
      <c r="D43" s="26" t="s">
        <v>5</v>
      </c>
      <c r="E43" s="32"/>
      <c r="F43" s="74">
        <f t="shared" ref="F43:J44" si="34">F19</f>
        <v>47</v>
      </c>
      <c r="G43" s="74">
        <f t="shared" si="34"/>
        <v>35</v>
      </c>
      <c r="H43" s="74">
        <f t="shared" si="34"/>
        <v>2</v>
      </c>
      <c r="I43" s="74">
        <f t="shared" si="34"/>
        <v>0</v>
      </c>
      <c r="J43" s="74">
        <f t="shared" si="34"/>
        <v>21</v>
      </c>
      <c r="K43" s="64">
        <f>IFERROR(F43/G43-1,"n/a")</f>
        <v>0.34285714285714275</v>
      </c>
      <c r="L43" s="64">
        <f t="shared" ref="L43:L44" si="35">IFERROR(F43/H43-1,"n/a")</f>
        <v>22.5</v>
      </c>
      <c r="M43" s="64" t="str">
        <f t="shared" ref="M43:M44" si="36">IFERROR(F43/I43-1,"n/a")</f>
        <v>n/a</v>
      </c>
      <c r="N43" s="60">
        <f>IFERROR(F43/J43-1,"n/a")</f>
        <v>1.2380952380952381</v>
      </c>
      <c r="O43" s="74">
        <v>47</v>
      </c>
      <c r="P43" s="74">
        <v>35</v>
      </c>
      <c r="Q43" s="74">
        <v>2</v>
      </c>
      <c r="R43" s="74">
        <v>0</v>
      </c>
      <c r="S43" s="74">
        <v>21</v>
      </c>
      <c r="T43" s="122">
        <f t="shared" ref="T43:T44" si="37">IFERROR(O43/P43-1,"n/a")</f>
        <v>0.34285714285714275</v>
      </c>
      <c r="U43" s="122">
        <f>IFERROR(O43/Q43-1,"n/a")</f>
        <v>22.5</v>
      </c>
      <c r="V43" s="122" t="str">
        <f>IFERROR(O43/R43-1,"n/a")</f>
        <v>n/a</v>
      </c>
      <c r="W43" s="123">
        <f>IFERROR(O43/S43-1,"n/a")</f>
        <v>1.2380952380952381</v>
      </c>
      <c r="X43" s="89">
        <v>669</v>
      </c>
      <c r="Y43" s="89">
        <v>59</v>
      </c>
      <c r="Z43" s="70">
        <v>9</v>
      </c>
      <c r="AA43" s="78">
        <v>287</v>
      </c>
      <c r="AC43" s="9"/>
    </row>
    <row r="44" spans="1:29" ht="14.4">
      <c r="A44" s="9"/>
      <c r="B44" s="9"/>
      <c r="C44" s="33"/>
      <c r="D44" s="26" t="s">
        <v>11</v>
      </c>
      <c r="E44" s="32"/>
      <c r="F44" s="74">
        <f t="shared" si="34"/>
        <v>66302</v>
      </c>
      <c r="G44" s="74">
        <f t="shared" si="34"/>
        <v>32576</v>
      </c>
      <c r="H44" s="74">
        <f t="shared" si="34"/>
        <v>0</v>
      </c>
      <c r="I44" s="74">
        <f t="shared" si="34"/>
        <v>0</v>
      </c>
      <c r="J44" s="74">
        <f t="shared" si="34"/>
        <v>36063</v>
      </c>
      <c r="K44" s="64">
        <f>IFERROR(F44/G44-1,"n/a")</f>
        <v>1.0353020628683693</v>
      </c>
      <c r="L44" s="64" t="str">
        <f t="shared" si="35"/>
        <v>n/a</v>
      </c>
      <c r="M44" s="64" t="str">
        <f t="shared" si="36"/>
        <v>n/a</v>
      </c>
      <c r="N44" s="60">
        <f t="shared" ref="N44" si="38">IFERROR(F44/J44-1,"n/a")</f>
        <v>0.83850483875440207</v>
      </c>
      <c r="O44" s="74">
        <v>66302</v>
      </c>
      <c r="P44" s="74">
        <v>32576</v>
      </c>
      <c r="Q44" s="74">
        <v>0</v>
      </c>
      <c r="R44" s="74">
        <v>0</v>
      </c>
      <c r="S44" s="74">
        <v>36063</v>
      </c>
      <c r="T44" s="122">
        <f t="shared" si="37"/>
        <v>1.0353020628683693</v>
      </c>
      <c r="U44" s="122" t="str">
        <f>IFERROR(O44/Q44-1,"n/a")</f>
        <v>n/a</v>
      </c>
      <c r="V44" s="122" t="str">
        <f>IFERROR(O44/R44-1,"n/a")</f>
        <v>n/a</v>
      </c>
      <c r="W44" s="123">
        <f>IFERROR(O44/S44-1,"n/a")</f>
        <v>0.83850483875440207</v>
      </c>
      <c r="X44" s="82">
        <f>709768+195488</f>
        <v>905256</v>
      </c>
      <c r="Y44" s="82">
        <f>17541+6306</f>
        <v>23847</v>
      </c>
      <c r="Z44" s="84">
        <f>1642</f>
        <v>1642</v>
      </c>
      <c r="AA44" s="78">
        <v>351261</v>
      </c>
      <c r="AC44" s="9"/>
    </row>
    <row r="45" spans="1:29" ht="14.4">
      <c r="A45" s="9"/>
      <c r="B45" s="9"/>
      <c r="C45" s="31" t="s">
        <v>112</v>
      </c>
      <c r="D45" s="26"/>
      <c r="E45" s="34"/>
      <c r="F45" s="72"/>
      <c r="G45" s="72"/>
      <c r="H45" s="72"/>
      <c r="I45" s="72"/>
      <c r="J45" s="72"/>
      <c r="K45" s="64"/>
      <c r="L45" s="64"/>
      <c r="M45" s="64"/>
      <c r="N45" s="60"/>
      <c r="O45" s="72"/>
      <c r="P45" s="72"/>
      <c r="Q45" s="72"/>
      <c r="R45" s="72"/>
      <c r="S45" s="72"/>
      <c r="T45" s="64"/>
      <c r="U45" s="64"/>
      <c r="V45" s="64"/>
      <c r="W45" s="60"/>
      <c r="X45" s="90"/>
      <c r="Y45" s="90"/>
      <c r="Z45" s="44"/>
      <c r="AA45" s="79"/>
      <c r="AC45" s="9"/>
    </row>
    <row r="46" spans="1:29" ht="14.4">
      <c r="A46" s="9"/>
      <c r="B46" s="9"/>
      <c r="C46" s="33"/>
      <c r="D46" s="26" t="s">
        <v>5</v>
      </c>
      <c r="E46" s="34"/>
      <c r="F46" s="74">
        <f t="shared" ref="F46:J47" si="39">F22</f>
        <v>161</v>
      </c>
      <c r="G46" s="74">
        <f t="shared" si="39"/>
        <v>100</v>
      </c>
      <c r="H46" s="74">
        <f t="shared" si="39"/>
        <v>0</v>
      </c>
      <c r="I46" s="74">
        <f t="shared" si="39"/>
        <v>0</v>
      </c>
      <c r="J46" s="74">
        <f t="shared" si="39"/>
        <v>195</v>
      </c>
      <c r="K46" s="64">
        <f>IFERROR(F46/G46-1,"n/a")</f>
        <v>0.6100000000000001</v>
      </c>
      <c r="L46" s="64" t="str">
        <f t="shared" ref="L46:L47" si="40">IFERROR(F46/H46-1,"n/a")</f>
        <v>n/a</v>
      </c>
      <c r="M46" s="64" t="str">
        <f t="shared" ref="M46:M47" si="41">IFERROR(F46/I46-1,"n/a")</f>
        <v>n/a</v>
      </c>
      <c r="N46" s="60">
        <f t="shared" ref="N46:N47" si="42">IFERROR(F46/J46-1,"n/a")</f>
        <v>-0.17435897435897441</v>
      </c>
      <c r="O46" s="74">
        <v>152</v>
      </c>
      <c r="P46" s="74">
        <v>100</v>
      </c>
      <c r="Q46" s="74">
        <v>0</v>
      </c>
      <c r="R46" s="74">
        <v>0</v>
      </c>
      <c r="S46" s="74">
        <v>195</v>
      </c>
      <c r="T46" s="122">
        <f t="shared" ref="T46:T47" si="43">IFERROR(O46/P46-1,"n/a")</f>
        <v>0.52</v>
      </c>
      <c r="U46" s="122" t="str">
        <f>IFERROR(O46/Q46-1,"n/a")</f>
        <v>n/a</v>
      </c>
      <c r="V46" s="122" t="str">
        <f>IFERROR(O46/R46-1,"n/a")</f>
        <v>n/a</v>
      </c>
      <c r="W46" s="123">
        <f>IFERROR(O46/S46-1,"n/a")</f>
        <v>-0.22051282051282051</v>
      </c>
      <c r="X46" s="89">
        <v>1129</v>
      </c>
      <c r="Y46" s="89">
        <v>336</v>
      </c>
      <c r="Z46" s="84">
        <v>260</v>
      </c>
      <c r="AA46" s="78">
        <v>1452</v>
      </c>
      <c r="AC46" s="9"/>
    </row>
    <row r="47" spans="1:29" ht="14.4">
      <c r="A47" s="9"/>
      <c r="B47" s="9"/>
      <c r="C47" s="33"/>
      <c r="D47" s="26" t="s">
        <v>11</v>
      </c>
      <c r="E47" s="32"/>
      <c r="F47" s="74">
        <f t="shared" si="39"/>
        <v>332304</v>
      </c>
      <c r="G47" s="74">
        <f t="shared" si="39"/>
        <v>115809</v>
      </c>
      <c r="H47" s="74">
        <f t="shared" si="39"/>
        <v>0</v>
      </c>
      <c r="I47" s="74">
        <f t="shared" si="39"/>
        <v>0</v>
      </c>
      <c r="J47" s="74">
        <f t="shared" si="39"/>
        <v>383748</v>
      </c>
      <c r="K47" s="64">
        <f>IFERROR(F47/G47-1,"n/a")</f>
        <v>1.8694142942258374</v>
      </c>
      <c r="L47" s="64" t="str">
        <f t="shared" si="40"/>
        <v>n/a</v>
      </c>
      <c r="M47" s="64" t="str">
        <f t="shared" si="41"/>
        <v>n/a</v>
      </c>
      <c r="N47" s="60">
        <f t="shared" si="42"/>
        <v>-0.13405672472560115</v>
      </c>
      <c r="O47" s="74">
        <v>319732</v>
      </c>
      <c r="P47" s="74">
        <v>115809</v>
      </c>
      <c r="Q47" s="74">
        <v>0</v>
      </c>
      <c r="R47" s="74">
        <v>0</v>
      </c>
      <c r="S47" s="74">
        <v>383748</v>
      </c>
      <c r="T47" s="122">
        <f t="shared" si="43"/>
        <v>1.7608562374254162</v>
      </c>
      <c r="U47" s="122" t="str">
        <f>IFERROR(O47/Q47-1,"n/a")</f>
        <v>n/a</v>
      </c>
      <c r="V47" s="122" t="str">
        <f>IFERROR(O47/R47-1,"n/a")</f>
        <v>n/a</v>
      </c>
      <c r="W47" s="123">
        <f>IFERROR(O47/S47-1,"n/a")</f>
        <v>-0.16681780751951802</v>
      </c>
      <c r="X47" s="82">
        <v>2932981</v>
      </c>
      <c r="Y47" s="82">
        <v>533563</v>
      </c>
      <c r="Z47" s="84">
        <v>602416</v>
      </c>
      <c r="AA47" s="78">
        <v>3652688</v>
      </c>
      <c r="AC47" s="9"/>
    </row>
    <row r="48" spans="1:29" ht="14.4">
      <c r="C48" s="31" t="s">
        <v>113</v>
      </c>
      <c r="D48" s="26"/>
      <c r="E48" s="32"/>
      <c r="F48" s="72"/>
      <c r="G48" s="72"/>
      <c r="H48" s="72"/>
      <c r="I48" s="72"/>
      <c r="J48" s="72"/>
      <c r="K48" s="64"/>
      <c r="L48" s="64"/>
      <c r="M48" s="64"/>
      <c r="N48" s="60"/>
      <c r="O48" s="72"/>
      <c r="P48" s="72"/>
      <c r="Q48" s="72"/>
      <c r="R48" s="72"/>
      <c r="S48" s="72"/>
      <c r="T48" s="64"/>
      <c r="U48" s="64"/>
      <c r="V48" s="64"/>
      <c r="W48" s="60"/>
      <c r="X48" s="90"/>
      <c r="Y48" s="90"/>
      <c r="Z48" s="44"/>
      <c r="AA48" s="79"/>
      <c r="AC48" s="9"/>
    </row>
    <row r="49" spans="3:29" ht="14.4">
      <c r="C49" s="33"/>
      <c r="D49" s="26" t="s">
        <v>5</v>
      </c>
      <c r="E49" s="32"/>
      <c r="F49" s="74">
        <f t="shared" ref="F49:J50" si="44">F25</f>
        <v>0</v>
      </c>
      <c r="G49" s="74">
        <f t="shared" si="44"/>
        <v>1</v>
      </c>
      <c r="H49" s="74">
        <f t="shared" si="44"/>
        <v>0</v>
      </c>
      <c r="I49" s="74">
        <f t="shared" si="44"/>
        <v>0</v>
      </c>
      <c r="J49" s="74">
        <f t="shared" si="44"/>
        <v>1</v>
      </c>
      <c r="K49" s="64">
        <f>IFERROR(F49/G49-1,"n/a")</f>
        <v>-1</v>
      </c>
      <c r="L49" s="64" t="str">
        <f t="shared" ref="L49:L52" si="45">IFERROR(F49/H49-1,"n/a")</f>
        <v>n/a</v>
      </c>
      <c r="M49" s="64" t="str">
        <f t="shared" ref="M49:M52" si="46">IFERROR(F49/I49-1,"n/a")</f>
        <v>n/a</v>
      </c>
      <c r="N49" s="60">
        <f t="shared" ref="N49:N52" si="47">IFERROR(F49/J49-1,"n/a")</f>
        <v>-1</v>
      </c>
      <c r="O49" s="74">
        <v>0</v>
      </c>
      <c r="P49" s="74">
        <v>1</v>
      </c>
      <c r="Q49" s="74">
        <v>0</v>
      </c>
      <c r="R49" s="74">
        <v>0</v>
      </c>
      <c r="S49" s="74">
        <v>1</v>
      </c>
      <c r="T49" s="122">
        <f t="shared" ref="T49" si="48">IFERROR(O49/P49-1,"n/a")</f>
        <v>-1</v>
      </c>
      <c r="U49" s="122" t="str">
        <f>IFERROR(O49/Q49-1,"n/a")</f>
        <v>n/a</v>
      </c>
      <c r="V49" s="122" t="str">
        <f>IFERROR(O49/R49-1,"n/a")</f>
        <v>n/a</v>
      </c>
      <c r="W49" s="123">
        <f>IFERROR(O49/S49-1,"n/a")</f>
        <v>-1</v>
      </c>
      <c r="X49" s="89">
        <v>9</v>
      </c>
      <c r="Y49" s="82">
        <v>0</v>
      </c>
      <c r="Z49" s="82">
        <v>0</v>
      </c>
      <c r="AA49" s="78">
        <v>16</v>
      </c>
      <c r="AC49" s="9"/>
    </row>
    <row r="50" spans="3:29" ht="14.4">
      <c r="C50" s="33"/>
      <c r="D50" s="26" t="s">
        <v>11</v>
      </c>
      <c r="E50" s="32"/>
      <c r="F50" s="74">
        <f t="shared" si="44"/>
        <v>0</v>
      </c>
      <c r="G50" s="74">
        <f t="shared" si="44"/>
        <v>925</v>
      </c>
      <c r="H50" s="74">
        <f t="shared" si="44"/>
        <v>0</v>
      </c>
      <c r="I50" s="74">
        <f t="shared" si="44"/>
        <v>0</v>
      </c>
      <c r="J50" s="74">
        <f t="shared" si="44"/>
        <v>1059</v>
      </c>
      <c r="K50" s="64">
        <f>IFERROR(F50/G50-1,"n/a")</f>
        <v>-1</v>
      </c>
      <c r="L50" s="64" t="str">
        <f t="shared" si="45"/>
        <v>n/a</v>
      </c>
      <c r="M50" s="64" t="str">
        <f t="shared" si="46"/>
        <v>n/a</v>
      </c>
      <c r="N50" s="60">
        <f t="shared" si="47"/>
        <v>-1</v>
      </c>
      <c r="O50" s="74">
        <v>0</v>
      </c>
      <c r="P50" s="74">
        <v>925</v>
      </c>
      <c r="Q50" s="74">
        <v>0</v>
      </c>
      <c r="R50" s="74">
        <v>0</v>
      </c>
      <c r="S50" s="74">
        <v>1059</v>
      </c>
      <c r="T50" s="122">
        <f t="shared" ref="T50:T52" si="49">IFERROR(O50/P50-1,"n/a")</f>
        <v>-1</v>
      </c>
      <c r="U50" s="122" t="str">
        <f>IFERROR(O50/Q50-1,"n/a")</f>
        <v>n/a</v>
      </c>
      <c r="V50" s="122" t="str">
        <f>IFERROR(O50/R50-1,"n/a")</f>
        <v>n/a</v>
      </c>
      <c r="W50" s="123">
        <f>IFERROR(O50/S50-1,"n/a")</f>
        <v>-1</v>
      </c>
      <c r="X50" s="82">
        <v>15637</v>
      </c>
      <c r="Y50" s="82">
        <v>0</v>
      </c>
      <c r="Z50" s="82">
        <v>0</v>
      </c>
      <c r="AA50" s="78">
        <v>20248</v>
      </c>
      <c r="AC50" s="9"/>
    </row>
    <row r="51" spans="3:29" thickBot="1">
      <c r="C51" s="35" t="s">
        <v>12</v>
      </c>
      <c r="D51" s="36"/>
      <c r="E51" s="37"/>
      <c r="F51" s="75">
        <f>F37+F40+F43+F46+F49</f>
        <v>383</v>
      </c>
      <c r="G51" s="75">
        <f t="shared" ref="G51:J52" si="50">G37+G40+G43+G46+G49</f>
        <v>328</v>
      </c>
      <c r="H51" s="75">
        <f t="shared" si="50"/>
        <v>7</v>
      </c>
      <c r="I51" s="75">
        <f t="shared" si="50"/>
        <v>42</v>
      </c>
      <c r="J51" s="75">
        <f t="shared" si="50"/>
        <v>397</v>
      </c>
      <c r="K51" s="66">
        <f>IFERROR(F51/G51-1,"n/a")</f>
        <v>0.16768292682926833</v>
      </c>
      <c r="L51" s="66">
        <f>IFERROR(F51/H51-1,"n/a")</f>
        <v>53.714285714285715</v>
      </c>
      <c r="M51" s="66">
        <f t="shared" si="46"/>
        <v>8.1190476190476186</v>
      </c>
      <c r="N51" s="62">
        <f t="shared" si="47"/>
        <v>-3.5264483627204024E-2</v>
      </c>
      <c r="O51" s="75">
        <f t="shared" ref="O51" si="51">O37+O40+O43+O46+O49</f>
        <v>374</v>
      </c>
      <c r="P51" s="75">
        <f t="shared" ref="P51:S52" si="52">P37+P40+P43+P46+P49</f>
        <v>328</v>
      </c>
      <c r="Q51" s="75">
        <f t="shared" si="52"/>
        <v>7</v>
      </c>
      <c r="R51" s="75">
        <f t="shared" si="52"/>
        <v>42</v>
      </c>
      <c r="S51" s="75">
        <f t="shared" si="52"/>
        <v>397</v>
      </c>
      <c r="T51" s="66">
        <f>IFERROR(O51/P51-1,"n/a")</f>
        <v>0.14024390243902429</v>
      </c>
      <c r="U51" s="66">
        <f>IFERROR(O51/Q51-1,"n/a")</f>
        <v>52.428571428571431</v>
      </c>
      <c r="V51" s="66">
        <f>IFERROR(O51/R51-1,"n/a")</f>
        <v>7.9047619047619051</v>
      </c>
      <c r="W51" s="62">
        <f>IFERROR(O51/S51-1,"n/a")</f>
        <v>-5.7934508816120944E-2</v>
      </c>
      <c r="X51" s="46">
        <f t="shared" ref="X51" si="53">X37+X40+X43+X46+X49</f>
        <v>3856</v>
      </c>
      <c r="Y51" s="46">
        <f t="shared" ref="Y51:Z52" si="54">Y37+Y40+Y43+Y46+Y49</f>
        <v>1673</v>
      </c>
      <c r="Z51" s="46">
        <f t="shared" si="54"/>
        <v>886</v>
      </c>
      <c r="AA51" s="80">
        <f>AA37+AA40+AA43+AA46+AA49</f>
        <v>3912</v>
      </c>
      <c r="AC51" s="9"/>
    </row>
    <row r="52" spans="3:29" ht="15.6" thickTop="1" thickBot="1">
      <c r="C52" s="38" t="s">
        <v>13</v>
      </c>
      <c r="D52" s="39"/>
      <c r="E52" s="40"/>
      <c r="F52" s="76">
        <f>F38+F41+F44+F47+F50</f>
        <v>955705</v>
      </c>
      <c r="G52" s="76">
        <f t="shared" si="50"/>
        <v>507465</v>
      </c>
      <c r="H52" s="76">
        <f t="shared" si="50"/>
        <v>6002</v>
      </c>
      <c r="I52" s="76">
        <f t="shared" si="50"/>
        <v>0</v>
      </c>
      <c r="J52" s="76">
        <f t="shared" si="50"/>
        <v>962246</v>
      </c>
      <c r="K52" s="67">
        <f>IFERROR(F52/G52-1,"n/a")</f>
        <v>0.88329244381385918</v>
      </c>
      <c r="L52" s="67">
        <f t="shared" si="45"/>
        <v>158.23108963678774</v>
      </c>
      <c r="M52" s="67" t="str">
        <f t="shared" si="46"/>
        <v>n/a</v>
      </c>
      <c r="N52" s="63">
        <f t="shared" si="47"/>
        <v>-6.7976380260349467E-3</v>
      </c>
      <c r="O52" s="76">
        <f t="shared" ref="O52" si="55">O38+O41+O44+O47+O50</f>
        <v>943133</v>
      </c>
      <c r="P52" s="76">
        <f t="shared" si="52"/>
        <v>507465</v>
      </c>
      <c r="Q52" s="76">
        <f t="shared" si="52"/>
        <v>6002</v>
      </c>
      <c r="R52" s="76">
        <f t="shared" si="52"/>
        <v>0</v>
      </c>
      <c r="S52" s="76">
        <f t="shared" si="52"/>
        <v>962246</v>
      </c>
      <c r="T52" s="67">
        <f t="shared" si="49"/>
        <v>0.85851832146059337</v>
      </c>
      <c r="U52" s="120">
        <f>IFERROR(O52/Q52-1,"n/a")</f>
        <v>156.1364545151616</v>
      </c>
      <c r="V52" s="120" t="str">
        <f>IFERROR(O52/R52-1,"n/a")</f>
        <v>n/a</v>
      </c>
      <c r="W52" s="121">
        <f>IFERROR(O52/S52-1,"n/a")</f>
        <v>-1.986290408066127E-2</v>
      </c>
      <c r="X52" s="47">
        <f t="shared" ref="X52" si="56">X38+X41+X44+X47+X50</f>
        <v>9237323</v>
      </c>
      <c r="Y52" s="47">
        <f t="shared" si="54"/>
        <v>2413306</v>
      </c>
      <c r="Z52" s="47">
        <f t="shared" si="54"/>
        <v>1777720</v>
      </c>
      <c r="AA52" s="81">
        <f>AA38+AA41+AA44+AA47+AA50</f>
        <v>9620127</v>
      </c>
      <c r="AC52" s="9"/>
    </row>
    <row r="53" spans="3:29" thickTop="1">
      <c r="AC53" s="9"/>
    </row>
    <row r="54" spans="3:29" ht="14.4">
      <c r="P54" s="111"/>
      <c r="Q54" s="111"/>
      <c r="R54" s="111"/>
      <c r="S54" s="111"/>
      <c r="AC54" s="9"/>
    </row>
    <row r="55" spans="3:29" ht="14.4">
      <c r="P55" s="111"/>
      <c r="Q55" s="111"/>
      <c r="R55" s="111"/>
      <c r="S55" s="111"/>
      <c r="AC55" s="9"/>
    </row>
    <row r="56" spans="3:29" ht="14.4">
      <c r="P56" s="111"/>
      <c r="Q56" s="111"/>
      <c r="R56" s="111"/>
      <c r="S56" s="111"/>
      <c r="AC56" s="9"/>
    </row>
    <row r="57" spans="3:29" ht="14.4">
      <c r="P57" s="111"/>
      <c r="Q57" s="111"/>
      <c r="R57" s="111"/>
      <c r="S57" s="111"/>
      <c r="AC57" s="9"/>
    </row>
    <row r="58" spans="3:29" ht="14.4">
      <c r="AC58" s="9"/>
    </row>
    <row r="59" spans="3:29" ht="14.4">
      <c r="AC59" s="9"/>
    </row>
    <row r="60" spans="3:29" ht="14.4">
      <c r="AC60" s="9"/>
    </row>
    <row r="61" spans="3:29" ht="15" customHeight="1"/>
    <row r="62" spans="3:29" ht="15" customHeight="1"/>
    <row r="63" spans="3:29" ht="15" customHeight="1"/>
    <row r="64" spans="3:29" ht="15" customHeight="1"/>
    <row r="65" ht="15" customHeight="1"/>
    <row r="66" ht="15" customHeight="1"/>
  </sheetData>
  <mergeCells count="9">
    <mergeCell ref="X33:AA33"/>
    <mergeCell ref="F34:N34"/>
    <mergeCell ref="O34:W34"/>
    <mergeCell ref="F9:N9"/>
    <mergeCell ref="O9:W9"/>
    <mergeCell ref="X9:AA9"/>
    <mergeCell ref="F33:N33"/>
    <mergeCell ref="O33:W33"/>
    <mergeCell ref="X34:AA34"/>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6"/>
  <sheetViews>
    <sheetView showGridLines="0" topLeftCell="A25" workbookViewId="0">
      <selection activeCell="P37" sqref="P37"/>
    </sheetView>
  </sheetViews>
  <sheetFormatPr defaultColWidth="0" defaultRowHeight="15" customHeight="1" zeroHeight="1"/>
  <cols>
    <col min="1" max="2" width="4.109375" customWidth="1"/>
    <col min="3" max="3" width="3.6640625" customWidth="1"/>
    <col min="4" max="4" width="8.88671875" customWidth="1"/>
    <col min="5" max="5" width="10.6640625" bestFit="1" customWidth="1"/>
    <col min="6" max="10" width="8.88671875" customWidth="1"/>
    <col min="11" max="11" width="8" customWidth="1"/>
    <col min="12" max="12" width="8.88671875" bestFit="1" customWidth="1"/>
    <col min="13" max="14" width="8" customWidth="1"/>
    <col min="15" max="19" width="10.44140625" bestFit="1" customWidth="1"/>
    <col min="20" max="20" width="8.33203125" bestFit="1" customWidth="1"/>
    <col min="21" max="21" width="8.88671875" bestFit="1" customWidth="1"/>
    <col min="22" max="22" width="9" bestFit="1" customWidth="1"/>
    <col min="23" max="23" width="7.6640625" customWidth="1"/>
    <col min="24" max="26" width="10.44140625" bestFit="1" customWidth="1"/>
    <col min="27" max="27" width="11.33203125" bestFit="1" customWidth="1"/>
    <col min="28" max="28" width="3.44140625" customWidth="1"/>
    <col min="29" max="16384" width="8.88671875" hidden="1"/>
  </cols>
  <sheetData>
    <row r="1" spans="1:28" ht="14.4">
      <c r="A1" s="9"/>
      <c r="B1" s="9"/>
      <c r="C1" s="9"/>
      <c r="D1" s="9"/>
      <c r="E1" s="9"/>
      <c r="F1" s="9"/>
      <c r="G1" s="9"/>
      <c r="H1" s="9"/>
      <c r="I1" s="9"/>
      <c r="J1" s="9"/>
      <c r="K1" s="9"/>
      <c r="L1" s="9"/>
      <c r="M1" s="9"/>
      <c r="N1" s="9"/>
      <c r="O1" s="9"/>
      <c r="P1" s="9"/>
      <c r="Q1" s="9"/>
      <c r="R1" s="9"/>
      <c r="S1" s="9"/>
      <c r="T1" s="9"/>
      <c r="U1" s="9"/>
      <c r="V1" s="9"/>
      <c r="W1" s="9"/>
      <c r="X1" s="9"/>
      <c r="Y1" s="9"/>
      <c r="Z1" s="9"/>
      <c r="AA1" s="9"/>
      <c r="AB1" s="9"/>
    </row>
    <row r="2" spans="1:28"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9"/>
    </row>
    <row r="3" spans="1:28"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45028</v>
      </c>
      <c r="AB3" s="9"/>
    </row>
    <row r="4" spans="1:28" ht="16.2">
      <c r="A4" s="9"/>
      <c r="B4" s="11" t="s">
        <v>7</v>
      </c>
      <c r="C4" s="26"/>
      <c r="D4" s="24"/>
      <c r="E4" s="58" t="s">
        <v>107</v>
      </c>
      <c r="F4" s="24"/>
      <c r="G4" s="24"/>
      <c r="H4" s="24"/>
      <c r="I4" s="24"/>
      <c r="J4" s="24"/>
      <c r="K4" s="24"/>
      <c r="L4" s="24"/>
      <c r="M4" s="24"/>
      <c r="N4" s="24"/>
      <c r="O4" s="24"/>
      <c r="P4" s="24"/>
      <c r="Q4" s="24"/>
      <c r="R4" s="24"/>
      <c r="S4" s="24"/>
      <c r="T4" s="24"/>
      <c r="U4" s="24"/>
      <c r="V4" s="24"/>
      <c r="W4" s="24"/>
      <c r="X4" s="24"/>
      <c r="Y4" s="24"/>
      <c r="Z4" s="24"/>
      <c r="AA4" s="24"/>
      <c r="AB4" s="9"/>
    </row>
    <row r="5" spans="1:28"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9"/>
    </row>
    <row r="6" spans="1:28"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9"/>
    </row>
    <row r="7" spans="1:28"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9"/>
    </row>
    <row r="8" spans="1:28"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9"/>
    </row>
    <row r="9" spans="1:28" ht="14.4">
      <c r="A9" s="9"/>
      <c r="C9" s="27" t="s">
        <v>7</v>
      </c>
      <c r="D9" s="28"/>
      <c r="E9" s="28"/>
      <c r="F9" s="128" t="s">
        <v>41</v>
      </c>
      <c r="G9" s="128"/>
      <c r="H9" s="128"/>
      <c r="I9" s="128"/>
      <c r="J9" s="128"/>
      <c r="K9" s="128"/>
      <c r="L9" s="128"/>
      <c r="M9" s="128"/>
      <c r="N9" s="129"/>
      <c r="O9" s="130" t="s">
        <v>43</v>
      </c>
      <c r="P9" s="128"/>
      <c r="Q9" s="128"/>
      <c r="R9" s="128"/>
      <c r="S9" s="128"/>
      <c r="T9" s="128"/>
      <c r="U9" s="128"/>
      <c r="V9" s="128"/>
      <c r="W9" s="129"/>
      <c r="X9" s="130" t="s">
        <v>57</v>
      </c>
      <c r="Y9" s="128"/>
      <c r="Z9" s="128"/>
      <c r="AA9" s="131"/>
      <c r="AB9" s="9"/>
    </row>
    <row r="10" spans="1:28" ht="14.4">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9"/>
    </row>
    <row r="11" spans="1:28" ht="25.95" customHeight="1">
      <c r="A11" s="48"/>
      <c r="B11" s="49"/>
      <c r="C11" s="59" t="s">
        <v>29</v>
      </c>
      <c r="D11" s="50"/>
      <c r="E11" s="51"/>
      <c r="F11" s="55">
        <v>2023</v>
      </c>
      <c r="G11" s="52">
        <v>2022</v>
      </c>
      <c r="H11" s="52">
        <v>2021</v>
      </c>
      <c r="I11" s="52">
        <v>2020</v>
      </c>
      <c r="J11" s="52">
        <v>2019</v>
      </c>
      <c r="K11" s="53" t="s">
        <v>66</v>
      </c>
      <c r="L11" s="53" t="s">
        <v>67</v>
      </c>
      <c r="M11" s="53" t="s">
        <v>68</v>
      </c>
      <c r="N11" s="57" t="s">
        <v>102</v>
      </c>
      <c r="O11" s="53">
        <v>2023</v>
      </c>
      <c r="P11" s="53">
        <v>2022</v>
      </c>
      <c r="Q11" s="52">
        <v>2021</v>
      </c>
      <c r="R11" s="52">
        <v>2020</v>
      </c>
      <c r="S11" s="52">
        <v>2019</v>
      </c>
      <c r="T11" s="53" t="s">
        <v>66</v>
      </c>
      <c r="U11" s="53" t="s">
        <v>67</v>
      </c>
      <c r="V11" s="53" t="s">
        <v>68</v>
      </c>
      <c r="W11" s="57" t="s">
        <v>102</v>
      </c>
      <c r="X11" s="53">
        <v>2022</v>
      </c>
      <c r="Y11" s="53">
        <v>2021</v>
      </c>
      <c r="Z11" s="52">
        <v>2020</v>
      </c>
      <c r="AA11" s="77">
        <v>2019</v>
      </c>
      <c r="AB11" s="48"/>
    </row>
    <row r="12" spans="1:28" ht="14.4">
      <c r="A12" s="9"/>
      <c r="B12" s="12"/>
      <c r="C12" s="31" t="s">
        <v>109</v>
      </c>
      <c r="D12" s="26"/>
      <c r="E12" s="32"/>
      <c r="F12" s="26"/>
      <c r="G12" s="26"/>
      <c r="H12" s="26"/>
      <c r="I12" s="26"/>
      <c r="J12" s="26"/>
      <c r="K12" s="26"/>
      <c r="L12" s="26"/>
      <c r="M12" s="26"/>
      <c r="N12" s="32"/>
      <c r="O12" s="26"/>
      <c r="P12" s="26"/>
      <c r="Q12" s="26"/>
      <c r="R12" s="26"/>
      <c r="S12" s="26"/>
      <c r="T12" s="26"/>
      <c r="U12" s="26"/>
      <c r="V12" s="26"/>
      <c r="W12" s="32"/>
      <c r="X12" s="26"/>
      <c r="Y12" s="26"/>
      <c r="Z12" s="26"/>
      <c r="AA12" s="32"/>
      <c r="AB12" s="9"/>
    </row>
    <row r="13" spans="1:28" ht="14.4">
      <c r="A13" s="9"/>
      <c r="B13" s="12"/>
      <c r="C13" s="33"/>
      <c r="D13" s="26" t="s">
        <v>5</v>
      </c>
      <c r="E13" s="32"/>
      <c r="F13" s="73">
        <f>'[2]Regional BD'!$EF$36</f>
        <v>181</v>
      </c>
      <c r="G13" s="71">
        <f>'[2]Regional BD'!$DS$36</f>
        <v>204</v>
      </c>
      <c r="H13" s="71">
        <f>'[2]Regional BD'!$DF$36</f>
        <v>0</v>
      </c>
      <c r="I13" s="71">
        <f>'[2]Regional BD'!$CS$36</f>
        <v>147</v>
      </c>
      <c r="J13" s="71">
        <f>'[2]Regional BD'!$CF$36</f>
        <v>170</v>
      </c>
      <c r="K13" s="64">
        <f>IFERROR(F13/G13-1,"n/a")</f>
        <v>-0.11274509803921573</v>
      </c>
      <c r="L13" s="64" t="str">
        <f t="shared" ref="L13:L28" si="0">IFERROR(F13/H13-1,"n/a")</f>
        <v>n/a</v>
      </c>
      <c r="M13" s="64">
        <f>IFERROR(F13/I13-1,"n/a")</f>
        <v>0.23129251700680276</v>
      </c>
      <c r="N13" s="60">
        <f t="shared" ref="N13:N14" si="1">IFERROR(F13/J13-1,"n/a")</f>
        <v>6.4705882352941169E-2</v>
      </c>
      <c r="O13" s="68">
        <f>'[3]KPI Regional'!$K$32</f>
        <v>530</v>
      </c>
      <c r="P13" s="68">
        <f>'[2]Cruise KPI 2019&amp;2023Regional-BD'!$J$46</f>
        <v>530</v>
      </c>
      <c r="Q13" s="68">
        <f>'[2]Cruise KPI 2019&amp;2023Regional-BD'!$G$46</f>
        <v>0</v>
      </c>
      <c r="R13" s="68">
        <f>SUM('[2]Regional BD'!$CQ$36:$CS$36)</f>
        <v>509</v>
      </c>
      <c r="S13" s="68">
        <f>'[2]Cruise KPI 2019&amp;2023Regional-BD'!$D$46</f>
        <v>516</v>
      </c>
      <c r="T13" s="64">
        <f>IFERROR(O13/P13-1,"n/a")</f>
        <v>0</v>
      </c>
      <c r="U13" s="64" t="str">
        <f>IFERROR(O13/Q13-1,"n/a")</f>
        <v>n/a</v>
      </c>
      <c r="V13" s="64">
        <f>IFERROR(O13/R13-1,"n/a")</f>
        <v>4.1257367387033339E-2</v>
      </c>
      <c r="W13" s="60">
        <f>IFERROR(O13/S13-1,"n/a")</f>
        <v>2.7131782945736482E-2</v>
      </c>
      <c r="X13" s="68">
        <v>346</v>
      </c>
      <c r="Y13" s="68">
        <v>111</v>
      </c>
      <c r="Z13" s="70">
        <v>145</v>
      </c>
      <c r="AA13" s="78">
        <v>386</v>
      </c>
      <c r="AB13" s="9"/>
    </row>
    <row r="14" spans="1:28" ht="14.4">
      <c r="A14" s="9"/>
      <c r="B14" s="12"/>
      <c r="C14" s="33"/>
      <c r="D14" s="26" t="s">
        <v>11</v>
      </c>
      <c r="E14" s="32"/>
      <c r="F14" s="73">
        <f>'[2]Regional BD'!$EF$41</f>
        <v>565574</v>
      </c>
      <c r="G14" s="71">
        <f>'[2]Regional BD'!$DS$41</f>
        <v>344501</v>
      </c>
      <c r="H14" s="71">
        <f>'[2]Regional BD'!$DF$41</f>
        <v>0</v>
      </c>
      <c r="I14" s="71">
        <f>'[2]Regional BD'!$CS$41</f>
        <v>196286</v>
      </c>
      <c r="J14" s="71">
        <f>'[2]Regional BD'!$CF$41</f>
        <v>500596</v>
      </c>
      <c r="K14" s="64">
        <f>IFERROR(F14/G14-1,"n/a")</f>
        <v>0.64171947251241646</v>
      </c>
      <c r="L14" s="64" t="str">
        <f t="shared" si="0"/>
        <v>n/a</v>
      </c>
      <c r="M14" s="64">
        <f t="shared" ref="M14" si="2">IFERROR(F14/I14-1,"n/a")</f>
        <v>1.8813771741234731</v>
      </c>
      <c r="N14" s="60">
        <f t="shared" si="1"/>
        <v>0.1298012768779615</v>
      </c>
      <c r="O14" s="68">
        <f>'[3]KPI Regional'!$N$32</f>
        <v>1538184</v>
      </c>
      <c r="P14" s="68">
        <f>'[2]Cruise KPI 2019&amp;2023Regional-BD'!$K$46</f>
        <v>759658</v>
      </c>
      <c r="Q14" s="68">
        <f>'[2]Cruise KPI 2019&amp;2023Regional-BD'!$H$46</f>
        <v>0</v>
      </c>
      <c r="R14" s="68">
        <f>SUM('[2]Regional BD'!$CQ$41:$CS$41)</f>
        <v>1092884</v>
      </c>
      <c r="S14" s="68">
        <f>'[2]Cruise KPI 2019&amp;2023Regional-BD'!$E$46</f>
        <v>1451104</v>
      </c>
      <c r="T14" s="64">
        <f>IFERROR(O14/P14-1,"n/a")</f>
        <v>1.0248374926611712</v>
      </c>
      <c r="U14" s="64" t="str">
        <f>IFERROR(O14/Q14-1,"n/a")</f>
        <v>n/a</v>
      </c>
      <c r="V14" s="64">
        <f>IFERROR(O14/R14-1,"n/a")</f>
        <v>0.40745403903799482</v>
      </c>
      <c r="W14" s="60">
        <f>IFERROR(O14/S14-1,"n/a")</f>
        <v>6.0009482435442241E-2</v>
      </c>
      <c r="X14" s="68">
        <v>380182</v>
      </c>
      <c r="Y14" s="68">
        <v>80863</v>
      </c>
      <c r="Z14" s="70">
        <v>258885</v>
      </c>
      <c r="AA14" s="78">
        <v>733296</v>
      </c>
      <c r="AB14" s="9"/>
    </row>
    <row r="15" spans="1:28" ht="14.4">
      <c r="A15" s="9"/>
      <c r="B15" s="12"/>
      <c r="C15" s="31" t="s">
        <v>110</v>
      </c>
      <c r="D15" s="26"/>
      <c r="E15" s="32"/>
      <c r="F15" s="97"/>
      <c r="G15" s="26"/>
      <c r="H15" s="26"/>
      <c r="I15" s="26"/>
      <c r="J15" s="26"/>
      <c r="K15" s="64"/>
      <c r="L15" s="64"/>
      <c r="M15" s="64"/>
      <c r="N15" s="61"/>
      <c r="O15" s="87"/>
      <c r="P15" s="87"/>
      <c r="Q15" s="87"/>
      <c r="R15" s="87"/>
      <c r="S15" s="87"/>
      <c r="T15" s="64"/>
      <c r="U15" s="64"/>
      <c r="V15" s="65"/>
      <c r="W15" s="61"/>
      <c r="X15" s="43"/>
      <c r="Y15" s="43"/>
      <c r="Z15" s="44"/>
      <c r="AA15" s="79"/>
      <c r="AB15" s="9"/>
    </row>
    <row r="16" spans="1:28" ht="14.4">
      <c r="A16" s="9"/>
      <c r="B16" s="12"/>
      <c r="C16" s="33"/>
      <c r="D16" s="26" t="s">
        <v>5</v>
      </c>
      <c r="E16" s="32"/>
      <c r="F16" s="74">
        <f>'[2]Cruise KPI 2019&amp;2023Regional-BD'!$M$13</f>
        <v>16</v>
      </c>
      <c r="G16" s="71">
        <f>'[2]Cruise KPI 2019&amp;2023Regional-BD'!$J$13</f>
        <v>26</v>
      </c>
      <c r="H16" s="71">
        <f>'[2]Cruise KPI 2019&amp;2023Regional-BD'!$G$13</f>
        <v>5</v>
      </c>
      <c r="I16" s="71">
        <f>'[2]Regional BD'!$CS$69</f>
        <v>1</v>
      </c>
      <c r="J16" s="71">
        <f>'[2]Cruise KPI 2019&amp;2023Regional-BD'!$D$13</f>
        <v>10</v>
      </c>
      <c r="K16" s="64">
        <f>IFERROR(F16/G16-1,"n/a")</f>
        <v>-0.38461538461538458</v>
      </c>
      <c r="L16" s="64">
        <f t="shared" si="0"/>
        <v>2.2000000000000002</v>
      </c>
      <c r="M16" s="64">
        <f t="shared" ref="M16:M17" si="3">IFERROR(F16/I16-1,"n/a")</f>
        <v>15</v>
      </c>
      <c r="N16" s="60">
        <f t="shared" ref="N16:N17" si="4">IFERROR(F16/J16-1,"n/a")</f>
        <v>0.60000000000000009</v>
      </c>
      <c r="O16" s="68">
        <f>'[2]Cruise KPI 2019&amp;2023Regional-BD'!$M$50</f>
        <v>27</v>
      </c>
      <c r="P16" s="68">
        <f>'[2]Cruise KPI 2019&amp;2023Regional-BD'!$J$50</f>
        <v>36</v>
      </c>
      <c r="Q16" s="68">
        <f>'[2]Cruise KPI 2019&amp;2023Regional-BD'!$G$50</f>
        <v>12</v>
      </c>
      <c r="R16" s="68">
        <f>SUM('[2]Regional BD'!$CQ$69:$CS$69)</f>
        <v>10</v>
      </c>
      <c r="S16" s="68">
        <f>'[2]Cruise KPI 2019&amp;2023Regional-BD'!$D$50</f>
        <v>23</v>
      </c>
      <c r="T16" s="64">
        <f>IFERROR(O16/P16-1,"n/a")</f>
        <v>-0.25</v>
      </c>
      <c r="U16" s="64">
        <f t="shared" ref="U16:U17" si="5">IFERROR(O16/Q16-1,"n/a")</f>
        <v>1.25</v>
      </c>
      <c r="V16" s="64">
        <f t="shared" ref="V16:V17" si="6">IFERROR(O16/R16-1,"n/a")</f>
        <v>1.7000000000000002</v>
      </c>
      <c r="W16" s="60">
        <f t="shared" ref="W16:W17" si="7">IFERROR(O16/S16-1,"n/a")</f>
        <v>0.17391304347826098</v>
      </c>
      <c r="X16" s="68">
        <v>778</v>
      </c>
      <c r="Y16" s="68">
        <v>283</v>
      </c>
      <c r="Z16" s="70">
        <v>43</v>
      </c>
      <c r="AA16" s="78">
        <v>827</v>
      </c>
      <c r="AB16" s="9"/>
    </row>
    <row r="17" spans="1:28" ht="14.4">
      <c r="A17" s="9"/>
      <c r="B17" s="12"/>
      <c r="C17" s="33"/>
      <c r="D17" s="26" t="s">
        <v>11</v>
      </c>
      <c r="E17" s="32"/>
      <c r="F17" s="74">
        <f>'[2]Cruise KPI 2019&amp;2023Regional-BD'!$N$13</f>
        <v>43135</v>
      </c>
      <c r="G17" s="71">
        <f>'[2]Cruise KPI 2019&amp;2023Regional-BD'!$K$13</f>
        <v>28377</v>
      </c>
      <c r="H17" s="71">
        <f>'[2]Cruise KPI 2019&amp;2023Regional-BD'!$H$13</f>
        <v>4146</v>
      </c>
      <c r="I17" s="71">
        <f>'[2]Regional BD'!$CS$74</f>
        <v>565</v>
      </c>
      <c r="J17" s="71">
        <f>'[2]Cruise KPI 2019&amp;2023Regional-BD'!$E$13</f>
        <v>32801</v>
      </c>
      <c r="K17" s="64">
        <f>IFERROR(F17/G17-1,"n/a")</f>
        <v>0.52006907002149627</v>
      </c>
      <c r="L17" s="64">
        <f t="shared" si="0"/>
        <v>9.4040038591413406</v>
      </c>
      <c r="M17" s="64">
        <f t="shared" si="3"/>
        <v>75.345132743362825</v>
      </c>
      <c r="N17" s="60">
        <f t="shared" si="4"/>
        <v>0.31505137038504927</v>
      </c>
      <c r="O17" s="68">
        <f>'[2]Cruise KPI 2019&amp;2023Regional-BD'!$N$50</f>
        <v>83055</v>
      </c>
      <c r="P17" s="68">
        <f>'[2]Cruise KPI 2019&amp;2023Regional-BD'!$K$50</f>
        <v>36508</v>
      </c>
      <c r="Q17" s="68">
        <f>'[2]Cruise KPI 2019&amp;2023Regional-BD'!$H$50</f>
        <v>10103</v>
      </c>
      <c r="R17" s="68">
        <f>SUM('[2]Regional BD'!$CQ$74:$CS$74)</f>
        <v>41113</v>
      </c>
      <c r="S17" s="68">
        <f>'[2]Cruise KPI 2019&amp;2023Regional-BD'!$E$50</f>
        <v>80374</v>
      </c>
      <c r="T17" s="64">
        <f>IFERROR(O17/P17-1,"n/a")</f>
        <v>1.2749808261203026</v>
      </c>
      <c r="U17" s="64">
        <f t="shared" si="5"/>
        <v>7.2208254973770174</v>
      </c>
      <c r="V17" s="64">
        <f t="shared" si="6"/>
        <v>1.0201639384136403</v>
      </c>
      <c r="W17" s="60">
        <f t="shared" si="7"/>
        <v>3.335655809092497E-2</v>
      </c>
      <c r="X17" s="68">
        <v>1843624</v>
      </c>
      <c r="Y17" s="68">
        <v>465109</v>
      </c>
      <c r="Z17" s="70">
        <v>140552</v>
      </c>
      <c r="AA17" s="78">
        <v>2552942</v>
      </c>
      <c r="AB17" s="9"/>
    </row>
    <row r="18" spans="1:28" ht="14.4">
      <c r="A18" s="9"/>
      <c r="B18" s="12"/>
      <c r="C18" s="31" t="s">
        <v>111</v>
      </c>
      <c r="D18" s="26"/>
      <c r="E18" s="32"/>
      <c r="F18" s="72"/>
      <c r="G18" s="72"/>
      <c r="H18" s="72"/>
      <c r="I18" s="72"/>
      <c r="J18" s="72"/>
      <c r="K18" s="64"/>
      <c r="L18" s="64"/>
      <c r="M18" s="64"/>
      <c r="N18" s="60"/>
      <c r="O18" s="87"/>
      <c r="P18" s="87"/>
      <c r="Q18" s="87"/>
      <c r="R18" s="87"/>
      <c r="S18" s="87"/>
      <c r="T18" s="64"/>
      <c r="U18" s="64"/>
      <c r="V18" s="64"/>
      <c r="W18" s="60"/>
      <c r="X18" s="43"/>
      <c r="Y18" s="43"/>
      <c r="Z18" s="44"/>
      <c r="AA18" s="79"/>
      <c r="AB18" s="9"/>
    </row>
    <row r="19" spans="1:28" ht="14.4">
      <c r="A19" s="9"/>
      <c r="B19" s="12"/>
      <c r="C19" s="33"/>
      <c r="D19" s="26" t="s">
        <v>5</v>
      </c>
      <c r="E19" s="32"/>
      <c r="F19" s="73">
        <f>'[2]Cruise KPI 2019&amp;2023Regional-BD'!$M$19</f>
        <v>17</v>
      </c>
      <c r="G19" s="71">
        <f>'[2]Cruise KPI 2019&amp;2023Regional-BD'!$J$19</f>
        <v>6</v>
      </c>
      <c r="H19" s="71">
        <f>'[2]Cruise KPI 2019&amp;2023Regional-BD'!$G$19</f>
        <v>0</v>
      </c>
      <c r="I19" s="71">
        <f>'[2]Regional BD'!$CS$157</f>
        <v>2</v>
      </c>
      <c r="J19" s="71">
        <f>'[2]Cruise KPI 2019&amp;2023Regional-BD'!$D$19</f>
        <v>5</v>
      </c>
      <c r="K19" s="64">
        <f>IFERROR(F19/G19-1,"n/a")</f>
        <v>1.8333333333333335</v>
      </c>
      <c r="L19" s="64" t="str">
        <f t="shared" si="0"/>
        <v>n/a</v>
      </c>
      <c r="M19" s="64">
        <f t="shared" ref="M19:M20" si="8">IFERROR(F19/I19-1,"n/a")</f>
        <v>7.5</v>
      </c>
      <c r="N19" s="60">
        <f>IFERROR(F19/J19-1,"n/a")</f>
        <v>2.4</v>
      </c>
      <c r="O19" s="68">
        <f>'[2]Cruise KPI 2019&amp;2023Regional-BD'!$M$56</f>
        <v>23</v>
      </c>
      <c r="P19" s="68">
        <f>'[2]Cruise KPI 2019&amp;2023Regional-BD'!$J$56</f>
        <v>12</v>
      </c>
      <c r="Q19" s="68">
        <f>'[2]Cruise KPI 2019&amp;2023Regional-BD'!$G$56</f>
        <v>0</v>
      </c>
      <c r="R19" s="68">
        <f>SUM('[2]Regional BD'!$CQ$157:$CS$157)</f>
        <v>3</v>
      </c>
      <c r="S19" s="68">
        <f>'[2]Cruise KPI 2019&amp;2023Regional-BD'!$D$56</f>
        <v>6</v>
      </c>
      <c r="T19" s="64">
        <f>IFERROR(O19/P19-1,"n/a")</f>
        <v>0.91666666666666674</v>
      </c>
      <c r="U19" s="64" t="str">
        <f t="shared" ref="U19:U20" si="9">IFERROR(O19/Q19-1,"n/a")</f>
        <v>n/a</v>
      </c>
      <c r="V19" s="64">
        <f t="shared" ref="V19:V20" si="10">IFERROR(O19/R19-1,"n/a")</f>
        <v>6.666666666666667</v>
      </c>
      <c r="W19" s="60">
        <f t="shared" ref="W19:W20" si="11">IFERROR(O19/S19-1,"n/a")</f>
        <v>2.8333333333333335</v>
      </c>
      <c r="X19" s="68">
        <v>475</v>
      </c>
      <c r="Y19" s="68">
        <v>23</v>
      </c>
      <c r="Z19" s="70">
        <v>4</v>
      </c>
      <c r="AA19" s="78">
        <v>191</v>
      </c>
      <c r="AB19" s="9"/>
    </row>
    <row r="20" spans="1:28" ht="14.4">
      <c r="A20" s="9"/>
      <c r="B20" s="12"/>
      <c r="C20" s="33"/>
      <c r="D20" s="26" t="s">
        <v>11</v>
      </c>
      <c r="E20" s="32"/>
      <c r="F20" s="73">
        <f>'[2]Cruise KPI 2019&amp;2023Regional-BD'!$N$19+'[2]Ferry KPI'!$N$11</f>
        <v>14734</v>
      </c>
      <c r="G20" s="71">
        <f>'[2]Cruise KPI 2019&amp;2023Regional-BD'!$K$19</f>
        <v>595</v>
      </c>
      <c r="H20" s="71">
        <f>'[2]Cruise KPI 2019&amp;2023Regional-BD'!$H$19+'[2]Ferry KPI'!$H$11</f>
        <v>0</v>
      </c>
      <c r="I20" s="71">
        <f>'[2]Regional BD'!$CS$162+'[2]Ferry Summary'!$U$25</f>
        <v>887</v>
      </c>
      <c r="J20" s="71">
        <f>'[2]Cruise KPI 2019&amp;2023Regional-BD'!$E$19+'[2]Ferry KPI'!$E$11</f>
        <v>4876</v>
      </c>
      <c r="K20" s="64">
        <f>IFERROR(F20/G20-1,"n/a")</f>
        <v>23.763025210084034</v>
      </c>
      <c r="L20" s="64" t="str">
        <f t="shared" si="0"/>
        <v>n/a</v>
      </c>
      <c r="M20" s="64">
        <f t="shared" si="8"/>
        <v>15.611048478015782</v>
      </c>
      <c r="N20" s="60">
        <f t="shared" ref="N20:N28" si="12">IFERROR(F20/J20-1,"n/a")</f>
        <v>2.0217391304347827</v>
      </c>
      <c r="O20" s="68">
        <f>'[2]Cruise KPI 2019&amp;2023Regional-BD'!$N$56+'[2]Ferry KPI'!$N$23</f>
        <v>20846</v>
      </c>
      <c r="P20" s="68">
        <f>'[2]Cruise KPI 2019&amp;2023Regional-BD'!$K$56+'[2]Ferry KPI'!$K$23</f>
        <v>3085</v>
      </c>
      <c r="Q20" s="68">
        <f>'[2]Cruise KPI 2019&amp;2023Regional-BD'!$H$56+'[2]Ferry KPI'!$H$23</f>
        <v>0</v>
      </c>
      <c r="R20" s="68">
        <f>SUM('[2]Regional BD'!$CQ$162:$CS$162)+SUM('[2]Ferry Summary'!$S$25:$U$25)</f>
        <v>1753</v>
      </c>
      <c r="S20" s="68">
        <f>'[2]Cruise KPI 2019&amp;2023Regional-BD'!$E$56+'[2]Ferry KPI'!$E$23</f>
        <v>6484</v>
      </c>
      <c r="T20" s="64">
        <f>IFERROR(O20/P20-1,"n/a")</f>
        <v>5.7572123176661263</v>
      </c>
      <c r="U20" s="64" t="str">
        <f t="shared" si="9"/>
        <v>n/a</v>
      </c>
      <c r="V20" s="64">
        <f t="shared" si="10"/>
        <v>10.891614375356532</v>
      </c>
      <c r="W20" s="60">
        <f t="shared" si="11"/>
        <v>2.2149907464528069</v>
      </c>
      <c r="X20" s="68">
        <v>561984</v>
      </c>
      <c r="Y20" s="68">
        <v>8611</v>
      </c>
      <c r="Z20" s="70">
        <v>1753</v>
      </c>
      <c r="AA20" s="78">
        <v>254421</v>
      </c>
      <c r="AB20" s="9"/>
    </row>
    <row r="21" spans="1:28" ht="14.4">
      <c r="A21" s="9"/>
      <c r="B21" s="12"/>
      <c r="C21" s="31" t="s">
        <v>112</v>
      </c>
      <c r="D21" s="26"/>
      <c r="E21" s="34"/>
      <c r="F21" s="72"/>
      <c r="G21" s="72"/>
      <c r="H21" s="72"/>
      <c r="I21" s="72"/>
      <c r="J21" s="72"/>
      <c r="K21" s="64"/>
      <c r="L21" s="64"/>
      <c r="M21" s="64"/>
      <c r="N21" s="60"/>
      <c r="O21" s="87"/>
      <c r="P21" s="87"/>
      <c r="Q21" s="87"/>
      <c r="R21" s="87"/>
      <c r="S21" s="87"/>
      <c r="T21" s="64"/>
      <c r="U21" s="64"/>
      <c r="V21" s="64"/>
      <c r="W21" s="60"/>
      <c r="X21" s="43"/>
      <c r="Y21" s="43"/>
      <c r="Z21" s="44"/>
      <c r="AA21" s="79"/>
      <c r="AB21" s="9"/>
    </row>
    <row r="22" spans="1:28" ht="14.4">
      <c r="A22" s="9"/>
      <c r="B22" s="12"/>
      <c r="C22" s="33"/>
      <c r="D22" s="26" t="s">
        <v>5</v>
      </c>
      <c r="E22" s="34"/>
      <c r="F22" s="74">
        <f>'[2]Cruise KPI 2019&amp;2023Regional-BD'!$M$23</f>
        <v>108</v>
      </c>
      <c r="G22" s="71">
        <f>'[2]Cruise KPI 2019&amp;2023Regional-BD'!$J$23</f>
        <v>24</v>
      </c>
      <c r="H22" s="71">
        <f>'[2]Regional BD'!$DF$212</f>
        <v>0</v>
      </c>
      <c r="I22" s="71">
        <f>'[2]Regional BD'!$CS$212</f>
        <v>10</v>
      </c>
      <c r="J22" s="71">
        <f>'[2]Regional BD'!$CF$212</f>
        <v>44</v>
      </c>
      <c r="K22" s="64">
        <f>IFERROR(F22/G22-1,"n/a")</f>
        <v>3.5</v>
      </c>
      <c r="L22" s="64" t="str">
        <f t="shared" si="0"/>
        <v>n/a</v>
      </c>
      <c r="M22" s="64">
        <f t="shared" ref="M22:M23" si="13">IFERROR(F22/I22-1,"n/a")</f>
        <v>9.8000000000000007</v>
      </c>
      <c r="N22" s="60">
        <f t="shared" si="12"/>
        <v>1.4545454545454546</v>
      </c>
      <c r="O22" s="68">
        <f>'[2]Cruise KPI 2019&amp;2023Regional-BD'!$M$60</f>
        <v>287</v>
      </c>
      <c r="P22" s="68">
        <f>'[2]Cruise KPI 2019&amp;2023Regional-BD'!$J$60</f>
        <v>53</v>
      </c>
      <c r="Q22" s="68">
        <v>0</v>
      </c>
      <c r="R22" s="68">
        <f>SUM('[2]Regional BD'!$CQ$212:$CS$212)</f>
        <v>205</v>
      </c>
      <c r="S22" s="68">
        <f>'[2]Cruise KPI 2019&amp;2023Regional-BD'!$D$60</f>
        <v>323</v>
      </c>
      <c r="T22" s="64">
        <f>IFERROR(O22/P22-1,"n/a")</f>
        <v>4.4150943396226419</v>
      </c>
      <c r="U22" s="64" t="str">
        <f t="shared" ref="U22:U23" si="14">IFERROR(O22/Q22-1,"n/a")</f>
        <v>n/a</v>
      </c>
      <c r="V22" s="64">
        <f t="shared" ref="V22:V23" si="15">IFERROR(O22/R22-1,"n/a")</f>
        <v>0.39999999999999991</v>
      </c>
      <c r="W22" s="60">
        <f t="shared" ref="W22:W23" si="16">IFERROR(O22/S22-1,"n/a")</f>
        <v>-0.11145510835913308</v>
      </c>
      <c r="X22" s="68">
        <v>1140</v>
      </c>
      <c r="Y22" s="68">
        <v>411</v>
      </c>
      <c r="Z22" s="70">
        <v>406</v>
      </c>
      <c r="AA22" s="78">
        <v>1205</v>
      </c>
      <c r="AB22" s="9"/>
    </row>
    <row r="23" spans="1:28" ht="14.4">
      <c r="A23" s="9"/>
      <c r="B23" s="12"/>
      <c r="C23" s="33"/>
      <c r="D23" s="26" t="s">
        <v>11</v>
      </c>
      <c r="E23" s="32"/>
      <c r="F23" s="73">
        <f>'[2]Cruise KPI 2019&amp;2023Regional-BD'!$N$23</f>
        <v>297870</v>
      </c>
      <c r="G23" s="71">
        <f>'[2]Cruise KPI 2019&amp;2023Regional-BD'!$K$23</f>
        <v>32594</v>
      </c>
      <c r="H23" s="71">
        <f>'[2]Regional BD'!$DF$217</f>
        <v>0</v>
      </c>
      <c r="I23" s="71">
        <f>'[2]Regional BD'!$CS$217</f>
        <v>28535</v>
      </c>
      <c r="J23" s="71">
        <f>'[2]Regional BD'!$CF$217</f>
        <v>117674</v>
      </c>
      <c r="K23" s="64">
        <f>IFERROR(F23/G23-1,"n/a")</f>
        <v>8.1387985518807149</v>
      </c>
      <c r="L23" s="64" t="str">
        <f t="shared" si="0"/>
        <v>n/a</v>
      </c>
      <c r="M23" s="64">
        <f t="shared" si="13"/>
        <v>9.4387594182582788</v>
      </c>
      <c r="N23" s="60">
        <f t="shared" si="12"/>
        <v>1.5313153287897072</v>
      </c>
      <c r="O23" s="68">
        <f>'[2]Cruise KPI 2019&amp;2023Regional-BD'!$N$60</f>
        <v>836274</v>
      </c>
      <c r="P23" s="68">
        <f>'[2]Cruise KPI 2019&amp;2023Regional-BD'!$K$60</f>
        <v>68454</v>
      </c>
      <c r="Q23" s="68">
        <v>0</v>
      </c>
      <c r="R23" s="68">
        <f>SUM('[2]Regional BD'!$CQ$217:$CS$217)</f>
        <v>545974</v>
      </c>
      <c r="S23" s="68">
        <f>'[2]Cruise KPI 2019&amp;2023Regional-BD'!$E$60</f>
        <v>919815</v>
      </c>
      <c r="T23" s="64">
        <f>IFERROR(O23/P23-1,"n/a")</f>
        <v>11.21658339907091</v>
      </c>
      <c r="U23" s="64" t="str">
        <f t="shared" si="14"/>
        <v>n/a</v>
      </c>
      <c r="V23" s="64">
        <f t="shared" si="15"/>
        <v>0.53171030122313523</v>
      </c>
      <c r="W23" s="60">
        <f t="shared" si="16"/>
        <v>-9.0823698243668538E-2</v>
      </c>
      <c r="X23" s="68">
        <v>3212646</v>
      </c>
      <c r="Y23" s="68">
        <v>687449</v>
      </c>
      <c r="Z23" s="70">
        <v>833999</v>
      </c>
      <c r="AA23" s="78">
        <v>3859183</v>
      </c>
      <c r="AB23" s="9"/>
    </row>
    <row r="24" spans="1:28" ht="14.4">
      <c r="A24" s="9"/>
      <c r="B24" s="12"/>
      <c r="C24" s="31" t="s">
        <v>113</v>
      </c>
      <c r="D24" s="26"/>
      <c r="E24" s="32"/>
      <c r="F24" s="72"/>
      <c r="G24" s="72"/>
      <c r="H24" s="72"/>
      <c r="I24" s="72"/>
      <c r="J24" s="72"/>
      <c r="K24" s="64"/>
      <c r="L24" s="64"/>
      <c r="M24" s="64"/>
      <c r="N24" s="60"/>
      <c r="O24" s="87"/>
      <c r="P24" s="87"/>
      <c r="Q24" s="87"/>
      <c r="R24" s="87"/>
      <c r="S24" s="87"/>
      <c r="T24" s="64"/>
      <c r="U24" s="64"/>
      <c r="V24" s="64"/>
      <c r="W24" s="60"/>
      <c r="X24" s="43"/>
      <c r="Y24" s="43"/>
      <c r="Z24" s="44"/>
      <c r="AA24" s="79"/>
      <c r="AB24" s="9"/>
    </row>
    <row r="25" spans="1:28" ht="14.4">
      <c r="B25" s="12"/>
      <c r="C25" s="33"/>
      <c r="D25" s="26" t="s">
        <v>5</v>
      </c>
      <c r="E25" s="32"/>
      <c r="F25" s="71">
        <v>0</v>
      </c>
      <c r="G25" s="71">
        <v>0</v>
      </c>
      <c r="H25" s="71">
        <v>0</v>
      </c>
      <c r="I25" s="71">
        <v>0</v>
      </c>
      <c r="J25" s="71">
        <v>0</v>
      </c>
      <c r="K25" s="64" t="str">
        <f>IFERROR(F25/G25-1,"n/a")</f>
        <v>n/a</v>
      </c>
      <c r="L25" s="64" t="str">
        <f t="shared" si="0"/>
        <v>n/a</v>
      </c>
      <c r="M25" s="64" t="str">
        <f t="shared" ref="M25:M28" si="17">IFERROR(F25/I25-1,"n/a")</f>
        <v>n/a</v>
      </c>
      <c r="N25" s="60" t="str">
        <f t="shared" si="12"/>
        <v>n/a</v>
      </c>
      <c r="O25" s="68">
        <v>0</v>
      </c>
      <c r="P25" s="68">
        <v>0</v>
      </c>
      <c r="Q25" s="68">
        <v>0</v>
      </c>
      <c r="R25" s="68">
        <v>0</v>
      </c>
      <c r="S25" s="68">
        <v>0</v>
      </c>
      <c r="T25" s="64" t="str">
        <f>IFERROR(O25/P25-1,"n/a")</f>
        <v>n/a</v>
      </c>
      <c r="U25" s="64" t="str">
        <f t="shared" ref="U25:U28" si="18">IFERROR(O25/Q25-1,"n/a")</f>
        <v>n/a</v>
      </c>
      <c r="V25" s="64" t="str">
        <f t="shared" ref="V25:V28" si="19">IFERROR(O25/R25-1,"n/a")</f>
        <v>n/a</v>
      </c>
      <c r="W25" s="60" t="str">
        <f t="shared" ref="W25:W28" si="20">IFERROR(O25/S25-1,"n/a")</f>
        <v>n/a</v>
      </c>
      <c r="X25" s="68">
        <v>605</v>
      </c>
      <c r="Y25" s="68">
        <v>127</v>
      </c>
      <c r="Z25" s="70">
        <v>37</v>
      </c>
      <c r="AA25" s="78">
        <f>282+81</f>
        <v>363</v>
      </c>
      <c r="AB25" s="9"/>
    </row>
    <row r="26" spans="1:28" ht="14.4">
      <c r="A26" s="9"/>
      <c r="B26" s="12"/>
      <c r="C26" s="33"/>
      <c r="D26" s="26" t="s">
        <v>11</v>
      </c>
      <c r="E26" s="32"/>
      <c r="F26" s="71">
        <v>0</v>
      </c>
      <c r="G26" s="71">
        <v>0</v>
      </c>
      <c r="H26" s="71">
        <v>0</v>
      </c>
      <c r="I26" s="71">
        <v>0</v>
      </c>
      <c r="J26" s="71">
        <v>0</v>
      </c>
      <c r="K26" s="64" t="str">
        <f>IFERROR(F26/G26-1,"n/a")</f>
        <v>n/a</v>
      </c>
      <c r="L26" s="64" t="str">
        <f t="shared" si="0"/>
        <v>n/a</v>
      </c>
      <c r="M26" s="64" t="str">
        <f t="shared" si="17"/>
        <v>n/a</v>
      </c>
      <c r="N26" s="60" t="str">
        <f t="shared" si="12"/>
        <v>n/a</v>
      </c>
      <c r="O26" s="68">
        <v>0</v>
      </c>
      <c r="P26" s="68">
        <v>0</v>
      </c>
      <c r="Q26" s="68">
        <v>0</v>
      </c>
      <c r="R26" s="68">
        <v>0</v>
      </c>
      <c r="S26" s="68">
        <v>0</v>
      </c>
      <c r="T26" s="64" t="str">
        <f>IFERROR(O26/P26-1,"n/a")</f>
        <v>n/a</v>
      </c>
      <c r="U26" s="64" t="str">
        <f t="shared" si="18"/>
        <v>n/a</v>
      </c>
      <c r="V26" s="64" t="str">
        <f t="shared" si="19"/>
        <v>n/a</v>
      </c>
      <c r="W26" s="60" t="str">
        <f t="shared" si="20"/>
        <v>n/a</v>
      </c>
      <c r="X26" s="68">
        <v>1098243</v>
      </c>
      <c r="Y26" s="68">
        <v>165083</v>
      </c>
      <c r="Z26" s="70">
        <f>20768+8294</f>
        <v>29062</v>
      </c>
      <c r="AA26" s="78">
        <f>659951+168729+38484</f>
        <v>867164</v>
      </c>
      <c r="AB26" s="9"/>
    </row>
    <row r="27" spans="1:28" thickBot="1">
      <c r="A27" s="9"/>
      <c r="B27" s="12"/>
      <c r="C27" s="35" t="s">
        <v>12</v>
      </c>
      <c r="D27" s="36"/>
      <c r="E27" s="37"/>
      <c r="F27" s="75">
        <f t="shared" ref="F27:J28" si="21">F13+F16+F19+F22+F25</f>
        <v>322</v>
      </c>
      <c r="G27" s="75">
        <f t="shared" si="21"/>
        <v>260</v>
      </c>
      <c r="H27" s="75">
        <f t="shared" si="21"/>
        <v>5</v>
      </c>
      <c r="I27" s="75">
        <f t="shared" si="21"/>
        <v>160</v>
      </c>
      <c r="J27" s="75">
        <f t="shared" si="21"/>
        <v>229</v>
      </c>
      <c r="K27" s="66">
        <f>IFERROR(F27/G27-1,"n/a")</f>
        <v>0.2384615384615385</v>
      </c>
      <c r="L27" s="66">
        <f t="shared" si="0"/>
        <v>63.400000000000006</v>
      </c>
      <c r="M27" s="66">
        <f t="shared" si="17"/>
        <v>1.0125000000000002</v>
      </c>
      <c r="N27" s="62">
        <f t="shared" si="12"/>
        <v>0.40611353711790388</v>
      </c>
      <c r="O27" s="75">
        <f t="shared" ref="O27:S28" si="22">O13+O16+O19+O22+O25</f>
        <v>867</v>
      </c>
      <c r="P27" s="75">
        <f t="shared" si="22"/>
        <v>631</v>
      </c>
      <c r="Q27" s="75">
        <f t="shared" si="22"/>
        <v>12</v>
      </c>
      <c r="R27" s="75">
        <f t="shared" si="22"/>
        <v>727</v>
      </c>
      <c r="S27" s="75">
        <f t="shared" si="22"/>
        <v>868</v>
      </c>
      <c r="T27" s="66">
        <f>IFERROR(O27/P27-1,"n/a")</f>
        <v>0.37400950871632332</v>
      </c>
      <c r="U27" s="66">
        <f t="shared" si="18"/>
        <v>71.25</v>
      </c>
      <c r="V27" s="66">
        <f t="shared" si="19"/>
        <v>0.19257221458046758</v>
      </c>
      <c r="W27" s="62">
        <f t="shared" si="20"/>
        <v>-1.1520737327188613E-3</v>
      </c>
      <c r="X27" s="75">
        <f>X13+X16+X19+X22+X25</f>
        <v>3344</v>
      </c>
      <c r="Y27" s="46">
        <f t="shared" ref="Y27:AA27" si="23">Y13+Y16+Y19+Y22+Y25</f>
        <v>955</v>
      </c>
      <c r="Z27" s="46">
        <f t="shared" si="23"/>
        <v>635</v>
      </c>
      <c r="AA27" s="80">
        <f t="shared" si="23"/>
        <v>2972</v>
      </c>
      <c r="AB27" s="9"/>
    </row>
    <row r="28" spans="1:28" ht="15.6" thickTop="1" thickBot="1">
      <c r="A28" s="9"/>
      <c r="B28" s="12"/>
      <c r="C28" s="38" t="s">
        <v>13</v>
      </c>
      <c r="D28" s="39"/>
      <c r="E28" s="40"/>
      <c r="F28" s="76">
        <f t="shared" si="21"/>
        <v>921313</v>
      </c>
      <c r="G28" s="76">
        <f t="shared" si="21"/>
        <v>406067</v>
      </c>
      <c r="H28" s="76">
        <f t="shared" si="21"/>
        <v>4146</v>
      </c>
      <c r="I28" s="76">
        <f t="shared" si="21"/>
        <v>226273</v>
      </c>
      <c r="J28" s="76">
        <f t="shared" si="21"/>
        <v>655947</v>
      </c>
      <c r="K28" s="67">
        <f>IFERROR(F28/G28-1,"n/a")</f>
        <v>1.2688694230262492</v>
      </c>
      <c r="L28" s="67">
        <f t="shared" si="0"/>
        <v>221.21731789676798</v>
      </c>
      <c r="M28" s="67">
        <f t="shared" si="17"/>
        <v>3.071687740030848</v>
      </c>
      <c r="N28" s="63">
        <f t="shared" si="12"/>
        <v>0.40455402646860184</v>
      </c>
      <c r="O28" s="76">
        <f t="shared" si="22"/>
        <v>2478359</v>
      </c>
      <c r="P28" s="76">
        <f t="shared" si="22"/>
        <v>867705</v>
      </c>
      <c r="Q28" s="76">
        <f t="shared" si="22"/>
        <v>10103</v>
      </c>
      <c r="R28" s="76">
        <f t="shared" si="22"/>
        <v>1681724</v>
      </c>
      <c r="S28" s="76">
        <f t="shared" si="22"/>
        <v>2457777</v>
      </c>
      <c r="T28" s="67">
        <f>IFERROR(O28/P28-1,"n/a")</f>
        <v>1.8562230251064591</v>
      </c>
      <c r="U28" s="67">
        <f t="shared" si="18"/>
        <v>244.30921508462833</v>
      </c>
      <c r="V28" s="67">
        <f t="shared" si="19"/>
        <v>0.47370139214282481</v>
      </c>
      <c r="W28" s="63">
        <f t="shared" si="20"/>
        <v>8.3742341148118626E-3</v>
      </c>
      <c r="X28" s="76">
        <f>X14+X17+X20+X23+X26</f>
        <v>7096679</v>
      </c>
      <c r="Y28" s="47">
        <f t="shared" ref="Y28:AA28" si="24">Y14+Y17+Y20+Y23+Y26</f>
        <v>1407115</v>
      </c>
      <c r="Z28" s="47">
        <f t="shared" si="24"/>
        <v>1264251</v>
      </c>
      <c r="AA28" s="81">
        <f t="shared" si="24"/>
        <v>8267006</v>
      </c>
      <c r="AB28" s="9"/>
    </row>
    <row r="29" spans="1:28" thickTop="1">
      <c r="A29" s="9"/>
      <c r="B29" s="9"/>
      <c r="C29" s="9"/>
      <c r="D29" s="9"/>
      <c r="E29" s="9"/>
      <c r="F29" s="41"/>
      <c r="G29" s="41"/>
      <c r="H29" s="41"/>
      <c r="I29" s="41"/>
      <c r="J29" s="41"/>
      <c r="K29" s="41"/>
      <c r="L29" s="41"/>
      <c r="M29" s="41"/>
      <c r="N29" s="9"/>
      <c r="O29" s="9"/>
      <c r="P29" s="9"/>
      <c r="Q29" s="9"/>
      <c r="R29" s="9"/>
      <c r="S29" s="9"/>
      <c r="T29" s="9"/>
      <c r="U29" s="9"/>
      <c r="V29" s="9"/>
      <c r="W29" s="9"/>
      <c r="X29" s="9"/>
      <c r="Y29" s="9"/>
      <c r="Z29" s="9"/>
      <c r="AA29" s="9"/>
      <c r="AB29" s="9"/>
    </row>
    <row r="30" spans="1:28" ht="14.4">
      <c r="A30" s="9"/>
      <c r="B30" s="9"/>
      <c r="C30" s="9"/>
      <c r="D30" s="9"/>
      <c r="E30" s="9"/>
      <c r="F30" s="41"/>
      <c r="G30" s="41"/>
      <c r="H30" s="41"/>
      <c r="I30" s="41"/>
      <c r="J30" s="41"/>
      <c r="K30" s="41"/>
      <c r="L30" s="41"/>
      <c r="M30" s="41"/>
      <c r="N30" s="9"/>
      <c r="O30" s="9"/>
      <c r="P30" s="9"/>
      <c r="Q30" s="9"/>
      <c r="R30" s="9"/>
      <c r="S30" s="9"/>
      <c r="T30" s="9"/>
      <c r="U30" s="9"/>
      <c r="V30" s="9"/>
      <c r="W30" s="9"/>
      <c r="X30" s="9"/>
      <c r="Y30" s="9"/>
      <c r="Z30" s="9"/>
      <c r="AA30" s="9"/>
      <c r="AB30" s="9"/>
    </row>
    <row r="31" spans="1:28" ht="14.4">
      <c r="A31" s="9"/>
      <c r="B31" s="10"/>
      <c r="C31" s="86"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9"/>
    </row>
    <row r="32" spans="1:28" ht="14.4">
      <c r="A32" s="9"/>
      <c r="B32" s="1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9"/>
    </row>
    <row r="33" spans="1:28" ht="14.4">
      <c r="A33" s="9"/>
      <c r="B33" s="9"/>
      <c r="C33" s="27" t="s">
        <v>7</v>
      </c>
      <c r="D33" s="28"/>
      <c r="E33" s="28"/>
      <c r="F33" s="128" t="str">
        <f>F9</f>
        <v>March</v>
      </c>
      <c r="G33" s="128"/>
      <c r="H33" s="128"/>
      <c r="I33" s="128"/>
      <c r="J33" s="128"/>
      <c r="K33" s="128"/>
      <c r="L33" s="128"/>
      <c r="M33" s="128"/>
      <c r="N33" s="129"/>
      <c r="O33" s="130" t="s">
        <v>108</v>
      </c>
      <c r="P33" s="128"/>
      <c r="Q33" s="128"/>
      <c r="R33" s="128"/>
      <c r="S33" s="128"/>
      <c r="T33" s="128"/>
      <c r="U33" s="128"/>
      <c r="V33" s="128"/>
      <c r="W33" s="129"/>
      <c r="X33" s="130" t="s">
        <v>58</v>
      </c>
      <c r="Y33" s="128"/>
      <c r="Z33" s="128"/>
      <c r="AA33" s="131"/>
      <c r="AB33" s="9"/>
    </row>
    <row r="34" spans="1:28" ht="14.4">
      <c r="A34" s="9"/>
      <c r="B34" s="9"/>
      <c r="C34" s="29"/>
      <c r="D34" s="30"/>
      <c r="E34" s="30"/>
      <c r="F34" s="29"/>
      <c r="G34" s="30"/>
      <c r="H34" s="30"/>
      <c r="I34" s="30"/>
      <c r="J34" s="30"/>
      <c r="K34" s="30"/>
      <c r="L34" s="30"/>
      <c r="M34" s="30"/>
      <c r="N34" s="56"/>
      <c r="O34" s="30"/>
      <c r="P34" s="30"/>
      <c r="Q34" s="30"/>
      <c r="R34" s="30"/>
      <c r="S34" s="30"/>
      <c r="T34" s="30"/>
      <c r="U34" s="30"/>
      <c r="V34" s="30"/>
      <c r="W34" s="56"/>
      <c r="X34" s="30"/>
      <c r="Y34" s="30"/>
      <c r="Z34" s="30"/>
      <c r="AA34" s="56"/>
      <c r="AB34" s="9"/>
    </row>
    <row r="35" spans="1:28" ht="20.399999999999999">
      <c r="A35" s="9"/>
      <c r="B35" s="9"/>
      <c r="C35" s="59" t="s">
        <v>29</v>
      </c>
      <c r="D35" s="50"/>
      <c r="E35" s="51"/>
      <c r="F35" s="55">
        <v>2023</v>
      </c>
      <c r="G35" s="52">
        <v>2022</v>
      </c>
      <c r="H35" s="52">
        <v>2021</v>
      </c>
      <c r="I35" s="52">
        <v>2020</v>
      </c>
      <c r="J35" s="52">
        <v>2019</v>
      </c>
      <c r="K35" s="53" t="s">
        <v>66</v>
      </c>
      <c r="L35" s="53" t="s">
        <v>67</v>
      </c>
      <c r="M35" s="53" t="s">
        <v>68</v>
      </c>
      <c r="N35" s="57" t="s">
        <v>102</v>
      </c>
      <c r="O35" s="53"/>
      <c r="P35" s="53" t="s">
        <v>53</v>
      </c>
      <c r="Q35" s="52" t="s">
        <v>54</v>
      </c>
      <c r="R35" s="52" t="s">
        <v>59</v>
      </c>
      <c r="S35" s="52" t="s">
        <v>64</v>
      </c>
      <c r="T35" s="52"/>
      <c r="U35" s="53" t="s">
        <v>66</v>
      </c>
      <c r="V35" s="53" t="s">
        <v>67</v>
      </c>
      <c r="W35" s="57" t="s">
        <v>68</v>
      </c>
      <c r="X35" s="53"/>
      <c r="Y35" s="53" t="s">
        <v>54</v>
      </c>
      <c r="Z35" s="53" t="s">
        <v>65</v>
      </c>
      <c r="AA35" s="57" t="s">
        <v>73</v>
      </c>
      <c r="AB35" s="9"/>
    </row>
    <row r="36" spans="1:28" ht="14.4">
      <c r="A36" s="9"/>
      <c r="B36" s="9"/>
      <c r="C36" s="31" t="s">
        <v>109</v>
      </c>
      <c r="D36" s="26"/>
      <c r="E36" s="32"/>
      <c r="F36" s="26"/>
      <c r="G36" s="26"/>
      <c r="H36" s="26"/>
      <c r="I36" s="26"/>
      <c r="J36" s="26"/>
      <c r="K36" s="26"/>
      <c r="L36" s="26"/>
      <c r="M36" s="26"/>
      <c r="N36" s="32"/>
      <c r="O36" s="26"/>
      <c r="P36" s="26"/>
      <c r="Q36" s="26"/>
      <c r="R36" s="26"/>
      <c r="S36" s="9"/>
      <c r="T36" s="26"/>
      <c r="U36" s="9"/>
      <c r="V36" s="26"/>
      <c r="W36" s="32"/>
      <c r="X36" s="33"/>
      <c r="Y36" s="26"/>
      <c r="Z36" s="88"/>
      <c r="AA36" s="85"/>
      <c r="AB36" s="9"/>
    </row>
    <row r="37" spans="1:28" ht="14.4">
      <c r="A37" s="9"/>
      <c r="B37" s="9"/>
      <c r="C37" s="33"/>
      <c r="D37" s="26" t="s">
        <v>5</v>
      </c>
      <c r="E37" s="32"/>
      <c r="F37" s="74">
        <f t="shared" ref="F37:J38" si="25">F13</f>
        <v>181</v>
      </c>
      <c r="G37" s="74">
        <f t="shared" si="25"/>
        <v>204</v>
      </c>
      <c r="H37" s="74">
        <f t="shared" si="25"/>
        <v>0</v>
      </c>
      <c r="I37" s="74">
        <f t="shared" si="25"/>
        <v>147</v>
      </c>
      <c r="J37" s="74">
        <f t="shared" si="25"/>
        <v>170</v>
      </c>
      <c r="K37" s="64">
        <f>IFERROR(F37/G37-1,"n/a")</f>
        <v>-0.11274509803921573</v>
      </c>
      <c r="L37" s="64" t="str">
        <f t="shared" ref="L37:L38" si="26">IFERROR(F37/H37-1,"n/a")</f>
        <v>n/a</v>
      </c>
      <c r="M37" s="64">
        <f>IFERROR(F37/I37-1,"n/a")</f>
        <v>0.23129251700680276</v>
      </c>
      <c r="N37" s="60">
        <f t="shared" ref="N37:N38" si="27">IFERROR(F37/J37-1,"n/a")</f>
        <v>6.4705882352941169E-2</v>
      </c>
      <c r="O37" s="108"/>
      <c r="P37" s="70">
        <f>SUM('[2]Regional BD'!$ED$36:$EF$36,'[2]Regional BD'!$DT$36:$EB$36)</f>
        <v>1486</v>
      </c>
      <c r="Q37" s="70">
        <f>SUM('[2]Regional BD'!$DQ$36:$DS$36,'[2]Regional BD'!$DG$36:$DO$36)</f>
        <v>1052</v>
      </c>
      <c r="R37" s="82">
        <f>SUM('[2]Regional BD'!$DD$36:$DF$36,'[2]Regional BD'!$CT$36:$DB$36)</f>
        <v>42</v>
      </c>
      <c r="S37" s="70">
        <f>SUM('[2]Regional BD'!$CQ$36:$CS$36,'[2]Regional BD'!$CG$36:$CO$36)</f>
        <v>1584</v>
      </c>
      <c r="T37" s="108"/>
      <c r="U37" s="64">
        <f>IFERROR(P37/Q37-1,"n/a")</f>
        <v>0.4125475285171103</v>
      </c>
      <c r="V37" s="64">
        <f>IFERROR(P37/R37-1,"n/a")</f>
        <v>34.38095238095238</v>
      </c>
      <c r="W37" s="60">
        <f>IFERROR(P37/S37-1,"n/a")</f>
        <v>-6.1868686868686851E-2</v>
      </c>
      <c r="X37" s="119"/>
      <c r="Y37" s="89">
        <v>1052</v>
      </c>
      <c r="Z37" s="70">
        <v>551</v>
      </c>
      <c r="AA37" s="78">
        <v>1584</v>
      </c>
      <c r="AB37" s="9"/>
    </row>
    <row r="38" spans="1:28" ht="14.4">
      <c r="A38" s="9"/>
      <c r="B38" s="9"/>
      <c r="C38" s="33"/>
      <c r="D38" s="26" t="s">
        <v>11</v>
      </c>
      <c r="E38" s="32"/>
      <c r="F38" s="74">
        <f t="shared" si="25"/>
        <v>565574</v>
      </c>
      <c r="G38" s="74">
        <f t="shared" si="25"/>
        <v>344501</v>
      </c>
      <c r="H38" s="74">
        <f t="shared" si="25"/>
        <v>0</v>
      </c>
      <c r="I38" s="74">
        <f t="shared" si="25"/>
        <v>196286</v>
      </c>
      <c r="J38" s="74">
        <f t="shared" si="25"/>
        <v>500596</v>
      </c>
      <c r="K38" s="64">
        <f>IFERROR(F38/G38-1,"n/a")</f>
        <v>0.64171947251241646</v>
      </c>
      <c r="L38" s="64" t="str">
        <f t="shared" si="26"/>
        <v>n/a</v>
      </c>
      <c r="M38" s="64">
        <f t="shared" ref="M38" si="28">IFERROR(F38/I38-1,"n/a")</f>
        <v>1.8813771741234731</v>
      </c>
      <c r="N38" s="60">
        <f t="shared" si="27"/>
        <v>0.1298012768779615</v>
      </c>
      <c r="O38" s="109"/>
      <c r="P38" s="70">
        <f>SUM('[2]Regional BD'!$ED$41:$EF$41,'[2]Regional BD'!$DT$41:$EB$41)</f>
        <v>4370939</v>
      </c>
      <c r="Q38" s="82">
        <f>SUM('[2]Regional BD'!$DQ$41:$DS$41,'[2]Regional BD'!$DG$41:$DO$41)</f>
        <v>1527970</v>
      </c>
      <c r="R38" s="82">
        <f>SUM('[2]Regional BD'!$DD$41:$DF$41,'[2]Regional BD'!$CT$41:$DB$41)</f>
        <v>0</v>
      </c>
      <c r="S38" s="82">
        <f>SUM('[2]Regional BD'!$CQ$41:$CS$41,'[2]Regional BD'!$CG$41:$CO$41)</f>
        <v>4234259</v>
      </c>
      <c r="T38" s="109"/>
      <c r="U38" s="64">
        <f>IFERROR(P38/Q38-1,"n/a")</f>
        <v>1.8606183367474491</v>
      </c>
      <c r="V38" s="64" t="str">
        <f>IFERROR(P38/R38-1,"n/a")</f>
        <v>n/a</v>
      </c>
      <c r="W38" s="60">
        <f>IFERROR(P38/S38-1,"n/a")</f>
        <v>3.2279555879789035E-2</v>
      </c>
      <c r="X38" s="119"/>
      <c r="Y38" s="89">
        <v>1527970</v>
      </c>
      <c r="Z38" s="84">
        <v>1092884</v>
      </c>
      <c r="AA38" s="78">
        <v>4234259</v>
      </c>
      <c r="AB38" s="9"/>
    </row>
    <row r="39" spans="1:28" ht="14.4">
      <c r="A39" s="9"/>
      <c r="B39" s="9"/>
      <c r="C39" s="31" t="s">
        <v>110</v>
      </c>
      <c r="D39" s="26"/>
      <c r="E39" s="32"/>
      <c r="F39" s="26"/>
      <c r="G39" s="26"/>
      <c r="H39" s="26"/>
      <c r="I39" s="26"/>
      <c r="J39" s="26"/>
      <c r="K39" s="64"/>
      <c r="L39" s="64"/>
      <c r="M39" s="64"/>
      <c r="N39" s="61"/>
      <c r="O39" s="110"/>
      <c r="P39" s="87"/>
      <c r="Q39" s="87"/>
      <c r="R39" s="87"/>
      <c r="S39" s="87"/>
      <c r="T39" s="110"/>
      <c r="U39" s="65"/>
      <c r="V39" s="65"/>
      <c r="W39" s="61"/>
      <c r="X39" s="119"/>
      <c r="Y39" s="90"/>
      <c r="Z39" s="44"/>
      <c r="AA39" s="79"/>
      <c r="AB39" s="9"/>
    </row>
    <row r="40" spans="1:28" ht="14.4">
      <c r="A40" s="9"/>
      <c r="B40" s="9"/>
      <c r="C40" s="33"/>
      <c r="D40" s="26" t="s">
        <v>5</v>
      </c>
      <c r="E40" s="32"/>
      <c r="F40" s="74">
        <f t="shared" ref="F40:J41" si="29">F16</f>
        <v>16</v>
      </c>
      <c r="G40" s="74">
        <f t="shared" si="29"/>
        <v>26</v>
      </c>
      <c r="H40" s="74">
        <f t="shared" si="29"/>
        <v>5</v>
      </c>
      <c r="I40" s="74">
        <f t="shared" si="29"/>
        <v>1</v>
      </c>
      <c r="J40" s="74">
        <f t="shared" si="29"/>
        <v>10</v>
      </c>
      <c r="K40" s="64">
        <f>IFERROR(F40/G40-1,"n/a")</f>
        <v>-0.38461538461538458</v>
      </c>
      <c r="L40" s="64">
        <f t="shared" ref="L40:L41" si="30">IFERROR(F40/H40-1,"n/a")</f>
        <v>2.2000000000000002</v>
      </c>
      <c r="M40" s="64">
        <f t="shared" ref="M40:M41" si="31">IFERROR(F40/I40-1,"n/a")</f>
        <v>15</v>
      </c>
      <c r="N40" s="60">
        <f t="shared" ref="N40:N41" si="32">IFERROR(F40/J40-1,"n/a")</f>
        <v>0.60000000000000009</v>
      </c>
      <c r="O40" s="108"/>
      <c r="P40" s="70">
        <f>SUM('[2]Regional BD'!$ED$69:$EF$69,'[2]Regional BD'!$DT$69:$EB$69)</f>
        <v>563</v>
      </c>
      <c r="Q40" s="70">
        <f>SUM('[2]Regional BD'!$DQ$69:$DS$69,'[2]Regional BD'!$DG$69:$DO$69)</f>
        <v>226</v>
      </c>
      <c r="R40" s="70">
        <f>SUM('[2]Regional BD'!$DD$69:$DF$69,'[2]Regional BD'!$CT$69:$DB$69)</f>
        <v>56</v>
      </c>
      <c r="S40" s="70">
        <f>SUM('[2]Regional BD'!$CQ$69:$CS$69,'[2]Regional BD'!$CG$69:$CO$69)</f>
        <v>573</v>
      </c>
      <c r="T40" s="108"/>
      <c r="U40" s="64">
        <f t="shared" ref="U40:U41" si="33">IFERROR(P40/Q40-1,"n/a")</f>
        <v>1.4911504424778763</v>
      </c>
      <c r="V40" s="64">
        <f t="shared" ref="V40:V41" si="34">IFERROR(P40/R40-1,"n/a")</f>
        <v>9.0535714285714288</v>
      </c>
      <c r="W40" s="60">
        <f t="shared" ref="W40:W41" si="35">IFERROR(P40/S40-1,"n/a")</f>
        <v>-1.7452006980802848E-2</v>
      </c>
      <c r="X40" s="119"/>
      <c r="Y40" s="89">
        <v>226</v>
      </c>
      <c r="Z40" s="70">
        <v>66</v>
      </c>
      <c r="AA40" s="78">
        <v>573</v>
      </c>
      <c r="AB40" s="9"/>
    </row>
    <row r="41" spans="1:28" ht="14.4">
      <c r="A41" s="9"/>
      <c r="B41" s="9"/>
      <c r="C41" s="33"/>
      <c r="D41" s="26" t="s">
        <v>11</v>
      </c>
      <c r="E41" s="32"/>
      <c r="F41" s="74">
        <f t="shared" si="29"/>
        <v>43135</v>
      </c>
      <c r="G41" s="74">
        <f t="shared" si="29"/>
        <v>28377</v>
      </c>
      <c r="H41" s="74">
        <f t="shared" si="29"/>
        <v>4146</v>
      </c>
      <c r="I41" s="74">
        <f t="shared" si="29"/>
        <v>565</v>
      </c>
      <c r="J41" s="74">
        <f t="shared" si="29"/>
        <v>32801</v>
      </c>
      <c r="K41" s="64">
        <f>IFERROR(F41/G41-1,"n/a")</f>
        <v>0.52006907002149627</v>
      </c>
      <c r="L41" s="64">
        <f t="shared" si="30"/>
        <v>9.4040038591413406</v>
      </c>
      <c r="M41" s="64">
        <f t="shared" si="31"/>
        <v>75.345132743362825</v>
      </c>
      <c r="N41" s="60">
        <f t="shared" si="32"/>
        <v>0.31505137038504927</v>
      </c>
      <c r="O41" s="109"/>
      <c r="P41" s="70">
        <f>SUM('[2]Regional BD'!$ED$74:$EF$74,'[2]Regional BD'!$DT$74:$EB$74)</f>
        <v>1012510</v>
      </c>
      <c r="Q41" s="70">
        <f>SUM('[2]Regional BD'!$DQ$74:$DS$74,'[2]Regional BD'!$DG$74:$DO$74)</f>
        <v>327926</v>
      </c>
      <c r="R41" s="70">
        <f>SUM('[2]Regional BD'!$DD$74:$DF$74,'[2]Regional BD'!$CT$74:$DB$74)</f>
        <v>39665</v>
      </c>
      <c r="S41" s="70">
        <f>SUM('[2]Regional BD'!$CQ$74:$CS$74,'[2]Regional BD'!$CG$74:$CO$74)</f>
        <v>1361671</v>
      </c>
      <c r="T41" s="108"/>
      <c r="U41" s="64">
        <f t="shared" si="33"/>
        <v>2.0876173282996775</v>
      </c>
      <c r="V41" s="64">
        <f t="shared" si="34"/>
        <v>24.52653472834993</v>
      </c>
      <c r="W41" s="60">
        <f t="shared" si="35"/>
        <v>-0.25642097099813388</v>
      </c>
      <c r="X41" s="119"/>
      <c r="Y41" s="89">
        <v>327926</v>
      </c>
      <c r="Z41" s="84">
        <v>80778</v>
      </c>
      <c r="AA41" s="78">
        <v>1361671</v>
      </c>
      <c r="AB41" s="9"/>
    </row>
    <row r="42" spans="1:28" ht="14.4">
      <c r="A42" s="9"/>
      <c r="B42" s="9"/>
      <c r="C42" s="31" t="s">
        <v>111</v>
      </c>
      <c r="D42" s="26"/>
      <c r="E42" s="32"/>
      <c r="F42" s="87"/>
      <c r="G42" s="87"/>
      <c r="H42" s="87"/>
      <c r="I42" s="87"/>
      <c r="J42" s="72"/>
      <c r="K42" s="64"/>
      <c r="L42" s="64"/>
      <c r="M42" s="64"/>
      <c r="N42" s="60"/>
      <c r="O42" s="110"/>
      <c r="P42" s="87"/>
      <c r="Q42" s="87"/>
      <c r="R42" s="87"/>
      <c r="S42" s="87"/>
      <c r="T42" s="110"/>
      <c r="U42" s="64"/>
      <c r="V42" s="64"/>
      <c r="W42" s="60"/>
      <c r="X42" s="119"/>
      <c r="Y42" s="90"/>
      <c r="Z42" s="44"/>
      <c r="AA42" s="79"/>
      <c r="AB42" s="9"/>
    </row>
    <row r="43" spans="1:28" ht="14.4">
      <c r="A43" s="9"/>
      <c r="B43" s="9"/>
      <c r="C43" s="33"/>
      <c r="D43" s="26" t="s">
        <v>5</v>
      </c>
      <c r="E43" s="32"/>
      <c r="F43" s="74">
        <f t="shared" ref="F43:J44" si="36">F19</f>
        <v>17</v>
      </c>
      <c r="G43" s="74">
        <f t="shared" si="36"/>
        <v>6</v>
      </c>
      <c r="H43" s="74">
        <f t="shared" si="36"/>
        <v>0</v>
      </c>
      <c r="I43" s="74">
        <f t="shared" si="36"/>
        <v>2</v>
      </c>
      <c r="J43" s="74">
        <f t="shared" si="36"/>
        <v>5</v>
      </c>
      <c r="K43" s="64">
        <f>IFERROR(F43/G43-1,"n/a")</f>
        <v>1.8333333333333335</v>
      </c>
      <c r="L43" s="64" t="str">
        <f t="shared" ref="L43:L44" si="37">IFERROR(F43/H43-1,"n/a")</f>
        <v>n/a</v>
      </c>
      <c r="M43" s="64">
        <f t="shared" ref="M43:M44" si="38">IFERROR(F43/I43-1,"n/a")</f>
        <v>7.5</v>
      </c>
      <c r="N43" s="60">
        <f>IFERROR(F43/J43-1,"n/a")</f>
        <v>2.4</v>
      </c>
      <c r="O43" s="108"/>
      <c r="P43" s="70">
        <f>SUM('[2]Regional BD'!$ED$168:$EF$168,'[2]Regional BD'!$DT$168:$EB$168)</f>
        <v>486</v>
      </c>
      <c r="Q43" s="70">
        <f>SUM('[2]Regional BD'!$DQ$157:$DS$157,'[2]Regional BD'!$DG$157:$DO$157)</f>
        <v>59</v>
      </c>
      <c r="R43" s="70">
        <f>SUM('[2]Regional BD'!$DD$157:$DF$157,'[2]Regional BD'!$CT$157:$DB$157)</f>
        <v>6</v>
      </c>
      <c r="S43" s="70">
        <f>SUM('[2]Regional BD'!$CQ$157:$CS$157,'[2]Regional BD'!$CG$157:$CO$157)</f>
        <v>287</v>
      </c>
      <c r="T43" s="108"/>
      <c r="U43" s="64">
        <f t="shared" ref="U43:U44" si="39">IFERROR(P43/Q43-1,"n/a")</f>
        <v>7.2372881355932197</v>
      </c>
      <c r="V43" s="64">
        <f t="shared" ref="V43:V44" si="40">IFERROR(P43/R43-1,"n/a")</f>
        <v>80</v>
      </c>
      <c r="W43" s="60">
        <f t="shared" ref="W43:W44" si="41">IFERROR(P43/S43-1,"n/a")</f>
        <v>0.69337979094076663</v>
      </c>
      <c r="X43" s="119"/>
      <c r="Y43" s="89">
        <v>59</v>
      </c>
      <c r="Z43" s="70">
        <v>9</v>
      </c>
      <c r="AA43" s="78">
        <v>287</v>
      </c>
      <c r="AB43" s="9"/>
    </row>
    <row r="44" spans="1:28" ht="14.4">
      <c r="A44" s="9"/>
      <c r="B44" s="9"/>
      <c r="C44" s="33"/>
      <c r="D44" s="26" t="s">
        <v>11</v>
      </c>
      <c r="E44" s="32"/>
      <c r="F44" s="74">
        <f t="shared" si="36"/>
        <v>14734</v>
      </c>
      <c r="G44" s="74">
        <f t="shared" si="36"/>
        <v>595</v>
      </c>
      <c r="H44" s="74">
        <f t="shared" si="36"/>
        <v>0</v>
      </c>
      <c r="I44" s="74">
        <f t="shared" si="36"/>
        <v>887</v>
      </c>
      <c r="J44" s="74">
        <f t="shared" si="36"/>
        <v>4876</v>
      </c>
      <c r="K44" s="64">
        <f>IFERROR(F44/G44-1,"n/a")</f>
        <v>23.763025210084034</v>
      </c>
      <c r="L44" s="64" t="str">
        <f t="shared" si="37"/>
        <v>n/a</v>
      </c>
      <c r="M44" s="64">
        <f t="shared" si="38"/>
        <v>15.611048478015782</v>
      </c>
      <c r="N44" s="60">
        <f t="shared" ref="N44" si="42">IFERROR(F44/J44-1,"n/a")</f>
        <v>2.0217391304347827</v>
      </c>
      <c r="O44" s="109"/>
      <c r="P44" s="70">
        <f>709768+195488</f>
        <v>905256</v>
      </c>
      <c r="Q44" s="70">
        <f>19875+751</f>
        <v>20626</v>
      </c>
      <c r="R44" s="70">
        <f>8294</f>
        <v>8294</v>
      </c>
      <c r="S44" s="70">
        <v>351261</v>
      </c>
      <c r="T44" s="108"/>
      <c r="U44" s="64">
        <f t="shared" si="39"/>
        <v>42.889072044991757</v>
      </c>
      <c r="V44" s="64">
        <f t="shared" si="40"/>
        <v>108.14588859416446</v>
      </c>
      <c r="W44" s="60">
        <f t="shared" si="41"/>
        <v>1.5771605729073253</v>
      </c>
      <c r="X44" s="109"/>
      <c r="Y44" s="82">
        <v>23847</v>
      </c>
      <c r="Z44" s="84">
        <v>1642</v>
      </c>
      <c r="AA44" s="78">
        <v>351261</v>
      </c>
      <c r="AB44" s="9"/>
    </row>
    <row r="45" spans="1:28" ht="14.4">
      <c r="A45" s="9"/>
      <c r="B45" s="9"/>
      <c r="C45" s="31" t="s">
        <v>112</v>
      </c>
      <c r="D45" s="26"/>
      <c r="E45" s="34"/>
      <c r="F45" s="72"/>
      <c r="G45" s="72"/>
      <c r="H45" s="72"/>
      <c r="I45" s="72"/>
      <c r="J45" s="72"/>
      <c r="K45" s="64"/>
      <c r="L45" s="64"/>
      <c r="M45" s="64"/>
      <c r="N45" s="60"/>
      <c r="O45" s="110"/>
      <c r="P45" s="87"/>
      <c r="Q45" s="87"/>
      <c r="R45" s="87"/>
      <c r="S45" s="87"/>
      <c r="T45" s="110"/>
      <c r="U45" s="64"/>
      <c r="V45" s="64"/>
      <c r="W45" s="60"/>
      <c r="X45" s="119"/>
      <c r="Y45" s="90"/>
      <c r="Z45" s="44"/>
      <c r="AA45" s="79"/>
      <c r="AB45" s="9"/>
    </row>
    <row r="46" spans="1:28" ht="14.4">
      <c r="A46" s="9"/>
      <c r="B46" s="9"/>
      <c r="C46" s="33"/>
      <c r="D46" s="26" t="s">
        <v>5</v>
      </c>
      <c r="E46" s="34"/>
      <c r="F46" s="74">
        <f t="shared" ref="F46:J47" si="43">F22</f>
        <v>108</v>
      </c>
      <c r="G46" s="74">
        <f t="shared" si="43"/>
        <v>24</v>
      </c>
      <c r="H46" s="74">
        <f t="shared" si="43"/>
        <v>0</v>
      </c>
      <c r="I46" s="74">
        <f t="shared" si="43"/>
        <v>10</v>
      </c>
      <c r="J46" s="74">
        <f t="shared" si="43"/>
        <v>44</v>
      </c>
      <c r="K46" s="64">
        <f>IFERROR(F46/G46-1,"n/a")</f>
        <v>3.5</v>
      </c>
      <c r="L46" s="64" t="str">
        <f t="shared" ref="L46:L47" si="44">IFERROR(F46/H46-1,"n/a")</f>
        <v>n/a</v>
      </c>
      <c r="M46" s="64">
        <f t="shared" ref="M46:M47" si="45">IFERROR(F46/I46-1,"n/a")</f>
        <v>9.8000000000000007</v>
      </c>
      <c r="N46" s="60">
        <f t="shared" ref="N46:N47" si="46">IFERROR(F46/J46-1,"n/a")</f>
        <v>1.4545454545454546</v>
      </c>
      <c r="O46" s="108"/>
      <c r="P46" s="70">
        <f>SUM('[2]Regional BD'!$ED$212:$EF$212,'[2]Regional BD'!$DT$212:$EB$212)</f>
        <v>1129</v>
      </c>
      <c r="Q46" s="70">
        <f>SUM('[2]Regional BD'!$DQ$212:$DS$212,'[2]Regional BD'!$DG$212:$DO$212)</f>
        <v>336</v>
      </c>
      <c r="R46" s="70">
        <f>SUM('[2]Regional BD'!$DD$212:$DF$212,'[2]Regional BD'!$CT$212:$DB$212)</f>
        <v>55</v>
      </c>
      <c r="S46" s="70">
        <f>SUM('[2]Regional BD'!$CQ$212:$CS$212,'[2]Regional BD'!$CG$212:$CO$212)</f>
        <v>1452</v>
      </c>
      <c r="T46" s="108"/>
      <c r="U46" s="64">
        <f t="shared" ref="U46:U47" si="47">IFERROR(P46/Q46-1,"n/a")</f>
        <v>2.3601190476190474</v>
      </c>
      <c r="V46" s="64">
        <f t="shared" ref="V46:V47" si="48">IFERROR(P46/R46-1,"n/a")</f>
        <v>19.527272727272727</v>
      </c>
      <c r="W46" s="60">
        <f t="shared" ref="W46:W47" si="49">IFERROR(P46/S46-1,"n/a")</f>
        <v>-0.22245179063360887</v>
      </c>
      <c r="X46" s="119"/>
      <c r="Y46" s="89">
        <v>336</v>
      </c>
      <c r="Z46" s="84">
        <v>260</v>
      </c>
      <c r="AA46" s="78">
        <v>1452</v>
      </c>
      <c r="AB46" s="9"/>
    </row>
    <row r="47" spans="1:28" ht="14.4">
      <c r="A47" s="9"/>
      <c r="B47" s="9"/>
      <c r="C47" s="33"/>
      <c r="D47" s="26" t="s">
        <v>11</v>
      </c>
      <c r="E47" s="32"/>
      <c r="F47" s="74">
        <f t="shared" si="43"/>
        <v>297870</v>
      </c>
      <c r="G47" s="74">
        <f t="shared" si="43"/>
        <v>32594</v>
      </c>
      <c r="H47" s="74">
        <f t="shared" si="43"/>
        <v>0</v>
      </c>
      <c r="I47" s="74">
        <f t="shared" si="43"/>
        <v>28535</v>
      </c>
      <c r="J47" s="74">
        <f t="shared" si="43"/>
        <v>117674</v>
      </c>
      <c r="K47" s="64">
        <f>IFERROR(F47/G47-1,"n/a")</f>
        <v>8.1387985518807149</v>
      </c>
      <c r="L47" s="64" t="str">
        <f t="shared" si="44"/>
        <v>n/a</v>
      </c>
      <c r="M47" s="64">
        <f t="shared" si="45"/>
        <v>9.4387594182582788</v>
      </c>
      <c r="N47" s="60">
        <f t="shared" si="46"/>
        <v>1.5313153287897072</v>
      </c>
      <c r="O47" s="109"/>
      <c r="P47" s="70">
        <f>SUM('[2]Regional BD'!$ED$217:$EF$217,'[2]Regional BD'!$DT$217:$EB$217)</f>
        <v>2932981</v>
      </c>
      <c r="Q47" s="70">
        <f>SUM('[2]Regional BD'!$DQ$217:$DS$217,'[2]Regional BD'!$DG$217:$DO$217)</f>
        <v>533563</v>
      </c>
      <c r="R47" s="70">
        <f>SUM('[2]Regional BD'!$DD$217:$DF$217,'[2]Regional BD'!$CT$217:$DB$217)</f>
        <v>56442</v>
      </c>
      <c r="S47" s="70">
        <f>SUM('[2]Regional BD'!$CQ$217:$CS$217,'[2]Regional BD'!$CG$217:$CO$217)</f>
        <v>3652688</v>
      </c>
      <c r="T47" s="108"/>
      <c r="U47" s="64">
        <f t="shared" si="47"/>
        <v>4.496972241328578</v>
      </c>
      <c r="V47" s="64">
        <f t="shared" si="48"/>
        <v>50.964512242656177</v>
      </c>
      <c r="W47" s="60">
        <f t="shared" si="49"/>
        <v>-0.19703489594512313</v>
      </c>
      <c r="X47" s="109"/>
      <c r="Y47" s="82">
        <v>533563</v>
      </c>
      <c r="Z47" s="84">
        <v>602416</v>
      </c>
      <c r="AA47" s="78">
        <v>3652688</v>
      </c>
      <c r="AB47" s="9"/>
    </row>
    <row r="48" spans="1:28" ht="14.4">
      <c r="C48" s="31" t="s">
        <v>113</v>
      </c>
      <c r="D48" s="26"/>
      <c r="E48" s="32"/>
      <c r="F48" s="72"/>
      <c r="G48" s="72"/>
      <c r="H48" s="72"/>
      <c r="I48" s="72"/>
      <c r="J48" s="72"/>
      <c r="K48" s="64"/>
      <c r="L48" s="64"/>
      <c r="M48" s="64"/>
      <c r="N48" s="60"/>
      <c r="O48" s="110"/>
      <c r="P48" s="87"/>
      <c r="Q48" s="87"/>
      <c r="R48" s="87"/>
      <c r="S48" s="87"/>
      <c r="T48" s="110"/>
      <c r="U48" s="64"/>
      <c r="V48" s="64"/>
      <c r="W48" s="60"/>
      <c r="X48" s="119"/>
      <c r="Y48" s="90"/>
      <c r="Z48" s="44"/>
      <c r="AA48" s="79"/>
      <c r="AB48" s="9"/>
    </row>
    <row r="49" spans="3:28" ht="14.4">
      <c r="C49" s="33"/>
      <c r="D49" s="26" t="s">
        <v>5</v>
      </c>
      <c r="E49" s="32"/>
      <c r="F49" s="74">
        <f t="shared" ref="F49:J50" si="50">F25</f>
        <v>0</v>
      </c>
      <c r="G49" s="74">
        <f t="shared" si="50"/>
        <v>0</v>
      </c>
      <c r="H49" s="74">
        <f t="shared" si="50"/>
        <v>0</v>
      </c>
      <c r="I49" s="74">
        <f t="shared" si="50"/>
        <v>0</v>
      </c>
      <c r="J49" s="74">
        <f t="shared" si="50"/>
        <v>0</v>
      </c>
      <c r="K49" s="64" t="str">
        <f>IFERROR(F49/G49-1,"n/a")</f>
        <v>n/a</v>
      </c>
      <c r="L49" s="64" t="str">
        <f t="shared" ref="L49:L52" si="51">IFERROR(F49/H49-1,"n/a")</f>
        <v>n/a</v>
      </c>
      <c r="M49" s="64" t="str">
        <f t="shared" ref="M49:M52" si="52">IFERROR(F49/I49-1,"n/a")</f>
        <v>n/a</v>
      </c>
      <c r="N49" s="60" t="str">
        <f t="shared" ref="N49:N52" si="53">IFERROR(F49/J49-1,"n/a")</f>
        <v>n/a</v>
      </c>
      <c r="O49" s="108"/>
      <c r="P49" s="70">
        <f>SUM('[2]Regional BD'!$ED$366:$EF$366,'[2]Regional BD'!$DT$366:$EB$366)</f>
        <v>9</v>
      </c>
      <c r="Q49" s="82">
        <f>SUM('[2]Regional BD'!$DQ$366:$DS$366,'[2]Regional BD'!$DG$366:$DO$366)</f>
        <v>0</v>
      </c>
      <c r="R49" s="82">
        <f>SUM('[2]Regional BD'!$DD$366:$DF$366,'[2]Regional BD'!$CT$366:$DB$366)</f>
        <v>0</v>
      </c>
      <c r="S49" s="70">
        <f>SUM('[2]Regional BD'!$CQ$366:$CS$366,'[2]Regional BD'!$CG$366:$CO$366)</f>
        <v>16</v>
      </c>
      <c r="T49" s="108"/>
      <c r="U49" s="64" t="str">
        <f t="shared" ref="U49" si="54">IFERROR(P49/Q49-1,"n/a")</f>
        <v>n/a</v>
      </c>
      <c r="V49" s="64" t="str">
        <f t="shared" ref="V49" si="55">IFERROR(P49/R49-1,"n/a")</f>
        <v>n/a</v>
      </c>
      <c r="W49" s="60">
        <f t="shared" ref="W49" si="56">IFERROR(P49/S49-1,"n/a")</f>
        <v>-0.4375</v>
      </c>
      <c r="X49" s="119"/>
      <c r="Y49" s="89">
        <v>0</v>
      </c>
      <c r="Z49" s="70">
        <v>0</v>
      </c>
      <c r="AA49" s="78">
        <v>16</v>
      </c>
      <c r="AB49" s="9"/>
    </row>
    <row r="50" spans="3:28" ht="14.4">
      <c r="C50" s="33"/>
      <c r="D50" s="26" t="s">
        <v>11</v>
      </c>
      <c r="E50" s="32"/>
      <c r="F50" s="74">
        <f t="shared" si="50"/>
        <v>0</v>
      </c>
      <c r="G50" s="74">
        <f t="shared" si="50"/>
        <v>0</v>
      </c>
      <c r="H50" s="74">
        <f t="shared" si="50"/>
        <v>0</v>
      </c>
      <c r="I50" s="74">
        <f t="shared" si="50"/>
        <v>0</v>
      </c>
      <c r="J50" s="74">
        <f t="shared" si="50"/>
        <v>0</v>
      </c>
      <c r="K50" s="64" t="str">
        <f>IFERROR(F50/G50-1,"n/a")</f>
        <v>n/a</v>
      </c>
      <c r="L50" s="64" t="str">
        <f t="shared" si="51"/>
        <v>n/a</v>
      </c>
      <c r="M50" s="64" t="str">
        <f t="shared" si="52"/>
        <v>n/a</v>
      </c>
      <c r="N50" s="60" t="str">
        <f t="shared" si="53"/>
        <v>n/a</v>
      </c>
      <c r="O50" s="109"/>
      <c r="P50" s="82">
        <f>SUM('[2]Regional BD'!$ED$371:$EF$371,'[2]Regional BD'!$DT$371:$EB$371)</f>
        <v>15637</v>
      </c>
      <c r="Q50" s="82">
        <f>SUM('[2]Regional BD'!$DQ$371:$DS$371,'[2]Regional BD'!$DG$371:$DO$371)</f>
        <v>0</v>
      </c>
      <c r="R50" s="82">
        <f>SUM('[2]Regional BD'!$DD$371:$DF$371,'[2]Regional BD'!$CT$371:$DB$371)</f>
        <v>0</v>
      </c>
      <c r="S50" s="82">
        <f>SUM('[2]Regional BD'!$CQ$371:$CS$371,'[2]Regional BD'!$CG$371:$CO$371)</f>
        <v>20248</v>
      </c>
      <c r="T50" s="109"/>
      <c r="U50" s="64" t="str">
        <f>IFERROR(P50/Q50-1,"n/a")</f>
        <v>n/a</v>
      </c>
      <c r="V50" s="64" t="str">
        <f>IFERROR(P50/R50-1,"n/a")</f>
        <v>n/a</v>
      </c>
      <c r="W50" s="60">
        <f>IFERROR(P50/S50-1,"n/a")</f>
        <v>-0.22772619517977088</v>
      </c>
      <c r="X50" s="109"/>
      <c r="Y50" s="82">
        <v>0</v>
      </c>
      <c r="Z50" s="84">
        <v>0</v>
      </c>
      <c r="AA50" s="78">
        <v>20248</v>
      </c>
      <c r="AB50" s="9"/>
    </row>
    <row r="51" spans="3:28" thickBot="1">
      <c r="C51" s="35" t="s">
        <v>12</v>
      </c>
      <c r="D51" s="36"/>
      <c r="E51" s="37"/>
      <c r="F51" s="75">
        <f>F37+F40+F43+F46+F49</f>
        <v>322</v>
      </c>
      <c r="G51" s="75">
        <f t="shared" ref="G51:J51" si="57">G37+G40+G43+G46+G49</f>
        <v>260</v>
      </c>
      <c r="H51" s="75">
        <f t="shared" si="57"/>
        <v>5</v>
      </c>
      <c r="I51" s="75">
        <f t="shared" si="57"/>
        <v>160</v>
      </c>
      <c r="J51" s="75">
        <f t="shared" si="57"/>
        <v>229</v>
      </c>
      <c r="K51" s="66">
        <f>IFERROR(F51/G51-1,"n/a")</f>
        <v>0.2384615384615385</v>
      </c>
      <c r="L51" s="66">
        <f t="shared" si="51"/>
        <v>63.400000000000006</v>
      </c>
      <c r="M51" s="66">
        <f t="shared" si="52"/>
        <v>1.0125000000000002</v>
      </c>
      <c r="N51" s="62">
        <f t="shared" si="53"/>
        <v>0.40611353711790388</v>
      </c>
      <c r="O51" s="46"/>
      <c r="P51" s="75">
        <f t="shared" ref="P51:S51" si="58">P37+P40+P43+P46+P49</f>
        <v>3673</v>
      </c>
      <c r="Q51" s="75">
        <f t="shared" si="58"/>
        <v>1673</v>
      </c>
      <c r="R51" s="75">
        <f t="shared" si="58"/>
        <v>159</v>
      </c>
      <c r="S51" s="75">
        <f t="shared" si="58"/>
        <v>3912</v>
      </c>
      <c r="T51" s="46"/>
      <c r="U51" s="66">
        <f>IFERROR(P51/Q51-1,"n/a")</f>
        <v>1.195457262402869</v>
      </c>
      <c r="V51" s="66">
        <f>IFERROR(P51/R51-1,"n/a")</f>
        <v>22.10062893081761</v>
      </c>
      <c r="W51" s="62">
        <f>IFERROR(P51/S51-1,"n/a")</f>
        <v>-6.1094069529652351E-2</v>
      </c>
      <c r="X51" s="46"/>
      <c r="Y51" s="46">
        <f t="shared" ref="Y51:AA51" si="59">Y37+Y40+Y43+Y46+Y49</f>
        <v>1673</v>
      </c>
      <c r="Z51" s="46">
        <f t="shared" si="59"/>
        <v>886</v>
      </c>
      <c r="AA51" s="80">
        <f t="shared" si="59"/>
        <v>3912</v>
      </c>
      <c r="AB51" s="9"/>
    </row>
    <row r="52" spans="3:28" ht="15.6" thickTop="1" thickBot="1">
      <c r="C52" s="38" t="s">
        <v>13</v>
      </c>
      <c r="D52" s="39"/>
      <c r="E52" s="40"/>
      <c r="F52" s="76">
        <f>F38+F41+F44+F47+F50</f>
        <v>921313</v>
      </c>
      <c r="G52" s="76">
        <f t="shared" ref="G52:J52" si="60">G38+G41+G44+G47+G50</f>
        <v>406067</v>
      </c>
      <c r="H52" s="76">
        <f t="shared" si="60"/>
        <v>4146</v>
      </c>
      <c r="I52" s="76">
        <f t="shared" si="60"/>
        <v>226273</v>
      </c>
      <c r="J52" s="76">
        <f t="shared" si="60"/>
        <v>655947</v>
      </c>
      <c r="K52" s="67">
        <f>IFERROR(F52/G52-1,"n/a")</f>
        <v>1.2688694230262492</v>
      </c>
      <c r="L52" s="67">
        <f t="shared" si="51"/>
        <v>221.21731789676798</v>
      </c>
      <c r="M52" s="67">
        <f t="shared" si="52"/>
        <v>3.071687740030848</v>
      </c>
      <c r="N52" s="63">
        <f t="shared" si="53"/>
        <v>0.40455402646860184</v>
      </c>
      <c r="O52" s="47"/>
      <c r="P52" s="76">
        <f t="shared" ref="P52:S52" si="61">P38+P41+P44+P47+P50</f>
        <v>9237323</v>
      </c>
      <c r="Q52" s="76">
        <f t="shared" si="61"/>
        <v>2410085</v>
      </c>
      <c r="R52" s="76">
        <f t="shared" si="61"/>
        <v>104401</v>
      </c>
      <c r="S52" s="76">
        <f t="shared" si="61"/>
        <v>9620127</v>
      </c>
      <c r="T52" s="47"/>
      <c r="U52" s="67">
        <f>IFERROR(P52/Q52-1,"n/a")</f>
        <v>2.8327789268843215</v>
      </c>
      <c r="V52" s="67">
        <f>IFERROR(P52/R52-1,"n/a")</f>
        <v>87.479257861514739</v>
      </c>
      <c r="W52" s="63">
        <f>IFERROR(P52/S52-1,"n/a")</f>
        <v>-3.9791990272061928E-2</v>
      </c>
      <c r="X52" s="47"/>
      <c r="Y52" s="47">
        <f t="shared" ref="Y52:AA52" si="62">Y38+Y41+Y44+Y47+Y50</f>
        <v>2413306</v>
      </c>
      <c r="Z52" s="47">
        <f t="shared" si="62"/>
        <v>1777720</v>
      </c>
      <c r="AA52" s="81">
        <f t="shared" si="62"/>
        <v>9620127</v>
      </c>
      <c r="AB52" s="9"/>
    </row>
    <row r="53" spans="3:28" thickTop="1">
      <c r="AB53" s="9"/>
    </row>
    <row r="54" spans="3:28" ht="14.4">
      <c r="P54" s="111"/>
      <c r="Q54" s="111"/>
      <c r="R54" s="111"/>
      <c r="S54" s="111"/>
      <c r="AB54" s="9"/>
    </row>
    <row r="55" spans="3:28" ht="14.4">
      <c r="P55" s="111"/>
      <c r="Q55" s="111"/>
      <c r="R55" s="111"/>
      <c r="S55" s="111"/>
      <c r="AB55" s="9"/>
    </row>
    <row r="56" spans="3:28" ht="14.4" hidden="1">
      <c r="P56" s="111"/>
      <c r="Q56" s="111"/>
      <c r="R56" s="111"/>
      <c r="S56" s="111"/>
      <c r="AB56" s="9"/>
    </row>
    <row r="57" spans="3:28" ht="14.4" hidden="1">
      <c r="P57" s="111"/>
      <c r="Q57" s="111"/>
      <c r="R57" s="111"/>
      <c r="S57" s="111"/>
      <c r="AB57" s="9"/>
    </row>
    <row r="58" spans="3:28" ht="14.4" hidden="1">
      <c r="AB58" s="9"/>
    </row>
    <row r="59" spans="3:28" ht="14.4" hidden="1">
      <c r="AB59" s="9"/>
    </row>
    <row r="60" spans="3:28" ht="14.4" hidden="1">
      <c r="AB60" s="9"/>
    </row>
    <row r="61" spans="3:28" ht="15" customHeight="1"/>
    <row r="62" spans="3:28" ht="15" customHeight="1"/>
    <row r="63" spans="3:28" ht="15" customHeight="1"/>
    <row r="64" spans="3:28" ht="15" customHeight="1"/>
    <row r="65" ht="15" customHeight="1"/>
    <row r="66" ht="15" customHeight="1"/>
  </sheetData>
  <mergeCells count="6">
    <mergeCell ref="F9:N9"/>
    <mergeCell ref="O9:W9"/>
    <mergeCell ref="X9:AA9"/>
    <mergeCell ref="F33:N33"/>
    <mergeCell ref="O33:W33"/>
    <mergeCell ref="X33:AA33"/>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66"/>
  <sheetViews>
    <sheetView showGridLines="0" topLeftCell="A33" workbookViewId="0">
      <selection activeCell="X40" sqref="X40"/>
    </sheetView>
  </sheetViews>
  <sheetFormatPr defaultColWidth="0" defaultRowHeight="15" customHeight="1" zeroHeight="1"/>
  <cols>
    <col min="1" max="2" width="4.109375" customWidth="1"/>
    <col min="3" max="3" width="3.6640625" customWidth="1"/>
    <col min="4" max="4" width="8.88671875" customWidth="1"/>
    <col min="5" max="5" width="10.6640625" bestFit="1" customWidth="1"/>
    <col min="6" max="10" width="8.88671875" customWidth="1"/>
    <col min="11" max="14" width="8" customWidth="1"/>
    <col min="15" max="19" width="10.44140625" bestFit="1" customWidth="1"/>
    <col min="20" max="21" width="8.33203125" bestFit="1" customWidth="1"/>
    <col min="22" max="22" width="9" bestFit="1" customWidth="1"/>
    <col min="23" max="23" width="7.6640625" customWidth="1"/>
    <col min="24" max="26" width="10.44140625" bestFit="1" customWidth="1"/>
    <col min="27" max="27" width="11.33203125" bestFit="1" customWidth="1"/>
    <col min="28" max="28" width="3.44140625" customWidth="1"/>
    <col min="29" max="16384" width="8.88671875" hidden="1"/>
  </cols>
  <sheetData>
    <row r="1" spans="1:28" ht="14.4">
      <c r="A1" s="9"/>
      <c r="B1" s="9"/>
      <c r="C1" s="9"/>
      <c r="D1" s="9"/>
      <c r="E1" s="9"/>
      <c r="F1" s="9"/>
      <c r="G1" s="9"/>
      <c r="H1" s="9"/>
      <c r="I1" s="9"/>
      <c r="J1" s="9"/>
      <c r="K1" s="9"/>
      <c r="L1" s="9"/>
      <c r="M1" s="9"/>
      <c r="N1" s="9"/>
      <c r="O1" s="9"/>
      <c r="P1" s="9"/>
      <c r="Q1" s="9"/>
      <c r="R1" s="9"/>
      <c r="S1" s="9"/>
      <c r="T1" s="9"/>
      <c r="U1" s="9"/>
      <c r="V1" s="9"/>
      <c r="W1" s="9"/>
      <c r="X1" s="9"/>
      <c r="Y1" s="9"/>
      <c r="Z1" s="9"/>
      <c r="AA1" s="9"/>
      <c r="AB1" s="9"/>
    </row>
    <row r="2" spans="1:28"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9"/>
    </row>
    <row r="3" spans="1:28"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45028</v>
      </c>
      <c r="AB3" s="9"/>
    </row>
    <row r="4" spans="1:28" ht="16.2">
      <c r="A4" s="9"/>
      <c r="B4" s="11" t="s">
        <v>7</v>
      </c>
      <c r="C4" s="26"/>
      <c r="D4" s="24"/>
      <c r="E4" s="58" t="s">
        <v>107</v>
      </c>
      <c r="F4" s="24"/>
      <c r="G4" s="24"/>
      <c r="H4" s="24"/>
      <c r="I4" s="24"/>
      <c r="J4" s="24"/>
      <c r="K4" s="24"/>
      <c r="L4" s="24"/>
      <c r="M4" s="24"/>
      <c r="N4" s="24"/>
      <c r="O4" s="24"/>
      <c r="P4" s="24"/>
      <c r="Q4" s="24"/>
      <c r="R4" s="24"/>
      <c r="S4" s="24"/>
      <c r="T4" s="24"/>
      <c r="U4" s="24"/>
      <c r="V4" s="24"/>
      <c r="W4" s="24"/>
      <c r="X4" s="24"/>
      <c r="Y4" s="24"/>
      <c r="Z4" s="24"/>
      <c r="AA4" s="24"/>
      <c r="AB4" s="9"/>
    </row>
    <row r="5" spans="1:28"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9"/>
    </row>
    <row r="6" spans="1:28"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9"/>
    </row>
    <row r="7" spans="1:28"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9"/>
    </row>
    <row r="8" spans="1:28"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9"/>
    </row>
    <row r="9" spans="1:28" ht="14.4">
      <c r="A9" s="9"/>
      <c r="C9" s="27" t="s">
        <v>7</v>
      </c>
      <c r="D9" s="28"/>
      <c r="E9" s="28"/>
      <c r="F9" s="128" t="s">
        <v>41</v>
      </c>
      <c r="G9" s="128"/>
      <c r="H9" s="128"/>
      <c r="I9" s="128"/>
      <c r="J9" s="128"/>
      <c r="K9" s="128"/>
      <c r="L9" s="128"/>
      <c r="M9" s="128"/>
      <c r="N9" s="129"/>
      <c r="O9" s="130" t="s">
        <v>43</v>
      </c>
      <c r="P9" s="128"/>
      <c r="Q9" s="128"/>
      <c r="R9" s="128"/>
      <c r="S9" s="128"/>
      <c r="T9" s="128"/>
      <c r="U9" s="128"/>
      <c r="V9" s="128"/>
      <c r="W9" s="129"/>
      <c r="X9" s="130" t="s">
        <v>57</v>
      </c>
      <c r="Y9" s="128"/>
      <c r="Z9" s="128"/>
      <c r="AA9" s="131"/>
      <c r="AB9" s="9"/>
    </row>
    <row r="10" spans="1:28" ht="14.4">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9"/>
    </row>
    <row r="11" spans="1:28" ht="25.95" customHeight="1">
      <c r="A11" s="48"/>
      <c r="B11" s="49"/>
      <c r="C11" s="59" t="s">
        <v>29</v>
      </c>
      <c r="D11" s="50"/>
      <c r="E11" s="51"/>
      <c r="F11" s="55">
        <v>2023</v>
      </c>
      <c r="G11" s="52">
        <v>2022</v>
      </c>
      <c r="H11" s="52">
        <v>2021</v>
      </c>
      <c r="I11" s="52">
        <v>2020</v>
      </c>
      <c r="J11" s="52">
        <v>2019</v>
      </c>
      <c r="K11" s="53" t="s">
        <v>66</v>
      </c>
      <c r="L11" s="53" t="s">
        <v>67</v>
      </c>
      <c r="M11" s="53" t="s">
        <v>68</v>
      </c>
      <c r="N11" s="57" t="s">
        <v>102</v>
      </c>
      <c r="O11" s="53">
        <v>2023</v>
      </c>
      <c r="P11" s="53">
        <v>2022</v>
      </c>
      <c r="Q11" s="52">
        <v>2021</v>
      </c>
      <c r="R11" s="52">
        <v>2020</v>
      </c>
      <c r="S11" s="52">
        <v>2019</v>
      </c>
      <c r="T11" s="53" t="s">
        <v>66</v>
      </c>
      <c r="U11" s="53" t="s">
        <v>67</v>
      </c>
      <c r="V11" s="53" t="s">
        <v>68</v>
      </c>
      <c r="W11" s="57" t="s">
        <v>102</v>
      </c>
      <c r="X11" s="53">
        <v>2022</v>
      </c>
      <c r="Y11" s="53">
        <v>2021</v>
      </c>
      <c r="Z11" s="52">
        <v>2020</v>
      </c>
      <c r="AA11" s="77">
        <v>2019</v>
      </c>
      <c r="AB11" s="48"/>
    </row>
    <row r="12" spans="1:28" ht="14.4">
      <c r="A12" s="9"/>
      <c r="B12" s="12"/>
      <c r="C12" s="31" t="s">
        <v>14</v>
      </c>
      <c r="D12" s="26"/>
      <c r="E12" s="32"/>
      <c r="F12" s="26"/>
      <c r="G12" s="26"/>
      <c r="H12" s="26"/>
      <c r="I12" s="26"/>
      <c r="J12" s="26"/>
      <c r="K12" s="26"/>
      <c r="L12" s="26"/>
      <c r="M12" s="26"/>
      <c r="N12" s="32"/>
      <c r="O12" s="26"/>
      <c r="P12" s="26"/>
      <c r="Q12" s="26"/>
      <c r="R12" s="26"/>
      <c r="S12" s="26"/>
      <c r="T12" s="26"/>
      <c r="U12" s="26"/>
      <c r="V12" s="26"/>
      <c r="W12" s="32"/>
      <c r="X12" s="26"/>
      <c r="Y12" s="26"/>
      <c r="Z12" s="26"/>
      <c r="AA12" s="32"/>
      <c r="AB12" s="9"/>
    </row>
    <row r="13" spans="1:28" ht="14.4">
      <c r="A13" s="9"/>
      <c r="B13" s="12"/>
      <c r="C13" s="33"/>
      <c r="D13" s="26" t="s">
        <v>5</v>
      </c>
      <c r="E13" s="32"/>
      <c r="F13" s="73">
        <f>'[2]Cruise Summary Data Entry'!$CG$105</f>
        <v>57</v>
      </c>
      <c r="G13" s="71">
        <f>'[2]Cruise Summary Data Entry'!$AL$105</f>
        <v>74</v>
      </c>
      <c r="H13" s="71">
        <f>'[2]Cruise Summary Data Entry'!$V$105</f>
        <v>0</v>
      </c>
      <c r="I13" s="71">
        <f>'[2]Cruise Summary Data Entry'!$BR$105</f>
        <v>29</v>
      </c>
      <c r="J13" s="71">
        <f>'[2]Cruise Summary Data Entry'!$F$105</f>
        <v>62</v>
      </c>
      <c r="K13" s="64">
        <f>IFERROR(F13/G13-1,"n/a")</f>
        <v>-0.22972972972972971</v>
      </c>
      <c r="L13" s="64" t="str">
        <f t="shared" ref="L13:L31" si="0">IFERROR(F13/H13-1,"n/a")</f>
        <v>n/a</v>
      </c>
      <c r="M13" s="64">
        <f>IFERROR(F13/I13-1,"n/a")</f>
        <v>0.96551724137931028</v>
      </c>
      <c r="N13" s="60">
        <f t="shared" ref="N13:N14" si="1">IFERROR(F13/J13-1,"n/a")</f>
        <v>-8.064516129032262E-2</v>
      </c>
      <c r="O13" s="68">
        <f>F13+'Feb-23'!O13</f>
        <v>186</v>
      </c>
      <c r="P13" s="68">
        <f>G13+'Feb-23'!P13</f>
        <v>197</v>
      </c>
      <c r="Q13" s="68">
        <f>H13+'Feb-23'!Q13</f>
        <v>0</v>
      </c>
      <c r="R13" s="68">
        <f>I13+'Feb-23'!R13</f>
        <v>145</v>
      </c>
      <c r="S13" s="68">
        <f>J13+'Feb-23'!S13</f>
        <v>200</v>
      </c>
      <c r="T13" s="64">
        <f>IFERROR(O13/P13-1,"n/a")</f>
        <v>-5.5837563451776595E-2</v>
      </c>
      <c r="U13" s="64" t="str">
        <f>IFERROR(O13/Q13-1,"n/a")</f>
        <v>n/a</v>
      </c>
      <c r="V13" s="64">
        <f>IFERROR(O13/R13-1,"n/a")</f>
        <v>0.28275862068965507</v>
      </c>
      <c r="W13" s="60">
        <f>IFERROR(O13/S13-1,"n/a")</f>
        <v>-6.9999999999999951E-2</v>
      </c>
      <c r="X13" s="68">
        <v>346</v>
      </c>
      <c r="Y13" s="68">
        <v>111</v>
      </c>
      <c r="Z13" s="70">
        <v>145</v>
      </c>
      <c r="AA13" s="78">
        <v>386</v>
      </c>
      <c r="AB13" s="9"/>
    </row>
    <row r="14" spans="1:28" ht="14.4">
      <c r="A14" s="9"/>
      <c r="B14" s="12"/>
      <c r="C14" s="33"/>
      <c r="D14" s="26" t="s">
        <v>11</v>
      </c>
      <c r="E14" s="32"/>
      <c r="F14" s="73">
        <f>'[2]Cruise Summary Data Entry'!$CG$110</f>
        <v>109432</v>
      </c>
      <c r="G14" s="71">
        <f>'[2]Cruise Summary Data Entry'!$AL$110</f>
        <v>60824</v>
      </c>
      <c r="H14" s="71">
        <f>'[2]Cruise Summary Data Entry'!$V$110</f>
        <v>0</v>
      </c>
      <c r="I14" s="71">
        <f>'[2]Cruise Summary Data Entry'!$BR$110</f>
        <v>48626</v>
      </c>
      <c r="J14" s="71">
        <f>'[2]Cruise Summary Data Entry'!$F$110</f>
        <v>108846</v>
      </c>
      <c r="K14" s="64">
        <f>IFERROR(F14/G14-1,"n/a")</f>
        <v>0.79915822701565165</v>
      </c>
      <c r="L14" s="64" t="str">
        <f t="shared" si="0"/>
        <v>n/a</v>
      </c>
      <c r="M14" s="64">
        <f t="shared" ref="M14" si="2">IFERROR(F14/I14-1,"n/a")</f>
        <v>1.2504832805495001</v>
      </c>
      <c r="N14" s="60">
        <f t="shared" si="1"/>
        <v>5.3837531925839954E-3</v>
      </c>
      <c r="O14" s="68">
        <f>F14+'Feb-23'!O14</f>
        <v>332650</v>
      </c>
      <c r="P14" s="68">
        <f>G14+'Feb-23'!P14</f>
        <v>156328</v>
      </c>
      <c r="Q14" s="68">
        <f>H14+'Feb-23'!Q14</f>
        <v>0</v>
      </c>
      <c r="R14" s="68">
        <f>I14+'Feb-23'!R14</f>
        <v>258885</v>
      </c>
      <c r="S14" s="68">
        <f>J14+'Feb-23'!S14</f>
        <v>385380</v>
      </c>
      <c r="T14" s="64">
        <f>IFERROR(O14/P14-1,"n/a")</f>
        <v>1.127897753441482</v>
      </c>
      <c r="U14" s="64" t="str">
        <f>IFERROR(O14/Q14-1,"n/a")</f>
        <v>n/a</v>
      </c>
      <c r="V14" s="64">
        <f>IFERROR(O14/R14-1,"n/a")</f>
        <v>0.28493346466577818</v>
      </c>
      <c r="W14" s="60">
        <f>IFERROR(O14/S14-1,"n/a")</f>
        <v>-0.13682598993201511</v>
      </c>
      <c r="X14" s="68">
        <v>380182</v>
      </c>
      <c r="Y14" s="68">
        <v>80863</v>
      </c>
      <c r="Z14" s="70">
        <v>258885</v>
      </c>
      <c r="AA14" s="78">
        <v>733296</v>
      </c>
      <c r="AB14" s="9"/>
    </row>
    <row r="15" spans="1:28" ht="14.4">
      <c r="A15" s="9"/>
      <c r="B15" s="12"/>
      <c r="C15" s="31" t="s">
        <v>74</v>
      </c>
      <c r="D15" s="26"/>
      <c r="E15" s="32"/>
      <c r="F15" s="97"/>
      <c r="G15" s="26"/>
      <c r="H15" s="26"/>
      <c r="I15" s="26"/>
      <c r="J15" s="26"/>
      <c r="K15" s="64"/>
      <c r="L15" s="64"/>
      <c r="M15" s="64"/>
      <c r="N15" s="61"/>
      <c r="O15" s="87"/>
      <c r="P15" s="87"/>
      <c r="Q15" s="87"/>
      <c r="R15" s="87"/>
      <c r="S15" s="87"/>
      <c r="T15" s="64"/>
      <c r="U15" s="64"/>
      <c r="V15" s="65"/>
      <c r="W15" s="61"/>
      <c r="X15" s="43"/>
      <c r="Y15" s="43"/>
      <c r="Z15" s="44"/>
      <c r="AA15" s="79"/>
      <c r="AB15" s="9"/>
    </row>
    <row r="16" spans="1:28" ht="14.4">
      <c r="A16" s="9"/>
      <c r="B16" s="12"/>
      <c r="C16" s="33"/>
      <c r="D16" s="26" t="s">
        <v>5</v>
      </c>
      <c r="E16" s="32"/>
      <c r="F16" s="74">
        <f>'[2]Cruise Summary Data Entry'!$CG$6+'[2]Cruise Summary Data Entry'!$CG$17</f>
        <v>37</v>
      </c>
      <c r="G16" s="71">
        <f>'[2]Cruise Summary Data Entry'!$AL$6+'[2]Cruise Summary Data Entry'!$AL$17</f>
        <v>24</v>
      </c>
      <c r="H16" s="71">
        <f>'[2]Cruise Summary Data Entry'!$V$6+'[2]Cruise Summary Data Entry'!$V$17</f>
        <v>0</v>
      </c>
      <c r="I16" s="71">
        <f>'[2]Cruise Summary Data Entry'!$BR$6+'[2]Cruise Summary Data Entry'!$BR$17</f>
        <v>10</v>
      </c>
      <c r="J16" s="71">
        <f>'[2]Cruise Summary Data Entry'!$F$6+'[2]Cruise Summary Data Entry'!$F$17</f>
        <v>44</v>
      </c>
      <c r="K16" s="64">
        <f>IFERROR(F16/G16-1,"n/a")</f>
        <v>0.54166666666666674</v>
      </c>
      <c r="L16" s="64" t="str">
        <f t="shared" si="0"/>
        <v>n/a</v>
      </c>
      <c r="M16" s="64">
        <f t="shared" ref="M16:M17" si="3">IFERROR(F16/I16-1,"n/a")</f>
        <v>2.7</v>
      </c>
      <c r="N16" s="60">
        <f t="shared" ref="N16:N17" si="4">IFERROR(F16/J16-1,"n/a")</f>
        <v>-0.15909090909090906</v>
      </c>
      <c r="O16" s="68">
        <f>F16+'Feb-23'!O16</f>
        <v>77</v>
      </c>
      <c r="P16" s="68">
        <f>G16+'Feb-23'!P16</f>
        <v>53</v>
      </c>
      <c r="Q16" s="68">
        <f>H16+'Feb-23'!Q16</f>
        <v>0</v>
      </c>
      <c r="R16" s="68">
        <f>I16+'Feb-23'!R16</f>
        <v>43</v>
      </c>
      <c r="S16" s="68">
        <f>J16+'Feb-23'!S16</f>
        <v>89</v>
      </c>
      <c r="T16" s="64">
        <f>IFERROR(O16/P16-1,"n/a")</f>
        <v>0.45283018867924518</v>
      </c>
      <c r="U16" s="64" t="str">
        <f t="shared" ref="U16:U17" si="5">IFERROR(O16/Q16-1,"n/a")</f>
        <v>n/a</v>
      </c>
      <c r="V16" s="64">
        <f t="shared" ref="V16:V17" si="6">IFERROR(O16/R16-1,"n/a")</f>
        <v>0.79069767441860472</v>
      </c>
      <c r="W16" s="60">
        <f t="shared" ref="W16:W17" si="7">IFERROR(O16/S16-1,"n/a")</f>
        <v>-0.1348314606741573</v>
      </c>
      <c r="X16" s="68">
        <v>778</v>
      </c>
      <c r="Y16" s="68">
        <v>283</v>
      </c>
      <c r="Z16" s="70">
        <v>43</v>
      </c>
      <c r="AA16" s="78">
        <v>827</v>
      </c>
      <c r="AB16" s="9"/>
    </row>
    <row r="17" spans="1:28" ht="14.4">
      <c r="A17" s="9"/>
      <c r="B17" s="12"/>
      <c r="C17" s="33"/>
      <c r="D17" s="26" t="s">
        <v>11</v>
      </c>
      <c r="E17" s="32"/>
      <c r="F17" s="74">
        <f>'[2]Cruise Summary Data Entry'!$CG$11+'[2]Cruise Summary Data Entry'!$CG$22</f>
        <v>105059</v>
      </c>
      <c r="G17" s="71">
        <f>'[2]Cruise Summary Data Entry'!$AL$11+'[2]Cruise Summary Data Entry'!$AL$22</f>
        <v>32594</v>
      </c>
      <c r="H17" s="71">
        <v>0</v>
      </c>
      <c r="I17" s="71">
        <f>'[2]Cruise Summary Data Entry'!$BR$11+'[2]Cruise Summary Data Entry'!$BR$22</f>
        <v>28535</v>
      </c>
      <c r="J17" s="71">
        <f>'[2]Cruise Summary Data Entry'!$F$11+'[2]Cruise Summary Data Entry'!$F$22</f>
        <v>117674</v>
      </c>
      <c r="K17" s="64">
        <f>IFERROR(F17/G17-1,"n/a")</f>
        <v>2.2232619500521569</v>
      </c>
      <c r="L17" s="64" t="str">
        <f t="shared" si="0"/>
        <v>n/a</v>
      </c>
      <c r="M17" s="64">
        <f t="shared" si="3"/>
        <v>2.6817592430348696</v>
      </c>
      <c r="N17" s="60">
        <f t="shared" si="4"/>
        <v>-0.10720295052432993</v>
      </c>
      <c r="O17" s="68">
        <f>F17+'Feb-23'!O17</f>
        <v>242497</v>
      </c>
      <c r="P17" s="68">
        <f>G17+'Feb-23'!P17</f>
        <v>68454</v>
      </c>
      <c r="Q17" s="68">
        <f>H17+'Feb-23'!Q17</f>
        <v>0</v>
      </c>
      <c r="R17" s="68">
        <f>I17+'Feb-23'!R17</f>
        <v>140552</v>
      </c>
      <c r="S17" s="68">
        <f>J17+'Feb-23'!S17</f>
        <v>251900</v>
      </c>
      <c r="T17" s="64">
        <f>IFERROR(O17/P17-1,"n/a")</f>
        <v>2.542481082186578</v>
      </c>
      <c r="U17" s="64" t="str">
        <f t="shared" si="5"/>
        <v>n/a</v>
      </c>
      <c r="V17" s="64">
        <f t="shared" si="6"/>
        <v>0.72531874324093581</v>
      </c>
      <c r="W17" s="60">
        <f t="shared" si="7"/>
        <v>-3.7328304882890073E-2</v>
      </c>
      <c r="X17" s="68">
        <v>1843624</v>
      </c>
      <c r="Y17" s="68">
        <v>465109</v>
      </c>
      <c r="Z17" s="70">
        <v>140552</v>
      </c>
      <c r="AA17" s="78">
        <v>2552942</v>
      </c>
      <c r="AB17" s="9"/>
    </row>
    <row r="18" spans="1:28" ht="14.4">
      <c r="A18" s="9"/>
      <c r="B18" s="12"/>
      <c r="C18" s="31" t="s">
        <v>15</v>
      </c>
      <c r="D18" s="26"/>
      <c r="E18" s="32"/>
      <c r="F18" s="72"/>
      <c r="G18" s="72"/>
      <c r="H18" s="72"/>
      <c r="I18" s="72"/>
      <c r="J18" s="72"/>
      <c r="K18" s="64"/>
      <c r="L18" s="64"/>
      <c r="M18" s="64"/>
      <c r="N18" s="60"/>
      <c r="O18" s="87"/>
      <c r="P18" s="87"/>
      <c r="Q18" s="87"/>
      <c r="R18" s="87"/>
      <c r="S18" s="87"/>
      <c r="T18" s="64"/>
      <c r="U18" s="64"/>
      <c r="V18" s="64"/>
      <c r="W18" s="60"/>
      <c r="X18" s="43"/>
      <c r="Y18" s="43"/>
      <c r="Z18" s="44"/>
      <c r="AA18" s="79"/>
      <c r="AB18" s="9"/>
    </row>
    <row r="19" spans="1:28" ht="14.4">
      <c r="A19" s="9"/>
      <c r="B19" s="12"/>
      <c r="C19" s="33"/>
      <c r="D19" s="26" t="s">
        <v>5</v>
      </c>
      <c r="E19" s="32"/>
      <c r="F19" s="73">
        <f>'[2]Cruise Summary Data Entry'!$CG$116</f>
        <v>15</v>
      </c>
      <c r="G19" s="71">
        <f>'[2]Cruise Summary Data Entry'!$AL$116</f>
        <v>5</v>
      </c>
      <c r="H19" s="71">
        <f>'[2]Cruise Summary Data Entry'!$V$116</f>
        <v>0</v>
      </c>
      <c r="I19" s="71">
        <f>'[2]Cruise Summary Data Entry'!$BR$116</f>
        <v>2</v>
      </c>
      <c r="J19" s="71">
        <f>'[2]Cruise Summary Data Entry'!$F$116</f>
        <v>5</v>
      </c>
      <c r="K19" s="64">
        <f>IFERROR(F19/G19-1,"n/a")</f>
        <v>2</v>
      </c>
      <c r="L19" s="64" t="str">
        <f t="shared" si="0"/>
        <v>n/a</v>
      </c>
      <c r="M19" s="64">
        <f t="shared" ref="M19:M20" si="8">IFERROR(F19/I19-1,"n/a")</f>
        <v>6.5</v>
      </c>
      <c r="N19" s="60">
        <f>IFERROR(F19/J19-1,"n/a")</f>
        <v>2</v>
      </c>
      <c r="O19" s="68">
        <f>F19+'Feb-23'!O19</f>
        <v>21</v>
      </c>
      <c r="P19" s="68">
        <f>G19+'Feb-23'!P19</f>
        <v>10</v>
      </c>
      <c r="Q19" s="68">
        <f>H19+'Feb-23'!Q19</f>
        <v>0</v>
      </c>
      <c r="R19" s="68">
        <f>I19+'Feb-23'!R19</f>
        <v>3</v>
      </c>
      <c r="S19" s="68">
        <f>J19+'Feb-23'!S19</f>
        <v>6</v>
      </c>
      <c r="T19" s="64">
        <f>IFERROR(O19/P19-1,"n/a")</f>
        <v>1.1000000000000001</v>
      </c>
      <c r="U19" s="64" t="str">
        <f t="shared" ref="U19:U20" si="9">IFERROR(O19/Q19-1,"n/a")</f>
        <v>n/a</v>
      </c>
      <c r="V19" s="64">
        <f t="shared" ref="V19:V20" si="10">IFERROR(O19/R19-1,"n/a")</f>
        <v>6</v>
      </c>
      <c r="W19" s="60">
        <f t="shared" ref="W19:W20" si="11">IFERROR(O19/S19-1,"n/a")</f>
        <v>2.5</v>
      </c>
      <c r="X19" s="68">
        <v>475</v>
      </c>
      <c r="Y19" s="68">
        <v>23</v>
      </c>
      <c r="Z19" s="70">
        <v>4</v>
      </c>
      <c r="AA19" s="78">
        <v>191</v>
      </c>
      <c r="AB19" s="9"/>
    </row>
    <row r="20" spans="1:28" ht="14.4">
      <c r="A20" s="9"/>
      <c r="B20" s="12"/>
      <c r="C20" s="33"/>
      <c r="D20" s="26" t="s">
        <v>11</v>
      </c>
      <c r="E20" s="32"/>
      <c r="F20" s="73">
        <f>'[2]Cruise Summary Data Entry'!$CG$121+'[2]Ferry Summary'!$F$58</f>
        <v>14659</v>
      </c>
      <c r="G20" s="71">
        <f>'[2]Cruise Summary Data Entry'!$AL$121+'[2]Ferry Summary'!$F$39</f>
        <v>364</v>
      </c>
      <c r="H20" s="71">
        <f>'[2]Cruise Summary Data Entry'!$V$121+'[2]Ferry Summary'!$F$24</f>
        <v>0</v>
      </c>
      <c r="I20" s="71">
        <f>'[2]Cruise Summary Data Entry'!$BR$121+'[2]Ferry Summary'!$U$25</f>
        <v>887</v>
      </c>
      <c r="J20" s="71">
        <f>'[2]Cruise Summary Data Entry'!$F$121+'[2]Ferry Summary'!$F$10</f>
        <v>4555</v>
      </c>
      <c r="K20" s="64">
        <f>IFERROR(F20/G20-1,"n/a")</f>
        <v>39.271978021978022</v>
      </c>
      <c r="L20" s="64" t="str">
        <f t="shared" si="0"/>
        <v>n/a</v>
      </c>
      <c r="M20" s="64">
        <f t="shared" si="8"/>
        <v>15.526493799323564</v>
      </c>
      <c r="N20" s="60">
        <f t="shared" ref="N20:N31" si="12">IFERROR(F20/J20-1,"n/a")</f>
        <v>2.2182217343578485</v>
      </c>
      <c r="O20" s="68">
        <f>F20+'Feb-23'!O20</f>
        <v>19654</v>
      </c>
      <c r="P20" s="68">
        <f>G20+'Feb-23'!P20</f>
        <v>1472</v>
      </c>
      <c r="Q20" s="68">
        <f>H20+'Feb-23'!Q20</f>
        <v>0</v>
      </c>
      <c r="R20" s="68">
        <f>I20+'Feb-23'!R20</f>
        <v>1710</v>
      </c>
      <c r="S20" s="68">
        <f>J20+'Feb-23'!S20</f>
        <v>5138</v>
      </c>
      <c r="T20" s="64">
        <f>IFERROR(O20/P20-1,"n/a")</f>
        <v>12.351902173913043</v>
      </c>
      <c r="U20" s="64" t="str">
        <f t="shared" si="9"/>
        <v>n/a</v>
      </c>
      <c r="V20" s="64">
        <f t="shared" si="10"/>
        <v>10.493567251461988</v>
      </c>
      <c r="W20" s="60">
        <f t="shared" si="11"/>
        <v>2.8252238224990269</v>
      </c>
      <c r="X20" s="68">
        <v>561984</v>
      </c>
      <c r="Y20" s="68">
        <v>8611</v>
      </c>
      <c r="Z20" s="70">
        <v>1753</v>
      </c>
      <c r="AA20" s="78">
        <v>254421</v>
      </c>
      <c r="AB20" s="9"/>
    </row>
    <row r="21" spans="1:28" ht="14.4">
      <c r="A21" s="9"/>
      <c r="B21" s="12"/>
      <c r="C21" s="31" t="s">
        <v>10</v>
      </c>
      <c r="D21" s="26"/>
      <c r="E21" s="34"/>
      <c r="F21" s="72"/>
      <c r="G21" s="72"/>
      <c r="H21" s="72"/>
      <c r="I21" s="72"/>
      <c r="J21" s="72"/>
      <c r="K21" s="64"/>
      <c r="L21" s="64"/>
      <c r="M21" s="64"/>
      <c r="N21" s="60"/>
      <c r="O21" s="87"/>
      <c r="P21" s="87"/>
      <c r="Q21" s="87"/>
      <c r="R21" s="87"/>
      <c r="S21" s="87"/>
      <c r="T21" s="64"/>
      <c r="U21" s="64"/>
      <c r="V21" s="64"/>
      <c r="W21" s="60"/>
      <c r="X21" s="43"/>
      <c r="Y21" s="43"/>
      <c r="Z21" s="44"/>
      <c r="AA21" s="79"/>
      <c r="AB21" s="9"/>
    </row>
    <row r="22" spans="1:28" ht="14.4">
      <c r="A22" s="9"/>
      <c r="B22" s="12"/>
      <c r="C22" s="33"/>
      <c r="D22" s="26" t="s">
        <v>5</v>
      </c>
      <c r="E22" s="34"/>
      <c r="F22" s="74">
        <f>'[2]Cruise Summary Data Entry'!$CG$94</f>
        <v>124</v>
      </c>
      <c r="G22" s="71">
        <f>'[2]Cruise Summary Data Entry'!$AL$94</f>
        <v>130</v>
      </c>
      <c r="H22" s="71">
        <f>'[2]Cruise Summary Data Entry'!$V$94</f>
        <v>0</v>
      </c>
      <c r="I22" s="71">
        <f>'[2]Cruise Summary Data Entry'!$BR$94</f>
        <v>118</v>
      </c>
      <c r="J22" s="71">
        <f>'[2]Cruise Summary Data Entry'!$F$94</f>
        <v>108</v>
      </c>
      <c r="K22" s="64">
        <f>IFERROR(F22/G22-1,"n/a")</f>
        <v>-4.6153846153846101E-2</v>
      </c>
      <c r="L22" s="64" t="str">
        <f t="shared" si="0"/>
        <v>n/a</v>
      </c>
      <c r="M22" s="64">
        <f t="shared" ref="M22:M23" si="13">IFERROR(F22/I22-1,"n/a")</f>
        <v>5.0847457627118731E-2</v>
      </c>
      <c r="N22" s="60">
        <f t="shared" si="12"/>
        <v>0.14814814814814814</v>
      </c>
      <c r="O22" s="68">
        <f>F22+'Feb-23'!O22</f>
        <v>344</v>
      </c>
      <c r="P22" s="68">
        <f>G22+'Feb-23'!P22</f>
        <v>333</v>
      </c>
      <c r="Q22" s="68">
        <f>H22+'Feb-23'!Q22</f>
        <v>0</v>
      </c>
      <c r="R22" s="68">
        <f>I22+'Feb-23'!R22</f>
        <v>364</v>
      </c>
      <c r="S22" s="68">
        <f>J22+'Feb-23'!S22</f>
        <v>316</v>
      </c>
      <c r="T22" s="64">
        <f>IFERROR(O22/P22-1,"n/a")</f>
        <v>3.3033033033033066E-2</v>
      </c>
      <c r="U22" s="64" t="str">
        <f t="shared" ref="U22:U23" si="14">IFERROR(O22/Q22-1,"n/a")</f>
        <v>n/a</v>
      </c>
      <c r="V22" s="64">
        <f t="shared" ref="V22:V23" si="15">IFERROR(O22/R22-1,"n/a")</f>
        <v>-5.4945054945054972E-2</v>
      </c>
      <c r="W22" s="60">
        <f t="shared" ref="W22:W23" si="16">IFERROR(O22/S22-1,"n/a")</f>
        <v>8.8607594936708889E-2</v>
      </c>
      <c r="X22" s="68">
        <v>1140</v>
      </c>
      <c r="Y22" s="68">
        <v>411</v>
      </c>
      <c r="Z22" s="70">
        <v>406</v>
      </c>
      <c r="AA22" s="78">
        <v>1205</v>
      </c>
      <c r="AB22" s="9"/>
    </row>
    <row r="23" spans="1:28" ht="14.4">
      <c r="A23" s="9"/>
      <c r="B23" s="12"/>
      <c r="C23" s="33"/>
      <c r="D23" s="26" t="s">
        <v>11</v>
      </c>
      <c r="E23" s="32"/>
      <c r="F23" s="73">
        <f>'[2]Cruise Summary Data Entry'!$CG$99</f>
        <v>456142</v>
      </c>
      <c r="G23" s="71">
        <f>'[2]Cruise Summary Data Entry'!$AL$99</f>
        <v>283677</v>
      </c>
      <c r="H23" s="71">
        <f>'[2]Cruise Summary Data Entry'!$V$99</f>
        <v>0</v>
      </c>
      <c r="I23" s="71">
        <f>'[2]Cruise Summary Data Entry'!$BR$99</f>
        <v>147660</v>
      </c>
      <c r="J23" s="71">
        <f>'[2]Cruise Summary Data Entry'!$F$99</f>
        <v>391750</v>
      </c>
      <c r="K23" s="64">
        <f>IFERROR(F23/G23-1,"n/a")</f>
        <v>0.60796257715641389</v>
      </c>
      <c r="L23" s="64" t="str">
        <f t="shared" si="0"/>
        <v>n/a</v>
      </c>
      <c r="M23" s="64">
        <f t="shared" si="13"/>
        <v>2.0891372070973859</v>
      </c>
      <c r="N23" s="60">
        <f t="shared" si="12"/>
        <v>0.16437013401403955</v>
      </c>
      <c r="O23" s="68">
        <f>F23+'Feb-23'!O23</f>
        <v>1205534</v>
      </c>
      <c r="P23" s="68">
        <f>G23+'Feb-23'!P23</f>
        <v>603330</v>
      </c>
      <c r="Q23" s="68">
        <f>H23+'Feb-23'!Q23</f>
        <v>0</v>
      </c>
      <c r="R23" s="68">
        <f>I23+'Feb-23'!R23</f>
        <v>833999</v>
      </c>
      <c r="S23" s="68">
        <f>J23+'Feb-23'!S23</f>
        <v>1065724</v>
      </c>
      <c r="T23" s="64">
        <f>IFERROR(O23/P23-1,"n/a")</f>
        <v>0.99813369134636099</v>
      </c>
      <c r="U23" s="64" t="str">
        <f t="shared" si="14"/>
        <v>n/a</v>
      </c>
      <c r="V23" s="64">
        <f t="shared" si="15"/>
        <v>0.4454861456668413</v>
      </c>
      <c r="W23" s="60">
        <f t="shared" si="16"/>
        <v>0.13118781222905751</v>
      </c>
      <c r="X23" s="68">
        <v>3212646</v>
      </c>
      <c r="Y23" s="68">
        <v>687449</v>
      </c>
      <c r="Z23" s="70">
        <v>833999</v>
      </c>
      <c r="AA23" s="78">
        <v>3859183</v>
      </c>
      <c r="AB23" s="9"/>
    </row>
    <row r="24" spans="1:28" ht="14.4">
      <c r="A24" s="9"/>
      <c r="B24" s="12"/>
      <c r="C24" s="31" t="s">
        <v>16</v>
      </c>
      <c r="D24" s="26"/>
      <c r="E24" s="32"/>
      <c r="F24" s="72"/>
      <c r="G24" s="72"/>
      <c r="H24" s="72"/>
      <c r="I24" s="72"/>
      <c r="J24" s="72"/>
      <c r="K24" s="64"/>
      <c r="L24" s="64"/>
      <c r="M24" s="64"/>
      <c r="N24" s="60"/>
      <c r="O24" s="87"/>
      <c r="P24" s="87"/>
      <c r="Q24" s="87"/>
      <c r="R24" s="87"/>
      <c r="S24" s="87"/>
      <c r="T24" s="64"/>
      <c r="U24" s="64"/>
      <c r="V24" s="64"/>
      <c r="W24" s="60"/>
      <c r="X24" s="43"/>
      <c r="Y24" s="43"/>
      <c r="Z24" s="44"/>
      <c r="AA24" s="79"/>
      <c r="AB24" s="9"/>
    </row>
    <row r="25" spans="1:28" ht="14.4">
      <c r="A25" s="9"/>
      <c r="B25" s="12"/>
      <c r="C25" s="33"/>
      <c r="D25" s="26" t="s">
        <v>5</v>
      </c>
      <c r="E25" s="32"/>
      <c r="F25" s="73">
        <f>'[2]Cruise Summary Data Entry'!$CG$28</f>
        <v>11</v>
      </c>
      <c r="G25" s="71">
        <f>'[2]Cruise Summary Data Entry'!$AL$28</f>
        <v>14</v>
      </c>
      <c r="H25" s="71">
        <f>'[2]Cruise Summary Data Entry'!$V$28</f>
        <v>4</v>
      </c>
      <c r="I25" s="71">
        <f>'[2]Cruise Summary Data Entry'!$BR$28</f>
        <v>1</v>
      </c>
      <c r="J25" s="71">
        <f>'[2]Cruise Summary Data Entry'!$F$28</f>
        <v>9</v>
      </c>
      <c r="K25" s="64">
        <f>IFERROR(F25/G25-1,"n/a")</f>
        <v>-0.2142857142857143</v>
      </c>
      <c r="L25" s="64">
        <f t="shared" si="0"/>
        <v>1.75</v>
      </c>
      <c r="M25" s="64">
        <f t="shared" ref="M25:M26" si="17">IFERROR(F25/I25-1,"n/a")</f>
        <v>10</v>
      </c>
      <c r="N25" s="60">
        <f t="shared" si="12"/>
        <v>0.22222222222222232</v>
      </c>
      <c r="O25" s="68">
        <f>F25+'Feb-23'!O25</f>
        <v>20</v>
      </c>
      <c r="P25" s="68">
        <f>G25+'Feb-23'!P25</f>
        <v>23</v>
      </c>
      <c r="Q25" s="68">
        <f>H25+'Feb-23'!Q25</f>
        <v>9</v>
      </c>
      <c r="R25" s="68">
        <f>I25+'Feb-23'!R25</f>
        <v>9</v>
      </c>
      <c r="S25" s="68">
        <f>J25+'Feb-23'!S25</f>
        <v>20</v>
      </c>
      <c r="T25" s="64">
        <f>IFERROR(O25/P25-1,"n/a")</f>
        <v>-0.13043478260869568</v>
      </c>
      <c r="U25" s="64">
        <f t="shared" ref="U25:U26" si="18">IFERROR(O25/Q25-1,"n/a")</f>
        <v>1.2222222222222223</v>
      </c>
      <c r="V25" s="64">
        <f t="shared" ref="V25:V26" si="19">IFERROR(O25/R25-1,"n/a")</f>
        <v>1.2222222222222223</v>
      </c>
      <c r="W25" s="60">
        <f t="shared" ref="W25:W26" si="20">IFERROR(O25/S25-1,"n/a")</f>
        <v>0</v>
      </c>
      <c r="X25" s="68">
        <v>283</v>
      </c>
      <c r="Y25" s="68">
        <v>107</v>
      </c>
      <c r="Z25" s="70">
        <v>32</v>
      </c>
      <c r="AA25" s="78">
        <v>372</v>
      </c>
      <c r="AB25" s="9"/>
    </row>
    <row r="26" spans="1:28" ht="14.4">
      <c r="A26" s="9"/>
      <c r="B26" s="12"/>
      <c r="C26" s="33"/>
      <c r="D26" s="26" t="s">
        <v>11</v>
      </c>
      <c r="E26" s="32"/>
      <c r="F26" s="73">
        <f>'[2]Cruise Summary Data Entry'!$CG$33</f>
        <v>35490</v>
      </c>
      <c r="G26" s="71">
        <f>'[2]Cruise Summary Data Entry'!$AL$33</f>
        <v>19157</v>
      </c>
      <c r="H26" s="71">
        <f>'[2]Cruise Summary Data Entry'!$V$33</f>
        <v>3290</v>
      </c>
      <c r="I26" s="71">
        <f>'[2]Cruise Summary Data Entry'!$BR$33</f>
        <v>565</v>
      </c>
      <c r="J26" s="71">
        <f>'[2]Cruise Summary Data Entry'!$F$33</f>
        <v>31670</v>
      </c>
      <c r="K26" s="64">
        <f>IFERROR(F26/G26-1,"n/a")</f>
        <v>0.85258652189800066</v>
      </c>
      <c r="L26" s="64">
        <f t="shared" si="0"/>
        <v>9.787234042553191</v>
      </c>
      <c r="M26" s="64">
        <f t="shared" si="17"/>
        <v>61.814159292035399</v>
      </c>
      <c r="N26" s="60">
        <f t="shared" si="12"/>
        <v>0.12061888222292394</v>
      </c>
      <c r="O26" s="68">
        <f>F26+'Feb-23'!O26</f>
        <v>72219</v>
      </c>
      <c r="P26" s="68">
        <f>G26+'Feb-23'!P26</f>
        <v>26521</v>
      </c>
      <c r="Q26" s="68">
        <f>H26+'Feb-23'!Q26</f>
        <v>7964</v>
      </c>
      <c r="R26" s="68">
        <f>I26+'Feb-23'!R26</f>
        <v>40221</v>
      </c>
      <c r="S26" s="68">
        <f>J26+'Feb-23'!S26</f>
        <v>76275</v>
      </c>
      <c r="T26" s="64">
        <f>IFERROR(O26/P26-1,"n/a")</f>
        <v>1.7230873647298366</v>
      </c>
      <c r="U26" s="64">
        <f t="shared" si="18"/>
        <v>8.0681818181818183</v>
      </c>
      <c r="V26" s="64">
        <f t="shared" si="19"/>
        <v>0.79555456105019773</v>
      </c>
      <c r="W26" s="60">
        <f t="shared" si="20"/>
        <v>-5.31760078662733E-2</v>
      </c>
      <c r="X26" s="68">
        <v>530405</v>
      </c>
      <c r="Y26" s="68">
        <v>147132</v>
      </c>
      <c r="Z26" s="70">
        <v>59180</v>
      </c>
      <c r="AA26" s="78">
        <v>902015</v>
      </c>
      <c r="AB26" s="9"/>
    </row>
    <row r="27" spans="1:28" ht="14.4">
      <c r="A27" s="9"/>
      <c r="B27" s="12"/>
      <c r="C27" s="31" t="s">
        <v>17</v>
      </c>
      <c r="D27" s="26"/>
      <c r="E27" s="32"/>
      <c r="F27" s="72"/>
      <c r="G27" s="72"/>
      <c r="H27" s="72"/>
      <c r="I27" s="72"/>
      <c r="J27" s="72"/>
      <c r="K27" s="64"/>
      <c r="L27" s="64"/>
      <c r="M27" s="64"/>
      <c r="N27" s="60"/>
      <c r="O27" s="87"/>
      <c r="P27" s="87"/>
      <c r="Q27" s="87"/>
      <c r="R27" s="87"/>
      <c r="S27" s="87"/>
      <c r="T27" s="64"/>
      <c r="U27" s="64"/>
      <c r="V27" s="64"/>
      <c r="W27" s="60"/>
      <c r="X27" s="43"/>
      <c r="Y27" s="43"/>
      <c r="Z27" s="44"/>
      <c r="AA27" s="79"/>
      <c r="AB27" s="9"/>
    </row>
    <row r="28" spans="1:28" ht="14.4">
      <c r="B28" s="12"/>
      <c r="C28" s="33"/>
      <c r="D28" s="26" t="s">
        <v>5</v>
      </c>
      <c r="E28" s="32"/>
      <c r="F28" s="74">
        <f>'[2]Cruise Historical Data Summary'!$EF$113</f>
        <v>78</v>
      </c>
      <c r="G28" s="71">
        <f>'[2]Cruise Historical Data Summary'!$DS$113</f>
        <v>13</v>
      </c>
      <c r="H28" s="71">
        <f>'[2]Cruise Historical Data Summary'!$DF$113</f>
        <v>1</v>
      </c>
      <c r="I28" s="71">
        <f>'[2]Cruise Historical Data Summary'!$CS$113</f>
        <v>0</v>
      </c>
      <c r="J28" s="71">
        <f>'[2]Cruise Historical Data Summary'!$CF$113</f>
        <v>1</v>
      </c>
      <c r="K28" s="64">
        <f>IFERROR(F28/G28-1,"n/a")</f>
        <v>5</v>
      </c>
      <c r="L28" s="64">
        <f t="shared" si="0"/>
        <v>77</v>
      </c>
      <c r="M28" s="64" t="str">
        <f t="shared" ref="M28:M31" si="21">IFERROR(F28/I28-1,"n/a")</f>
        <v>n/a</v>
      </c>
      <c r="N28" s="60">
        <f t="shared" si="12"/>
        <v>77</v>
      </c>
      <c r="O28" s="68">
        <f>F28+'Feb-23'!O28</f>
        <v>219</v>
      </c>
      <c r="P28" s="68">
        <f>G28+'Feb-23'!P28</f>
        <v>14</v>
      </c>
      <c r="Q28" s="68">
        <f>H28+'Feb-23'!Q28</f>
        <v>3</v>
      </c>
      <c r="R28" s="68">
        <f>I28+'Feb-23'!R28</f>
        <v>1</v>
      </c>
      <c r="S28" s="68">
        <f>J28+'Feb-23'!S28</f>
        <v>4</v>
      </c>
      <c r="T28" s="64">
        <f>IFERROR(O28/P28-1,"n/a")</f>
        <v>14.642857142857142</v>
      </c>
      <c r="U28" s="64">
        <f t="shared" ref="U28:U31" si="22">IFERROR(O28/Q28-1,"n/a")</f>
        <v>72</v>
      </c>
      <c r="V28" s="64">
        <f t="shared" ref="V28:V31" si="23">IFERROR(O28/R28-1,"n/a")</f>
        <v>218</v>
      </c>
      <c r="W28" s="60">
        <f t="shared" ref="W28:W31" si="24">IFERROR(O28/S28-1,"n/a")</f>
        <v>53.75</v>
      </c>
      <c r="X28" s="68">
        <v>605</v>
      </c>
      <c r="Y28" s="68">
        <v>127</v>
      </c>
      <c r="Z28" s="70">
        <v>37</v>
      </c>
      <c r="AA28" s="78">
        <f>282+81</f>
        <v>363</v>
      </c>
      <c r="AB28" s="9"/>
    </row>
    <row r="29" spans="1:28" ht="14.4">
      <c r="A29" s="9"/>
      <c r="B29" s="12"/>
      <c r="C29" s="33"/>
      <c r="D29" s="26" t="s">
        <v>11</v>
      </c>
      <c r="E29" s="32"/>
      <c r="F29" s="74">
        <f>'[2]Cruise Historical Data Summary'!$EF$118+'[2]Ferry Summary'!$F$54</f>
        <v>200531</v>
      </c>
      <c r="G29" s="71">
        <f>'[2]Cruise Historical Data Summary'!$DS$118+'[2]Ferry Summary'!$F$35</f>
        <v>10202</v>
      </c>
      <c r="H29" s="71">
        <f>'[2]Cruise Historical Data Summary'!$DF$118</f>
        <v>856</v>
      </c>
      <c r="I29" s="71">
        <f>'[2]Cruise Historical Data Summary'!$CS$118</f>
        <v>0</v>
      </c>
      <c r="J29" s="71">
        <f>'[2]Cruise Historical Data Summary'!$CF$118+'[2]Ferry Summary'!$F$6</f>
        <v>1452</v>
      </c>
      <c r="K29" s="64">
        <f>IFERROR(F29/G29-1,"n/a")</f>
        <v>18.656047833758088</v>
      </c>
      <c r="L29" s="64">
        <f t="shared" si="0"/>
        <v>233.26518691588785</v>
      </c>
      <c r="M29" s="64" t="str">
        <f t="shared" si="21"/>
        <v>n/a</v>
      </c>
      <c r="N29" s="60">
        <f t="shared" si="12"/>
        <v>137.10674931129478</v>
      </c>
      <c r="O29" s="68">
        <f>F29+'Feb-23'!O29</f>
        <v>605805</v>
      </c>
      <c r="P29" s="68">
        <f>G29+'Feb-23'!P29</f>
        <v>12185</v>
      </c>
      <c r="Q29" s="68">
        <f>H29+'Feb-23'!Q29</f>
        <v>2139</v>
      </c>
      <c r="R29" s="68">
        <f>I29+'Feb-23'!R29</f>
        <v>892</v>
      </c>
      <c r="S29" s="68">
        <f>J29+'Feb-23'!S29</f>
        <v>6109</v>
      </c>
      <c r="T29" s="64">
        <f>IFERROR(O29/P29-1,"n/a")</f>
        <v>48.717275338530982</v>
      </c>
      <c r="U29" s="64">
        <f t="shared" si="22"/>
        <v>282.21879382889199</v>
      </c>
      <c r="V29" s="64">
        <f t="shared" si="23"/>
        <v>678.15358744394621</v>
      </c>
      <c r="W29" s="60">
        <f t="shared" si="24"/>
        <v>98.165984612866268</v>
      </c>
      <c r="X29" s="68">
        <v>1098243</v>
      </c>
      <c r="Y29" s="68">
        <v>165083</v>
      </c>
      <c r="Z29" s="70">
        <f>20768+8294</f>
        <v>29062</v>
      </c>
      <c r="AA29" s="78">
        <f>659951+168729+38484</f>
        <v>867164</v>
      </c>
      <c r="AB29" s="9"/>
    </row>
    <row r="30" spans="1:28" thickBot="1">
      <c r="A30" s="9"/>
      <c r="B30" s="12"/>
      <c r="C30" s="35" t="s">
        <v>12</v>
      </c>
      <c r="D30" s="36"/>
      <c r="E30" s="37"/>
      <c r="F30" s="75">
        <f t="shared" ref="F30:J31" si="25">F13+F16+F19+F22+F25+F28</f>
        <v>322</v>
      </c>
      <c r="G30" s="75">
        <f t="shared" si="25"/>
        <v>260</v>
      </c>
      <c r="H30" s="75">
        <f>H13+H16+H19+H22+H25+H28</f>
        <v>5</v>
      </c>
      <c r="I30" s="75">
        <f t="shared" si="25"/>
        <v>160</v>
      </c>
      <c r="J30" s="75">
        <f t="shared" si="25"/>
        <v>229</v>
      </c>
      <c r="K30" s="66">
        <f>IFERROR(F30/G30-1,"n/a")</f>
        <v>0.2384615384615385</v>
      </c>
      <c r="L30" s="66">
        <f t="shared" si="0"/>
        <v>63.400000000000006</v>
      </c>
      <c r="M30" s="66">
        <f t="shared" si="21"/>
        <v>1.0125000000000002</v>
      </c>
      <c r="N30" s="62">
        <f t="shared" si="12"/>
        <v>0.40611353711790388</v>
      </c>
      <c r="O30" s="46">
        <f t="shared" ref="O30:S31" si="26">O13+O16+O19+O22+O25+O28</f>
        <v>867</v>
      </c>
      <c r="P30" s="46">
        <f t="shared" si="26"/>
        <v>630</v>
      </c>
      <c r="Q30" s="46">
        <f t="shared" si="26"/>
        <v>12</v>
      </c>
      <c r="R30" s="46">
        <f t="shared" si="26"/>
        <v>565</v>
      </c>
      <c r="S30" s="46">
        <f t="shared" si="26"/>
        <v>635</v>
      </c>
      <c r="T30" s="66">
        <f>IFERROR(O30/P30-1,"n/a")</f>
        <v>0.37619047619047619</v>
      </c>
      <c r="U30" s="66">
        <f t="shared" si="22"/>
        <v>71.25</v>
      </c>
      <c r="V30" s="66">
        <f t="shared" si="23"/>
        <v>0.53451327433628326</v>
      </c>
      <c r="W30" s="62">
        <f t="shared" si="24"/>
        <v>0.36535433070866152</v>
      </c>
      <c r="X30" s="46">
        <f t="shared" ref="X30:AA31" si="27">X13+X16+X19+X22+X25+X28</f>
        <v>3627</v>
      </c>
      <c r="Y30" s="46">
        <f t="shared" si="27"/>
        <v>1062</v>
      </c>
      <c r="Z30" s="46">
        <f t="shared" si="27"/>
        <v>667</v>
      </c>
      <c r="AA30" s="80">
        <f t="shared" si="27"/>
        <v>3344</v>
      </c>
      <c r="AB30" s="9"/>
    </row>
    <row r="31" spans="1:28" ht="15.6" thickTop="1" thickBot="1">
      <c r="A31" s="9"/>
      <c r="B31" s="12"/>
      <c r="C31" s="38" t="s">
        <v>13</v>
      </c>
      <c r="D31" s="39"/>
      <c r="E31" s="40"/>
      <c r="F31" s="76">
        <f t="shared" si="25"/>
        <v>921313</v>
      </c>
      <c r="G31" s="76">
        <f t="shared" si="25"/>
        <v>406818</v>
      </c>
      <c r="H31" s="76">
        <f t="shared" si="25"/>
        <v>4146</v>
      </c>
      <c r="I31" s="76">
        <f t="shared" si="25"/>
        <v>226273</v>
      </c>
      <c r="J31" s="76">
        <f t="shared" si="25"/>
        <v>655947</v>
      </c>
      <c r="K31" s="67">
        <f>IFERROR(F31/G31-1,"n/a")</f>
        <v>1.2646810121479386</v>
      </c>
      <c r="L31" s="67">
        <f t="shared" si="0"/>
        <v>221.21731789676798</v>
      </c>
      <c r="M31" s="67">
        <f t="shared" si="21"/>
        <v>3.071687740030848</v>
      </c>
      <c r="N31" s="63">
        <f t="shared" si="12"/>
        <v>0.40455402646860184</v>
      </c>
      <c r="O31" s="47">
        <f t="shared" si="26"/>
        <v>2478359</v>
      </c>
      <c r="P31" s="47">
        <f t="shared" si="26"/>
        <v>868290</v>
      </c>
      <c r="Q31" s="47">
        <f t="shared" si="26"/>
        <v>10103</v>
      </c>
      <c r="R31" s="47">
        <f t="shared" si="26"/>
        <v>1276259</v>
      </c>
      <c r="S31" s="47">
        <f t="shared" si="26"/>
        <v>1790526</v>
      </c>
      <c r="T31" s="67">
        <f>IFERROR(O31/P31-1,"n/a")</f>
        <v>1.8542986790127722</v>
      </c>
      <c r="U31" s="67">
        <f t="shared" si="22"/>
        <v>244.30921508462833</v>
      </c>
      <c r="V31" s="67">
        <f t="shared" si="23"/>
        <v>0.94189345579541461</v>
      </c>
      <c r="W31" s="63">
        <f t="shared" si="24"/>
        <v>0.38415136110841175</v>
      </c>
      <c r="X31" s="47">
        <f t="shared" si="27"/>
        <v>7627084</v>
      </c>
      <c r="Y31" s="47">
        <f t="shared" si="27"/>
        <v>1554247</v>
      </c>
      <c r="Z31" s="47">
        <f t="shared" si="27"/>
        <v>1323431</v>
      </c>
      <c r="AA31" s="81">
        <f t="shared" si="27"/>
        <v>9169021</v>
      </c>
      <c r="AB31" s="9"/>
    </row>
    <row r="32" spans="1:28" thickTop="1">
      <c r="A32" s="9"/>
      <c r="B32" s="9"/>
      <c r="C32" s="9"/>
      <c r="D32" s="9"/>
      <c r="E32" s="9"/>
      <c r="F32" s="41"/>
      <c r="G32" s="41"/>
      <c r="H32" s="41"/>
      <c r="I32" s="41"/>
      <c r="J32" s="41"/>
      <c r="K32" s="41"/>
      <c r="L32" s="41"/>
      <c r="M32" s="41"/>
      <c r="N32" s="9"/>
      <c r="O32" s="9"/>
      <c r="P32" s="9"/>
      <c r="Q32" s="9"/>
      <c r="R32" s="9"/>
      <c r="S32" s="9"/>
      <c r="T32" s="9"/>
      <c r="U32" s="9"/>
      <c r="V32" s="9"/>
      <c r="W32" s="9"/>
      <c r="X32" s="9"/>
      <c r="Y32" s="9"/>
      <c r="Z32" s="9"/>
      <c r="AA32" s="9"/>
      <c r="AB32" s="9"/>
    </row>
    <row r="33" spans="1:28" ht="14.4">
      <c r="A33" s="9"/>
      <c r="B33" s="9"/>
      <c r="C33" s="9"/>
      <c r="D33" s="9"/>
      <c r="E33" s="9"/>
      <c r="F33" s="41"/>
      <c r="G33" s="41"/>
      <c r="H33" s="41"/>
      <c r="I33" s="41"/>
      <c r="J33" s="41"/>
      <c r="K33" s="41"/>
      <c r="L33" s="41"/>
      <c r="M33" s="41"/>
      <c r="N33" s="9"/>
      <c r="O33" s="9"/>
      <c r="P33" s="9"/>
      <c r="Q33" s="9"/>
      <c r="R33" s="9"/>
      <c r="S33" s="9"/>
      <c r="T33" s="9"/>
      <c r="U33" s="9"/>
      <c r="V33" s="9"/>
      <c r="W33" s="9"/>
      <c r="X33" s="9"/>
      <c r="Y33" s="9"/>
      <c r="Z33" s="9"/>
      <c r="AA33" s="9"/>
      <c r="AB33" s="9"/>
    </row>
    <row r="34" spans="1:28" ht="14.4">
      <c r="A34" s="9"/>
      <c r="B34" s="10"/>
      <c r="C34" s="86" t="s">
        <v>63</v>
      </c>
      <c r="D34" s="24"/>
      <c r="E34" s="24"/>
      <c r="F34" s="24"/>
      <c r="G34" s="24"/>
      <c r="H34" s="24"/>
      <c r="I34" s="24"/>
      <c r="J34" s="95"/>
      <c r="K34" s="95"/>
      <c r="L34" s="95"/>
      <c r="M34" s="95"/>
      <c r="N34" s="24"/>
      <c r="O34" s="24"/>
      <c r="P34" s="24"/>
      <c r="Q34" s="24"/>
      <c r="R34" s="24"/>
      <c r="S34" s="24"/>
      <c r="T34" s="24"/>
      <c r="U34" s="24"/>
      <c r="V34" s="24"/>
      <c r="W34" s="24"/>
      <c r="X34" s="24"/>
      <c r="Y34" s="24"/>
      <c r="Z34" s="24"/>
      <c r="AA34" s="24"/>
      <c r="AB34" s="9"/>
    </row>
    <row r="35" spans="1:28" ht="14.4">
      <c r="A35" s="9"/>
      <c r="B35" s="10"/>
      <c r="C35" s="24"/>
      <c r="D35" s="24"/>
      <c r="E35" s="24"/>
      <c r="F35" s="24"/>
      <c r="G35" s="24"/>
      <c r="H35" s="24"/>
      <c r="I35" s="24"/>
      <c r="J35" s="95"/>
      <c r="K35" s="95"/>
      <c r="L35" s="95"/>
      <c r="M35" s="95"/>
      <c r="N35" s="24"/>
      <c r="O35" s="24"/>
      <c r="P35" s="24"/>
      <c r="Q35" s="24"/>
      <c r="R35" s="24"/>
      <c r="S35" s="24"/>
      <c r="T35" s="24"/>
      <c r="U35" s="24"/>
      <c r="V35" s="24"/>
      <c r="W35" s="24"/>
      <c r="X35" s="24"/>
      <c r="Y35" s="24"/>
      <c r="Z35" s="24"/>
      <c r="AA35" s="24"/>
      <c r="AB35" s="9"/>
    </row>
    <row r="36" spans="1:28" ht="14.4">
      <c r="A36" s="9"/>
      <c r="B36" s="9"/>
      <c r="C36" s="27" t="s">
        <v>7</v>
      </c>
      <c r="D36" s="28"/>
      <c r="E36" s="28"/>
      <c r="F36" s="128" t="str">
        <f>F9</f>
        <v>March</v>
      </c>
      <c r="G36" s="128"/>
      <c r="H36" s="128"/>
      <c r="I36" s="128"/>
      <c r="J36" s="128"/>
      <c r="K36" s="128"/>
      <c r="L36" s="128"/>
      <c r="M36" s="128"/>
      <c r="N36" s="129"/>
      <c r="O36" s="130" t="s">
        <v>108</v>
      </c>
      <c r="P36" s="128"/>
      <c r="Q36" s="128"/>
      <c r="R36" s="128"/>
      <c r="S36" s="128"/>
      <c r="T36" s="128"/>
      <c r="U36" s="128"/>
      <c r="V36" s="128"/>
      <c r="W36" s="129"/>
      <c r="X36" s="130" t="s">
        <v>58</v>
      </c>
      <c r="Y36" s="128"/>
      <c r="Z36" s="128"/>
      <c r="AA36" s="131"/>
      <c r="AB36" s="9"/>
    </row>
    <row r="37" spans="1:28" ht="14.4">
      <c r="A37" s="9"/>
      <c r="B37" s="9"/>
      <c r="C37" s="29"/>
      <c r="D37" s="30"/>
      <c r="E37" s="30"/>
      <c r="F37" s="29"/>
      <c r="G37" s="30"/>
      <c r="H37" s="30"/>
      <c r="I37" s="30"/>
      <c r="J37" s="30"/>
      <c r="K37" s="30"/>
      <c r="L37" s="30"/>
      <c r="M37" s="30"/>
      <c r="N37" s="56"/>
      <c r="O37" s="30"/>
      <c r="P37" s="30"/>
      <c r="Q37" s="30"/>
      <c r="R37" s="30"/>
      <c r="S37" s="30"/>
      <c r="T37" s="30"/>
      <c r="U37" s="30"/>
      <c r="V37" s="30"/>
      <c r="W37" s="56"/>
      <c r="X37" s="30"/>
      <c r="Y37" s="30"/>
      <c r="Z37" s="30"/>
      <c r="AA37" s="56"/>
      <c r="AB37" s="9"/>
    </row>
    <row r="38" spans="1:28" ht="20.399999999999999">
      <c r="A38" s="9"/>
      <c r="B38" s="9"/>
      <c r="C38" s="59" t="s">
        <v>29</v>
      </c>
      <c r="D38" s="50"/>
      <c r="E38" s="51"/>
      <c r="F38" s="55">
        <v>2023</v>
      </c>
      <c r="G38" s="52">
        <v>2022</v>
      </c>
      <c r="H38" s="52">
        <v>2021</v>
      </c>
      <c r="I38" s="52">
        <v>2020</v>
      </c>
      <c r="J38" s="52">
        <v>2019</v>
      </c>
      <c r="K38" s="53" t="s">
        <v>66</v>
      </c>
      <c r="L38" s="53" t="s">
        <v>67</v>
      </c>
      <c r="M38" s="53" t="s">
        <v>68</v>
      </c>
      <c r="N38" s="57" t="s">
        <v>102</v>
      </c>
      <c r="O38" s="53"/>
      <c r="P38" s="53" t="s">
        <v>53</v>
      </c>
      <c r="Q38" s="52" t="s">
        <v>54</v>
      </c>
      <c r="R38" s="52" t="s">
        <v>59</v>
      </c>
      <c r="S38" s="52" t="s">
        <v>64</v>
      </c>
      <c r="T38" s="52"/>
      <c r="U38" s="53" t="s">
        <v>66</v>
      </c>
      <c r="V38" s="53" t="s">
        <v>67</v>
      </c>
      <c r="W38" s="57" t="s">
        <v>68</v>
      </c>
      <c r="X38" s="53"/>
      <c r="Y38" s="53" t="s">
        <v>54</v>
      </c>
      <c r="Z38" s="53" t="s">
        <v>65</v>
      </c>
      <c r="AA38" s="57" t="s">
        <v>73</v>
      </c>
      <c r="AB38" s="9"/>
    </row>
    <row r="39" spans="1:28" ht="14.4">
      <c r="A39" s="9"/>
      <c r="B39" s="9"/>
      <c r="C39" s="31" t="s">
        <v>14</v>
      </c>
      <c r="D39" s="26"/>
      <c r="E39" s="32"/>
      <c r="F39" s="26"/>
      <c r="G39" s="26"/>
      <c r="H39" s="26"/>
      <c r="I39" s="26"/>
      <c r="J39" s="26"/>
      <c r="K39" s="26"/>
      <c r="L39" s="26"/>
      <c r="M39" s="26"/>
      <c r="N39" s="32"/>
      <c r="O39" s="26"/>
      <c r="P39" s="26"/>
      <c r="Q39" s="26"/>
      <c r="R39" s="26"/>
      <c r="S39" s="9"/>
      <c r="T39" s="26"/>
      <c r="U39" s="9"/>
      <c r="V39" s="26"/>
      <c r="W39" s="32"/>
      <c r="X39" s="33"/>
      <c r="Y39" s="26"/>
      <c r="Z39" s="88"/>
      <c r="AA39" s="85"/>
      <c r="AB39" s="9"/>
    </row>
    <row r="40" spans="1:28" ht="14.4">
      <c r="A40" s="9"/>
      <c r="B40" s="9"/>
      <c r="C40" s="33"/>
      <c r="D40" s="26" t="s">
        <v>5</v>
      </c>
      <c r="E40" s="32"/>
      <c r="F40" s="74">
        <f t="shared" ref="F40:J41" si="28">F13</f>
        <v>57</v>
      </c>
      <c r="G40" s="74">
        <f t="shared" si="28"/>
        <v>74</v>
      </c>
      <c r="H40" s="74">
        <f t="shared" si="28"/>
        <v>0</v>
      </c>
      <c r="I40" s="74">
        <f t="shared" si="28"/>
        <v>29</v>
      </c>
      <c r="J40" s="74">
        <f t="shared" si="28"/>
        <v>62</v>
      </c>
      <c r="K40" s="64">
        <f>IFERROR(F40/G40-1,"n/a")</f>
        <v>-0.22972972972972971</v>
      </c>
      <c r="L40" s="64" t="str">
        <f t="shared" ref="L40:L41" si="29">IFERROR(F40/H40-1,"n/a")</f>
        <v>n/a</v>
      </c>
      <c r="M40" s="64">
        <f>IFERROR(F40/I40-1,"n/a")</f>
        <v>0.96551724137931028</v>
      </c>
      <c r="N40" s="60">
        <f t="shared" ref="N40:N41" si="30">IFERROR(F40/J40-1,"n/a")</f>
        <v>-8.064516129032262E-2</v>
      </c>
      <c r="O40" s="108"/>
      <c r="P40" s="70">
        <f>+O13-'Mar-22'!M10+'Dec-22'!M13</f>
        <v>335</v>
      </c>
      <c r="Q40" s="70">
        <f>+P13-'Mar-22'!N10+'Dec-22'!N13</f>
        <v>308</v>
      </c>
      <c r="R40" s="82">
        <f>+Q13-'Mar-22'!O10+'Dec-22'!O13</f>
        <v>0</v>
      </c>
      <c r="S40" s="70">
        <f>+R13-'Mar-22'!P10+'Dec-22'!P13</f>
        <v>331</v>
      </c>
      <c r="T40" s="108"/>
      <c r="U40" s="64">
        <f>IFERROR(P40/Q40-1,"n/a")</f>
        <v>8.7662337662337553E-2</v>
      </c>
      <c r="V40" s="64" t="str">
        <f>IFERROR(P40/R40-1,"n/a")</f>
        <v>n/a</v>
      </c>
      <c r="W40" s="60">
        <f>IFERROR(P40/S40-1,"n/a")</f>
        <v>1.2084592145015005E-2</v>
      </c>
      <c r="X40" s="89"/>
      <c r="Y40" s="89">
        <v>308</v>
      </c>
      <c r="Z40" s="70">
        <v>145</v>
      </c>
      <c r="AA40" s="78">
        <v>331</v>
      </c>
      <c r="AB40" s="9"/>
    </row>
    <row r="41" spans="1:28" ht="14.4">
      <c r="A41" s="9"/>
      <c r="B41" s="9"/>
      <c r="C41" s="33"/>
      <c r="D41" s="26" t="s">
        <v>11</v>
      </c>
      <c r="E41" s="32"/>
      <c r="F41" s="74">
        <f t="shared" si="28"/>
        <v>109432</v>
      </c>
      <c r="G41" s="74">
        <f t="shared" si="28"/>
        <v>60824</v>
      </c>
      <c r="H41" s="74">
        <f t="shared" si="28"/>
        <v>0</v>
      </c>
      <c r="I41" s="74">
        <f t="shared" si="28"/>
        <v>48626</v>
      </c>
      <c r="J41" s="74">
        <f t="shared" si="28"/>
        <v>108846</v>
      </c>
      <c r="K41" s="64">
        <f>IFERROR(F41/G41-1,"n/a")</f>
        <v>0.79915822701565165</v>
      </c>
      <c r="L41" s="64" t="str">
        <f t="shared" si="29"/>
        <v>n/a</v>
      </c>
      <c r="M41" s="64">
        <f t="shared" ref="M41" si="31">IFERROR(F41/I41-1,"n/a")</f>
        <v>1.2504832805495001</v>
      </c>
      <c r="N41" s="60">
        <f t="shared" si="30"/>
        <v>5.3837531925839954E-3</v>
      </c>
      <c r="O41" s="109"/>
      <c r="P41" s="70">
        <f>+O14-'Mar-22'!M11+'Dec-22'!M14</f>
        <v>556504</v>
      </c>
      <c r="Q41" s="82">
        <f>+P14-'Mar-22'!N11+'Dec-22'!N14</f>
        <v>237191</v>
      </c>
      <c r="R41" s="82">
        <f>+Q14-'Mar-22'!O11+'Dec-22'!O14</f>
        <v>0</v>
      </c>
      <c r="S41" s="82">
        <f>+R14-'Mar-22'!P11+'Dec-22'!P14</f>
        <v>606801</v>
      </c>
      <c r="T41" s="109"/>
      <c r="U41" s="64">
        <f>IFERROR(P41/Q41-1,"n/a")</f>
        <v>1.3462273020477169</v>
      </c>
      <c r="V41" s="64" t="str">
        <f>IFERROR(P41/R41-1,"n/a")</f>
        <v>n/a</v>
      </c>
      <c r="W41" s="60">
        <f>IFERROR(P41/S41-1,"n/a")</f>
        <v>-8.2888788911026801E-2</v>
      </c>
      <c r="X41" s="89"/>
      <c r="Y41" s="89">
        <v>237191</v>
      </c>
      <c r="Z41" s="84">
        <v>258885</v>
      </c>
      <c r="AA41" s="78">
        <v>606801</v>
      </c>
      <c r="AB41" s="9"/>
    </row>
    <row r="42" spans="1:28" ht="14.4">
      <c r="A42" s="9"/>
      <c r="B42" s="9"/>
      <c r="C42" s="31" t="s">
        <v>74</v>
      </c>
      <c r="D42" s="26"/>
      <c r="E42" s="32"/>
      <c r="F42" s="26"/>
      <c r="G42" s="26"/>
      <c r="H42" s="26"/>
      <c r="I42" s="26"/>
      <c r="J42" s="26"/>
      <c r="K42" s="64"/>
      <c r="L42" s="64"/>
      <c r="M42" s="64"/>
      <c r="N42" s="61"/>
      <c r="O42" s="110"/>
      <c r="P42" s="87"/>
      <c r="Q42" s="87"/>
      <c r="R42" s="87"/>
      <c r="S42" s="87"/>
      <c r="T42" s="110"/>
      <c r="U42" s="65"/>
      <c r="V42" s="65"/>
      <c r="W42" s="61"/>
      <c r="X42" s="90"/>
      <c r="Y42" s="90"/>
      <c r="Z42" s="44"/>
      <c r="AA42" s="79"/>
      <c r="AB42" s="9"/>
    </row>
    <row r="43" spans="1:28" ht="14.4">
      <c r="A43" s="9"/>
      <c r="B43" s="9"/>
      <c r="C43" s="33"/>
      <c r="D43" s="26" t="s">
        <v>5</v>
      </c>
      <c r="E43" s="32"/>
      <c r="F43" s="74">
        <f t="shared" ref="F43:J44" si="32">F16</f>
        <v>37</v>
      </c>
      <c r="G43" s="74">
        <f t="shared" si="32"/>
        <v>24</v>
      </c>
      <c r="H43" s="74">
        <f t="shared" si="32"/>
        <v>0</v>
      </c>
      <c r="I43" s="74">
        <f t="shared" si="32"/>
        <v>10</v>
      </c>
      <c r="J43" s="74">
        <f t="shared" si="32"/>
        <v>44</v>
      </c>
      <c r="K43" s="64">
        <f>IFERROR(F43/G43-1,"n/a")</f>
        <v>0.54166666666666674</v>
      </c>
      <c r="L43" s="64" t="str">
        <f t="shared" ref="L43:L44" si="33">IFERROR(F43/H43-1,"n/a")</f>
        <v>n/a</v>
      </c>
      <c r="M43" s="64">
        <f t="shared" ref="M43:M44" si="34">IFERROR(F43/I43-1,"n/a")</f>
        <v>2.7</v>
      </c>
      <c r="N43" s="60">
        <f t="shared" ref="N43:N44" si="35">IFERROR(F43/J43-1,"n/a")</f>
        <v>-0.15909090909090906</v>
      </c>
      <c r="O43" s="108"/>
      <c r="P43" s="70">
        <f>+O16-'Mar-22'!M13+'Dec-22'!M16</f>
        <v>802</v>
      </c>
      <c r="Q43" s="70">
        <f>+P16-'Mar-22'!N13+'Dec-22'!N16</f>
        <v>336</v>
      </c>
      <c r="R43" s="70">
        <f>+Q16-'Mar-22'!O13+'Dec-22'!O16</f>
        <v>0</v>
      </c>
      <c r="S43" s="70">
        <f>+R16-'Mar-22'!P13+'Dec-22'!P16</f>
        <v>781</v>
      </c>
      <c r="T43" s="108"/>
      <c r="U43" s="64">
        <f t="shared" ref="U43:U44" si="36">IFERROR(P43/Q43-1,"n/a")</f>
        <v>1.3869047619047619</v>
      </c>
      <c r="V43" s="64" t="str">
        <f t="shared" ref="V43:V44" si="37">IFERROR(P43/R43-1,"n/a")</f>
        <v>n/a</v>
      </c>
      <c r="W43" s="60">
        <f t="shared" ref="W43:W44" si="38">IFERROR(P43/S43-1,"n/a")</f>
        <v>2.6888604353393131E-2</v>
      </c>
      <c r="X43" s="89"/>
      <c r="Y43" s="89">
        <v>336</v>
      </c>
      <c r="Z43" s="70">
        <v>43</v>
      </c>
      <c r="AA43" s="78">
        <v>781</v>
      </c>
      <c r="AB43" s="9"/>
    </row>
    <row r="44" spans="1:28" ht="14.4">
      <c r="A44" s="9"/>
      <c r="B44" s="9"/>
      <c r="C44" s="33"/>
      <c r="D44" s="26" t="s">
        <v>11</v>
      </c>
      <c r="E44" s="32"/>
      <c r="F44" s="74">
        <f t="shared" si="32"/>
        <v>105059</v>
      </c>
      <c r="G44" s="74">
        <f t="shared" si="32"/>
        <v>32594</v>
      </c>
      <c r="H44" s="74">
        <f t="shared" si="32"/>
        <v>0</v>
      </c>
      <c r="I44" s="74">
        <f t="shared" si="32"/>
        <v>28535</v>
      </c>
      <c r="J44" s="74">
        <f t="shared" si="32"/>
        <v>117674</v>
      </c>
      <c r="K44" s="64">
        <f>IFERROR(F44/G44-1,"n/a")</f>
        <v>2.2232619500521569</v>
      </c>
      <c r="L44" s="64" t="str">
        <f t="shared" si="33"/>
        <v>n/a</v>
      </c>
      <c r="M44" s="64">
        <f t="shared" si="34"/>
        <v>2.6817592430348696</v>
      </c>
      <c r="N44" s="60">
        <f t="shared" si="35"/>
        <v>-0.10720295052432993</v>
      </c>
      <c r="O44" s="109"/>
      <c r="P44" s="70">
        <f>+O17-'Mar-22'!M14+'Dec-22'!M17</f>
        <v>2017667</v>
      </c>
      <c r="Q44" s="70">
        <f>+P17-'Mar-22'!N14+'Dec-22'!N17</f>
        <v>533563</v>
      </c>
      <c r="R44" s="70">
        <f>+Q17-'Mar-22'!O14+'Dec-22'!O17</f>
        <v>0</v>
      </c>
      <c r="S44" s="70">
        <f>+R17-'Mar-22'!P14+'Dec-22'!P17</f>
        <v>2441594</v>
      </c>
      <c r="T44" s="108"/>
      <c r="U44" s="64">
        <f t="shared" si="36"/>
        <v>2.7814972177606019</v>
      </c>
      <c r="V44" s="64" t="str">
        <f t="shared" si="37"/>
        <v>n/a</v>
      </c>
      <c r="W44" s="60">
        <f t="shared" si="38"/>
        <v>-0.17362714685570169</v>
      </c>
      <c r="X44" s="89"/>
      <c r="Y44" s="89">
        <v>533563</v>
      </c>
      <c r="Z44" s="84">
        <v>140552</v>
      </c>
      <c r="AA44" s="78">
        <v>2441594</v>
      </c>
      <c r="AB44" s="9"/>
    </row>
    <row r="45" spans="1:28" ht="14.4">
      <c r="A45" s="9"/>
      <c r="B45" s="9"/>
      <c r="C45" s="31" t="s">
        <v>15</v>
      </c>
      <c r="D45" s="26"/>
      <c r="E45" s="32"/>
      <c r="F45" s="87"/>
      <c r="G45" s="87"/>
      <c r="H45" s="87"/>
      <c r="I45" s="87"/>
      <c r="J45" s="72"/>
      <c r="K45" s="64"/>
      <c r="L45" s="64"/>
      <c r="M45" s="64"/>
      <c r="N45" s="60"/>
      <c r="O45" s="110"/>
      <c r="P45" s="87"/>
      <c r="Q45" s="87"/>
      <c r="R45" s="87"/>
      <c r="S45" s="87"/>
      <c r="T45" s="110"/>
      <c r="U45" s="64"/>
      <c r="V45" s="64"/>
      <c r="W45" s="60"/>
      <c r="X45" s="90"/>
      <c r="Y45" s="90"/>
      <c r="Z45" s="44"/>
      <c r="AA45" s="79"/>
      <c r="AB45" s="9"/>
    </row>
    <row r="46" spans="1:28" ht="14.4">
      <c r="A46" s="9"/>
      <c r="B46" s="9"/>
      <c r="C46" s="33"/>
      <c r="D46" s="26" t="s">
        <v>5</v>
      </c>
      <c r="E46" s="32"/>
      <c r="F46" s="74">
        <f t="shared" ref="F46:J47" si="39">F19</f>
        <v>15</v>
      </c>
      <c r="G46" s="74">
        <f t="shared" si="39"/>
        <v>5</v>
      </c>
      <c r="H46" s="74">
        <f t="shared" si="39"/>
        <v>0</v>
      </c>
      <c r="I46" s="74">
        <f t="shared" si="39"/>
        <v>2</v>
      </c>
      <c r="J46" s="74">
        <f t="shared" si="39"/>
        <v>5</v>
      </c>
      <c r="K46" s="64">
        <f>IFERROR(F46/G46-1,"n/a")</f>
        <v>2</v>
      </c>
      <c r="L46" s="64" t="str">
        <f t="shared" ref="L46:L47" si="40">IFERROR(F46/H46-1,"n/a")</f>
        <v>n/a</v>
      </c>
      <c r="M46" s="64">
        <f t="shared" ref="M46:M47" si="41">IFERROR(F46/I46-1,"n/a")</f>
        <v>6.5</v>
      </c>
      <c r="N46" s="60">
        <f>IFERROR(F46/J46-1,"n/a")</f>
        <v>2</v>
      </c>
      <c r="O46" s="108"/>
      <c r="P46" s="70">
        <f>+O19-'Mar-22'!M16+'Dec-22'!M19</f>
        <v>486</v>
      </c>
      <c r="Q46" s="70">
        <f>+P19-'Mar-22'!N16+'Dec-22'!N19</f>
        <v>33</v>
      </c>
      <c r="R46" s="70">
        <f>+Q19-'Mar-22'!O16+'Dec-22'!O19</f>
        <v>1</v>
      </c>
      <c r="S46" s="70">
        <f>+R19-'Mar-22'!P16+'Dec-22'!P19</f>
        <v>188</v>
      </c>
      <c r="T46" s="108"/>
      <c r="U46" s="64">
        <f t="shared" ref="U46:U47" si="42">IFERROR(P46/Q46-1,"n/a")</f>
        <v>13.727272727272727</v>
      </c>
      <c r="V46" s="64">
        <f t="shared" ref="V46:V47" si="43">IFERROR(P46/R46-1,"n/a")</f>
        <v>485</v>
      </c>
      <c r="W46" s="60">
        <f t="shared" ref="W46:W47" si="44">IFERROR(P46/S46-1,"n/a")</f>
        <v>1.5851063829787235</v>
      </c>
      <c r="X46" s="89"/>
      <c r="Y46" s="89">
        <v>33</v>
      </c>
      <c r="Z46" s="70">
        <v>4</v>
      </c>
      <c r="AA46" s="78">
        <v>188</v>
      </c>
      <c r="AB46" s="9"/>
    </row>
    <row r="47" spans="1:28" ht="14.4">
      <c r="A47" s="9"/>
      <c r="B47" s="9"/>
      <c r="C47" s="33"/>
      <c r="D47" s="26" t="s">
        <v>11</v>
      </c>
      <c r="E47" s="32"/>
      <c r="F47" s="74">
        <f t="shared" si="39"/>
        <v>14659</v>
      </c>
      <c r="G47" s="74">
        <f t="shared" si="39"/>
        <v>364</v>
      </c>
      <c r="H47" s="74">
        <f t="shared" si="39"/>
        <v>0</v>
      </c>
      <c r="I47" s="74">
        <f t="shared" si="39"/>
        <v>887</v>
      </c>
      <c r="J47" s="74">
        <f t="shared" si="39"/>
        <v>4555</v>
      </c>
      <c r="K47" s="64">
        <f>IFERROR(F47/G47-1,"n/a")</f>
        <v>39.271978021978022</v>
      </c>
      <c r="L47" s="64" t="str">
        <f t="shared" si="40"/>
        <v>n/a</v>
      </c>
      <c r="M47" s="64">
        <f t="shared" si="41"/>
        <v>15.526493799323564</v>
      </c>
      <c r="N47" s="60">
        <f t="shared" ref="N47" si="45">IFERROR(F47/J47-1,"n/a")</f>
        <v>2.2182217343578485</v>
      </c>
      <c r="O47" s="109"/>
      <c r="P47" s="70">
        <f>+O20-'Mar-22'!M17+'Dec-22'!M20</f>
        <v>580166</v>
      </c>
      <c r="Q47" s="70">
        <f>+P20-'Mar-22'!N17+'Dec-22'!N20</f>
        <v>10083</v>
      </c>
      <c r="R47" s="70">
        <f>+Q20-'Mar-22'!O17+'Dec-22'!O20</f>
        <v>111</v>
      </c>
      <c r="S47" s="70">
        <f>+R20-'Mar-22'!P17+'Dec-22'!P20</f>
        <v>250993</v>
      </c>
      <c r="T47" s="108"/>
      <c r="U47" s="64">
        <f t="shared" si="42"/>
        <v>56.53902608350689</v>
      </c>
      <c r="V47" s="64">
        <f t="shared" si="43"/>
        <v>5225.7207207207211</v>
      </c>
      <c r="W47" s="60">
        <f t="shared" si="44"/>
        <v>1.311482790356703</v>
      </c>
      <c r="X47" s="82"/>
      <c r="Y47" s="82">
        <v>10083</v>
      </c>
      <c r="Z47" s="84">
        <v>1753</v>
      </c>
      <c r="AA47" s="78">
        <f>176097+74816</f>
        <v>250913</v>
      </c>
      <c r="AB47" s="9"/>
    </row>
    <row r="48" spans="1:28" ht="14.4">
      <c r="A48" s="9"/>
      <c r="B48" s="9"/>
      <c r="C48" s="31" t="s">
        <v>10</v>
      </c>
      <c r="D48" s="26"/>
      <c r="E48" s="34"/>
      <c r="F48" s="72"/>
      <c r="G48" s="72"/>
      <c r="H48" s="72"/>
      <c r="I48" s="72"/>
      <c r="J48" s="72"/>
      <c r="K48" s="64"/>
      <c r="L48" s="64"/>
      <c r="M48" s="64"/>
      <c r="N48" s="60"/>
      <c r="O48" s="110"/>
      <c r="P48" s="87"/>
      <c r="Q48" s="87"/>
      <c r="R48" s="87"/>
      <c r="S48" s="87"/>
      <c r="T48" s="110"/>
      <c r="U48" s="64"/>
      <c r="V48" s="64"/>
      <c r="W48" s="60"/>
      <c r="X48" s="90"/>
      <c r="Y48" s="90"/>
      <c r="Z48" s="44"/>
      <c r="AA48" s="79"/>
      <c r="AB48" s="9"/>
    </row>
    <row r="49" spans="1:28" ht="14.4">
      <c r="A49" s="9"/>
      <c r="B49" s="9"/>
      <c r="C49" s="33"/>
      <c r="D49" s="26" t="s">
        <v>5</v>
      </c>
      <c r="E49" s="34"/>
      <c r="F49" s="74">
        <f t="shared" ref="F49:J50" si="46">F22</f>
        <v>124</v>
      </c>
      <c r="G49" s="74">
        <f t="shared" si="46"/>
        <v>130</v>
      </c>
      <c r="H49" s="74">
        <f t="shared" si="46"/>
        <v>0</v>
      </c>
      <c r="I49" s="74">
        <f t="shared" si="46"/>
        <v>118</v>
      </c>
      <c r="J49" s="74">
        <f t="shared" si="46"/>
        <v>108</v>
      </c>
      <c r="K49" s="64">
        <f>IFERROR(F49/G49-1,"n/a")</f>
        <v>-4.6153846153846101E-2</v>
      </c>
      <c r="L49" s="64" t="str">
        <f t="shared" ref="L49:L50" si="47">IFERROR(F49/H49-1,"n/a")</f>
        <v>n/a</v>
      </c>
      <c r="M49" s="64">
        <f t="shared" ref="M49:M50" si="48">IFERROR(F49/I49-1,"n/a")</f>
        <v>5.0847457627118731E-2</v>
      </c>
      <c r="N49" s="60">
        <f t="shared" ref="N49:N50" si="49">IFERROR(F49/J49-1,"n/a")</f>
        <v>0.14814814814814814</v>
      </c>
      <c r="O49" s="108"/>
      <c r="P49" s="70">
        <f>+O22-'Mar-22'!M19+'Dec-22'!M22</f>
        <v>1151</v>
      </c>
      <c r="Q49" s="70">
        <f>+P22-'Mar-22'!N19+'Dec-22'!N22</f>
        <v>744</v>
      </c>
      <c r="R49" s="70">
        <f>+Q22-'Mar-22'!O19+'Dec-22'!O22</f>
        <v>42</v>
      </c>
      <c r="S49" s="70">
        <f>+R22-'Mar-22'!P19+'Dec-22'!P22</f>
        <v>1253</v>
      </c>
      <c r="T49" s="108"/>
      <c r="U49" s="64">
        <f t="shared" ref="U49:U50" si="50">IFERROR(P49/Q49-1,"n/a")</f>
        <v>0.54704301075268824</v>
      </c>
      <c r="V49" s="64">
        <f t="shared" ref="V49:V50" si="51">IFERROR(P49/R49-1,"n/a")</f>
        <v>26.404761904761905</v>
      </c>
      <c r="W49" s="60">
        <f t="shared" ref="W49:W50" si="52">IFERROR(P49/S49-1,"n/a")</f>
        <v>-8.1404628890662356E-2</v>
      </c>
      <c r="X49" s="89"/>
      <c r="Y49" s="89">
        <v>744</v>
      </c>
      <c r="Z49" s="84">
        <v>406</v>
      </c>
      <c r="AA49" s="78">
        <v>1253</v>
      </c>
      <c r="AB49" s="9"/>
    </row>
    <row r="50" spans="1:28" ht="14.4">
      <c r="A50" s="9"/>
      <c r="B50" s="9"/>
      <c r="C50" s="33"/>
      <c r="D50" s="26" t="s">
        <v>11</v>
      </c>
      <c r="E50" s="32"/>
      <c r="F50" s="74">
        <f t="shared" si="46"/>
        <v>456142</v>
      </c>
      <c r="G50" s="74">
        <f t="shared" si="46"/>
        <v>283677</v>
      </c>
      <c r="H50" s="74">
        <f t="shared" si="46"/>
        <v>0</v>
      </c>
      <c r="I50" s="74">
        <f t="shared" si="46"/>
        <v>147660</v>
      </c>
      <c r="J50" s="74">
        <f t="shared" si="46"/>
        <v>391750</v>
      </c>
      <c r="K50" s="64">
        <f>IFERROR(F50/G50-1,"n/a")</f>
        <v>0.60796257715641389</v>
      </c>
      <c r="L50" s="64" t="str">
        <f t="shared" si="47"/>
        <v>n/a</v>
      </c>
      <c r="M50" s="64">
        <f t="shared" si="48"/>
        <v>2.0891372070973859</v>
      </c>
      <c r="N50" s="60">
        <f t="shared" si="49"/>
        <v>0.16437013401403955</v>
      </c>
      <c r="O50" s="109"/>
      <c r="P50" s="70">
        <f>+O23-'Mar-22'!M20+'Dec-22'!M23</f>
        <v>3814850</v>
      </c>
      <c r="Q50" s="70">
        <f>+P23-'Mar-22'!N20+'Dec-22'!N23</f>
        <v>1290779</v>
      </c>
      <c r="R50" s="70">
        <f>+Q23-'Mar-22'!O20+'Dec-22'!O23</f>
        <v>0</v>
      </c>
      <c r="S50" s="70">
        <f>+R23-'Mar-22'!P20+'Dec-22'!P23</f>
        <v>3627458</v>
      </c>
      <c r="T50" s="108"/>
      <c r="U50" s="64">
        <f t="shared" si="50"/>
        <v>1.9554633287340435</v>
      </c>
      <c r="V50" s="64" t="str">
        <f t="shared" si="51"/>
        <v>n/a</v>
      </c>
      <c r="W50" s="60">
        <f t="shared" si="52"/>
        <v>5.1659316248458209E-2</v>
      </c>
      <c r="X50" s="82"/>
      <c r="Y50" s="82">
        <v>1290779</v>
      </c>
      <c r="Z50" s="84">
        <v>833999</v>
      </c>
      <c r="AA50" s="78">
        <v>3627458</v>
      </c>
      <c r="AB50" s="9"/>
    </row>
    <row r="51" spans="1:28" ht="14.4">
      <c r="A51" s="9"/>
      <c r="B51" s="9"/>
      <c r="C51" s="31" t="s">
        <v>16</v>
      </c>
      <c r="D51" s="26"/>
      <c r="E51" s="32"/>
      <c r="F51" s="72"/>
      <c r="G51" s="72"/>
      <c r="H51" s="72"/>
      <c r="I51" s="72"/>
      <c r="J51" s="72"/>
      <c r="K51" s="64"/>
      <c r="L51" s="64"/>
      <c r="M51" s="64"/>
      <c r="N51" s="60"/>
      <c r="O51" s="110"/>
      <c r="P51" s="87"/>
      <c r="Q51" s="87"/>
      <c r="R51" s="87"/>
      <c r="S51" s="87"/>
      <c r="T51" s="110"/>
      <c r="U51" s="64"/>
      <c r="V51" s="64"/>
      <c r="W51" s="60"/>
      <c r="X51" s="90"/>
      <c r="Y51" s="90"/>
      <c r="Z51" s="44"/>
      <c r="AA51" s="79"/>
      <c r="AB51" s="9"/>
    </row>
    <row r="52" spans="1:28" ht="14.4">
      <c r="A52" s="9"/>
      <c r="B52" s="9"/>
      <c r="C52" s="33"/>
      <c r="D52" s="26" t="s">
        <v>5</v>
      </c>
      <c r="E52" s="32"/>
      <c r="F52" s="74">
        <f t="shared" ref="F52:J53" si="53">F25</f>
        <v>11</v>
      </c>
      <c r="G52" s="74">
        <f t="shared" si="53"/>
        <v>14</v>
      </c>
      <c r="H52" s="74">
        <f t="shared" si="53"/>
        <v>4</v>
      </c>
      <c r="I52" s="74">
        <f t="shared" si="53"/>
        <v>1</v>
      </c>
      <c r="J52" s="74">
        <f t="shared" si="53"/>
        <v>9</v>
      </c>
      <c r="K52" s="64">
        <f>IFERROR(F52/G52-1,"n/a")</f>
        <v>-0.2142857142857143</v>
      </c>
      <c r="L52" s="64">
        <f t="shared" ref="L52:L53" si="54">IFERROR(F52/H52-1,"n/a")</f>
        <v>1.75</v>
      </c>
      <c r="M52" s="64">
        <f t="shared" ref="M52:M53" si="55">IFERROR(F52/I52-1,"n/a")</f>
        <v>10</v>
      </c>
      <c r="N52" s="60">
        <f t="shared" ref="N52:N53" si="56">IFERROR(F52/J52-1,"n/a")</f>
        <v>0.22222222222222232</v>
      </c>
      <c r="O52" s="108"/>
      <c r="P52" s="70">
        <f>+O25-'Mar-22'!M22+'Dec-22'!M25</f>
        <v>280</v>
      </c>
      <c r="Q52" s="70">
        <f>+P25-'Mar-22'!N22+'Dec-22'!N25</f>
        <v>121</v>
      </c>
      <c r="R52" s="70">
        <f>+Q25-'Mar-22'!O22+'Dec-22'!O25</f>
        <v>32</v>
      </c>
      <c r="S52" s="70">
        <f>+R25-'Mar-22'!P22+'Dec-22'!P25</f>
        <v>361</v>
      </c>
      <c r="T52" s="108"/>
      <c r="U52" s="64">
        <f t="shared" ref="U52:U53" si="57">IFERROR(P52/Q52-1,"n/a")</f>
        <v>1.3140495867768593</v>
      </c>
      <c r="V52" s="64">
        <f t="shared" ref="V52:V53" si="58">IFERROR(P52/R52-1,"n/a")</f>
        <v>7.75</v>
      </c>
      <c r="W52" s="60">
        <f t="shared" ref="W52:W53" si="59">IFERROR(P52/S52-1,"n/a")</f>
        <v>-0.22437673130193903</v>
      </c>
      <c r="X52" s="89"/>
      <c r="Y52" s="89">
        <v>121</v>
      </c>
      <c r="Z52" s="70">
        <v>41</v>
      </c>
      <c r="AA52" s="78">
        <v>361</v>
      </c>
      <c r="AB52" s="9"/>
    </row>
    <row r="53" spans="1:28" ht="14.4">
      <c r="A53" s="9"/>
      <c r="B53" s="9"/>
      <c r="C53" s="33"/>
      <c r="D53" s="26" t="s">
        <v>11</v>
      </c>
      <c r="E53" s="32"/>
      <c r="F53" s="74">
        <f t="shared" si="53"/>
        <v>35490</v>
      </c>
      <c r="G53" s="74">
        <f t="shared" si="53"/>
        <v>19157</v>
      </c>
      <c r="H53" s="74">
        <f t="shared" si="53"/>
        <v>3290</v>
      </c>
      <c r="I53" s="74">
        <f t="shared" si="53"/>
        <v>565</v>
      </c>
      <c r="J53" s="74">
        <f t="shared" si="53"/>
        <v>31670</v>
      </c>
      <c r="K53" s="64">
        <f>IFERROR(F53/G53-1,"n/a")</f>
        <v>0.85258652189800066</v>
      </c>
      <c r="L53" s="64">
        <f t="shared" si="54"/>
        <v>9.787234042553191</v>
      </c>
      <c r="M53" s="64">
        <f t="shared" si="55"/>
        <v>61.814159292035399</v>
      </c>
      <c r="N53" s="60">
        <f t="shared" si="56"/>
        <v>0.12061888222292394</v>
      </c>
      <c r="O53" s="109"/>
      <c r="P53" s="70">
        <f>+O26-'Mar-22'!M23+'Dec-22'!M26</f>
        <v>576103</v>
      </c>
      <c r="Q53" s="70">
        <f>+P26-'Mar-22'!N23+'Dec-22'!N26</f>
        <v>165689</v>
      </c>
      <c r="R53" s="70">
        <f>+Q26-'Mar-22'!O23+'Dec-22'!O26</f>
        <v>26923</v>
      </c>
      <c r="S53" s="70">
        <f>+R26-'Mar-22'!P23+'Dec-22'!P26</f>
        <v>865961</v>
      </c>
      <c r="T53" s="108"/>
      <c r="U53" s="64">
        <f t="shared" si="57"/>
        <v>2.4770141650924322</v>
      </c>
      <c r="V53" s="64">
        <f t="shared" si="58"/>
        <v>20.398172566207332</v>
      </c>
      <c r="W53" s="60">
        <f t="shared" si="59"/>
        <v>-0.33472408110757879</v>
      </c>
      <c r="X53" s="82"/>
      <c r="Y53" s="82">
        <v>165689</v>
      </c>
      <c r="Z53" s="84">
        <v>67144</v>
      </c>
      <c r="AA53" s="78">
        <v>865961</v>
      </c>
      <c r="AB53" s="9"/>
    </row>
    <row r="54" spans="1:28" ht="14.4">
      <c r="C54" s="31" t="s">
        <v>17</v>
      </c>
      <c r="D54" s="26"/>
      <c r="E54" s="32"/>
      <c r="F54" s="72"/>
      <c r="G54" s="72"/>
      <c r="H54" s="72"/>
      <c r="I54" s="72"/>
      <c r="J54" s="72"/>
      <c r="K54" s="64"/>
      <c r="L54" s="64"/>
      <c r="M54" s="64"/>
      <c r="N54" s="60"/>
      <c r="O54" s="110"/>
      <c r="P54" s="87"/>
      <c r="Q54" s="87"/>
      <c r="R54" s="87"/>
      <c r="S54" s="87"/>
      <c r="T54" s="110"/>
      <c r="U54" s="64"/>
      <c r="V54" s="64"/>
      <c r="W54" s="60"/>
      <c r="X54" s="90"/>
      <c r="Y54" s="90"/>
      <c r="Z54" s="44"/>
      <c r="AA54" s="79"/>
      <c r="AB54" s="9"/>
    </row>
    <row r="55" spans="1:28" ht="14.4">
      <c r="C55" s="33"/>
      <c r="D55" s="26" t="s">
        <v>5</v>
      </c>
      <c r="E55" s="32"/>
      <c r="F55" s="74">
        <f t="shared" ref="F55:J56" si="60">F28</f>
        <v>78</v>
      </c>
      <c r="G55" s="74">
        <f t="shared" si="60"/>
        <v>13</v>
      </c>
      <c r="H55" s="74">
        <f t="shared" si="60"/>
        <v>1</v>
      </c>
      <c r="I55" s="74">
        <f t="shared" si="60"/>
        <v>0</v>
      </c>
      <c r="J55" s="74">
        <f t="shared" si="60"/>
        <v>1</v>
      </c>
      <c r="K55" s="64">
        <f>IFERROR(F55/G55-1,"n/a")</f>
        <v>5</v>
      </c>
      <c r="L55" s="64">
        <f t="shared" ref="L55:L58" si="61">IFERROR(F55/H55-1,"n/a")</f>
        <v>77</v>
      </c>
      <c r="M55" s="64" t="str">
        <f t="shared" ref="M55:M58" si="62">IFERROR(F55/I55-1,"n/a")</f>
        <v>n/a</v>
      </c>
      <c r="N55" s="60">
        <f t="shared" ref="N55:N58" si="63">IFERROR(F55/J55-1,"n/a")</f>
        <v>77</v>
      </c>
      <c r="O55" s="108"/>
      <c r="P55" s="70">
        <f>+O28-'Mar-22'!M25+'Dec-22'!M28</f>
        <v>808</v>
      </c>
      <c r="Q55" s="70">
        <f>+P28-'Mar-22'!N25+'Dec-22'!N28</f>
        <v>138</v>
      </c>
      <c r="R55" s="70">
        <f>+Q28-'Mar-22'!O25+'Dec-22'!O28</f>
        <v>39</v>
      </c>
      <c r="S55" s="70">
        <f>+R28-'Mar-22'!P25+'Dec-22'!P28</f>
        <v>360</v>
      </c>
      <c r="T55" s="108"/>
      <c r="U55" s="64">
        <f t="shared" ref="U55" si="64">IFERROR(P55/Q55-1,"n/a")</f>
        <v>4.8550724637681162</v>
      </c>
      <c r="V55" s="64">
        <f t="shared" ref="V55" si="65">IFERROR(P55/R55-1,"n/a")</f>
        <v>19.717948717948719</v>
      </c>
      <c r="W55" s="60">
        <f t="shared" ref="W55" si="66">IFERROR(P55/S55-1,"n/a")</f>
        <v>1.2444444444444445</v>
      </c>
      <c r="X55" s="89"/>
      <c r="Y55" s="89">
        <v>140</v>
      </c>
      <c r="Z55" s="70">
        <v>40</v>
      </c>
      <c r="AA55" s="78">
        <v>360</v>
      </c>
      <c r="AB55" s="9"/>
    </row>
    <row r="56" spans="1:28" ht="14.4">
      <c r="C56" s="33"/>
      <c r="D56" s="26" t="s">
        <v>11</v>
      </c>
      <c r="E56" s="32"/>
      <c r="F56" s="74">
        <f t="shared" si="60"/>
        <v>200531</v>
      </c>
      <c r="G56" s="74">
        <f t="shared" si="60"/>
        <v>10202</v>
      </c>
      <c r="H56" s="74">
        <f t="shared" si="60"/>
        <v>856</v>
      </c>
      <c r="I56" s="74">
        <f t="shared" si="60"/>
        <v>0</v>
      </c>
      <c r="J56" s="74">
        <f t="shared" si="60"/>
        <v>1452</v>
      </c>
      <c r="K56" s="64">
        <f>IFERROR(F56/G56-1,"n/a")</f>
        <v>18.656047833758088</v>
      </c>
      <c r="L56" s="64">
        <f t="shared" si="61"/>
        <v>233.26518691588785</v>
      </c>
      <c r="M56" s="64" t="str">
        <f t="shared" si="62"/>
        <v>n/a</v>
      </c>
      <c r="N56" s="60">
        <f t="shared" si="63"/>
        <v>137.10674931129478</v>
      </c>
      <c r="O56" s="109"/>
      <c r="P56" s="82">
        <f>+O29-'Mar-22'!M26+'Dec-22'!M29</f>
        <v>1692448</v>
      </c>
      <c r="Q56" s="82">
        <f>+P29-'Mar-22'!N26+'Dec-22'!N29</f>
        <v>175129</v>
      </c>
      <c r="R56" s="82">
        <f>+Q29-'Mar-22'!O26+'Dec-22'!O29</f>
        <v>30309</v>
      </c>
      <c r="S56" s="82">
        <f>+R29-'Mar-22'!P26+'Dec-22'!P29</f>
        <v>861947</v>
      </c>
      <c r="T56" s="109"/>
      <c r="U56" s="64">
        <f>IFERROR(P56/Q56-1,"n/a")</f>
        <v>8.6640076743429137</v>
      </c>
      <c r="V56" s="64">
        <f>IFERROR(P56/R56-1,"n/a")</f>
        <v>54.839783562638161</v>
      </c>
      <c r="W56" s="60">
        <f>IFERROR(P56/S56-1,"n/a")</f>
        <v>0.96351747845285152</v>
      </c>
      <c r="X56" s="82"/>
      <c r="Y56" s="82">
        <v>174336</v>
      </c>
      <c r="Z56" s="84">
        <v>21928</v>
      </c>
      <c r="AA56" s="78">
        <f>706948+155011</f>
        <v>861959</v>
      </c>
      <c r="AB56" s="9"/>
    </row>
    <row r="57" spans="1:28" thickBot="1">
      <c r="C57" s="35" t="s">
        <v>12</v>
      </c>
      <c r="D57" s="36"/>
      <c r="E57" s="37"/>
      <c r="F57" s="75">
        <f t="shared" ref="F57:J58" si="67">F40+F43+F46+F49+F52+F55</f>
        <v>322</v>
      </c>
      <c r="G57" s="75">
        <f t="shared" si="67"/>
        <v>260</v>
      </c>
      <c r="H57" s="75">
        <f t="shared" si="67"/>
        <v>5</v>
      </c>
      <c r="I57" s="75">
        <f t="shared" si="67"/>
        <v>160</v>
      </c>
      <c r="J57" s="75">
        <f t="shared" si="67"/>
        <v>229</v>
      </c>
      <c r="K57" s="66">
        <f>IFERROR(F57/G57-1,"n/a")</f>
        <v>0.2384615384615385</v>
      </c>
      <c r="L57" s="66">
        <f t="shared" si="61"/>
        <v>63.400000000000006</v>
      </c>
      <c r="M57" s="66">
        <f t="shared" si="62"/>
        <v>1.0125000000000002</v>
      </c>
      <c r="N57" s="62">
        <f t="shared" si="63"/>
        <v>0.40611353711790388</v>
      </c>
      <c r="O57" s="46"/>
      <c r="P57" s="46">
        <f t="shared" ref="P57:S58" si="68">P40+P43+P46+P49+P52+P55</f>
        <v>3862</v>
      </c>
      <c r="Q57" s="46">
        <f t="shared" si="68"/>
        <v>1680</v>
      </c>
      <c r="R57" s="46">
        <f t="shared" si="68"/>
        <v>114</v>
      </c>
      <c r="S57" s="46">
        <f t="shared" si="68"/>
        <v>3274</v>
      </c>
      <c r="T57" s="46"/>
      <c r="U57" s="66">
        <f>IFERROR(P57/Q57-1,"n/a")</f>
        <v>1.2988095238095236</v>
      </c>
      <c r="V57" s="66">
        <f>IFERROR(P57/R57-1,"n/a")</f>
        <v>32.877192982456137</v>
      </c>
      <c r="W57" s="62">
        <f>IFERROR(P57/S57-1,"n/a")</f>
        <v>0.17959682345754424</v>
      </c>
      <c r="X57" s="46"/>
      <c r="Y57" s="46">
        <f t="shared" ref="Y57:AA58" si="69">Y40+Y43+Y46+Y49+Y52+Y55</f>
        <v>1682</v>
      </c>
      <c r="Z57" s="46">
        <f t="shared" si="69"/>
        <v>679</v>
      </c>
      <c r="AA57" s="80">
        <f t="shared" si="69"/>
        <v>3274</v>
      </c>
      <c r="AB57" s="9"/>
    </row>
    <row r="58" spans="1:28" ht="15.6" thickTop="1" thickBot="1">
      <c r="C58" s="38" t="s">
        <v>13</v>
      </c>
      <c r="D58" s="39"/>
      <c r="E58" s="40"/>
      <c r="F58" s="76">
        <f t="shared" si="67"/>
        <v>921313</v>
      </c>
      <c r="G58" s="76">
        <f t="shared" si="67"/>
        <v>406818</v>
      </c>
      <c r="H58" s="76">
        <f t="shared" si="67"/>
        <v>4146</v>
      </c>
      <c r="I58" s="76">
        <f t="shared" si="67"/>
        <v>226273</v>
      </c>
      <c r="J58" s="76">
        <f t="shared" si="67"/>
        <v>655947</v>
      </c>
      <c r="K58" s="67">
        <f>IFERROR(F58/G58-1,"n/a")</f>
        <v>1.2646810121479386</v>
      </c>
      <c r="L58" s="67">
        <f t="shared" si="61"/>
        <v>221.21731789676798</v>
      </c>
      <c r="M58" s="67">
        <f t="shared" si="62"/>
        <v>3.071687740030848</v>
      </c>
      <c r="N58" s="63">
        <f t="shared" si="63"/>
        <v>0.40455402646860184</v>
      </c>
      <c r="O58" s="47"/>
      <c r="P58" s="47">
        <f t="shared" si="68"/>
        <v>9237738</v>
      </c>
      <c r="Q58" s="47">
        <f t="shared" si="68"/>
        <v>2412434</v>
      </c>
      <c r="R58" s="47">
        <f t="shared" si="68"/>
        <v>57343</v>
      </c>
      <c r="S58" s="47">
        <f t="shared" si="68"/>
        <v>8654754</v>
      </c>
      <c r="T58" s="47"/>
      <c r="U58" s="67">
        <f>IFERROR(P58/Q58-1,"n/a")</f>
        <v>2.8292189547983488</v>
      </c>
      <c r="V58" s="67">
        <f>IFERROR(P58/R58-1,"n/a")</f>
        <v>160.09617564480408</v>
      </c>
      <c r="W58" s="63">
        <f>IFERROR(P58/S58-1,"n/a")</f>
        <v>6.7359973489714342E-2</v>
      </c>
      <c r="X58" s="47"/>
      <c r="Y58" s="47">
        <f t="shared" si="69"/>
        <v>2411641</v>
      </c>
      <c r="Z58" s="47">
        <f t="shared" si="69"/>
        <v>1324261</v>
      </c>
      <c r="AA58" s="81">
        <f t="shared" si="69"/>
        <v>8654686</v>
      </c>
      <c r="AB58" s="9"/>
    </row>
    <row r="59" spans="1:28" thickTop="1">
      <c r="AB59" s="9"/>
    </row>
    <row r="60" spans="1:28" ht="14.4">
      <c r="P60" s="111"/>
      <c r="Q60" s="111"/>
      <c r="R60" s="111"/>
      <c r="S60" s="111"/>
      <c r="AB60" s="9"/>
    </row>
    <row r="61" spans="1:28" ht="14.4">
      <c r="P61" s="111"/>
      <c r="Q61" s="111"/>
      <c r="R61" s="111"/>
      <c r="S61" s="111"/>
      <c r="AB61" s="9"/>
    </row>
    <row r="62" spans="1:28" ht="14.4" hidden="1">
      <c r="P62" s="111"/>
      <c r="Q62" s="111"/>
      <c r="R62" s="111"/>
      <c r="S62" s="111"/>
      <c r="AB62" s="9"/>
    </row>
    <row r="63" spans="1:28" ht="14.4" hidden="1">
      <c r="P63" s="111"/>
      <c r="Q63" s="111"/>
      <c r="R63" s="111"/>
      <c r="S63" s="111"/>
      <c r="AB63" s="9"/>
    </row>
    <row r="64" spans="1:28" ht="14.4" hidden="1">
      <c r="AB64" s="9"/>
    </row>
    <row r="65" spans="28:28" ht="14.4" hidden="1">
      <c r="AB65" s="9"/>
    </row>
    <row r="66" spans="28:28" ht="14.4" hidden="1">
      <c r="AB66" s="9"/>
    </row>
  </sheetData>
  <mergeCells count="6">
    <mergeCell ref="F9:N9"/>
    <mergeCell ref="O9:W9"/>
    <mergeCell ref="X9:AA9"/>
    <mergeCell ref="F36:N36"/>
    <mergeCell ref="O36:W36"/>
    <mergeCell ref="X36:AA36"/>
  </mergeCells>
  <pageMargins left="0.7" right="0.7" top="0.75" bottom="0.75" header="0.3" footer="0.3"/>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Belge" ma:contentTypeID="0x010100B29B276ACB4E644D9A6582918F6D7D7E" ma:contentTypeVersion="14" ma:contentTypeDescription="Yeni belge oluşturun." ma:contentTypeScope="" ma:versionID="61a40187e2212e51edb319a963448ee2">
  <xsd:schema xmlns:xsd="http://www.w3.org/2001/XMLSchema" xmlns:xs="http://www.w3.org/2001/XMLSchema" xmlns:p="http://schemas.microsoft.com/office/2006/metadata/properties" xmlns:ns2="8cd7474e-1d48-42f1-a929-9fa835c241d5" xmlns:ns3="50acc271-0769-44fa-a07c-5c2dfce6e462" targetNamespace="http://schemas.microsoft.com/office/2006/metadata/properties" ma:root="true" ma:fieldsID="eab0e2362bb27755005105daec4935fc" ns2:_="" ns3:_="">
    <xsd:import namespace="8cd7474e-1d48-42f1-a929-9fa835c241d5"/>
    <xsd:import namespace="50acc271-0769-44fa-a07c-5c2dfce6e46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d7474e-1d48-42f1-a929-9fa835c241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Resim Etiketleri" ma:readOnly="false" ma:fieldId="{5cf76f15-5ced-4ddc-b409-7134ff3c332f}" ma:taxonomyMulti="true" ma:sspId="2b000698-8d8e-4a24-bb1f-5c40ea2b52e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0acc271-0769-44fa-a07c-5c2dfce6e462" elementFormDefault="qualified">
    <xsd:import namespace="http://schemas.microsoft.com/office/2006/documentManagement/types"/>
    <xsd:import namespace="http://schemas.microsoft.com/office/infopath/2007/PartnerControls"/>
    <xsd:element name="SharedWithUsers" ma:index="10" nillable="true" ma:displayName="Paylaşılanl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Ayrıntıları ile Paylaşıldı" ma:internalName="SharedWithDetails" ma:readOnly="true">
      <xsd:simpleType>
        <xsd:restriction base="dms:Note">
          <xsd:maxLength value="255"/>
        </xsd:restriction>
      </xsd:simpleType>
    </xsd:element>
    <xsd:element name="TaxCatchAll" ma:index="21" nillable="true" ma:displayName="Taxonomy Catch All Column" ma:hidden="true" ma:list="{fbe57add-cae4-4e31-8402-3186dc955d50}" ma:internalName="TaxCatchAll" ma:showField="CatchAllData" ma:web="50acc271-0769-44fa-a07c-5c2dfce6e4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0acc271-0769-44fa-a07c-5c2dfce6e462" xsi:nil="true"/>
    <lcf76f155ced4ddcb4097134ff3c332f xmlns="8cd7474e-1d48-42f1-a929-9fa835c241d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4C4D69E-E9A6-4C6E-930B-6845131E721B}">
  <ds:schemaRefs>
    <ds:schemaRef ds:uri="http://schemas.microsoft.com/sharepoint/v3/contenttype/forms"/>
  </ds:schemaRefs>
</ds:datastoreItem>
</file>

<file path=customXml/itemProps2.xml><?xml version="1.0" encoding="utf-8"?>
<ds:datastoreItem xmlns:ds="http://schemas.openxmlformats.org/officeDocument/2006/customXml" ds:itemID="{BB6D4000-EB9C-4CC3-9BA3-61F82ABD18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d7474e-1d48-42f1-a929-9fa835c241d5"/>
    <ds:schemaRef ds:uri="50acc271-0769-44fa-a07c-5c2dfce6e4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16FC12F-4478-42E3-9A48-BDD9224AE15B}">
  <ds:schemaRefs>
    <ds:schemaRef ds:uri="http://purl.org/dc/elements/1.1/"/>
    <ds:schemaRef ds:uri="http://schemas.microsoft.com/office/infopath/2007/PartnerControls"/>
    <ds:schemaRef ds:uri="http://schemas.microsoft.com/office/2006/documentManagement/types"/>
    <ds:schemaRef ds:uri="http://www.w3.org/XML/1998/namespace"/>
    <ds:schemaRef ds:uri="http://purl.org/dc/dcmitype/"/>
    <ds:schemaRef ds:uri="http://schemas.openxmlformats.org/package/2006/metadata/core-properties"/>
    <ds:schemaRef ds:uri="50acc271-0769-44fa-a07c-5c2dfce6e462"/>
    <ds:schemaRef ds:uri="8cd7474e-1d48-42f1-a929-9fa835c241d5"/>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27</vt:i4>
      </vt:variant>
      <vt:variant>
        <vt:lpstr>Named Ranges</vt:lpstr>
      </vt:variant>
      <vt:variant>
        <vt:i4>3</vt:i4>
      </vt:variant>
    </vt:vector>
  </HeadingPairs>
  <TitlesOfParts>
    <vt:vector size="30" baseType="lpstr">
      <vt:lpstr> </vt:lpstr>
      <vt:lpstr>Disclaimer</vt:lpstr>
      <vt:lpstr>Notes</vt:lpstr>
      <vt:lpstr>Occupancy_2023</vt:lpstr>
      <vt:lpstr>Traffic&gt;</vt:lpstr>
      <vt:lpstr>May-23</vt:lpstr>
      <vt:lpstr>Apr-23</vt:lpstr>
      <vt:lpstr>Mar-23</vt:lpstr>
      <vt:lpstr>Mar-23_old structure</vt:lpstr>
      <vt:lpstr>Feb-23</vt:lpstr>
      <vt:lpstr>Jan-23</vt:lpstr>
      <vt:lpstr>Dec-22</vt:lpstr>
      <vt:lpstr>Nov-22</vt:lpstr>
      <vt:lpstr>Oct-22</vt:lpstr>
      <vt:lpstr>Sep-22</vt:lpstr>
      <vt:lpstr>Aug-22</vt:lpstr>
      <vt:lpstr>Jul-22</vt:lpstr>
      <vt:lpstr>Jun-22</vt:lpstr>
      <vt:lpstr>May-22</vt:lpstr>
      <vt:lpstr>Apr-22</vt:lpstr>
      <vt:lpstr>Mar-22</vt:lpstr>
      <vt:lpstr>Feb-22</vt:lpstr>
      <vt:lpstr>Jan-22</vt:lpstr>
      <vt:lpstr>Dec-21</vt:lpstr>
      <vt:lpstr>Nov-21</vt:lpstr>
      <vt:lpstr>Oct-21</vt:lpstr>
      <vt:lpstr>Sept-21</vt:lpstr>
      <vt:lpstr>Disclaimer!Print_Area</vt:lpstr>
      <vt:lpstr>Notes!Print_Area</vt:lpstr>
      <vt:lpstr>'Traffic&gt;'!Print_Area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Fomferra</dc:creator>
  <cp:lastModifiedBy>Osman Kaan Coskun</cp:lastModifiedBy>
  <cp:lastPrinted>2022-08-04T14:43:41Z</cp:lastPrinted>
  <dcterms:created xsi:type="dcterms:W3CDTF">2021-12-10T09:13:50Z</dcterms:created>
  <dcterms:modified xsi:type="dcterms:W3CDTF">2023-06-15T09:40:07Z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0x010100B29B276ACB4E644D9A6582918F6D7D7E</vt:lpwstr>
  </property>
  <property fmtid="{D5CDD505-2E9C-101B-9397-08002B2CF9AE}" pid="5" name="MediaServiceImageTags">
    <vt:lpwstr/>
  </property>
</Properties>
</file>